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12A5CB0-B7AA-E548-96E6-B277AF67FADC}" xr6:coauthVersionLast="47" xr6:coauthVersionMax="47" xr10:uidLastSave="{00000000-0000-0000-0000-000000000000}"/>
  <bookViews>
    <workbookView xWindow="4440" yWindow="760" windowWidth="2580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lci!$A$1:$T$638</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41" i="1" l="1"/>
  <c r="J141" i="1"/>
  <c r="B141" i="1"/>
  <c r="R140" i="1"/>
  <c r="B140" i="1"/>
  <c r="J140" i="1" s="1"/>
  <c r="R139" i="1"/>
  <c r="J139" i="1"/>
  <c r="B139" i="1"/>
  <c r="J136" i="1"/>
  <c r="S134" i="1"/>
  <c r="T133" i="1"/>
  <c r="S135" i="1" s="1"/>
  <c r="S133" i="1"/>
  <c r="T135" i="1" s="1"/>
  <c r="B133" i="1"/>
  <c r="J133" i="1" s="1"/>
  <c r="T132" i="1"/>
  <c r="S132" i="1"/>
  <c r="T134" i="1" s="1"/>
  <c r="B132" i="1"/>
  <c r="J132" i="1" s="1"/>
  <c r="D131" i="1"/>
  <c r="C131" i="1"/>
  <c r="A131" i="1"/>
  <c r="R61" i="1"/>
  <c r="B61" i="1"/>
  <c r="J61" i="1" s="1"/>
  <c r="R60" i="1"/>
  <c r="B60" i="1"/>
  <c r="J60" i="1" s="1"/>
  <c r="R59" i="1"/>
  <c r="B59" i="1"/>
  <c r="J59" i="1" s="1"/>
  <c r="J56" i="1"/>
  <c r="T54" i="1"/>
  <c r="T53" i="1"/>
  <c r="S55" i="1" s="1"/>
  <c r="S53" i="1"/>
  <c r="T55" i="1" s="1"/>
  <c r="B53" i="1"/>
  <c r="J53" i="1" s="1"/>
  <c r="T52" i="1"/>
  <c r="S54" i="1" s="1"/>
  <c r="S52" i="1"/>
  <c r="B52" i="1"/>
  <c r="B54" i="1" s="1"/>
  <c r="J54" i="1" s="1"/>
  <c r="D51" i="1"/>
  <c r="C51" i="1"/>
  <c r="A51" i="1"/>
  <c r="B499" i="1"/>
  <c r="B330" i="1"/>
  <c r="B329" i="1"/>
  <c r="T630" i="1"/>
  <c r="S630" i="1"/>
  <c r="B630" i="1"/>
  <c r="J630" i="1" s="1"/>
  <c r="T625" i="1"/>
  <c r="S625" i="1"/>
  <c r="B625" i="1"/>
  <c r="J625" i="1" s="1"/>
  <c r="G624" i="1"/>
  <c r="D624" i="1"/>
  <c r="C624" i="1"/>
  <c r="A624" i="1"/>
  <c r="S610" i="1"/>
  <c r="T610" i="1"/>
  <c r="B610" i="1"/>
  <c r="B611" i="1" s="1"/>
  <c r="B614" i="1" s="1"/>
  <c r="J610" i="1"/>
  <c r="T605" i="1"/>
  <c r="S605" i="1"/>
  <c r="J605" i="1"/>
  <c r="G604" i="1"/>
  <c r="A604" i="1"/>
  <c r="D604" i="1"/>
  <c r="C604" i="1"/>
  <c r="R161" i="1"/>
  <c r="B161" i="1"/>
  <c r="J161" i="1" s="1"/>
  <c r="R160" i="1"/>
  <c r="B160" i="1"/>
  <c r="J160" i="1" s="1"/>
  <c r="R159" i="1"/>
  <c r="B159" i="1"/>
  <c r="J159" i="1" s="1"/>
  <c r="J156" i="1"/>
  <c r="T153" i="1"/>
  <c r="S155" i="1" s="1"/>
  <c r="S153" i="1"/>
  <c r="T155" i="1" s="1"/>
  <c r="B153" i="1"/>
  <c r="B155" i="1" s="1"/>
  <c r="J155" i="1" s="1"/>
  <c r="T152" i="1"/>
  <c r="S154" i="1" s="1"/>
  <c r="S152" i="1"/>
  <c r="T154" i="1" s="1"/>
  <c r="B152" i="1"/>
  <c r="B154" i="1" s="1"/>
  <c r="J154" i="1" s="1"/>
  <c r="D151" i="1"/>
  <c r="C151" i="1"/>
  <c r="A151" i="1"/>
  <c r="R121" i="1"/>
  <c r="B121" i="1"/>
  <c r="J121" i="1" s="1"/>
  <c r="R120" i="1"/>
  <c r="B120" i="1"/>
  <c r="J120" i="1" s="1"/>
  <c r="R119" i="1"/>
  <c r="B119" i="1"/>
  <c r="J119" i="1" s="1"/>
  <c r="J116" i="1"/>
  <c r="T113" i="1"/>
  <c r="S115" i="1" s="1"/>
  <c r="S113" i="1"/>
  <c r="T115" i="1" s="1"/>
  <c r="B113" i="1"/>
  <c r="J113"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A71" i="1"/>
  <c r="A31" i="1"/>
  <c r="R81" i="1"/>
  <c r="B81" i="1"/>
  <c r="J81" i="1" s="1"/>
  <c r="R80" i="1"/>
  <c r="B80" i="1"/>
  <c r="J80" i="1" s="1"/>
  <c r="R79" i="1"/>
  <c r="B79" i="1"/>
  <c r="J79" i="1" s="1"/>
  <c r="J76" i="1"/>
  <c r="T73" i="1"/>
  <c r="S75" i="1" s="1"/>
  <c r="S73" i="1"/>
  <c r="T75" i="1" s="1"/>
  <c r="B73" i="1"/>
  <c r="J73" i="1" s="1"/>
  <c r="T72" i="1"/>
  <c r="S74" i="1" s="1"/>
  <c r="S72" i="1"/>
  <c r="T74" i="1" s="1"/>
  <c r="B72" i="1"/>
  <c r="B74" i="1" s="1"/>
  <c r="J74" i="1" s="1"/>
  <c r="D71" i="1"/>
  <c r="C7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52" i="1"/>
  <c r="S454" i="1" s="1"/>
  <c r="S452" i="1"/>
  <c r="T454" i="1" s="1"/>
  <c r="T453" i="1"/>
  <c r="S455" i="1" s="1"/>
  <c r="S453" i="1"/>
  <c r="T455" i="1" s="1"/>
  <c r="B135" i="1" l="1"/>
  <c r="J135" i="1" s="1"/>
  <c r="J52" i="1"/>
  <c r="B134" i="1"/>
  <c r="J134" i="1" s="1"/>
  <c r="B612" i="1"/>
  <c r="B631" i="1"/>
  <c r="B632" i="1"/>
  <c r="B633" i="1"/>
  <c r="B55" i="1"/>
  <c r="J55" i="1" s="1"/>
  <c r="B613" i="1"/>
  <c r="J152" i="1"/>
  <c r="B95" i="1"/>
  <c r="J95" i="1" s="1"/>
  <c r="J153" i="1"/>
  <c r="J112" i="1"/>
  <c r="B115" i="1"/>
  <c r="J115" i="1" s="1"/>
  <c r="J92" i="1"/>
  <c r="J72" i="1"/>
  <c r="B75" i="1"/>
  <c r="J75" i="1" s="1"/>
  <c r="B35" i="1"/>
  <c r="J35" i="1" s="1"/>
  <c r="J32" i="1"/>
  <c r="T292" i="1"/>
  <c r="S294" i="1" s="1"/>
  <c r="S292" i="1"/>
  <c r="T294" i="1" s="1"/>
  <c r="S291" i="1"/>
  <c r="T293" i="1" s="1"/>
  <c r="T291" i="1"/>
  <c r="S293" i="1" s="1"/>
  <c r="B291" i="1"/>
  <c r="J291" i="1" s="1"/>
  <c r="T13" i="1"/>
  <c r="S15" i="1" s="1"/>
  <c r="S13" i="1"/>
  <c r="T15" i="1" s="1"/>
  <c r="S12" i="1"/>
  <c r="T14" i="1" s="1"/>
  <c r="T12" i="1"/>
  <c r="S14" i="1" s="1"/>
  <c r="J435" i="1"/>
  <c r="J295" i="1"/>
  <c r="J16" i="1"/>
  <c r="B178" i="1"/>
  <c r="C168" i="1" s="1"/>
  <c r="R462" i="1"/>
  <c r="B462" i="1"/>
  <c r="J462" i="1" s="1"/>
  <c r="R461" i="1"/>
  <c r="B461" i="1"/>
  <c r="J461" i="1" s="1"/>
  <c r="R460" i="1"/>
  <c r="B460" i="1"/>
  <c r="J460" i="1" s="1"/>
  <c r="R441" i="1"/>
  <c r="B441" i="1"/>
  <c r="J441" i="1" s="1"/>
  <c r="R440" i="1"/>
  <c r="B440" i="1"/>
  <c r="J440" i="1" s="1"/>
  <c r="R439" i="1"/>
  <c r="B439" i="1"/>
  <c r="J439" i="1" s="1"/>
  <c r="R301" i="1"/>
  <c r="B301" i="1"/>
  <c r="J301" i="1" s="1"/>
  <c r="R300" i="1"/>
  <c r="B300" i="1"/>
  <c r="J300" i="1" s="1"/>
  <c r="R299" i="1"/>
  <c r="B299" i="1"/>
  <c r="J299" i="1" s="1"/>
  <c r="R21" i="1"/>
  <c r="B21" i="1"/>
  <c r="J21" i="1" s="1"/>
  <c r="R20" i="1"/>
  <c r="B20" i="1"/>
  <c r="J20" i="1" s="1"/>
  <c r="R19" i="1"/>
  <c r="B19" i="1"/>
  <c r="J19" i="1" s="1"/>
  <c r="J178" i="1" l="1"/>
  <c r="B431" i="1"/>
  <c r="B12" i="1"/>
  <c r="J12" i="1" s="1"/>
  <c r="B453" i="1"/>
  <c r="B452" i="1"/>
  <c r="D451" i="1"/>
  <c r="C45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432" i="1"/>
  <c r="B434" i="1" s="1"/>
  <c r="B292" i="1"/>
  <c r="J292" i="1" s="1"/>
  <c r="B13" i="1"/>
  <c r="J13" i="1" s="1"/>
  <c r="G583" i="1"/>
  <c r="D583" i="1"/>
  <c r="A583" i="1"/>
  <c r="G498" i="1"/>
  <c r="D498" i="1"/>
  <c r="A498" i="1"/>
  <c r="G409" i="1"/>
  <c r="D409" i="1"/>
  <c r="A409" i="1"/>
  <c r="G328" i="1"/>
  <c r="D328" i="1"/>
  <c r="A328" i="1"/>
  <c r="B269" i="1"/>
  <c r="G268" i="1"/>
  <c r="D268" i="1"/>
  <c r="A268" i="1"/>
  <c r="B200" i="1"/>
  <c r="B199" i="1"/>
  <c r="B198" i="1"/>
  <c r="B197" i="1"/>
  <c r="B196" i="1"/>
  <c r="G195" i="1"/>
  <c r="D195" i="1"/>
  <c r="A195" i="1"/>
  <c r="B455" i="1" l="1"/>
  <c r="J455" i="1" s="1"/>
  <c r="J453" i="1"/>
  <c r="B454" i="1"/>
  <c r="J454" i="1" s="1"/>
  <c r="J452" i="1"/>
  <c r="B433" i="1"/>
  <c r="B293" i="1"/>
  <c r="J293" i="1" s="1"/>
  <c r="B551" i="1"/>
  <c r="B550" i="1"/>
  <c r="B549" i="1"/>
  <c r="B548" i="1"/>
  <c r="B547" i="1"/>
  <c r="B546" i="1"/>
  <c r="B545" i="1"/>
  <c r="B544" i="1"/>
  <c r="B543" i="1"/>
  <c r="B542" i="1"/>
  <c r="B541" i="1"/>
  <c r="B540" i="1"/>
  <c r="B539" i="1"/>
  <c r="B536" i="1"/>
  <c r="B535" i="1"/>
  <c r="B526" i="1"/>
  <c r="B525" i="1"/>
  <c r="B524" i="1"/>
  <c r="B523" i="1"/>
  <c r="B522" i="1"/>
  <c r="B521" i="1"/>
  <c r="B520" i="1"/>
  <c r="B519" i="1"/>
  <c r="B518" i="1"/>
  <c r="B517" i="1"/>
  <c r="B516" i="1"/>
  <c r="B515" i="1"/>
  <c r="B514" i="1"/>
  <c r="G509" i="1"/>
  <c r="A509" i="1"/>
  <c r="B482" i="1"/>
  <c r="B481" i="1"/>
  <c r="G472" i="1"/>
  <c r="D472" i="1"/>
  <c r="A472" i="1"/>
  <c r="A432" i="1"/>
  <c r="A431" i="1"/>
  <c r="D430" i="1"/>
  <c r="C430" i="1"/>
  <c r="G340" i="1"/>
  <c r="A340" i="1"/>
  <c r="G311" i="1"/>
  <c r="D311" i="1"/>
  <c r="A311" i="1"/>
  <c r="A292" i="1"/>
  <c r="A291" i="1"/>
  <c r="D290" i="1"/>
  <c r="C290" i="1"/>
  <c r="G210" i="1"/>
  <c r="A210" i="1"/>
  <c r="G171" i="1"/>
  <c r="D171" i="1"/>
  <c r="A171" i="1"/>
  <c r="A13" i="1"/>
  <c r="A12" i="1"/>
  <c r="D11" i="1"/>
  <c r="C11" i="1"/>
  <c r="B294" i="1" l="1"/>
  <c r="J294" i="1" s="1"/>
  <c r="B15" i="1"/>
  <c r="J15" i="1" s="1"/>
  <c r="B14" i="1"/>
  <c r="J14" i="1" s="1"/>
</calcChain>
</file>

<file path=xl/sharedStrings.xml><?xml version="1.0" encoding="utf-8"?>
<sst xmlns="http://schemas.openxmlformats.org/spreadsheetml/2006/main" count="3520" uniqueCount="556">
  <si>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</si>
  <si>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</si>
  <si>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</si>
  <si>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</si>
  <si>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</si>
  <si>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</si>
  <si>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</si>
  <si>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</si>
  <si>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</si>
  <si>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</si>
  <si>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</si>
  <si>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</si>
  <si>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</si>
  <si>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</si>
  <si>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</si>
  <si>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</si>
  <si>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</si>
  <si>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</si>
  <si>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</si>
  <si>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</si>
  <si>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</si>
  <si>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</si>
  <si>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</si>
  <si>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</si>
  <si>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</si>
  <si>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</si>
  <si>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</si>
  <si>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</si>
  <si>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</si>
  <si>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</si>
  <si>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</si>
  <si>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</si>
  <si>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</si>
  <si>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</si>
  <si>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</si>
  <si>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</si>
  <si>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</si>
  <si>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</si>
  <si>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</si>
  <si>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</si>
  <si>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</si>
  <si>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</si>
  <si>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</si>
  <si>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</si>
  <si>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</si>
  <si>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</si>
  <si>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</si>
  <si>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</si>
  <si>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</si>
  <si>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</si>
  <si>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</si>
  <si>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</si>
  <si>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</si>
  <si>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</si>
  <si>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</si>
  <si>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</si>
  <si>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</si>
  <si>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</si>
  <si>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</si>
  <si>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</si>
  <si>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</si>
  <si>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</si>
  <si>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</si>
  <si>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</si>
  <si>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</si>
  <si>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</si>
  <si>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</si>
  <si>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</si>
  <si>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</si>
  <si>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</si>
  <si>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</si>
  <si>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</si>
  <si>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</si>
  <si>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</si>
  <si>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</si>
  <si>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</si>
  <si>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</si>
  <si>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</si>
  <si>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</si>
  <si>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</si>
  <si>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</si>
  <si>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</si>
  <si>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</si>
  <si>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</si>
  <si>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</si>
  <si>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</si>
  <si>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</si>
  <si>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</si>
  <si>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</si>
  <si>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</si>
  <si>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</si>
  <si>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</si>
  <si>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</si>
  <si>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</si>
  <si>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</si>
  <si>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</si>
  <si>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</si>
  <si>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</si>
  <si>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</si>
  <si>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</si>
  <si>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</si>
  <si>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</si>
  <si>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</si>
  <si>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</si>
  <si>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</si>
  <si>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</si>
  <si>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</si>
  <si>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</si>
  <si>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</si>
  <si>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</si>
  <si>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</si>
  <si>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</si>
  <si>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</si>
  <si>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</si>
  <si>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</si>
  <si>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</si>
  <si>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</si>
  <si>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</si>
  <si>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</si>
  <si>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</si>
  <si>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</si>
  <si>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</si>
  <si>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</si>
  <si>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</si>
  <si>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</si>
  <si>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</si>
  <si>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</si>
  <si>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</si>
  <si>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</si>
  <si>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</si>
  <si>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</si>
  <si>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</si>
  <si>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</si>
  <si>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</si>
  <si>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</si>
  <si>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</si>
  <si>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</si>
  <si>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</si>
  <si>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</si>
  <si>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</si>
  <si>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</si>
  <si>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</si>
  <si>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</si>
  <si>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</si>
  <si>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</si>
  <si>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</si>
  <si>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</si>
  <si>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</si>
  <si>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</si>
  <si>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</si>
  <si>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</si>
  <si>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</si>
  <si>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</si>
  <si>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</si>
  <si>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</si>
  <si>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</si>
  <si>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</si>
  <si>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</si>
  <si>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</si>
  <si>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</si>
  <si>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</si>
  <si>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</si>
  <si>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</si>
  <si>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</si>
  <si>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</si>
  <si>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</si>
  <si>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</si>
  <si>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</si>
  <si>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</si>
  <si>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</si>
  <si>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</si>
  <si>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</si>
  <si>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</si>
  <si>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</si>
  <si>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</si>
  <si>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</si>
  <si>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</si>
  <si>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</si>
  <si>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</si>
  <si>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</si>
  <si>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</si>
  <si>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</si>
  <si>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</si>
  <si>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</si>
  <si>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</si>
  <si>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</si>
  <si>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</si>
  <si>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</si>
  <si>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</si>
  <si>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</si>
  <si>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</si>
  <si>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</si>
  <si>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</si>
  <si>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</si>
  <si>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</si>
  <si>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</si>
  <si>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</si>
  <si>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</si>
  <si>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</si>
  <si>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</si>
  <si>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</si>
  <si>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</si>
  <si>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</si>
  <si>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</si>
  <si>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</si>
  <si>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</si>
  <si>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</si>
  <si>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</si>
  <si>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</si>
  <si>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</si>
  <si>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</si>
  <si>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</si>
  <si>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</si>
  <si>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</si>
  <si>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</si>
  <si>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</si>
  <si>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</si>
  <si>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</si>
  <si>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</si>
  <si>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</si>
  <si>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</si>
  <si>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</si>
  <si>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</si>
  <si>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</si>
  <si>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</si>
  <si>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</si>
  <si>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</si>
  <si>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</si>
  <si>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</si>
  <si>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</si>
  <si>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</si>
  <si>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</si>
  <si>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</si>
  <si>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</si>
  <si>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</si>
  <si>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</si>
  <si>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</si>
  <si>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</si>
  <si>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</si>
  <si>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</si>
  <si>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</si>
  <si>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</si>
  <si>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</si>
  <si>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</si>
  <si>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</si>
  <si>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</si>
  <si>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</si>
  <si>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</si>
  <si>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</si>
  <si>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</si>
  <si>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</si>
  <si>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</si>
  <si>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</si>
  <si>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</si>
  <si>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</si>
  <si>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</si>
  <si>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</si>
  <si>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</si>
  <si>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</si>
  <si>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</si>
  <si>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</si>
  <si>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</si>
  <si>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</si>
  <si>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</si>
  <si>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</si>
  <si>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</si>
  <si>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</si>
  <si>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</si>
  <si>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</si>
  <si>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</si>
  <si>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</si>
  <si>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</si>
  <si>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</si>
  <si>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</si>
  <si>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</si>
  <si>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</si>
  <si>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</si>
  <si>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</si>
  <si>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</si>
  <si>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</si>
  <si>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</si>
  <si>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</si>
  <si>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</si>
  <si>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</si>
  <si>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</si>
  <si>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</si>
  <si>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</si>
  <si>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</si>
  <si>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</si>
  <si>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</si>
  <si>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</si>
  <si>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</si>
  <si>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</si>
  <si>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</si>
  <si>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</si>
  <si>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</si>
  <si>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</si>
  <si>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</si>
  <si>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</si>
  <si>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</si>
  <si>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</si>
  <si>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</si>
  <si>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</si>
  <si>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</si>
  <si>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</si>
  <si>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</si>
  <si>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</si>
  <si>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</si>
  <si>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</si>
  <si>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</si>
  <si>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</si>
  <si>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</si>
  <si>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</si>
  <si>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</si>
  <si>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</si>
  <si>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</si>
  <si>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</si>
  <si>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</si>
  <si>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</si>
  <si>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</si>
  <si>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</si>
  <si>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</si>
  <si>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</si>
  <si>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</si>
  <si>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</si>
  <si>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</si>
  <si>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</si>
  <si>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</si>
  <si>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</si>
  <si>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</si>
  <si>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</si>
  <si>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</si>
  <si>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</si>
  <si>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</si>
  <si>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</si>
  <si>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</si>
  <si>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</si>
  <si>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</si>
  <si>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</si>
  <si>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</si>
  <si>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</si>
  <si>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</si>
  <si>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</si>
  <si>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</si>
  <si>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</si>
  <si>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</si>
  <si>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</si>
  <si>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</si>
  <si>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</si>
  <si>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</si>
  <si>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</si>
  <si>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</si>
  <si>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</si>
  <si>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</si>
  <si>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</si>
  <si>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</si>
  <si>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</si>
  <si>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</si>
  <si>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</si>
  <si>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</si>
  <si>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</si>
  <si>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</si>
  <si>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</si>
  <si>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</si>
  <si>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</si>
  <si>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</si>
  <si>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</si>
  <si>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</si>
  <si>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</si>
  <si>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</si>
  <si>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</si>
  <si>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</si>
  <si>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</si>
  <si>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</si>
  <si>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</si>
  <si>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</si>
  <si>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</si>
  <si>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</si>
  <si>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</si>
  <si>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</si>
  <si>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</si>
  <si>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</si>
  <si>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</si>
  <si>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</si>
  <si>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</si>
  <si>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</si>
  <si>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</si>
  <si>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</si>
  <si>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</si>
  <si>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</si>
  <si>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</si>
  <si>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</si>
  <si>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</si>
  <si>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</si>
  <si>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</si>
  <si>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</si>
  <si>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</si>
  <si>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</si>
  <si>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</si>
  <si>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</si>
  <si>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</si>
  <si>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</si>
  <si>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</si>
  <si>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</si>
  <si>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</si>
  <si>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</si>
  <si>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</si>
  <si>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</si>
  <si>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</si>
  <si>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</si>
  <si>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</si>
  <si>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</si>
  <si>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</si>
  <si>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</si>
  <si>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</si>
  <si>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</si>
  <si>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</si>
  <si>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</si>
  <si>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</si>
  <si>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</si>
  <si>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</si>
  <si>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</si>
  <si>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</si>
  <si>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</si>
  <si>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</si>
  <si>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</si>
  <si>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</si>
  <si>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</si>
  <si>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</si>
  <si>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</si>
  <si>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</si>
  <si>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</si>
  <si>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</si>
  <si>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</si>
  <si>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</si>
  <si>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</si>
  <si>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</si>
  <si>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</si>
  <si>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</si>
  <si>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</si>
  <si>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</si>
  <si>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</si>
  <si>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</si>
  <si>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</si>
  <si>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</si>
  <si>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</si>
  <si>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</si>
  <si>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</si>
  <si>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</si>
  <si>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</si>
  <si>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</si>
  <si>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</si>
  <si>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</si>
  <si>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</si>
  <si>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</si>
  <si>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</si>
  <si>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</si>
  <si>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</si>
  <si>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</si>
  <si>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</si>
  <si>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</si>
  <si>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</si>
  <si>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</si>
  <si>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</si>
  <si>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</si>
  <si>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</si>
  <si>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</si>
  <si>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</si>
  <si>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</si>
  <si>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</si>
  <si>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</si>
  <si>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</si>
  <si>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</si>
  <si>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</si>
  <si>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</si>
  <si>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</si>
  <si>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</si>
  <si>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</si>
  <si>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</si>
  <si>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</si>
  <si>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</si>
  <si>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</si>
  <si>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</si>
  <si>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</si>
  <si>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</si>
  <si>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</si>
  <si>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</si>
  <si>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</si>
  <si>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</si>
  <si>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</si>
  <si>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</si>
  <si>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</si>
  <si>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</si>
  <si>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</si>
  <si>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</si>
  <si>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</si>
  <si>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</si>
  <si>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</si>
  <si>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</si>
  <si>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</si>
  <si>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</si>
  <si>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</si>
  <si>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</si>
  <si>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</si>
  <si>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</si>
  <si>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</si>
  <si>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</si>
  <si>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</si>
  <si>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</si>
  <si>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</si>
  <si>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</si>
  <si>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</si>
  <si>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</si>
  <si>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</si>
  <si>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</si>
  <si>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</si>
  <si>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</si>
  <si>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</si>
  <si>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</si>
  <si>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</si>
  <si>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</si>
  <si>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</si>
  <si>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</si>
  <si>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</si>
  <si>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</si>
  <si>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</si>
  <si>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</si>
  <si>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</si>
  <si>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</si>
  <si>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</si>
  <si>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</si>
  <si>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</si>
  <si>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</si>
  <si>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</si>
  <si>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</si>
  <si>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</si>
  <si>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</si>
  <si>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market for acrylic dispersion, with water, in 58% solution</t>
  </si>
  <si>
    <t>Chlorine</t>
  </si>
  <si>
    <t>5.2 mg Chlorine (as Cl2)/liter brine.</t>
  </si>
  <si>
    <t>Sodium hydroxide</t>
  </si>
  <si>
    <t>1.7 mg Sodium hydroxide (as NaOH)/liter brine.</t>
  </si>
  <si>
    <t>Sulfuric acid</t>
  </si>
  <si>
    <t>31 mg Sulfuric acid (as H2SO4)/liter brine.</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</si>
  <si>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
Note: we could not represent the emissions of dissolved salts (~33g/L) and antiscalant (~7mg/L) to water.</t>
  </si>
  <si>
    <t>hydrogen production, gaseous, 30 bar, from PEM electrolysis, from open ground solar photovoltaic electricity</t>
  </si>
  <si>
    <t>hydrogen production, gaseous, 30 bar, from PEM electrolysis, from rooftop solar photovoltaic electricity</t>
  </si>
  <si>
    <t>electricity production, photovoltaic, at 280 kWp flat-roof, single-Si</t>
  </si>
  <si>
    <t>Electricity consumption with 61.7% eff. Min-max from IndWEDe report. Uses large-scale rooftop installation in Switzerland.</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</si>
  <si>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 Adapted to a use case in Switzerland, where the electricity is provided by a large rooftop PV installation.</t>
  </si>
  <si>
    <t>hydrogen production, gaseous, 30 bar, from PEM electrolysis, from hydropower electricity</t>
  </si>
  <si>
    <t>electricity production, hydro, reservoir, alpine region</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</si>
  <si>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 Adapted to a use case in Denmark, where the electricity is provided by a 1-3 MW onshore wind turbine.</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</si>
  <si>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 Adapted to a use case in Denmark, where the electricity is provided by a 1-3 MW offshore wind turbine.</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</si>
  <si>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 Adapted to a use case in Germany, where the electricity is provided by a geothermal well.</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</si>
  <si>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 Adapted to a use case in Switzerland, where the electricity is provided by an Alpine reservoir-type hydropower 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</si>
</sst>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3"/>
  <sheetViews>
    <sheetView tabSelected="1" topLeftCell="A102" zoomScaleNormal="100" workbookViewId="0">
      <selection activeCell="B123" sqref="B123"/>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x14ac:dyDescent="0.2">
      <c r="A2" s="1"/>
      <c r="B2" s="6"/>
      <c r="C2" s="2"/>
      <c r="D2" s="2"/>
      <c r="E2" s="2"/>
      <c r="F2" s="2"/>
      <c r="G2" s="2"/>
      <c r="H2" s="2"/>
      <c r="I2" s="5"/>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B163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B202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504</v>
      </c>
      <c r="B14" s="11">
        <f>B12*-1</f>
        <v>-1.3498920086393089E-6</v>
      </c>
      <c r="C14" s="11" t="s">
        <v>34</v>
      </c>
      <c r="D14" s="11" t="s">
        <v>6</v>
      </c>
      <c r="F14" s="11" t="s">
        <v>12</v>
      </c>
      <c r="G14" s="11" t="s">
        <v>505</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506</v>
      </c>
      <c r="B15" s="11">
        <f>-1*B13</f>
        <v>-3.3747300215982723E-7</v>
      </c>
      <c r="C15" s="11" t="s">
        <v>34</v>
      </c>
      <c r="D15" s="11" t="s">
        <v>6</v>
      </c>
      <c r="F15" s="11" t="s">
        <v>12</v>
      </c>
      <c r="G15" s="11" t="s">
        <v>507</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516</v>
      </c>
      <c r="B17" s="16">
        <v>14</v>
      </c>
      <c r="C17" s="11" t="s">
        <v>34</v>
      </c>
      <c r="D17" s="11" t="s">
        <v>13</v>
      </c>
      <c r="F17" s="11" t="s">
        <v>12</v>
      </c>
      <c r="G17" s="11" t="s">
        <v>517</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545</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open ground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504</v>
      </c>
      <c r="B34" s="11">
        <f>B32*-1</f>
        <v>-1.3498920086393089E-6</v>
      </c>
      <c r="C34" s="11" t="s">
        <v>34</v>
      </c>
      <c r="D34" s="11" t="s">
        <v>6</v>
      </c>
      <c r="F34" s="11" t="s">
        <v>12</v>
      </c>
      <c r="G34" s="11" t="s">
        <v>505</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506</v>
      </c>
      <c r="B35" s="11">
        <f>-1*B33</f>
        <v>-3.3747300215982723E-7</v>
      </c>
      <c r="C35" s="11" t="s">
        <v>34</v>
      </c>
      <c r="D35" s="11" t="s">
        <v>6</v>
      </c>
      <c r="F35" s="11" t="s">
        <v>12</v>
      </c>
      <c r="G35" s="11" t="s">
        <v>507</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489</v>
      </c>
      <c r="B36" s="16">
        <v>54</v>
      </c>
      <c r="C36" s="11" t="s">
        <v>490</v>
      </c>
      <c r="D36" s="11" t="s">
        <v>35</v>
      </c>
      <c r="E36" s="10"/>
      <c r="F36" s="11" t="s">
        <v>12</v>
      </c>
      <c r="G36" s="11" t="s">
        <v>36</v>
      </c>
      <c r="H36" s="10" t="s">
        <v>491</v>
      </c>
      <c r="I36" s="11">
        <v>5</v>
      </c>
      <c r="J36" s="4">
        <f>B36</f>
        <v>54</v>
      </c>
      <c r="K36" s="19"/>
      <c r="L36" s="19"/>
      <c r="M36" s="19"/>
      <c r="N36" s="19"/>
      <c r="O36" s="19"/>
      <c r="P36" s="19"/>
      <c r="Q36"/>
      <c r="R36"/>
      <c r="S36" s="11">
        <v>52.9</v>
      </c>
      <c r="T36" s="11">
        <v>55.1</v>
      </c>
    </row>
    <row r="37" spans="1:21" s="11" customFormat="1" ht="16" x14ac:dyDescent="0.2">
      <c r="A37" s="13" t="s">
        <v>516</v>
      </c>
      <c r="B37" s="16">
        <v>14</v>
      </c>
      <c r="C37" s="11" t="s">
        <v>34</v>
      </c>
      <c r="D37" s="11" t="s">
        <v>13</v>
      </c>
      <c r="F37" s="11" t="s">
        <v>12</v>
      </c>
      <c r="G37" s="11" t="s">
        <v>517</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546</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549</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rooftop solar photovoltaic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504</v>
      </c>
      <c r="B54" s="11">
        <f>B52*-1</f>
        <v>-1.3498920086393089E-6</v>
      </c>
      <c r="C54" s="11" t="s">
        <v>34</v>
      </c>
      <c r="D54" s="11" t="s">
        <v>6</v>
      </c>
      <c r="F54" s="11" t="s">
        <v>12</v>
      </c>
      <c r="G54" s="11" t="s">
        <v>505</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506</v>
      </c>
      <c r="B55" s="11">
        <f>-1*B53</f>
        <v>-3.3747300215982723E-7</v>
      </c>
      <c r="C55" s="11" t="s">
        <v>34</v>
      </c>
      <c r="D55" s="11" t="s">
        <v>6</v>
      </c>
      <c r="F55" s="11" t="s">
        <v>12</v>
      </c>
      <c r="G55" s="11" t="s">
        <v>507</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547</v>
      </c>
      <c r="B56" s="16">
        <v>54</v>
      </c>
      <c r="C56" s="11" t="s">
        <v>45</v>
      </c>
      <c r="D56" s="11" t="s">
        <v>35</v>
      </c>
      <c r="E56" s="10"/>
      <c r="F56" s="11" t="s">
        <v>12</v>
      </c>
      <c r="G56" s="13" t="s">
        <v>547</v>
      </c>
      <c r="H56" s="10" t="s">
        <v>548</v>
      </c>
      <c r="I56" s="11">
        <v>5</v>
      </c>
      <c r="J56" s="4">
        <f>B56</f>
        <v>54</v>
      </c>
      <c r="K56" s="19"/>
      <c r="L56" s="19"/>
      <c r="M56" s="19"/>
      <c r="N56" s="19"/>
      <c r="O56" s="19"/>
      <c r="P56" s="19"/>
      <c r="Q56"/>
      <c r="R56"/>
      <c r="S56" s="11">
        <v>52.9</v>
      </c>
      <c r="T56" s="11">
        <v>55.1</v>
      </c>
    </row>
    <row r="57" spans="1:21" s="11" customFormat="1" ht="16" x14ac:dyDescent="0.2">
      <c r="A57" s="13" t="s">
        <v>516</v>
      </c>
      <c r="B57" s="16">
        <v>14</v>
      </c>
      <c r="C57" s="11" t="s">
        <v>34</v>
      </c>
      <c r="D57" s="11" t="s">
        <v>13</v>
      </c>
      <c r="F57" s="11" t="s">
        <v>12</v>
      </c>
      <c r="G57" s="11" t="s">
        <v>517</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496</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552</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onshore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504</v>
      </c>
      <c r="B74" s="11">
        <f>B72*-1</f>
        <v>-1.3498920086393089E-6</v>
      </c>
      <c r="C74" s="11" t="s">
        <v>34</v>
      </c>
      <c r="D74" s="11" t="s">
        <v>6</v>
      </c>
      <c r="F74" s="11" t="s">
        <v>12</v>
      </c>
      <c r="G74" s="11" t="s">
        <v>505</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506</v>
      </c>
      <c r="B75" s="11">
        <f>-1*B73</f>
        <v>-3.3747300215982723E-7</v>
      </c>
      <c r="C75" s="11" t="s">
        <v>34</v>
      </c>
      <c r="D75" s="11" t="s">
        <v>6</v>
      </c>
      <c r="F75" s="11" t="s">
        <v>12</v>
      </c>
      <c r="G75" s="11" t="s">
        <v>507</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492</v>
      </c>
      <c r="B76" s="16">
        <v>54</v>
      </c>
      <c r="C76" s="11" t="s">
        <v>493</v>
      </c>
      <c r="D76" s="11" t="s">
        <v>35</v>
      </c>
      <c r="E76" s="10"/>
      <c r="F76" s="11" t="s">
        <v>12</v>
      </c>
      <c r="G76" s="11" t="s">
        <v>494</v>
      </c>
      <c r="H76" s="10" t="s">
        <v>495</v>
      </c>
      <c r="I76" s="11">
        <v>5</v>
      </c>
      <c r="J76" s="4">
        <f>B76</f>
        <v>54</v>
      </c>
      <c r="K76" s="19"/>
      <c r="L76" s="19"/>
      <c r="M76" s="19"/>
      <c r="N76" s="19"/>
      <c r="O76" s="19"/>
      <c r="P76" s="19"/>
      <c r="Q76"/>
      <c r="R76"/>
      <c r="S76" s="11">
        <v>52.9</v>
      </c>
      <c r="T76" s="11">
        <v>55.1</v>
      </c>
    </row>
    <row r="77" spans="1:21" s="11" customFormat="1" ht="16" x14ac:dyDescent="0.2">
      <c r="A77" s="13" t="s">
        <v>516</v>
      </c>
      <c r="B77" s="16">
        <v>14</v>
      </c>
      <c r="C77" s="11" t="s">
        <v>34</v>
      </c>
      <c r="D77" s="11" t="s">
        <v>13</v>
      </c>
      <c r="F77" s="11" t="s">
        <v>12</v>
      </c>
      <c r="G77" s="11" t="s">
        <v>517</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497</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553</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offshore wind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504</v>
      </c>
      <c r="B94" s="11">
        <f>B92*-1</f>
        <v>-1.3498920086393089E-6</v>
      </c>
      <c r="C94" s="11" t="s">
        <v>34</v>
      </c>
      <c r="D94" s="11" t="s">
        <v>6</v>
      </c>
      <c r="F94" s="11" t="s">
        <v>12</v>
      </c>
      <c r="G94" s="11" t="s">
        <v>505</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506</v>
      </c>
      <c r="B95" s="11">
        <f>-1*B93</f>
        <v>-3.3747300215982723E-7</v>
      </c>
      <c r="C95" s="11" t="s">
        <v>34</v>
      </c>
      <c r="D95" s="11" t="s">
        <v>6</v>
      </c>
      <c r="F95" s="11" t="s">
        <v>12</v>
      </c>
      <c r="G95" s="11" t="s">
        <v>507</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498</v>
      </c>
      <c r="B96" s="16">
        <v>54</v>
      </c>
      <c r="C96" s="11" t="s">
        <v>493</v>
      </c>
      <c r="D96" s="11" t="s">
        <v>35</v>
      </c>
      <c r="E96" s="10"/>
      <c r="F96" s="11" t="s">
        <v>12</v>
      </c>
      <c r="G96" s="11" t="s">
        <v>494</v>
      </c>
      <c r="H96" s="10" t="s">
        <v>499</v>
      </c>
      <c r="I96" s="11">
        <v>5</v>
      </c>
      <c r="J96" s="4">
        <f>B96</f>
        <v>54</v>
      </c>
      <c r="K96" s="19"/>
      <c r="L96" s="19"/>
      <c r="M96" s="19"/>
      <c r="N96" s="19"/>
      <c r="O96" s="19"/>
      <c r="P96" s="19"/>
      <c r="Q96"/>
      <c r="R96"/>
      <c r="S96" s="11">
        <v>52.9</v>
      </c>
      <c r="T96" s="11">
        <v>55.1</v>
      </c>
    </row>
    <row r="97" spans="1:21" s="11" customFormat="1" ht="16" x14ac:dyDescent="0.2">
      <c r="A97" s="13" t="s">
        <v>516</v>
      </c>
      <c r="B97" s="16">
        <v>14</v>
      </c>
      <c r="C97" s="11" t="s">
        <v>34</v>
      </c>
      <c r="D97" s="11" t="s">
        <v>13</v>
      </c>
      <c r="F97" s="11" t="s">
        <v>12</v>
      </c>
      <c r="G97" s="11" t="s">
        <v>517</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500</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554</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geothermal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504</v>
      </c>
      <c r="B114" s="11">
        <f>B112*-1</f>
        <v>-1.3498920086393089E-6</v>
      </c>
      <c r="C114" s="11" t="s">
        <v>34</v>
      </c>
      <c r="D114" s="11" t="s">
        <v>6</v>
      </c>
      <c r="F114" s="11" t="s">
        <v>12</v>
      </c>
      <c r="G114" s="11" t="s">
        <v>505</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506</v>
      </c>
      <c r="B115" s="11">
        <f>-1*B113</f>
        <v>-3.3747300215982723E-7</v>
      </c>
      <c r="C115" s="11" t="s">
        <v>34</v>
      </c>
      <c r="D115" s="11" t="s">
        <v>6</v>
      </c>
      <c r="F115" s="11" t="s">
        <v>12</v>
      </c>
      <c r="G115" s="11" t="s">
        <v>507</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501</v>
      </c>
      <c r="B116" s="16">
        <v>54</v>
      </c>
      <c r="C116" s="11" t="s">
        <v>212</v>
      </c>
      <c r="D116" s="11" t="s">
        <v>35</v>
      </c>
      <c r="E116" s="10"/>
      <c r="F116" s="11" t="s">
        <v>12</v>
      </c>
      <c r="G116" s="11" t="s">
        <v>494</v>
      </c>
      <c r="H116" s="10" t="s">
        <v>499</v>
      </c>
      <c r="I116" s="11">
        <v>5</v>
      </c>
      <c r="J116" s="4">
        <f>B116</f>
        <v>54</v>
      </c>
      <c r="K116" s="19"/>
      <c r="L116" s="19"/>
      <c r="M116" s="19"/>
      <c r="N116" s="19"/>
      <c r="O116" s="19"/>
      <c r="P116" s="19"/>
      <c r="Q116"/>
      <c r="R116"/>
      <c r="S116" s="11">
        <v>52.9</v>
      </c>
      <c r="T116" s="11">
        <v>55.1</v>
      </c>
    </row>
    <row r="117" spans="1:21" s="11" customFormat="1" ht="16" x14ac:dyDescent="0.2">
      <c r="A117" s="13" t="s">
        <v>516</v>
      </c>
      <c r="B117" s="16">
        <v>14</v>
      </c>
      <c r="C117" s="11" t="s">
        <v>34</v>
      </c>
      <c r="D117" s="11" t="s">
        <v>13</v>
      </c>
      <c r="F117" s="11" t="s">
        <v>12</v>
      </c>
      <c r="G117" s="11" t="s">
        <v>517</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550</v>
      </c>
      <c r="C123" s="10"/>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555</v>
      </c>
      <c r="K125" s="12"/>
      <c r="L125" s="12"/>
      <c r="M125" s="12"/>
      <c r="N125" s="12"/>
      <c r="O125" s="12"/>
      <c r="P125" s="12"/>
    </row>
    <row r="126" spans="1:21" s="11" customFormat="1" ht="16" x14ac:dyDescent="0.2">
      <c r="A126" s="13" t="s">
        <v>4</v>
      </c>
      <c r="B126" s="15" t="s">
        <v>122</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13</v>
      </c>
      <c r="H128" s="17"/>
      <c r="I128" s="17"/>
      <c r="J128" s="17"/>
      <c r="K128" s="12"/>
      <c r="L128" s="12"/>
      <c r="M128" s="12"/>
      <c r="N128" s="12"/>
      <c r="O128" s="12"/>
      <c r="P128" s="12"/>
    </row>
    <row r="129" spans="1:21" s="11" customFormat="1" ht="16" x14ac:dyDescent="0.2">
      <c r="A129" s="17" t="s">
        <v>7</v>
      </c>
      <c r="B129" s="9"/>
      <c r="C129" s="17"/>
      <c r="D129" s="17"/>
      <c r="E129" s="17"/>
      <c r="F129" s="17"/>
      <c r="G129" s="17"/>
      <c r="H129" s="10"/>
      <c r="I129" s="10"/>
      <c r="J129" s="10"/>
      <c r="K129" s="12"/>
      <c r="L129" s="12"/>
      <c r="M129" s="12"/>
      <c r="N129" s="12"/>
      <c r="O129" s="12"/>
      <c r="P129" s="12"/>
    </row>
    <row r="130" spans="1:21" s="11" customFormat="1" ht="16" x14ac:dyDescent="0.2">
      <c r="A130" s="17" t="s">
        <v>8</v>
      </c>
      <c r="B130" s="17" t="s">
        <v>9</v>
      </c>
      <c r="C130" s="17" t="s">
        <v>2</v>
      </c>
      <c r="D130" s="17" t="s">
        <v>6</v>
      </c>
      <c r="E130" s="17" t="s">
        <v>10</v>
      </c>
      <c r="F130" s="17" t="s">
        <v>5</v>
      </c>
      <c r="G130" s="17" t="s">
        <v>4</v>
      </c>
      <c r="H130" s="17" t="s">
        <v>11</v>
      </c>
      <c r="I130" s="17" t="s">
        <v>466</v>
      </c>
      <c r="J130" s="7" t="s">
        <v>467</v>
      </c>
      <c r="K130" s="18" t="s">
        <v>468</v>
      </c>
      <c r="L130" s="18" t="s">
        <v>469</v>
      </c>
      <c r="M130" s="18" t="s">
        <v>470</v>
      </c>
      <c r="N130" s="18" t="s">
        <v>471</v>
      </c>
      <c r="O130" s="18" t="s">
        <v>472</v>
      </c>
      <c r="P130" s="18" t="s">
        <v>473</v>
      </c>
      <c r="Q130" s="7" t="s">
        <v>474</v>
      </c>
      <c r="R130" s="7" t="s">
        <v>475</v>
      </c>
      <c r="S130" s="17" t="s">
        <v>476</v>
      </c>
      <c r="T130" s="7" t="s">
        <v>477</v>
      </c>
      <c r="U130" s="17" t="s">
        <v>46</v>
      </c>
    </row>
    <row r="131" spans="1:21" s="11" customFormat="1" ht="16" x14ac:dyDescent="0.2">
      <c r="A131" s="16" t="str">
        <f>B123</f>
        <v>hydrogen production, gaseous, 30 bar, from PEM electrolysis, from hydropower electricity</v>
      </c>
      <c r="B131" s="16">
        <v>1</v>
      </c>
      <c r="C131" s="11" t="str">
        <f>B127</f>
        <v>RER</v>
      </c>
      <c r="D131" s="11" t="str">
        <f>B128</f>
        <v>kilogram</v>
      </c>
      <c r="E131" s="10"/>
      <c r="F131" s="11" t="s">
        <v>16</v>
      </c>
      <c r="G131" s="11" t="s">
        <v>122</v>
      </c>
      <c r="H131" s="10"/>
      <c r="I131" s="10">
        <v>0</v>
      </c>
      <c r="K131" s="12"/>
      <c r="L131" s="12"/>
      <c r="M131" s="12"/>
      <c r="N131" s="12"/>
      <c r="O131" s="12"/>
      <c r="P131" s="12"/>
      <c r="T131"/>
    </row>
    <row r="132" spans="1:21" s="11" customFormat="1" ht="16" x14ac:dyDescent="0.2">
      <c r="A132" s="16" t="s">
        <v>55</v>
      </c>
      <c r="B132" s="11">
        <f>(1/2963200)*4</f>
        <v>1.3498920086393089E-6</v>
      </c>
      <c r="C132" s="11" t="s">
        <v>34</v>
      </c>
      <c r="D132" s="11" t="s">
        <v>6</v>
      </c>
      <c r="F132" s="11" t="s">
        <v>12</v>
      </c>
      <c r="G132" s="11" t="s">
        <v>47</v>
      </c>
      <c r="H132" s="11" t="s">
        <v>484</v>
      </c>
      <c r="I132" s="11">
        <v>5</v>
      </c>
      <c r="J132">
        <f>B132</f>
        <v>1.3498920086393089E-6</v>
      </c>
      <c r="K132" s="19"/>
      <c r="L132" s="19"/>
      <c r="M132" s="19"/>
      <c r="N132" s="19"/>
      <c r="O132" s="19"/>
      <c r="P132" s="19"/>
      <c r="Q132"/>
      <c r="R132"/>
      <c r="S132" s="11">
        <f>(1/(25*8000*18.52))*4</f>
        <v>1.0799136069114471E-6</v>
      </c>
      <c r="T132" s="11">
        <f>(1/(15*8000*18.52))*4</f>
        <v>1.7998560115190784E-6</v>
      </c>
    </row>
    <row r="133" spans="1:21" s="11" customFormat="1" ht="16" x14ac:dyDescent="0.2">
      <c r="A133" s="16" t="s">
        <v>80</v>
      </c>
      <c r="B133" s="11">
        <f>1/2963200</f>
        <v>3.3747300215982723E-7</v>
      </c>
      <c r="C133" s="11" t="s">
        <v>34</v>
      </c>
      <c r="D133" s="11" t="s">
        <v>6</v>
      </c>
      <c r="F133" s="11" t="s">
        <v>12</v>
      </c>
      <c r="G133" s="11" t="s">
        <v>48</v>
      </c>
      <c r="H133" s="11" t="s">
        <v>485</v>
      </c>
      <c r="I133" s="11">
        <v>5</v>
      </c>
      <c r="J133">
        <f>B133</f>
        <v>3.3747300215982723E-7</v>
      </c>
      <c r="K133" s="19"/>
      <c r="L133" s="19"/>
      <c r="M133" s="19"/>
      <c r="N133" s="19"/>
      <c r="O133" s="19"/>
      <c r="P133" s="19"/>
      <c r="Q133"/>
      <c r="R133"/>
      <c r="S133" s="11">
        <f>(1/(25*8000*18.52))</f>
        <v>2.6997840172786177E-7</v>
      </c>
      <c r="T133" s="11">
        <f>(1/(15*8000*18.52))</f>
        <v>4.4996400287976961E-7</v>
      </c>
    </row>
    <row r="134" spans="1:21" s="11" customFormat="1" ht="16" x14ac:dyDescent="0.2">
      <c r="A134" s="16" t="s">
        <v>504</v>
      </c>
      <c r="B134" s="11">
        <f>B132*-1</f>
        <v>-1.3498920086393089E-6</v>
      </c>
      <c r="C134" s="11" t="s">
        <v>34</v>
      </c>
      <c r="D134" s="11" t="s">
        <v>6</v>
      </c>
      <c r="F134" s="11" t="s">
        <v>12</v>
      </c>
      <c r="G134" s="11" t="s">
        <v>505</v>
      </c>
      <c r="H134" s="11" t="s">
        <v>215</v>
      </c>
      <c r="I134" s="11">
        <v>5</v>
      </c>
      <c r="J134">
        <f>B134</f>
        <v>-1.3498920086393089E-6</v>
      </c>
      <c r="K134" s="19"/>
      <c r="L134" s="19"/>
      <c r="M134" s="19"/>
      <c r="N134" s="19"/>
      <c r="O134" s="19"/>
      <c r="P134" s="19"/>
      <c r="Q134"/>
      <c r="R134"/>
      <c r="S134" s="11">
        <f>-1*T132</f>
        <v>-1.7998560115190784E-6</v>
      </c>
      <c r="T134" s="11">
        <f>-1*S132</f>
        <v>-1.0799136069114471E-6</v>
      </c>
      <c r="U134" s="11" t="b">
        <v>1</v>
      </c>
    </row>
    <row r="135" spans="1:21" s="11" customFormat="1" ht="16" x14ac:dyDescent="0.2">
      <c r="A135" s="16" t="s">
        <v>506</v>
      </c>
      <c r="B135" s="11">
        <f>-1*B133</f>
        <v>-3.3747300215982723E-7</v>
      </c>
      <c r="C135" s="11" t="s">
        <v>34</v>
      </c>
      <c r="D135" s="11" t="s">
        <v>6</v>
      </c>
      <c r="F135" s="11" t="s">
        <v>12</v>
      </c>
      <c r="G135" s="11" t="s">
        <v>507</v>
      </c>
      <c r="H135" s="11" t="s">
        <v>225</v>
      </c>
      <c r="I135" s="11">
        <v>5</v>
      </c>
      <c r="J135">
        <f>B135</f>
        <v>-3.3747300215982723E-7</v>
      </c>
      <c r="K135" s="19"/>
      <c r="L135" s="19"/>
      <c r="M135" s="19"/>
      <c r="N135" s="19"/>
      <c r="O135" s="19"/>
      <c r="P135" s="19"/>
      <c r="Q135"/>
      <c r="R135"/>
      <c r="S135" s="11">
        <f>-1*T133</f>
        <v>-4.4996400287976961E-7</v>
      </c>
      <c r="T135" s="11">
        <f>-1*S133</f>
        <v>-2.6997840172786177E-7</v>
      </c>
      <c r="U135" s="11" t="b">
        <v>1</v>
      </c>
    </row>
    <row r="136" spans="1:21" s="11" customFormat="1" ht="16" x14ac:dyDescent="0.2">
      <c r="A136" s="13" t="s">
        <v>551</v>
      </c>
      <c r="B136" s="16">
        <v>54</v>
      </c>
      <c r="C136" s="11" t="s">
        <v>45</v>
      </c>
      <c r="D136" s="11" t="s">
        <v>35</v>
      </c>
      <c r="E136" s="10"/>
      <c r="F136" s="11" t="s">
        <v>12</v>
      </c>
      <c r="G136" s="11" t="s">
        <v>494</v>
      </c>
      <c r="H136" s="10" t="s">
        <v>499</v>
      </c>
      <c r="I136" s="11">
        <v>5</v>
      </c>
      <c r="J136" s="4">
        <f>B136</f>
        <v>54</v>
      </c>
      <c r="K136" s="19"/>
      <c r="L136" s="19"/>
      <c r="M136" s="19"/>
      <c r="N136" s="19"/>
      <c r="O136" s="19"/>
      <c r="P136" s="19"/>
      <c r="Q136"/>
      <c r="R136"/>
      <c r="S136" s="11">
        <v>52.9</v>
      </c>
      <c r="T136" s="11">
        <v>55.1</v>
      </c>
    </row>
    <row r="137" spans="1:21" s="11" customFormat="1" ht="16" x14ac:dyDescent="0.2">
      <c r="A137" s="13" t="s">
        <v>516</v>
      </c>
      <c r="B137" s="16">
        <v>14</v>
      </c>
      <c r="C137" s="11" t="s">
        <v>34</v>
      </c>
      <c r="D137" s="11" t="s">
        <v>13</v>
      </c>
      <c r="F137" s="11" t="s">
        <v>12</v>
      </c>
      <c r="G137" s="11" t="s">
        <v>517</v>
      </c>
      <c r="H137" s="20" t="s">
        <v>54</v>
      </c>
      <c r="I137" s="11">
        <v>0</v>
      </c>
      <c r="J137"/>
      <c r="K137" s="19"/>
      <c r="L137" s="19"/>
      <c r="M137" s="19"/>
      <c r="N137" s="19"/>
      <c r="O137" s="19"/>
      <c r="P137" s="19"/>
      <c r="Q137"/>
      <c r="R137"/>
    </row>
    <row r="138" spans="1:21" s="11" customFormat="1" ht="16" x14ac:dyDescent="0.2">
      <c r="A138" s="21" t="s">
        <v>38</v>
      </c>
      <c r="B138" s="15">
        <v>8</v>
      </c>
      <c r="C138" s="21"/>
      <c r="D138" s="21" t="s">
        <v>13</v>
      </c>
      <c r="E138" s="21" t="s">
        <v>39</v>
      </c>
      <c r="F138" s="21" t="s">
        <v>14</v>
      </c>
      <c r="G138" s="21"/>
      <c r="H138" s="22"/>
      <c r="I138" s="11">
        <v>0</v>
      </c>
      <c r="J138"/>
      <c r="K138" s="19"/>
      <c r="L138" s="19"/>
      <c r="M138" s="19"/>
      <c r="N138" s="19"/>
      <c r="O138" s="19"/>
      <c r="P138" s="19"/>
      <c r="Q138" s="19"/>
      <c r="R138"/>
    </row>
    <row r="139" spans="1:21" s="11" customFormat="1" ht="16" x14ac:dyDescent="0.2">
      <c r="A139" s="47" t="s">
        <v>456</v>
      </c>
      <c r="B139" s="48">
        <f>(0.09*1000)/(2963200/20)</f>
        <v>6.0745140388768898E-4</v>
      </c>
      <c r="C139" s="47"/>
      <c r="D139" s="47" t="s">
        <v>453</v>
      </c>
      <c r="E139" s="47" t="s">
        <v>454</v>
      </c>
      <c r="F139" s="47" t="s">
        <v>14</v>
      </c>
      <c r="H139" s="47" t="s">
        <v>457</v>
      </c>
      <c r="I139" s="11">
        <v>2</v>
      </c>
      <c r="J139">
        <f t="shared" ref="J139:J141" si="12">LN(B139)</f>
        <v>-7.4062383795497411</v>
      </c>
      <c r="K139" s="19">
        <v>1.05</v>
      </c>
      <c r="L139" s="19">
        <v>1.1000000000000001</v>
      </c>
      <c r="M139" s="19">
        <v>1</v>
      </c>
      <c r="N139" s="19">
        <v>1.02</v>
      </c>
      <c r="O139" s="19">
        <v>1.2</v>
      </c>
      <c r="P139" s="19">
        <v>1.2</v>
      </c>
      <c r="Q139" s="19">
        <v>1.5</v>
      </c>
      <c r="R139">
        <f t="shared" ref="R139:R141" si="13">LN(SQRT(EXP(
SQRT(
+POWER(LN(K139),2)
+POWER(LN(L139),2)
+POWER(LN(M139),2)
+POWER(LN(N139),2)
+POWER(LN(O139),2)
+POWER(LN(P139),2)
+POWER(LN(Q139),2)
)
)))</f>
        <v>0.24634371748562628</v>
      </c>
    </row>
    <row r="140" spans="1:21" s="11" customFormat="1" ht="16" x14ac:dyDescent="0.2">
      <c r="A140" s="47" t="s">
        <v>458</v>
      </c>
      <c r="B140" s="48">
        <f>(0.09*1000)/2963200</f>
        <v>3.0372570194384448E-5</v>
      </c>
      <c r="C140" s="47"/>
      <c r="D140" s="47" t="s">
        <v>459</v>
      </c>
      <c r="E140" s="47" t="s">
        <v>454</v>
      </c>
      <c r="F140" s="47" t="s">
        <v>14</v>
      </c>
      <c r="H140" s="47" t="s">
        <v>460</v>
      </c>
      <c r="I140" s="11">
        <v>2</v>
      </c>
      <c r="J140">
        <f t="shared" si="12"/>
        <v>-10.401970653103731</v>
      </c>
      <c r="K140" s="19">
        <v>1.05</v>
      </c>
      <c r="L140" s="19">
        <v>1.1000000000000001</v>
      </c>
      <c r="M140" s="19">
        <v>1</v>
      </c>
      <c r="N140" s="19">
        <v>1.02</v>
      </c>
      <c r="O140" s="19">
        <v>1.2</v>
      </c>
      <c r="P140" s="19">
        <v>1.2</v>
      </c>
      <c r="Q140" s="19">
        <v>1.5</v>
      </c>
      <c r="R140">
        <f t="shared" si="13"/>
        <v>0.24634371748562628</v>
      </c>
    </row>
    <row r="141" spans="1:21" s="11" customFormat="1" ht="16" x14ac:dyDescent="0.2">
      <c r="A141" s="47" t="s">
        <v>461</v>
      </c>
      <c r="B141" s="48">
        <f>(0.09*1000)/2963200</f>
        <v>3.0372570194384448E-5</v>
      </c>
      <c r="C141" s="47"/>
      <c r="D141" s="47" t="s">
        <v>459</v>
      </c>
      <c r="E141" s="47" t="s">
        <v>454</v>
      </c>
      <c r="F141" s="47" t="s">
        <v>14</v>
      </c>
      <c r="H141" s="47" t="s">
        <v>460</v>
      </c>
      <c r="I141" s="11">
        <v>2</v>
      </c>
      <c r="J141">
        <f t="shared" si="12"/>
        <v>-10.401970653103731</v>
      </c>
      <c r="K141" s="19">
        <v>1.05</v>
      </c>
      <c r="L141" s="19">
        <v>1.1000000000000001</v>
      </c>
      <c r="M141" s="19">
        <v>1</v>
      </c>
      <c r="N141" s="19">
        <v>1.02</v>
      </c>
      <c r="O141" s="19">
        <v>1.2</v>
      </c>
      <c r="P141" s="19">
        <v>1.2</v>
      </c>
      <c r="Q141" s="19">
        <v>1.5</v>
      </c>
      <c r="R141">
        <f t="shared" si="13"/>
        <v>0.24634371748562628</v>
      </c>
    </row>
    <row r="142" spans="1:21" s="11" customFormat="1" ht="16" x14ac:dyDescent="0.2">
      <c r="K142" s="12"/>
      <c r="L142" s="12"/>
      <c r="M142" s="12"/>
      <c r="N142" s="12"/>
      <c r="O142" s="12"/>
      <c r="P142" s="12"/>
    </row>
    <row r="143" spans="1:21" s="11" customFormat="1" ht="16" x14ac:dyDescent="0.2">
      <c r="A143" s="8" t="s">
        <v>1</v>
      </c>
      <c r="B143" s="9" t="s">
        <v>502</v>
      </c>
      <c r="C143" s="10"/>
      <c r="K143" s="12"/>
      <c r="L143" s="12"/>
      <c r="M143" s="12"/>
      <c r="N143" s="12"/>
      <c r="O143" s="12"/>
      <c r="P143" s="12"/>
    </row>
    <row r="144" spans="1:21" s="11" customFormat="1" ht="16" x14ac:dyDescent="0.2">
      <c r="A144" s="13" t="s">
        <v>3</v>
      </c>
      <c r="B144" s="14">
        <v>1</v>
      </c>
      <c r="K144" s="12"/>
      <c r="L144" s="12"/>
      <c r="M144" s="12"/>
      <c r="N144" s="12"/>
      <c r="O144" s="12"/>
      <c r="P144" s="12"/>
    </row>
    <row r="145" spans="1:21" s="11" customFormat="1" ht="16" x14ac:dyDescent="0.2">
      <c r="A145" s="13" t="s">
        <v>11</v>
      </c>
      <c r="B145" s="14" t="s">
        <v>435</v>
      </c>
      <c r="K145" s="12"/>
      <c r="L145" s="12"/>
      <c r="M145" s="12"/>
      <c r="N145" s="12"/>
      <c r="O145" s="12"/>
      <c r="P145" s="12"/>
    </row>
    <row r="146" spans="1:21" s="11" customFormat="1" ht="16" x14ac:dyDescent="0.2">
      <c r="A146" s="13" t="s">
        <v>4</v>
      </c>
      <c r="B146" s="15" t="s">
        <v>122</v>
      </c>
      <c r="K146" s="12"/>
      <c r="L146" s="12"/>
      <c r="M146" s="12"/>
      <c r="N146" s="12"/>
      <c r="O146" s="12"/>
      <c r="P146" s="12"/>
    </row>
    <row r="147" spans="1:21" s="11" customFormat="1" ht="16" x14ac:dyDescent="0.2">
      <c r="A147" s="13" t="s">
        <v>2</v>
      </c>
      <c r="B147" s="14" t="s">
        <v>34</v>
      </c>
      <c r="K147" s="12"/>
      <c r="L147" s="12"/>
      <c r="M147" s="12"/>
      <c r="N147" s="12"/>
      <c r="O147" s="12"/>
      <c r="P147" s="12"/>
    </row>
    <row r="148" spans="1:21" s="11" customFormat="1" ht="16" x14ac:dyDescent="0.2">
      <c r="A148" s="13" t="s">
        <v>6</v>
      </c>
      <c r="B148" s="16" t="s">
        <v>13</v>
      </c>
      <c r="H148" s="17"/>
      <c r="I148" s="17"/>
      <c r="J148" s="17"/>
      <c r="K148" s="12"/>
      <c r="L148" s="12"/>
      <c r="M148" s="12"/>
      <c r="N148" s="12"/>
      <c r="O148" s="12"/>
      <c r="P148" s="12"/>
    </row>
    <row r="149" spans="1:21" s="11" customFormat="1" ht="16" x14ac:dyDescent="0.2">
      <c r="A149" s="17" t="s">
        <v>7</v>
      </c>
      <c r="B149" s="9"/>
      <c r="C149" s="17"/>
      <c r="D149" s="17"/>
      <c r="E149" s="17"/>
      <c r="F149" s="17"/>
      <c r="G149" s="17"/>
      <c r="H149" s="10"/>
      <c r="I149" s="10"/>
      <c r="J149" s="10"/>
      <c r="K149" s="12"/>
      <c r="L149" s="12"/>
      <c r="M149" s="12"/>
      <c r="N149" s="12"/>
      <c r="O149" s="12"/>
      <c r="P149" s="12"/>
    </row>
    <row r="150" spans="1:21" s="11" customFormat="1" ht="16" x14ac:dyDescent="0.2">
      <c r="A150" s="17" t="s">
        <v>8</v>
      </c>
      <c r="B150" s="17" t="s">
        <v>9</v>
      </c>
      <c r="C150" s="17" t="s">
        <v>2</v>
      </c>
      <c r="D150" s="17" t="s">
        <v>6</v>
      </c>
      <c r="E150" s="17" t="s">
        <v>10</v>
      </c>
      <c r="F150" s="17" t="s">
        <v>5</v>
      </c>
      <c r="G150" s="17" t="s">
        <v>4</v>
      </c>
      <c r="H150" s="17" t="s">
        <v>11</v>
      </c>
      <c r="I150" s="17" t="s">
        <v>466</v>
      </c>
      <c r="J150" s="7" t="s">
        <v>467</v>
      </c>
      <c r="K150" s="18" t="s">
        <v>468</v>
      </c>
      <c r="L150" s="18" t="s">
        <v>469</v>
      </c>
      <c r="M150" s="18" t="s">
        <v>470</v>
      </c>
      <c r="N150" s="18" t="s">
        <v>471</v>
      </c>
      <c r="O150" s="18" t="s">
        <v>472</v>
      </c>
      <c r="P150" s="18" t="s">
        <v>473</v>
      </c>
      <c r="Q150" s="7" t="s">
        <v>474</v>
      </c>
      <c r="R150" s="7" t="s">
        <v>475</v>
      </c>
      <c r="S150" s="17" t="s">
        <v>476</v>
      </c>
      <c r="T150" s="7" t="s">
        <v>477</v>
      </c>
      <c r="U150" s="17" t="s">
        <v>46</v>
      </c>
    </row>
    <row r="151" spans="1:21" s="11" customFormat="1" ht="16" x14ac:dyDescent="0.2">
      <c r="A151" s="16" t="str">
        <f>B143</f>
        <v>hydrogen production, gaseous, 30 bar, from PEM electrolysis, from concentrated solar electricity</v>
      </c>
      <c r="B151" s="16">
        <v>1</v>
      </c>
      <c r="C151" s="11" t="str">
        <f>B147</f>
        <v>RER</v>
      </c>
      <c r="D151" s="11" t="str">
        <f>B148</f>
        <v>kilogram</v>
      </c>
      <c r="E151" s="10"/>
      <c r="F151" s="11" t="s">
        <v>16</v>
      </c>
      <c r="G151" s="11" t="s">
        <v>122</v>
      </c>
      <c r="H151" s="10"/>
      <c r="I151" s="10">
        <v>0</v>
      </c>
      <c r="K151" s="12"/>
      <c r="L151" s="12"/>
      <c r="M151" s="12"/>
      <c r="N151" s="12"/>
      <c r="O151" s="12"/>
      <c r="P151" s="12"/>
      <c r="T151"/>
    </row>
    <row r="152" spans="1:21" s="11" customFormat="1" ht="16" x14ac:dyDescent="0.2">
      <c r="A152" s="16" t="s">
        <v>55</v>
      </c>
      <c r="B152" s="11">
        <f>(1/2963200)*4</f>
        <v>1.3498920086393089E-6</v>
      </c>
      <c r="C152" s="11" t="s">
        <v>34</v>
      </c>
      <c r="D152" s="11" t="s">
        <v>6</v>
      </c>
      <c r="F152" s="11" t="s">
        <v>12</v>
      </c>
      <c r="G152" s="11" t="s">
        <v>47</v>
      </c>
      <c r="H152" s="11" t="s">
        <v>484</v>
      </c>
      <c r="I152" s="11">
        <v>5</v>
      </c>
      <c r="J152">
        <f>B152</f>
        <v>1.3498920086393089E-6</v>
      </c>
      <c r="K152" s="19"/>
      <c r="L152" s="19"/>
      <c r="M152" s="19"/>
      <c r="N152" s="19"/>
      <c r="O152" s="19"/>
      <c r="P152" s="19"/>
      <c r="Q152"/>
      <c r="R152"/>
      <c r="S152" s="11">
        <f>(1/(25*8000*18.52))*4</f>
        <v>1.0799136069114471E-6</v>
      </c>
      <c r="T152" s="11">
        <f>(1/(15*8000*18.52))*4</f>
        <v>1.7998560115190784E-6</v>
      </c>
    </row>
    <row r="153" spans="1:21" s="11" customFormat="1" ht="16" x14ac:dyDescent="0.2">
      <c r="A153" s="16" t="s">
        <v>80</v>
      </c>
      <c r="B153" s="11">
        <f>1/2963200</f>
        <v>3.3747300215982723E-7</v>
      </c>
      <c r="C153" s="11" t="s">
        <v>34</v>
      </c>
      <c r="D153" s="11" t="s">
        <v>6</v>
      </c>
      <c r="F153" s="11" t="s">
        <v>12</v>
      </c>
      <c r="G153" s="11" t="s">
        <v>48</v>
      </c>
      <c r="H153" s="11" t="s">
        <v>485</v>
      </c>
      <c r="I153" s="11">
        <v>5</v>
      </c>
      <c r="J153">
        <f>B153</f>
        <v>3.3747300215982723E-7</v>
      </c>
      <c r="K153" s="19"/>
      <c r="L153" s="19"/>
      <c r="M153" s="19"/>
      <c r="N153" s="19"/>
      <c r="O153" s="19"/>
      <c r="P153" s="19"/>
      <c r="Q153"/>
      <c r="R153"/>
      <c r="S153" s="11">
        <f>(1/(25*8000*18.52))</f>
        <v>2.6997840172786177E-7</v>
      </c>
      <c r="T153" s="11">
        <f>(1/(15*8000*18.52))</f>
        <v>4.4996400287976961E-7</v>
      </c>
    </row>
    <row r="154" spans="1:21" s="11" customFormat="1" ht="16" x14ac:dyDescent="0.2">
      <c r="A154" s="16" t="s">
        <v>504</v>
      </c>
      <c r="B154" s="11">
        <f>B152*-1</f>
        <v>-1.3498920086393089E-6</v>
      </c>
      <c r="C154" s="11" t="s">
        <v>34</v>
      </c>
      <c r="D154" s="11" t="s">
        <v>6</v>
      </c>
      <c r="F154" s="11" t="s">
        <v>12</v>
      </c>
      <c r="G154" s="11" t="s">
        <v>505</v>
      </c>
      <c r="H154" s="11" t="s">
        <v>215</v>
      </c>
      <c r="I154" s="11">
        <v>5</v>
      </c>
      <c r="J154">
        <f>B154</f>
        <v>-1.3498920086393089E-6</v>
      </c>
      <c r="K154" s="19"/>
      <c r="L154" s="19"/>
      <c r="M154" s="19"/>
      <c r="N154" s="19"/>
      <c r="O154" s="19"/>
      <c r="P154" s="19"/>
      <c r="Q154"/>
      <c r="R154"/>
      <c r="S154" s="11">
        <f>-1*T152</f>
        <v>-1.7998560115190784E-6</v>
      </c>
      <c r="T154" s="11">
        <f>-1*S152</f>
        <v>-1.0799136069114471E-6</v>
      </c>
      <c r="U154" s="11" t="b">
        <v>1</v>
      </c>
    </row>
    <row r="155" spans="1:21" s="11" customFormat="1" ht="16" x14ac:dyDescent="0.2">
      <c r="A155" s="16" t="s">
        <v>506</v>
      </c>
      <c r="B155" s="11">
        <f>-1*B153</f>
        <v>-3.3747300215982723E-7</v>
      </c>
      <c r="C155" s="11" t="s">
        <v>34</v>
      </c>
      <c r="D155" s="11" t="s">
        <v>6</v>
      </c>
      <c r="F155" s="11" t="s">
        <v>12</v>
      </c>
      <c r="G155" s="11" t="s">
        <v>507</v>
      </c>
      <c r="H155" s="11" t="s">
        <v>225</v>
      </c>
      <c r="I155" s="11">
        <v>5</v>
      </c>
      <c r="J155">
        <f>B155</f>
        <v>-3.3747300215982723E-7</v>
      </c>
      <c r="K155" s="19"/>
      <c r="L155" s="19"/>
      <c r="M155" s="19"/>
      <c r="N155" s="19"/>
      <c r="O155" s="19"/>
      <c r="P155" s="19"/>
      <c r="Q155"/>
      <c r="R155"/>
      <c r="S155" s="11">
        <f>-1*T153</f>
        <v>-4.4996400287976961E-7</v>
      </c>
      <c r="T155" s="11">
        <f>-1*S153</f>
        <v>-2.6997840172786177E-7</v>
      </c>
      <c r="U155" s="11" t="b">
        <v>1</v>
      </c>
    </row>
    <row r="156" spans="1:21" s="11" customFormat="1" ht="16" x14ac:dyDescent="0.2">
      <c r="A156" s="13" t="s">
        <v>503</v>
      </c>
      <c r="B156" s="16">
        <v>54</v>
      </c>
      <c r="C156" s="11" t="s">
        <v>490</v>
      </c>
      <c r="D156" s="11" t="s">
        <v>35</v>
      </c>
      <c r="E156" s="10"/>
      <c r="F156" s="11" t="s">
        <v>12</v>
      </c>
      <c r="G156" s="11" t="s">
        <v>494</v>
      </c>
      <c r="H156" s="10" t="s">
        <v>499</v>
      </c>
      <c r="I156" s="11">
        <v>5</v>
      </c>
      <c r="J156" s="4">
        <f>B156</f>
        <v>54</v>
      </c>
      <c r="K156" s="19"/>
      <c r="L156" s="19"/>
      <c r="M156" s="19"/>
      <c r="N156" s="19"/>
      <c r="O156" s="19"/>
      <c r="P156" s="19"/>
      <c r="Q156"/>
      <c r="R156"/>
      <c r="S156" s="11">
        <v>52.9</v>
      </c>
      <c r="T156" s="11">
        <v>55.1</v>
      </c>
    </row>
    <row r="157" spans="1:21" s="11" customFormat="1" ht="16" x14ac:dyDescent="0.2">
      <c r="A157" s="13" t="s">
        <v>516</v>
      </c>
      <c r="B157" s="16">
        <v>14</v>
      </c>
      <c r="C157" s="11" t="s">
        <v>34</v>
      </c>
      <c r="D157" s="11" t="s">
        <v>13</v>
      </c>
      <c r="F157" s="11" t="s">
        <v>12</v>
      </c>
      <c r="G157" s="11" t="s">
        <v>517</v>
      </c>
      <c r="H157" s="20" t="s">
        <v>54</v>
      </c>
      <c r="I157" s="11">
        <v>0</v>
      </c>
      <c r="J157"/>
      <c r="K157" s="19"/>
      <c r="L157" s="19"/>
      <c r="M157" s="19"/>
      <c r="N157" s="19"/>
      <c r="O157" s="19"/>
      <c r="P157" s="19"/>
      <c r="Q157"/>
      <c r="R157"/>
    </row>
    <row r="158" spans="1:21" s="11" customFormat="1" ht="16" x14ac:dyDescent="0.2">
      <c r="A158" s="21" t="s">
        <v>38</v>
      </c>
      <c r="B158" s="15">
        <v>8</v>
      </c>
      <c r="C158" s="21"/>
      <c r="D158" s="21" t="s">
        <v>13</v>
      </c>
      <c r="E158" s="21" t="s">
        <v>39</v>
      </c>
      <c r="F158" s="21" t="s">
        <v>14</v>
      </c>
      <c r="G158" s="21"/>
      <c r="H158" s="22"/>
      <c r="I158" s="11">
        <v>0</v>
      </c>
      <c r="J158"/>
      <c r="K158" s="19"/>
      <c r="L158" s="19"/>
      <c r="M158" s="19"/>
      <c r="N158" s="19"/>
      <c r="O158" s="19"/>
      <c r="P158" s="19"/>
      <c r="Q158" s="19"/>
      <c r="R158"/>
    </row>
    <row r="159" spans="1:21" s="11" customFormat="1" ht="16" x14ac:dyDescent="0.2">
      <c r="A159" s="47" t="s">
        <v>456</v>
      </c>
      <c r="B159" s="48">
        <f>(0.09*1000)/(2963200/20)</f>
        <v>6.0745140388768898E-4</v>
      </c>
      <c r="C159" s="47"/>
      <c r="D159" s="47" t="s">
        <v>453</v>
      </c>
      <c r="E159" s="47" t="s">
        <v>454</v>
      </c>
      <c r="F159" s="47" t="s">
        <v>14</v>
      </c>
      <c r="H159" s="47" t="s">
        <v>457</v>
      </c>
      <c r="I159" s="11">
        <v>2</v>
      </c>
      <c r="J159">
        <f t="shared" ref="J159:J161" si="14">LN(B159)</f>
        <v>-7.4062383795497411</v>
      </c>
      <c r="K159" s="19">
        <v>1.05</v>
      </c>
      <c r="L159" s="19">
        <v>1.1000000000000001</v>
      </c>
      <c r="M159" s="19">
        <v>1</v>
      </c>
      <c r="N159" s="19">
        <v>1.02</v>
      </c>
      <c r="O159" s="19">
        <v>1.2</v>
      </c>
      <c r="P159" s="19">
        <v>1.2</v>
      </c>
      <c r="Q159" s="19">
        <v>1.5</v>
      </c>
      <c r="R159">
        <f t="shared" ref="R159:R161" si="15">LN(SQRT(EXP(
SQRT(
+POWER(LN(K159),2)
+POWER(LN(L159),2)
+POWER(LN(M159),2)
+POWER(LN(N159),2)
+POWER(LN(O159),2)
+POWER(LN(P159),2)
+POWER(LN(Q159),2)
)
)))</f>
        <v>0.24634371748562628</v>
      </c>
    </row>
    <row r="160" spans="1:21" s="11" customFormat="1" ht="16" x14ac:dyDescent="0.2">
      <c r="A160" s="47" t="s">
        <v>458</v>
      </c>
      <c r="B160" s="48">
        <f>(0.09*1000)/2963200</f>
        <v>3.0372570194384448E-5</v>
      </c>
      <c r="C160" s="47"/>
      <c r="D160" s="47" t="s">
        <v>459</v>
      </c>
      <c r="E160" s="47" t="s">
        <v>454</v>
      </c>
      <c r="F160" s="47" t="s">
        <v>14</v>
      </c>
      <c r="H160" s="47" t="s">
        <v>460</v>
      </c>
      <c r="I160" s="11">
        <v>2</v>
      </c>
      <c r="J160">
        <f t="shared" si="14"/>
        <v>-10.401970653103731</v>
      </c>
      <c r="K160" s="19">
        <v>1.05</v>
      </c>
      <c r="L160" s="19">
        <v>1.1000000000000001</v>
      </c>
      <c r="M160" s="19">
        <v>1</v>
      </c>
      <c r="N160" s="19">
        <v>1.02</v>
      </c>
      <c r="O160" s="19">
        <v>1.2</v>
      </c>
      <c r="P160" s="19">
        <v>1.2</v>
      </c>
      <c r="Q160" s="19">
        <v>1.5</v>
      </c>
      <c r="R160">
        <f t="shared" si="15"/>
        <v>0.24634371748562628</v>
      </c>
    </row>
    <row r="161" spans="1:20" s="11" customFormat="1" ht="16" x14ac:dyDescent="0.2">
      <c r="A161" s="47" t="s">
        <v>461</v>
      </c>
      <c r="B161" s="48">
        <f>(0.09*1000)/2963200</f>
        <v>3.0372570194384448E-5</v>
      </c>
      <c r="C161" s="47"/>
      <c r="D161" s="47" t="s">
        <v>459</v>
      </c>
      <c r="E161" s="47" t="s">
        <v>454</v>
      </c>
      <c r="F161" s="47" t="s">
        <v>14</v>
      </c>
      <c r="H161" s="47" t="s">
        <v>460</v>
      </c>
      <c r="I161" s="11">
        <v>2</v>
      </c>
      <c r="J161">
        <f t="shared" si="14"/>
        <v>-10.401970653103731</v>
      </c>
      <c r="K161" s="19">
        <v>1.05</v>
      </c>
      <c r="L161" s="19">
        <v>1.1000000000000001</v>
      </c>
      <c r="M161" s="19">
        <v>1</v>
      </c>
      <c r="N161" s="19">
        <v>1.02</v>
      </c>
      <c r="O161" s="19">
        <v>1.2</v>
      </c>
      <c r="P161" s="19">
        <v>1.2</v>
      </c>
      <c r="Q161" s="19">
        <v>1.5</v>
      </c>
      <c r="R161">
        <f t="shared" si="15"/>
        <v>0.24634371748562628</v>
      </c>
    </row>
    <row r="162" spans="1:20" s="11" customFormat="1" ht="16" x14ac:dyDescent="0.2">
      <c r="K162" s="12"/>
      <c r="L162" s="12"/>
      <c r="M162" s="12"/>
      <c r="N162" s="12"/>
      <c r="O162" s="12"/>
      <c r="P162" s="12"/>
    </row>
    <row r="163" spans="1:20" s="11" customFormat="1" ht="16" x14ac:dyDescent="0.2">
      <c r="A163" s="8" t="s">
        <v>1</v>
      </c>
      <c r="B163" s="9" t="s">
        <v>55</v>
      </c>
      <c r="K163" s="12"/>
      <c r="L163" s="12"/>
      <c r="M163" s="12"/>
      <c r="N163" s="12"/>
      <c r="O163" s="12"/>
      <c r="P163" s="12"/>
    </row>
    <row r="164" spans="1:20" s="11" customFormat="1" ht="16" x14ac:dyDescent="0.2">
      <c r="A164" s="13" t="s">
        <v>3</v>
      </c>
      <c r="B164" s="14">
        <v>1</v>
      </c>
      <c r="K164" s="12"/>
      <c r="L164" s="12"/>
      <c r="M164" s="12"/>
      <c r="N164" s="12"/>
      <c r="O164" s="12"/>
      <c r="P164" s="12"/>
    </row>
    <row r="165" spans="1:20" s="11" customFormat="1" ht="16" x14ac:dyDescent="0.2">
      <c r="A165" s="13" t="s">
        <v>11</v>
      </c>
      <c r="B165" s="14" t="s">
        <v>56</v>
      </c>
      <c r="K165" s="12"/>
      <c r="L165" s="12"/>
      <c r="M165" s="12"/>
      <c r="N165" s="12"/>
      <c r="O165" s="12"/>
      <c r="P165" s="12"/>
    </row>
    <row r="166" spans="1:20" s="11" customFormat="1" ht="16" x14ac:dyDescent="0.2">
      <c r="A166" s="13" t="s">
        <v>4</v>
      </c>
      <c r="B166" s="16" t="s">
        <v>47</v>
      </c>
      <c r="K166" s="12"/>
      <c r="L166" s="12"/>
      <c r="M166" s="12"/>
      <c r="N166" s="12"/>
      <c r="O166" s="12"/>
      <c r="P166" s="12"/>
    </row>
    <row r="167" spans="1:20" s="11" customFormat="1" ht="16" x14ac:dyDescent="0.2">
      <c r="A167" s="13" t="s">
        <v>2</v>
      </c>
      <c r="B167" s="14" t="s">
        <v>34</v>
      </c>
      <c r="K167" s="12"/>
      <c r="L167" s="12"/>
      <c r="M167" s="12"/>
      <c r="N167" s="12"/>
      <c r="O167" s="12"/>
      <c r="P167" s="12"/>
    </row>
    <row r="168" spans="1:20" s="11" customFormat="1" ht="16" x14ac:dyDescent="0.2">
      <c r="A168" s="13" t="s">
        <v>6</v>
      </c>
      <c r="B168" s="16" t="s">
        <v>6</v>
      </c>
      <c r="C168" s="11">
        <f>B178/1000</f>
        <v>7.5000000000000002E-4</v>
      </c>
      <c r="K168" s="12"/>
      <c r="L168" s="12"/>
      <c r="M168" s="12"/>
      <c r="N168" s="12"/>
      <c r="O168" s="12"/>
      <c r="P168" s="12"/>
    </row>
    <row r="169" spans="1:20" s="11" customFormat="1" ht="16" x14ac:dyDescent="0.2">
      <c r="A169" s="17" t="s">
        <v>7</v>
      </c>
      <c r="B169" s="9"/>
      <c r="C169" s="17"/>
      <c r="D169" s="17"/>
      <c r="E169" s="17"/>
      <c r="F169" s="17"/>
      <c r="G169" s="17"/>
      <c r="H169" s="17"/>
      <c r="I169" s="17"/>
      <c r="J169" s="17"/>
      <c r="K169" s="12"/>
      <c r="L169" s="12"/>
      <c r="M169" s="12"/>
      <c r="N169" s="12"/>
      <c r="O169" s="12"/>
      <c r="P169" s="12"/>
    </row>
    <row r="170" spans="1:20" s="11" customFormat="1" ht="16" x14ac:dyDescent="0.2">
      <c r="A170" s="17" t="s">
        <v>8</v>
      </c>
      <c r="B170" s="9" t="s">
        <v>9</v>
      </c>
      <c r="C170" s="17" t="s">
        <v>2</v>
      </c>
      <c r="D170" s="17" t="s">
        <v>6</v>
      </c>
      <c r="E170" s="23" t="s">
        <v>10</v>
      </c>
      <c r="F170" s="17" t="s">
        <v>5</v>
      </c>
      <c r="G170" s="17" t="s">
        <v>4</v>
      </c>
      <c r="H170" s="23" t="s">
        <v>11</v>
      </c>
      <c r="I170" s="17" t="s">
        <v>466</v>
      </c>
      <c r="J170" s="7" t="s">
        <v>467</v>
      </c>
      <c r="K170" s="18" t="s">
        <v>476</v>
      </c>
      <c r="L170" s="18" t="s">
        <v>477</v>
      </c>
      <c r="M170" s="18"/>
      <c r="N170" s="18"/>
      <c r="O170" s="18"/>
      <c r="P170" s="18"/>
      <c r="Q170" s="7"/>
      <c r="R170" s="7"/>
      <c r="S170" s="17"/>
      <c r="T170" s="7"/>
    </row>
    <row r="171" spans="1:20" s="11" customFormat="1" ht="16" x14ac:dyDescent="0.2">
      <c r="A171" s="16" t="str">
        <f>B163</f>
        <v>electrolyzer production, 1MWe, PEM, Stack</v>
      </c>
      <c r="B171" s="12">
        <v>1</v>
      </c>
      <c r="C171" s="11" t="s">
        <v>34</v>
      </c>
      <c r="D171" s="11" t="str">
        <f>B168</f>
        <v>unit</v>
      </c>
      <c r="F171" s="11" t="s">
        <v>16</v>
      </c>
      <c r="G171" s="11" t="str">
        <f>B166</f>
        <v>electrolyzer, 1MWe, PEM, Stack</v>
      </c>
      <c r="I171" s="11">
        <v>0</v>
      </c>
      <c r="K171" s="12"/>
      <c r="L171" s="12"/>
      <c r="M171" s="12"/>
      <c r="N171" s="12"/>
      <c r="O171" s="12"/>
      <c r="P171" s="12"/>
    </row>
    <row r="172" spans="1:20" s="11" customFormat="1" ht="16" x14ac:dyDescent="0.2">
      <c r="A172" s="11" t="s">
        <v>18</v>
      </c>
      <c r="B172" s="12">
        <v>27</v>
      </c>
      <c r="C172" s="11" t="s">
        <v>17</v>
      </c>
      <c r="D172" s="11" t="s">
        <v>13</v>
      </c>
      <c r="F172" s="11" t="s">
        <v>12</v>
      </c>
      <c r="G172" s="11" t="s">
        <v>19</v>
      </c>
      <c r="H172" s="11" t="s">
        <v>57</v>
      </c>
      <c r="I172" s="11">
        <v>0</v>
      </c>
      <c r="J172"/>
      <c r="K172" s="19"/>
      <c r="L172" s="19"/>
      <c r="M172" s="19"/>
      <c r="N172" s="19"/>
      <c r="O172" s="19"/>
      <c r="P172" s="19"/>
      <c r="Q172"/>
      <c r="R172"/>
    </row>
    <row r="173" spans="1:20" s="11" customFormat="1" ht="16" x14ac:dyDescent="0.2">
      <c r="A173" s="11" t="s">
        <v>58</v>
      </c>
      <c r="B173" s="12">
        <v>27</v>
      </c>
      <c r="C173" s="11" t="s">
        <v>17</v>
      </c>
      <c r="D173" s="11" t="s">
        <v>13</v>
      </c>
      <c r="F173" s="11" t="s">
        <v>12</v>
      </c>
      <c r="G173" s="11" t="s">
        <v>41</v>
      </c>
      <c r="H173" s="11" t="s">
        <v>57</v>
      </c>
      <c r="I173" s="11">
        <v>0</v>
      </c>
      <c r="J173"/>
      <c r="K173" s="19"/>
      <c r="L173" s="19"/>
      <c r="M173" s="19"/>
      <c r="N173" s="19"/>
      <c r="O173" s="19"/>
      <c r="P173" s="19"/>
      <c r="Q173"/>
      <c r="R173"/>
    </row>
    <row r="174" spans="1:20" s="11" customFormat="1" ht="16" x14ac:dyDescent="0.2">
      <c r="A174" s="11" t="s">
        <v>59</v>
      </c>
      <c r="B174" s="12">
        <v>528</v>
      </c>
      <c r="C174" s="11" t="s">
        <v>17</v>
      </c>
      <c r="D174" s="11" t="s">
        <v>13</v>
      </c>
      <c r="F174" s="11" t="s">
        <v>12</v>
      </c>
      <c r="G174" s="11" t="s">
        <v>60</v>
      </c>
      <c r="H174" s="11" t="s">
        <v>61</v>
      </c>
      <c r="I174" s="11">
        <v>0</v>
      </c>
      <c r="J174"/>
      <c r="K174" s="19"/>
      <c r="L174" s="19"/>
      <c r="M174" s="19"/>
      <c r="N174" s="19"/>
      <c r="O174" s="19"/>
      <c r="P174" s="19"/>
      <c r="Q174"/>
      <c r="R174"/>
    </row>
    <row r="175" spans="1:20" s="11" customFormat="1" ht="16" x14ac:dyDescent="0.2">
      <c r="A175" s="11" t="s">
        <v>21</v>
      </c>
      <c r="B175" s="12">
        <v>16</v>
      </c>
      <c r="C175" s="11" t="s">
        <v>17</v>
      </c>
      <c r="D175" s="11" t="s">
        <v>13</v>
      </c>
      <c r="F175" s="11" t="s">
        <v>12</v>
      </c>
      <c r="G175" s="11" t="s">
        <v>22</v>
      </c>
      <c r="H175" s="11" t="s">
        <v>62</v>
      </c>
      <c r="I175" s="11">
        <v>0</v>
      </c>
      <c r="J175"/>
      <c r="K175" s="19"/>
      <c r="L175" s="19"/>
      <c r="M175" s="19"/>
      <c r="N175" s="19"/>
      <c r="O175" s="19"/>
      <c r="P175" s="19"/>
      <c r="Q175"/>
      <c r="R175"/>
    </row>
    <row r="176" spans="1:20" s="11" customFormat="1" ht="16" x14ac:dyDescent="0.2">
      <c r="A176" s="11" t="s">
        <v>63</v>
      </c>
      <c r="B176" s="12">
        <v>4.5</v>
      </c>
      <c r="C176" s="11" t="s">
        <v>17</v>
      </c>
      <c r="D176" s="11" t="s">
        <v>13</v>
      </c>
      <c r="F176" s="11" t="s">
        <v>12</v>
      </c>
      <c r="G176" s="11" t="s">
        <v>64</v>
      </c>
      <c r="H176" s="11" t="s">
        <v>65</v>
      </c>
      <c r="I176" s="11">
        <v>0</v>
      </c>
      <c r="J176"/>
      <c r="K176" s="19"/>
      <c r="L176" s="19"/>
      <c r="M176" s="19"/>
      <c r="N176" s="19"/>
      <c r="O176" s="19"/>
      <c r="P176" s="19"/>
      <c r="Q176"/>
      <c r="R176"/>
    </row>
    <row r="177" spans="1:18" s="11" customFormat="1" ht="16" x14ac:dyDescent="0.2">
      <c r="A177" s="11" t="s">
        <v>479</v>
      </c>
      <c r="B177" s="12">
        <v>0.8</v>
      </c>
      <c r="C177" s="11" t="s">
        <v>480</v>
      </c>
      <c r="D177" s="11" t="s">
        <v>13</v>
      </c>
      <c r="F177" s="11" t="s">
        <v>12</v>
      </c>
      <c r="G177" s="11" t="s">
        <v>66</v>
      </c>
      <c r="H177" s="11" t="s">
        <v>65</v>
      </c>
      <c r="I177" s="11">
        <v>0</v>
      </c>
      <c r="J177"/>
      <c r="K177" s="19"/>
      <c r="L177" s="19"/>
      <c r="M177" s="19"/>
      <c r="N177" s="19"/>
      <c r="O177" s="19"/>
      <c r="P177" s="19"/>
      <c r="Q177"/>
      <c r="R177"/>
    </row>
    <row r="178" spans="1:18" s="11" customFormat="1" ht="16" x14ac:dyDescent="0.2">
      <c r="A178" s="11" t="s">
        <v>23</v>
      </c>
      <c r="B178" s="12">
        <f>0.75/1000*1000</f>
        <v>0.75</v>
      </c>
      <c r="C178" s="11" t="s">
        <v>17</v>
      </c>
      <c r="D178" s="11" t="s">
        <v>13</v>
      </c>
      <c r="E178" s="10"/>
      <c r="F178" s="11" t="s">
        <v>12</v>
      </c>
      <c r="G178" s="11" t="s">
        <v>24</v>
      </c>
      <c r="H178" s="10" t="s">
        <v>478</v>
      </c>
      <c r="I178" s="11">
        <v>5</v>
      </c>
      <c r="J178" s="19">
        <f>B178</f>
        <v>0.75</v>
      </c>
      <c r="K178" s="19">
        <v>0.5</v>
      </c>
      <c r="L178" s="19">
        <v>1</v>
      </c>
      <c r="M178" s="19"/>
      <c r="N178" s="19"/>
      <c r="O178" s="19"/>
      <c r="P178" s="19"/>
      <c r="Q178"/>
      <c r="R178"/>
    </row>
    <row r="179" spans="1:18" s="11" customFormat="1" ht="16" x14ac:dyDescent="0.2">
      <c r="A179" s="11" t="s">
        <v>63</v>
      </c>
      <c r="B179" s="12">
        <v>4.5</v>
      </c>
      <c r="C179" s="11" t="s">
        <v>17</v>
      </c>
      <c r="D179" s="11" t="s">
        <v>13</v>
      </c>
      <c r="F179" s="11" t="s">
        <v>12</v>
      </c>
      <c r="G179" s="11" t="s">
        <v>64</v>
      </c>
      <c r="H179" s="10" t="s">
        <v>67</v>
      </c>
      <c r="I179" s="11">
        <v>0</v>
      </c>
      <c r="J179"/>
      <c r="K179" s="19"/>
      <c r="L179" s="19"/>
      <c r="M179" s="19"/>
      <c r="N179" s="19"/>
      <c r="O179" s="19"/>
      <c r="P179" s="19"/>
      <c r="Q179"/>
      <c r="R179"/>
    </row>
    <row r="180" spans="1:18" s="11" customFormat="1" ht="16" x14ac:dyDescent="0.2">
      <c r="A180" s="11" t="s">
        <v>68</v>
      </c>
      <c r="B180" s="12">
        <v>4.5</v>
      </c>
      <c r="C180" s="11" t="s">
        <v>17</v>
      </c>
      <c r="D180" s="11" t="s">
        <v>13</v>
      </c>
      <c r="F180" s="11" t="s">
        <v>12</v>
      </c>
      <c r="G180" s="11" t="s">
        <v>69</v>
      </c>
      <c r="H180" s="11" t="s">
        <v>70</v>
      </c>
      <c r="I180" s="11">
        <v>0</v>
      </c>
      <c r="J180"/>
      <c r="K180" s="19"/>
      <c r="L180" s="19"/>
      <c r="M180" s="19"/>
      <c r="N180" s="19"/>
      <c r="O180" s="19"/>
      <c r="P180" s="19"/>
      <c r="Q180"/>
      <c r="R180"/>
    </row>
    <row r="181" spans="1:18" s="11" customFormat="1" ht="16" x14ac:dyDescent="0.2">
      <c r="A181" s="11" t="s">
        <v>71</v>
      </c>
      <c r="B181" s="12">
        <v>4.5</v>
      </c>
      <c r="C181" s="11" t="s">
        <v>17</v>
      </c>
      <c r="D181" s="11" t="s">
        <v>13</v>
      </c>
      <c r="F181" s="11" t="s">
        <v>12</v>
      </c>
      <c r="G181" s="11" t="s">
        <v>72</v>
      </c>
      <c r="H181" s="11" t="s">
        <v>70</v>
      </c>
      <c r="I181" s="11">
        <v>0</v>
      </c>
      <c r="J181"/>
      <c r="K181" s="19"/>
      <c r="L181" s="19"/>
      <c r="M181" s="19"/>
      <c r="N181" s="19"/>
      <c r="O181" s="19"/>
      <c r="P181" s="19"/>
      <c r="Q181"/>
      <c r="R181"/>
    </row>
    <row r="182" spans="1:18" s="11" customFormat="1" ht="16" x14ac:dyDescent="0.2">
      <c r="A182" s="11" t="s">
        <v>73</v>
      </c>
      <c r="B182" s="12">
        <v>100</v>
      </c>
      <c r="C182" s="11" t="s">
        <v>17</v>
      </c>
      <c r="D182" s="11" t="s">
        <v>13</v>
      </c>
      <c r="F182" s="11" t="s">
        <v>12</v>
      </c>
      <c r="G182" s="11" t="s">
        <v>74</v>
      </c>
      <c r="H182" s="11" t="s">
        <v>75</v>
      </c>
      <c r="I182" s="11">
        <v>0</v>
      </c>
      <c r="J182"/>
      <c r="K182" s="19"/>
      <c r="L182" s="19"/>
      <c r="M182" s="19"/>
      <c r="N182" s="19"/>
      <c r="O182" s="19"/>
      <c r="P182" s="19"/>
      <c r="Q182"/>
      <c r="R182"/>
    </row>
    <row r="183" spans="1:18" s="11" customFormat="1" ht="16" x14ac:dyDescent="0.2">
      <c r="A183" s="11" t="s">
        <v>20</v>
      </c>
      <c r="B183" s="12">
        <v>100</v>
      </c>
      <c r="C183" s="11" t="s">
        <v>17</v>
      </c>
      <c r="D183" s="11" t="s">
        <v>13</v>
      </c>
      <c r="F183" s="11" t="s">
        <v>12</v>
      </c>
      <c r="G183" s="11" t="s">
        <v>15</v>
      </c>
      <c r="H183" s="11" t="s">
        <v>75</v>
      </c>
      <c r="I183" s="11">
        <v>0</v>
      </c>
      <c r="J183"/>
      <c r="K183" s="19"/>
      <c r="L183" s="19"/>
      <c r="M183" s="19"/>
      <c r="N183" s="19"/>
      <c r="O183" s="19"/>
      <c r="P183" s="19"/>
      <c r="Q183"/>
      <c r="R183"/>
    </row>
    <row r="184" spans="1:18" s="11" customFormat="1" ht="16" x14ac:dyDescent="0.2">
      <c r="A184" s="11" t="s">
        <v>76</v>
      </c>
      <c r="B184" s="12">
        <v>4.8</v>
      </c>
      <c r="C184" s="11" t="s">
        <v>17</v>
      </c>
      <c r="D184" s="11" t="s">
        <v>13</v>
      </c>
      <c r="F184" s="11" t="s">
        <v>12</v>
      </c>
      <c r="G184" s="11" t="s">
        <v>77</v>
      </c>
      <c r="H184" s="11" t="s">
        <v>78</v>
      </c>
      <c r="I184" s="11">
        <v>0</v>
      </c>
      <c r="J184"/>
      <c r="K184" s="19"/>
      <c r="L184" s="19"/>
      <c r="M184" s="19"/>
      <c r="N184" s="19"/>
      <c r="O184" s="19"/>
      <c r="P184" s="19"/>
      <c r="Q184"/>
      <c r="R184"/>
    </row>
    <row r="185" spans="1:18" s="11" customFormat="1" ht="16" x14ac:dyDescent="0.2">
      <c r="A185" s="11" t="s">
        <v>33</v>
      </c>
      <c r="B185" s="12">
        <v>103890.7681</v>
      </c>
      <c r="C185" s="11" t="s">
        <v>17</v>
      </c>
      <c r="D185" s="11" t="s">
        <v>35</v>
      </c>
      <c r="E185" s="10"/>
      <c r="F185" s="11" t="s">
        <v>12</v>
      </c>
      <c r="G185" s="10" t="s">
        <v>36</v>
      </c>
      <c r="H185" s="11" t="s">
        <v>79</v>
      </c>
      <c r="I185" s="11">
        <v>0</v>
      </c>
      <c r="J185"/>
      <c r="K185" s="19"/>
      <c r="L185" s="19"/>
      <c r="M185" s="19"/>
      <c r="N185" s="19"/>
      <c r="O185" s="19"/>
      <c r="P185" s="19"/>
      <c r="Q185"/>
      <c r="R185"/>
    </row>
    <row r="186" spans="1:18" s="11" customFormat="1" ht="16" x14ac:dyDescent="0.2">
      <c r="B186" s="16"/>
      <c r="K186" s="12"/>
      <c r="L186" s="12"/>
      <c r="M186" s="12"/>
      <c r="N186" s="12"/>
      <c r="O186" s="12"/>
      <c r="P186" s="12"/>
    </row>
    <row r="187" spans="1:18" s="11" customFormat="1" ht="16" x14ac:dyDescent="0.2">
      <c r="A187" s="8" t="s">
        <v>1</v>
      </c>
      <c r="B187" s="9" t="s">
        <v>504</v>
      </c>
      <c r="K187" s="12"/>
      <c r="L187" s="12"/>
      <c r="M187" s="12"/>
      <c r="N187" s="12"/>
      <c r="O187" s="12"/>
      <c r="P187" s="12"/>
    </row>
    <row r="188" spans="1:18" s="11" customFormat="1" ht="16" x14ac:dyDescent="0.2">
      <c r="A188" s="13" t="s">
        <v>3</v>
      </c>
      <c r="B188" s="14">
        <v>1</v>
      </c>
      <c r="K188" s="12"/>
      <c r="L188" s="12"/>
      <c r="M188" s="12"/>
      <c r="N188" s="12"/>
      <c r="O188" s="12"/>
      <c r="P188" s="12"/>
    </row>
    <row r="189" spans="1:18" s="11" customFormat="1" ht="16" x14ac:dyDescent="0.2">
      <c r="A189" s="13" t="s">
        <v>11</v>
      </c>
      <c r="B189" s="14" t="s">
        <v>56</v>
      </c>
      <c r="K189" s="12"/>
      <c r="L189" s="12"/>
      <c r="M189" s="12"/>
      <c r="N189" s="12"/>
      <c r="O189" s="12"/>
      <c r="P189" s="12"/>
    </row>
    <row r="190" spans="1:18" s="11" customFormat="1" ht="16" x14ac:dyDescent="0.2">
      <c r="A190" s="13" t="s">
        <v>4</v>
      </c>
      <c r="B190" s="16" t="s">
        <v>505</v>
      </c>
      <c r="K190" s="12"/>
      <c r="L190" s="12"/>
      <c r="M190" s="12"/>
      <c r="N190" s="12"/>
      <c r="O190" s="12"/>
      <c r="P190" s="12"/>
    </row>
    <row r="191" spans="1:18" s="11" customFormat="1" ht="16" x14ac:dyDescent="0.2">
      <c r="A191" s="13" t="s">
        <v>2</v>
      </c>
      <c r="B191" s="14" t="s">
        <v>34</v>
      </c>
      <c r="K191" s="12"/>
      <c r="L191" s="12"/>
      <c r="M191" s="12"/>
      <c r="N191" s="12"/>
      <c r="O191" s="12"/>
      <c r="P191" s="12"/>
    </row>
    <row r="192" spans="1:18" s="11" customFormat="1" ht="16" x14ac:dyDescent="0.2">
      <c r="A192" s="13" t="s">
        <v>6</v>
      </c>
      <c r="B192" s="16" t="s">
        <v>6</v>
      </c>
      <c r="K192" s="12"/>
      <c r="L192" s="12"/>
      <c r="M192" s="12"/>
      <c r="N192" s="12"/>
      <c r="O192" s="12"/>
      <c r="P192" s="12"/>
    </row>
    <row r="193" spans="1:20" s="11" customFormat="1" ht="16" x14ac:dyDescent="0.2">
      <c r="A193" s="17" t="s">
        <v>7</v>
      </c>
      <c r="B193" s="9"/>
      <c r="C193" s="17"/>
      <c r="D193" s="17"/>
      <c r="E193" s="17"/>
      <c r="F193" s="17"/>
      <c r="G193" s="17"/>
      <c r="H193" s="17"/>
      <c r="I193" s="17"/>
      <c r="J193" s="17"/>
      <c r="K193" s="12"/>
      <c r="L193" s="12"/>
      <c r="M193" s="12"/>
      <c r="N193" s="12"/>
      <c r="O193" s="12"/>
      <c r="P193" s="12"/>
    </row>
    <row r="194" spans="1:20" s="11" customFormat="1" ht="16" x14ac:dyDescent="0.2">
      <c r="A194" s="17" t="s">
        <v>8</v>
      </c>
      <c r="B194" s="9" t="s">
        <v>9</v>
      </c>
      <c r="C194" s="17" t="s">
        <v>2</v>
      </c>
      <c r="D194" s="17" t="s">
        <v>6</v>
      </c>
      <c r="E194" s="23" t="s">
        <v>10</v>
      </c>
      <c r="F194" s="17" t="s">
        <v>5</v>
      </c>
      <c r="G194" s="17" t="s">
        <v>4</v>
      </c>
      <c r="H194" s="23" t="s">
        <v>11</v>
      </c>
      <c r="I194" s="17"/>
      <c r="J194" s="7"/>
      <c r="K194" s="18"/>
      <c r="L194" s="18"/>
      <c r="M194" s="18"/>
      <c r="N194" s="18"/>
      <c r="O194" s="18"/>
      <c r="P194" s="18"/>
      <c r="Q194" s="7"/>
      <c r="R194" s="7"/>
      <c r="S194" s="17"/>
      <c r="T194" s="7"/>
    </row>
    <row r="195" spans="1:20" s="11" customFormat="1" ht="16" x14ac:dyDescent="0.2">
      <c r="A195" s="16" t="str">
        <f>B187</f>
        <v>treatment of electrolyzer stack, 1MWe, PEM</v>
      </c>
      <c r="B195" s="12">
        <v>-1</v>
      </c>
      <c r="C195" s="11" t="s">
        <v>34</v>
      </c>
      <c r="D195" s="11" t="str">
        <f>B192</f>
        <v>unit</v>
      </c>
      <c r="F195" s="11" t="s">
        <v>16</v>
      </c>
      <c r="G195" s="11" t="str">
        <f>B190</f>
        <v>used electrolyzer stack, 1MWe, PEM</v>
      </c>
      <c r="K195" s="12"/>
      <c r="L195" s="12"/>
      <c r="M195" s="12"/>
      <c r="N195" s="12"/>
      <c r="O195" s="12"/>
      <c r="P195" s="12"/>
    </row>
    <row r="196" spans="1:20" s="11" customFormat="1" ht="16" x14ac:dyDescent="0.2">
      <c r="A196" s="16" t="s">
        <v>204</v>
      </c>
      <c r="B196" s="11">
        <f>-1*B182</f>
        <v>-100</v>
      </c>
      <c r="C196" s="11" t="s">
        <v>37</v>
      </c>
      <c r="D196" s="11" t="s">
        <v>13</v>
      </c>
      <c r="F196" s="11" t="s">
        <v>12</v>
      </c>
      <c r="G196" s="11" t="s">
        <v>205</v>
      </c>
      <c r="J196"/>
      <c r="K196" s="19"/>
      <c r="L196" s="19"/>
      <c r="M196" s="19"/>
      <c r="N196" s="19"/>
      <c r="O196" s="19"/>
      <c r="P196" s="19"/>
      <c r="Q196"/>
      <c r="R196"/>
    </row>
    <row r="197" spans="1:20" s="11" customFormat="1" ht="16" x14ac:dyDescent="0.2">
      <c r="A197" s="11" t="s">
        <v>206</v>
      </c>
      <c r="B197" s="11">
        <f>-1*B172</f>
        <v>-27</v>
      </c>
      <c r="C197" s="11" t="s">
        <v>37</v>
      </c>
      <c r="D197" s="11" t="s">
        <v>13</v>
      </c>
      <c r="F197" s="11" t="s">
        <v>12</v>
      </c>
      <c r="G197" s="11" t="s">
        <v>207</v>
      </c>
      <c r="J197"/>
      <c r="K197" s="19"/>
      <c r="L197" s="19"/>
      <c r="M197" s="19"/>
      <c r="N197" s="19"/>
      <c r="O197" s="19"/>
      <c r="P197" s="19"/>
      <c r="Q197"/>
      <c r="R197"/>
    </row>
    <row r="198" spans="1:20" s="11" customFormat="1" ht="16" x14ac:dyDescent="0.2">
      <c r="A198" s="11" t="s">
        <v>208</v>
      </c>
      <c r="B198" s="11">
        <f>-1*B180</f>
        <v>-4.5</v>
      </c>
      <c r="C198" s="11" t="s">
        <v>37</v>
      </c>
      <c r="D198" s="11" t="s">
        <v>13</v>
      </c>
      <c r="F198" s="11" t="s">
        <v>12</v>
      </c>
      <c r="G198" s="11" t="s">
        <v>209</v>
      </c>
      <c r="J198"/>
      <c r="K198" s="19"/>
      <c r="L198" s="19"/>
      <c r="M198" s="19"/>
      <c r="N198" s="19"/>
      <c r="O198" s="19"/>
      <c r="P198" s="19"/>
      <c r="Q198"/>
      <c r="R198"/>
    </row>
    <row r="199" spans="1:20" s="11" customFormat="1" ht="16" x14ac:dyDescent="0.2">
      <c r="A199" s="11" t="s">
        <v>210</v>
      </c>
      <c r="B199" s="11">
        <f>-1*B175</f>
        <v>-16</v>
      </c>
      <c r="C199" s="11" t="s">
        <v>212</v>
      </c>
      <c r="D199" s="11" t="s">
        <v>13</v>
      </c>
      <c r="F199" s="11" t="s">
        <v>12</v>
      </c>
      <c r="G199" s="11" t="s">
        <v>211</v>
      </c>
      <c r="J199"/>
      <c r="K199" s="19"/>
      <c r="L199" s="19"/>
      <c r="M199" s="19"/>
      <c r="N199" s="19"/>
      <c r="O199" s="19"/>
      <c r="P199" s="19"/>
      <c r="Q199"/>
      <c r="R199"/>
    </row>
    <row r="200" spans="1:20" s="11" customFormat="1" ht="16" x14ac:dyDescent="0.2">
      <c r="A200" s="11" t="s">
        <v>213</v>
      </c>
      <c r="B200" s="11">
        <f>-1*B184</f>
        <v>-4.8</v>
      </c>
      <c r="C200" s="11" t="s">
        <v>37</v>
      </c>
      <c r="D200" s="11" t="s">
        <v>13</v>
      </c>
      <c r="F200" s="11" t="s">
        <v>12</v>
      </c>
      <c r="G200" s="11" t="s">
        <v>214</v>
      </c>
      <c r="J200"/>
      <c r="K200" s="19"/>
      <c r="L200" s="19"/>
      <c r="M200" s="19"/>
      <c r="N200" s="19"/>
      <c r="O200" s="19"/>
      <c r="P200" s="19"/>
      <c r="Q200"/>
      <c r="R200"/>
    </row>
    <row r="201" spans="1:20" s="11" customFormat="1" ht="16" x14ac:dyDescent="0.2">
      <c r="B201" s="16"/>
      <c r="K201" s="12"/>
      <c r="L201" s="12"/>
      <c r="M201" s="12"/>
      <c r="N201" s="12"/>
      <c r="O201" s="12"/>
      <c r="P201" s="12"/>
    </row>
    <row r="202" spans="1:20" s="11" customFormat="1" ht="16" x14ac:dyDescent="0.2">
      <c r="A202" s="8" t="s">
        <v>1</v>
      </c>
      <c r="B202" s="9" t="s">
        <v>80</v>
      </c>
      <c r="K202" s="24"/>
      <c r="L202" s="25"/>
      <c r="M202" s="12"/>
      <c r="N202" s="12"/>
      <c r="O202" s="12"/>
      <c r="P202" s="12"/>
    </row>
    <row r="203" spans="1:20" s="11" customFormat="1" ht="16" x14ac:dyDescent="0.2">
      <c r="A203" s="13" t="s">
        <v>3</v>
      </c>
      <c r="B203" s="14">
        <v>1</v>
      </c>
      <c r="K203" s="26"/>
      <c r="L203" s="25"/>
      <c r="M203" s="12"/>
      <c r="N203" s="12"/>
      <c r="O203" s="12"/>
      <c r="P203" s="12"/>
    </row>
    <row r="204" spans="1:20" s="11" customFormat="1" ht="16" x14ac:dyDescent="0.2">
      <c r="A204" s="13" t="s">
        <v>11</v>
      </c>
      <c r="B204" s="14" t="s">
        <v>81</v>
      </c>
      <c r="K204" s="12"/>
      <c r="L204" s="25"/>
      <c r="M204" s="12"/>
      <c r="N204" s="12"/>
      <c r="O204" s="12"/>
      <c r="P204" s="12"/>
    </row>
    <row r="205" spans="1:20" s="11" customFormat="1" ht="16" x14ac:dyDescent="0.2">
      <c r="A205" s="13" t="s">
        <v>4</v>
      </c>
      <c r="B205" s="16" t="s">
        <v>48</v>
      </c>
      <c r="K205" s="12"/>
      <c r="L205" s="12"/>
      <c r="M205" s="12"/>
      <c r="N205" s="12"/>
      <c r="O205" s="12"/>
      <c r="P205" s="12"/>
    </row>
    <row r="206" spans="1:20" s="11" customFormat="1" ht="16.25" customHeight="1" x14ac:dyDescent="0.2">
      <c r="A206" s="13" t="s">
        <v>2</v>
      </c>
      <c r="B206" s="14" t="s">
        <v>34</v>
      </c>
      <c r="K206" s="12"/>
      <c r="L206" s="12"/>
      <c r="M206" s="12"/>
      <c r="N206" s="12"/>
      <c r="O206" s="12"/>
      <c r="P206" s="12"/>
    </row>
    <row r="207" spans="1:20" s="11" customFormat="1" ht="16" x14ac:dyDescent="0.2">
      <c r="A207" s="13" t="s">
        <v>6</v>
      </c>
      <c r="B207" s="16" t="s">
        <v>6</v>
      </c>
      <c r="H207" s="17"/>
      <c r="I207" s="17"/>
      <c r="K207" s="12"/>
      <c r="L207" s="12"/>
      <c r="M207" s="12"/>
      <c r="N207" s="12"/>
      <c r="O207" s="12"/>
      <c r="P207" s="12"/>
    </row>
    <row r="208" spans="1:20" s="11" customFormat="1" ht="16" x14ac:dyDescent="0.2">
      <c r="A208" s="17" t="s">
        <v>7</v>
      </c>
      <c r="B208" s="9"/>
      <c r="C208" s="17"/>
      <c r="D208" s="17"/>
      <c r="E208" s="17"/>
      <c r="F208" s="17"/>
      <c r="G208" s="17"/>
      <c r="H208" s="10"/>
      <c r="I208" s="10"/>
      <c r="K208" s="12"/>
      <c r="L208" s="12"/>
      <c r="M208" s="12"/>
      <c r="N208" s="12"/>
      <c r="O208" s="12"/>
      <c r="P208" s="12"/>
    </row>
    <row r="209" spans="1:20" s="11" customFormat="1" ht="16" x14ac:dyDescent="0.2">
      <c r="A209" s="17" t="s">
        <v>8</v>
      </c>
      <c r="B209" s="9" t="s">
        <v>9</v>
      </c>
      <c r="C209" s="17" t="s">
        <v>2</v>
      </c>
      <c r="D209" s="17" t="s">
        <v>6</v>
      </c>
      <c r="E209" s="23" t="s">
        <v>10</v>
      </c>
      <c r="F209" s="17" t="s">
        <v>5</v>
      </c>
      <c r="G209" s="17" t="s">
        <v>4</v>
      </c>
      <c r="H209" s="23" t="s">
        <v>11</v>
      </c>
      <c r="I209" s="17"/>
      <c r="J209" s="7"/>
      <c r="K209" s="18"/>
      <c r="L209" s="18"/>
      <c r="M209" s="18"/>
      <c r="N209" s="18"/>
      <c r="O209" s="18"/>
      <c r="P209" s="18"/>
      <c r="Q209" s="7"/>
      <c r="R209" s="7"/>
      <c r="S209" s="17"/>
      <c r="T209" s="7"/>
    </row>
    <row r="210" spans="1:20" s="11" customFormat="1" ht="16" x14ac:dyDescent="0.2">
      <c r="A210" s="16" t="str">
        <f>B202</f>
        <v>electrolyzer production, 1MWe, PEM, Balance of Plant</v>
      </c>
      <c r="B210" s="16">
        <v>1</v>
      </c>
      <c r="C210" s="11" t="s">
        <v>34</v>
      </c>
      <c r="D210" s="11" t="s">
        <v>6</v>
      </c>
      <c r="F210" s="11" t="s">
        <v>16</v>
      </c>
      <c r="G210" s="16" t="str">
        <f>B205</f>
        <v>electrolyzer, 1MWe, PEM, Balance of Plant</v>
      </c>
      <c r="H210" s="10"/>
      <c r="I210" s="10"/>
      <c r="K210" s="12"/>
      <c r="L210" s="12"/>
      <c r="M210" s="12"/>
      <c r="N210" s="12"/>
      <c r="O210" s="12"/>
      <c r="P210" s="26"/>
    </row>
    <row r="211" spans="1:20" s="11" customFormat="1" ht="16" x14ac:dyDescent="0.2">
      <c r="A211" s="11" t="s">
        <v>18</v>
      </c>
      <c r="B211" s="16">
        <v>100</v>
      </c>
      <c r="C211" s="11" t="s">
        <v>17</v>
      </c>
      <c r="D211" s="11" t="s">
        <v>13</v>
      </c>
      <c r="F211" s="11" t="s">
        <v>12</v>
      </c>
      <c r="G211" s="11" t="s">
        <v>19</v>
      </c>
      <c r="H211" s="27" t="s">
        <v>82</v>
      </c>
      <c r="J211"/>
      <c r="K211" s="19"/>
      <c r="L211" s="19"/>
      <c r="M211" s="19"/>
      <c r="N211" s="19"/>
      <c r="O211" s="19"/>
      <c r="P211" s="19"/>
      <c r="Q211"/>
      <c r="R211"/>
    </row>
    <row r="212" spans="1:20" s="11" customFormat="1" ht="16" x14ac:dyDescent="0.2">
      <c r="A212" s="11" t="s">
        <v>68</v>
      </c>
      <c r="B212" s="16">
        <v>200</v>
      </c>
      <c r="C212" s="11" t="s">
        <v>17</v>
      </c>
      <c r="D212" s="11" t="s">
        <v>13</v>
      </c>
      <c r="F212" s="11" t="s">
        <v>12</v>
      </c>
      <c r="G212" s="11" t="s">
        <v>69</v>
      </c>
      <c r="H212" s="27" t="s">
        <v>82</v>
      </c>
      <c r="J212"/>
      <c r="K212" s="19"/>
      <c r="L212" s="19"/>
      <c r="M212" s="19"/>
      <c r="N212" s="19"/>
      <c r="O212" s="19"/>
      <c r="P212" s="19"/>
      <c r="Q212"/>
      <c r="R212"/>
    </row>
    <row r="213" spans="1:20" s="11" customFormat="1" ht="16" x14ac:dyDescent="0.2">
      <c r="A213" s="11" t="s">
        <v>83</v>
      </c>
      <c r="B213" s="16">
        <v>600</v>
      </c>
      <c r="C213" s="11" t="s">
        <v>17</v>
      </c>
      <c r="D213" s="11" t="s">
        <v>13</v>
      </c>
      <c r="F213" s="11" t="s">
        <v>12</v>
      </c>
      <c r="G213" s="11" t="s">
        <v>40</v>
      </c>
      <c r="H213" s="27" t="s">
        <v>82</v>
      </c>
      <c r="J213"/>
      <c r="K213" s="19"/>
      <c r="L213" s="19"/>
      <c r="M213" s="19"/>
      <c r="N213" s="19"/>
      <c r="O213" s="19"/>
      <c r="P213" s="19"/>
      <c r="Q213"/>
      <c r="R213"/>
    </row>
    <row r="214" spans="1:20" s="11" customFormat="1" ht="16" x14ac:dyDescent="0.2">
      <c r="A214" s="11" t="s">
        <v>58</v>
      </c>
      <c r="B214" s="16">
        <v>100</v>
      </c>
      <c r="C214" s="11" t="s">
        <v>17</v>
      </c>
      <c r="D214" s="11" t="s">
        <v>13</v>
      </c>
      <c r="F214" s="11" t="s">
        <v>12</v>
      </c>
      <c r="G214" s="11" t="s">
        <v>41</v>
      </c>
      <c r="H214" s="27" t="s">
        <v>82</v>
      </c>
      <c r="J214"/>
      <c r="K214" s="19"/>
      <c r="L214" s="19"/>
      <c r="M214" s="19"/>
      <c r="N214" s="19"/>
      <c r="O214" s="19"/>
      <c r="P214" s="19"/>
      <c r="Q214"/>
      <c r="R214"/>
    </row>
    <row r="215" spans="1:20" s="11" customFormat="1" ht="16" x14ac:dyDescent="0.2">
      <c r="A215" s="11" t="s">
        <v>84</v>
      </c>
      <c r="B215" s="16">
        <v>600</v>
      </c>
      <c r="C215" s="11" t="s">
        <v>17</v>
      </c>
      <c r="D215" s="11" t="s">
        <v>13</v>
      </c>
      <c r="F215" s="11" t="s">
        <v>12</v>
      </c>
      <c r="G215" s="11" t="s">
        <v>42</v>
      </c>
      <c r="H215" s="27" t="s">
        <v>82</v>
      </c>
      <c r="J215"/>
      <c r="K215" s="19"/>
      <c r="L215" s="19"/>
      <c r="M215" s="19"/>
      <c r="N215" s="19"/>
      <c r="O215" s="19"/>
      <c r="P215" s="19"/>
      <c r="Q215"/>
      <c r="R215"/>
    </row>
    <row r="216" spans="1:20" s="11" customFormat="1" ht="16" x14ac:dyDescent="0.2">
      <c r="A216" s="11" t="s">
        <v>85</v>
      </c>
      <c r="B216" s="16">
        <v>100</v>
      </c>
      <c r="C216" s="11" t="s">
        <v>17</v>
      </c>
      <c r="D216" s="11" t="s">
        <v>13</v>
      </c>
      <c r="F216" s="11" t="s">
        <v>12</v>
      </c>
      <c r="G216" s="11" t="s">
        <v>43</v>
      </c>
      <c r="H216" s="27" t="s">
        <v>82</v>
      </c>
      <c r="J216"/>
      <c r="K216" s="19"/>
      <c r="L216" s="19"/>
      <c r="M216" s="19"/>
      <c r="N216" s="19"/>
      <c r="O216" s="19"/>
      <c r="P216" s="19"/>
      <c r="Q216"/>
      <c r="R216"/>
    </row>
    <row r="217" spans="1:20" s="11" customFormat="1" ht="16" x14ac:dyDescent="0.2">
      <c r="A217" s="11" t="s">
        <v>86</v>
      </c>
      <c r="B217" s="16">
        <v>200</v>
      </c>
      <c r="C217" s="11" t="s">
        <v>17</v>
      </c>
      <c r="D217" s="11" t="s">
        <v>13</v>
      </c>
      <c r="F217" s="11" t="s">
        <v>12</v>
      </c>
      <c r="G217" s="11" t="s">
        <v>44</v>
      </c>
      <c r="H217" s="27" t="s">
        <v>82</v>
      </c>
      <c r="J217"/>
      <c r="K217" s="19"/>
      <c r="L217" s="19"/>
      <c r="M217" s="19"/>
      <c r="N217" s="19"/>
      <c r="O217" s="19"/>
      <c r="P217" s="19"/>
      <c r="Q217"/>
      <c r="R217"/>
    </row>
    <row r="218" spans="1:20" s="11" customFormat="1" ht="16" x14ac:dyDescent="0.2">
      <c r="A218" s="11" t="s">
        <v>30</v>
      </c>
      <c r="B218" s="16">
        <v>100</v>
      </c>
      <c r="C218" s="11" t="s">
        <v>17</v>
      </c>
      <c r="D218" s="11" t="s">
        <v>13</v>
      </c>
      <c r="F218" s="11" t="s">
        <v>12</v>
      </c>
      <c r="G218" s="11" t="s">
        <v>29</v>
      </c>
      <c r="H218" s="10" t="s">
        <v>87</v>
      </c>
      <c r="J218"/>
      <c r="K218" s="19"/>
      <c r="L218" s="19"/>
      <c r="M218" s="19"/>
      <c r="N218" s="19"/>
      <c r="O218" s="19"/>
      <c r="P218" s="19"/>
      <c r="Q218"/>
      <c r="R218"/>
    </row>
    <row r="219" spans="1:20" s="11" customFormat="1" ht="16" x14ac:dyDescent="0.2">
      <c r="A219" s="11" t="s">
        <v>25</v>
      </c>
      <c r="B219" s="16">
        <v>900</v>
      </c>
      <c r="C219" s="11" t="s">
        <v>17</v>
      </c>
      <c r="D219" s="11" t="s">
        <v>13</v>
      </c>
      <c r="F219" s="11" t="s">
        <v>12</v>
      </c>
      <c r="G219" s="11" t="s">
        <v>26</v>
      </c>
      <c r="H219" s="10" t="s">
        <v>88</v>
      </c>
      <c r="J219"/>
      <c r="K219" s="19"/>
      <c r="L219" s="19"/>
      <c r="M219" s="19"/>
      <c r="N219" s="19"/>
      <c r="O219" s="19"/>
      <c r="P219" s="19"/>
      <c r="Q219"/>
      <c r="R219"/>
    </row>
    <row r="220" spans="1:20" s="11" customFormat="1" ht="16" x14ac:dyDescent="0.2">
      <c r="A220" s="11" t="s">
        <v>84</v>
      </c>
      <c r="B220" s="16">
        <v>900</v>
      </c>
      <c r="C220" s="11" t="s">
        <v>17</v>
      </c>
      <c r="D220" s="11" t="s">
        <v>13</v>
      </c>
      <c r="F220" s="11" t="s">
        <v>12</v>
      </c>
      <c r="G220" s="11" t="s">
        <v>42</v>
      </c>
      <c r="H220" s="10" t="s">
        <v>88</v>
      </c>
      <c r="J220"/>
      <c r="K220" s="19"/>
      <c r="L220" s="19"/>
      <c r="M220" s="19"/>
      <c r="N220" s="19"/>
      <c r="O220" s="19"/>
      <c r="P220" s="19"/>
      <c r="Q220"/>
      <c r="R220"/>
    </row>
    <row r="221" spans="1:20" s="11" customFormat="1" ht="16" x14ac:dyDescent="0.2">
      <c r="A221" s="11" t="s">
        <v>73</v>
      </c>
      <c r="B221" s="16">
        <v>750</v>
      </c>
      <c r="C221" s="11" t="s">
        <v>17</v>
      </c>
      <c r="D221" s="11" t="s">
        <v>13</v>
      </c>
      <c r="F221" s="11" t="s">
        <v>12</v>
      </c>
      <c r="G221" s="11" t="s">
        <v>74</v>
      </c>
      <c r="H221" s="10" t="s">
        <v>89</v>
      </c>
      <c r="J221"/>
      <c r="K221" s="19"/>
      <c r="L221" s="19"/>
      <c r="M221" s="19"/>
      <c r="N221" s="19"/>
      <c r="O221" s="19"/>
      <c r="P221" s="19"/>
      <c r="Q221"/>
      <c r="R221"/>
    </row>
    <row r="222" spans="1:20" s="11" customFormat="1" ht="16" x14ac:dyDescent="0.2">
      <c r="A222" s="11" t="s">
        <v>20</v>
      </c>
      <c r="B222" s="16">
        <v>750</v>
      </c>
      <c r="C222" s="11" t="s">
        <v>17</v>
      </c>
      <c r="D222" s="11" t="s">
        <v>13</v>
      </c>
      <c r="F222" s="11" t="s">
        <v>12</v>
      </c>
      <c r="G222" s="11" t="s">
        <v>15</v>
      </c>
      <c r="H222" s="10" t="s">
        <v>89</v>
      </c>
      <c r="J222"/>
      <c r="K222" s="19"/>
      <c r="L222" s="19"/>
      <c r="M222" s="19"/>
      <c r="N222" s="19"/>
      <c r="O222" s="19"/>
      <c r="P222" s="19"/>
      <c r="Q222"/>
      <c r="R222"/>
    </row>
    <row r="223" spans="1:20" s="11" customFormat="1" ht="16" x14ac:dyDescent="0.2">
      <c r="A223" s="11" t="s">
        <v>18</v>
      </c>
      <c r="B223" s="16">
        <v>100</v>
      </c>
      <c r="C223" s="11" t="s">
        <v>17</v>
      </c>
      <c r="D223" s="11" t="s">
        <v>13</v>
      </c>
      <c r="F223" s="11" t="s">
        <v>12</v>
      </c>
      <c r="G223" s="11" t="s">
        <v>19</v>
      </c>
      <c r="H223" s="10" t="s">
        <v>90</v>
      </c>
      <c r="J223"/>
      <c r="K223" s="19"/>
      <c r="L223" s="19"/>
      <c r="M223" s="19"/>
      <c r="N223" s="19"/>
      <c r="O223" s="19"/>
      <c r="P223" s="19"/>
      <c r="Q223"/>
      <c r="R223"/>
    </row>
    <row r="224" spans="1:20" s="11" customFormat="1" ht="16" x14ac:dyDescent="0.2">
      <c r="A224" s="11" t="s">
        <v>58</v>
      </c>
      <c r="B224" s="16">
        <v>100</v>
      </c>
      <c r="C224" s="11" t="s">
        <v>17</v>
      </c>
      <c r="D224" s="11" t="s">
        <v>13</v>
      </c>
      <c r="F224" s="11" t="s">
        <v>12</v>
      </c>
      <c r="G224" s="11" t="s">
        <v>41</v>
      </c>
      <c r="H224" s="10" t="s">
        <v>90</v>
      </c>
      <c r="J224"/>
      <c r="K224" s="19"/>
      <c r="L224" s="19"/>
      <c r="M224" s="19"/>
      <c r="N224" s="19"/>
      <c r="O224" s="19"/>
      <c r="P224" s="19"/>
      <c r="Q224"/>
      <c r="R224"/>
    </row>
    <row r="225" spans="1:18" s="11" customFormat="1" ht="16" x14ac:dyDescent="0.2">
      <c r="A225" s="11" t="s">
        <v>68</v>
      </c>
      <c r="B225" s="16">
        <v>100</v>
      </c>
      <c r="C225" s="11" t="s">
        <v>17</v>
      </c>
      <c r="D225" s="11" t="s">
        <v>13</v>
      </c>
      <c r="F225" s="11" t="s">
        <v>12</v>
      </c>
      <c r="G225" s="11" t="s">
        <v>69</v>
      </c>
      <c r="H225" s="10" t="s">
        <v>91</v>
      </c>
      <c r="J225"/>
      <c r="K225" s="19"/>
      <c r="L225" s="19"/>
      <c r="M225" s="19"/>
      <c r="N225" s="19"/>
      <c r="O225" s="19"/>
      <c r="P225" s="19"/>
      <c r="Q225"/>
      <c r="R225"/>
    </row>
    <row r="226" spans="1:18" s="11" customFormat="1" ht="16" x14ac:dyDescent="0.2">
      <c r="A226" s="11" t="s">
        <v>71</v>
      </c>
      <c r="B226" s="16">
        <v>100</v>
      </c>
      <c r="C226" s="11" t="s">
        <v>17</v>
      </c>
      <c r="D226" s="11" t="s">
        <v>13</v>
      </c>
      <c r="F226" s="11" t="s">
        <v>12</v>
      </c>
      <c r="G226" s="11" t="s">
        <v>72</v>
      </c>
      <c r="H226" s="10" t="s">
        <v>91</v>
      </c>
      <c r="J226"/>
      <c r="K226" s="19"/>
      <c r="L226" s="19"/>
      <c r="M226" s="19"/>
      <c r="N226" s="19"/>
      <c r="O226" s="19"/>
      <c r="P226" s="19"/>
      <c r="Q226"/>
      <c r="R226"/>
    </row>
    <row r="227" spans="1:18" s="11" customFormat="1" ht="16" x14ac:dyDescent="0.2">
      <c r="A227" s="11" t="s">
        <v>27</v>
      </c>
      <c r="B227" s="16">
        <v>300</v>
      </c>
      <c r="C227" s="11" t="s">
        <v>17</v>
      </c>
      <c r="D227" s="11" t="s">
        <v>13</v>
      </c>
      <c r="F227" s="11" t="s">
        <v>12</v>
      </c>
      <c r="G227" s="11" t="s">
        <v>28</v>
      </c>
      <c r="H227" s="10" t="s">
        <v>92</v>
      </c>
      <c r="J227"/>
      <c r="K227" s="19"/>
      <c r="L227" s="19"/>
      <c r="M227" s="19"/>
      <c r="N227" s="19"/>
      <c r="O227" s="19"/>
      <c r="P227" s="19"/>
      <c r="Q227"/>
      <c r="R227"/>
    </row>
    <row r="228" spans="1:18" s="11" customFormat="1" ht="16" x14ac:dyDescent="0.2">
      <c r="A228" s="11" t="s">
        <v>93</v>
      </c>
      <c r="B228" s="16">
        <v>300</v>
      </c>
      <c r="C228" s="11" t="s">
        <v>17</v>
      </c>
      <c r="D228" s="11" t="s">
        <v>13</v>
      </c>
      <c r="F228" s="11" t="s">
        <v>12</v>
      </c>
      <c r="G228" s="11" t="s">
        <v>94</v>
      </c>
      <c r="H228" s="10" t="s">
        <v>92</v>
      </c>
      <c r="J228"/>
      <c r="K228" s="19"/>
      <c r="L228" s="19"/>
      <c r="M228" s="19"/>
      <c r="N228" s="19"/>
      <c r="O228" s="19"/>
      <c r="P228" s="19"/>
      <c r="Q228"/>
      <c r="R228"/>
    </row>
    <row r="229" spans="1:18" s="11" customFormat="1" ht="16" x14ac:dyDescent="0.2">
      <c r="A229" s="11" t="s">
        <v>95</v>
      </c>
      <c r="B229" s="16">
        <v>100</v>
      </c>
      <c r="C229" s="11" t="s">
        <v>34</v>
      </c>
      <c r="D229" s="11" t="s">
        <v>13</v>
      </c>
      <c r="F229" s="11" t="s">
        <v>12</v>
      </c>
      <c r="G229" s="11" t="s">
        <v>96</v>
      </c>
      <c r="H229" s="10" t="s">
        <v>97</v>
      </c>
      <c r="J229"/>
      <c r="K229" s="19"/>
      <c r="L229" s="19"/>
      <c r="M229" s="19"/>
      <c r="N229" s="19"/>
      <c r="O229" s="19"/>
      <c r="P229" s="19"/>
      <c r="Q229"/>
      <c r="R229"/>
    </row>
    <row r="230" spans="1:18" s="11" customFormat="1" ht="16" x14ac:dyDescent="0.2">
      <c r="A230" s="11" t="s">
        <v>98</v>
      </c>
      <c r="B230" s="16">
        <v>100</v>
      </c>
      <c r="C230" s="11" t="s">
        <v>17</v>
      </c>
      <c r="D230" s="11" t="s">
        <v>13</v>
      </c>
      <c r="F230" s="11" t="s">
        <v>12</v>
      </c>
      <c r="G230" s="11" t="s">
        <v>99</v>
      </c>
      <c r="H230" s="10" t="s">
        <v>100</v>
      </c>
      <c r="J230"/>
      <c r="K230" s="19"/>
      <c r="L230" s="19"/>
      <c r="M230" s="19"/>
      <c r="N230" s="19"/>
      <c r="O230" s="19"/>
      <c r="P230" s="19"/>
      <c r="Q230"/>
      <c r="R230"/>
    </row>
    <row r="231" spans="1:18" s="11" customFormat="1" ht="16" x14ac:dyDescent="0.2">
      <c r="A231" s="11" t="s">
        <v>73</v>
      </c>
      <c r="B231" s="16">
        <v>1161</v>
      </c>
      <c r="C231" s="11" t="s">
        <v>17</v>
      </c>
      <c r="D231" s="11" t="s">
        <v>13</v>
      </c>
      <c r="F231" s="11" t="s">
        <v>12</v>
      </c>
      <c r="G231" s="11" t="s">
        <v>74</v>
      </c>
      <c r="H231" s="10" t="s">
        <v>101</v>
      </c>
      <c r="J231"/>
      <c r="K231" s="19"/>
      <c r="L231" s="19"/>
      <c r="M231" s="19"/>
      <c r="N231" s="19"/>
      <c r="O231" s="19"/>
      <c r="P231" s="19"/>
      <c r="Q231"/>
      <c r="R231"/>
    </row>
    <row r="232" spans="1:18" s="11" customFormat="1" ht="16" x14ac:dyDescent="0.2">
      <c r="A232" s="11" t="s">
        <v>20</v>
      </c>
      <c r="B232" s="16">
        <v>1161</v>
      </c>
      <c r="C232" s="11" t="s">
        <v>17</v>
      </c>
      <c r="D232" s="11" t="s">
        <v>13</v>
      </c>
      <c r="F232" s="11" t="s">
        <v>12</v>
      </c>
      <c r="G232" s="11" t="s">
        <v>15</v>
      </c>
      <c r="H232" s="10" t="s">
        <v>101</v>
      </c>
      <c r="J232"/>
      <c r="K232" s="19"/>
      <c r="L232" s="19"/>
      <c r="M232" s="19"/>
      <c r="N232" s="19"/>
      <c r="O232" s="19"/>
      <c r="P232" s="19"/>
      <c r="Q232"/>
      <c r="R232"/>
    </row>
    <row r="233" spans="1:18" s="11" customFormat="1" ht="16" x14ac:dyDescent="0.2">
      <c r="A233" s="11" t="s">
        <v>102</v>
      </c>
      <c r="B233" s="16">
        <v>464.6</v>
      </c>
      <c r="C233" s="11" t="s">
        <v>17</v>
      </c>
      <c r="D233" s="11" t="s">
        <v>13</v>
      </c>
      <c r="F233" s="11" t="s">
        <v>12</v>
      </c>
      <c r="G233" s="11" t="s">
        <v>103</v>
      </c>
      <c r="H233" s="10" t="s">
        <v>104</v>
      </c>
      <c r="J233"/>
      <c r="K233" s="19"/>
      <c r="L233" s="19"/>
      <c r="M233" s="19"/>
      <c r="N233" s="19"/>
      <c r="O233" s="19"/>
      <c r="P233" s="19"/>
      <c r="Q233"/>
      <c r="R233"/>
    </row>
    <row r="234" spans="1:18" s="11" customFormat="1" ht="16" x14ac:dyDescent="0.2">
      <c r="A234" s="11" t="s">
        <v>105</v>
      </c>
      <c r="B234" s="16">
        <v>464.6</v>
      </c>
      <c r="C234" s="11" t="s">
        <v>17</v>
      </c>
      <c r="D234" s="11" t="s">
        <v>13</v>
      </c>
      <c r="F234" s="11" t="s">
        <v>12</v>
      </c>
      <c r="G234" s="11" t="s">
        <v>106</v>
      </c>
      <c r="H234" s="10" t="s">
        <v>104</v>
      </c>
      <c r="J234"/>
      <c r="K234" s="19"/>
      <c r="L234" s="19"/>
      <c r="M234" s="19"/>
      <c r="N234" s="19"/>
      <c r="O234" s="19"/>
      <c r="P234" s="19"/>
      <c r="Q234"/>
      <c r="R234"/>
    </row>
    <row r="235" spans="1:18" s="11" customFormat="1" ht="16" x14ac:dyDescent="0.2">
      <c r="A235" s="11" t="s">
        <v>83</v>
      </c>
      <c r="B235" s="16">
        <v>232.3</v>
      </c>
      <c r="C235" s="11" t="s">
        <v>17</v>
      </c>
      <c r="D235" s="11" t="s">
        <v>13</v>
      </c>
      <c r="F235" s="11" t="s">
        <v>12</v>
      </c>
      <c r="G235" s="11" t="s">
        <v>40</v>
      </c>
      <c r="H235" s="10" t="s">
        <v>104</v>
      </c>
      <c r="J235"/>
      <c r="K235" s="19"/>
      <c r="L235" s="19"/>
      <c r="M235" s="19"/>
      <c r="N235" s="19"/>
      <c r="O235" s="19"/>
      <c r="P235" s="19"/>
      <c r="Q235"/>
      <c r="R235"/>
    </row>
    <row r="236" spans="1:18" s="11" customFormat="1" ht="16" x14ac:dyDescent="0.2">
      <c r="A236" s="11" t="s">
        <v>84</v>
      </c>
      <c r="B236" s="16">
        <v>232.3</v>
      </c>
      <c r="C236" s="11" t="s">
        <v>17</v>
      </c>
      <c r="D236" s="11" t="s">
        <v>13</v>
      </c>
      <c r="F236" s="11" t="s">
        <v>12</v>
      </c>
      <c r="G236" s="11" t="s">
        <v>42</v>
      </c>
      <c r="H236" s="10" t="s">
        <v>104</v>
      </c>
      <c r="J236"/>
      <c r="K236" s="19"/>
      <c r="L236" s="19"/>
      <c r="M236" s="19"/>
      <c r="N236" s="19"/>
      <c r="O236" s="19"/>
      <c r="P236" s="19"/>
      <c r="Q236"/>
      <c r="R236"/>
    </row>
    <row r="237" spans="1:18" s="11" customFormat="1" ht="16" x14ac:dyDescent="0.2">
      <c r="A237" s="11" t="s">
        <v>18</v>
      </c>
      <c r="B237" s="16">
        <v>60</v>
      </c>
      <c r="C237" s="11" t="s">
        <v>17</v>
      </c>
      <c r="D237" s="11" t="s">
        <v>13</v>
      </c>
      <c r="F237" s="11" t="s">
        <v>12</v>
      </c>
      <c r="G237" s="11" t="s">
        <v>19</v>
      </c>
      <c r="H237" s="10" t="s">
        <v>107</v>
      </c>
      <c r="J237"/>
      <c r="K237" s="19"/>
      <c r="L237" s="19"/>
      <c r="M237" s="19"/>
      <c r="N237" s="19"/>
      <c r="O237" s="19"/>
      <c r="P237" s="19"/>
      <c r="Q237"/>
      <c r="R237"/>
    </row>
    <row r="238" spans="1:18" s="11" customFormat="1" ht="16" x14ac:dyDescent="0.2">
      <c r="A238" s="11" t="s">
        <v>68</v>
      </c>
      <c r="B238" s="16">
        <v>45</v>
      </c>
      <c r="C238" s="11" t="s">
        <v>17</v>
      </c>
      <c r="D238" s="11" t="s">
        <v>13</v>
      </c>
      <c r="F238" s="11" t="s">
        <v>12</v>
      </c>
      <c r="G238" s="11" t="s">
        <v>69</v>
      </c>
      <c r="H238" s="10" t="s">
        <v>107</v>
      </c>
      <c r="J238"/>
      <c r="K238" s="19"/>
      <c r="L238" s="19"/>
      <c r="M238" s="19"/>
      <c r="N238" s="19"/>
      <c r="O238" s="19"/>
      <c r="P238" s="19"/>
      <c r="Q238"/>
      <c r="R238"/>
    </row>
    <row r="239" spans="1:18" s="11" customFormat="1" ht="16" x14ac:dyDescent="0.2">
      <c r="A239" s="11" t="s">
        <v>83</v>
      </c>
      <c r="B239" s="16">
        <v>180</v>
      </c>
      <c r="C239" s="11" t="s">
        <v>17</v>
      </c>
      <c r="D239" s="11" t="s">
        <v>13</v>
      </c>
      <c r="F239" s="11" t="s">
        <v>12</v>
      </c>
      <c r="G239" s="11" t="s">
        <v>40</v>
      </c>
      <c r="H239" s="10" t="s">
        <v>107</v>
      </c>
      <c r="J239"/>
      <c r="K239" s="19"/>
      <c r="L239" s="19"/>
      <c r="M239" s="19"/>
      <c r="N239" s="19"/>
      <c r="O239" s="19"/>
      <c r="P239" s="19"/>
      <c r="Q239"/>
      <c r="R239"/>
    </row>
    <row r="240" spans="1:18" s="11" customFormat="1" ht="16" x14ac:dyDescent="0.2">
      <c r="A240" s="11" t="s">
        <v>85</v>
      </c>
      <c r="B240" s="16">
        <v>15</v>
      </c>
      <c r="C240" s="11" t="s">
        <v>17</v>
      </c>
      <c r="D240" s="11" t="s">
        <v>13</v>
      </c>
      <c r="F240" s="11" t="s">
        <v>12</v>
      </c>
      <c r="G240" s="11" t="s">
        <v>43</v>
      </c>
      <c r="H240" s="10" t="s">
        <v>107</v>
      </c>
      <c r="J240"/>
      <c r="K240" s="19"/>
      <c r="L240" s="19"/>
      <c r="M240" s="19"/>
      <c r="N240" s="19"/>
      <c r="O240" s="19"/>
      <c r="P240" s="19"/>
      <c r="Q240"/>
      <c r="R240"/>
    </row>
    <row r="241" spans="1:18" s="11" customFormat="1" ht="16" x14ac:dyDescent="0.2">
      <c r="A241" s="11" t="s">
        <v>86</v>
      </c>
      <c r="B241" s="16">
        <v>45</v>
      </c>
      <c r="C241" s="11" t="s">
        <v>17</v>
      </c>
      <c r="D241" s="11" t="s">
        <v>13</v>
      </c>
      <c r="F241" s="11" t="s">
        <v>12</v>
      </c>
      <c r="G241" s="11" t="s">
        <v>44</v>
      </c>
      <c r="H241" s="10" t="s">
        <v>107</v>
      </c>
      <c r="J241"/>
      <c r="K241" s="19"/>
      <c r="L241" s="19"/>
      <c r="M241" s="19"/>
      <c r="N241" s="19"/>
      <c r="O241" s="19"/>
      <c r="P241" s="19"/>
      <c r="Q241"/>
      <c r="R241"/>
    </row>
    <row r="242" spans="1:18" s="11" customFormat="1" ht="16" x14ac:dyDescent="0.2">
      <c r="A242" s="11" t="s">
        <v>108</v>
      </c>
      <c r="B242" s="16">
        <v>600</v>
      </c>
      <c r="C242" s="11" t="s">
        <v>17</v>
      </c>
      <c r="D242" s="11" t="s">
        <v>13</v>
      </c>
      <c r="F242" s="11" t="s">
        <v>12</v>
      </c>
      <c r="G242" s="11" t="s">
        <v>109</v>
      </c>
      <c r="H242" s="10" t="s">
        <v>110</v>
      </c>
      <c r="J242"/>
      <c r="K242" s="19"/>
      <c r="L242" s="19"/>
      <c r="M242" s="19"/>
      <c r="N242" s="19"/>
      <c r="O242" s="19"/>
      <c r="P242" s="19"/>
      <c r="Q242"/>
      <c r="R242"/>
    </row>
    <row r="243" spans="1:18" s="11" customFormat="1" ht="16" x14ac:dyDescent="0.2">
      <c r="A243" s="11" t="s">
        <v>111</v>
      </c>
      <c r="B243" s="16">
        <v>7</v>
      </c>
      <c r="C243" s="11" t="s">
        <v>17</v>
      </c>
      <c r="D243" s="11" t="s">
        <v>13</v>
      </c>
      <c r="F243" s="11" t="s">
        <v>12</v>
      </c>
      <c r="G243" s="11" t="s">
        <v>112</v>
      </c>
      <c r="H243" s="10" t="s">
        <v>110</v>
      </c>
      <c r="J243"/>
      <c r="K243" s="19"/>
      <c r="L243" s="19"/>
      <c r="M243" s="19"/>
      <c r="N243" s="19"/>
      <c r="O243" s="19"/>
      <c r="P243" s="19"/>
      <c r="Q243"/>
      <c r="R243"/>
    </row>
    <row r="244" spans="1:18" s="11" customFormat="1" ht="16" x14ac:dyDescent="0.2">
      <c r="A244" s="11" t="s">
        <v>83</v>
      </c>
      <c r="B244" s="16">
        <v>1300</v>
      </c>
      <c r="C244" s="11" t="s">
        <v>17</v>
      </c>
      <c r="D244" s="11" t="s">
        <v>13</v>
      </c>
      <c r="F244" s="11" t="s">
        <v>12</v>
      </c>
      <c r="G244" s="11" t="s">
        <v>40</v>
      </c>
      <c r="H244" s="10" t="s">
        <v>110</v>
      </c>
      <c r="J244"/>
      <c r="K244" s="19"/>
      <c r="L244" s="19"/>
      <c r="M244" s="19"/>
      <c r="N244" s="19"/>
      <c r="O244" s="19"/>
      <c r="P244" s="19"/>
      <c r="Q244"/>
      <c r="R244"/>
    </row>
    <row r="245" spans="1:18" s="11" customFormat="1" ht="16" x14ac:dyDescent="0.2">
      <c r="A245" s="11" t="s">
        <v>73</v>
      </c>
      <c r="B245" s="16">
        <v>405</v>
      </c>
      <c r="C245" s="11" t="s">
        <v>17</v>
      </c>
      <c r="D245" s="11" t="s">
        <v>13</v>
      </c>
      <c r="F245" s="11" t="s">
        <v>12</v>
      </c>
      <c r="G245" s="11" t="s">
        <v>74</v>
      </c>
      <c r="H245" s="10" t="s">
        <v>110</v>
      </c>
      <c r="J245"/>
      <c r="K245" s="19"/>
      <c r="L245" s="19"/>
      <c r="M245" s="19"/>
      <c r="N245" s="19"/>
      <c r="O245" s="19"/>
      <c r="P245" s="19"/>
      <c r="Q245"/>
      <c r="R245"/>
    </row>
    <row r="246" spans="1:18" s="11" customFormat="1" ht="16" x14ac:dyDescent="0.2">
      <c r="A246" s="11" t="s">
        <v>84</v>
      </c>
      <c r="B246" s="16">
        <v>400</v>
      </c>
      <c r="C246" s="11" t="s">
        <v>17</v>
      </c>
      <c r="D246" s="11" t="s">
        <v>13</v>
      </c>
      <c r="F246" s="11" t="s">
        <v>12</v>
      </c>
      <c r="G246" s="11" t="s">
        <v>42</v>
      </c>
      <c r="H246" s="10" t="s">
        <v>110</v>
      </c>
      <c r="J246"/>
      <c r="K246" s="19"/>
      <c r="L246" s="19"/>
      <c r="M246" s="19"/>
      <c r="N246" s="19"/>
      <c r="O246" s="19"/>
      <c r="P246" s="19"/>
      <c r="Q246"/>
      <c r="R246"/>
    </row>
    <row r="247" spans="1:18" s="11" customFormat="1" ht="16" x14ac:dyDescent="0.2">
      <c r="A247" s="11" t="s">
        <v>20</v>
      </c>
      <c r="B247" s="16">
        <v>405</v>
      </c>
      <c r="C247" s="11" t="s">
        <v>17</v>
      </c>
      <c r="D247" s="11" t="s">
        <v>13</v>
      </c>
      <c r="F247" s="11" t="s">
        <v>12</v>
      </c>
      <c r="G247" s="11" t="s">
        <v>15</v>
      </c>
      <c r="H247" s="10" t="s">
        <v>110</v>
      </c>
      <c r="J247"/>
      <c r="K247" s="19"/>
      <c r="L247" s="19"/>
      <c r="M247" s="19"/>
      <c r="N247" s="19"/>
      <c r="O247" s="19"/>
      <c r="P247" s="19"/>
      <c r="Q247"/>
      <c r="R247"/>
    </row>
    <row r="248" spans="1:18" s="11" customFormat="1" ht="16" x14ac:dyDescent="0.2">
      <c r="A248" s="11" t="s">
        <v>83</v>
      </c>
      <c r="B248" s="16">
        <v>1000</v>
      </c>
      <c r="C248" s="11" t="s">
        <v>17</v>
      </c>
      <c r="D248" s="11" t="s">
        <v>13</v>
      </c>
      <c r="F248" s="11" t="s">
        <v>12</v>
      </c>
      <c r="G248" s="11" t="s">
        <v>40</v>
      </c>
      <c r="H248" s="10" t="s">
        <v>113</v>
      </c>
      <c r="J248"/>
      <c r="K248" s="19"/>
      <c r="L248" s="19"/>
      <c r="M248" s="19"/>
      <c r="N248" s="19"/>
      <c r="O248" s="19"/>
      <c r="P248" s="19"/>
      <c r="Q248"/>
      <c r="R248"/>
    </row>
    <row r="249" spans="1:18" s="11" customFormat="1" ht="16" x14ac:dyDescent="0.2">
      <c r="A249" s="11" t="s">
        <v>73</v>
      </c>
      <c r="B249" s="16">
        <v>1500</v>
      </c>
      <c r="C249" s="11" t="s">
        <v>17</v>
      </c>
      <c r="D249" s="11" t="s">
        <v>13</v>
      </c>
      <c r="F249" s="11" t="s">
        <v>12</v>
      </c>
      <c r="G249" s="11" t="s">
        <v>74</v>
      </c>
      <c r="H249" s="10" t="s">
        <v>113</v>
      </c>
      <c r="J249"/>
      <c r="K249" s="19"/>
      <c r="L249" s="19"/>
      <c r="M249" s="19"/>
      <c r="N249" s="19"/>
      <c r="O249" s="19"/>
      <c r="P249" s="19"/>
      <c r="Q249"/>
      <c r="R249"/>
    </row>
    <row r="250" spans="1:18" s="11" customFormat="1" ht="16" x14ac:dyDescent="0.2">
      <c r="A250" s="11" t="s">
        <v>84</v>
      </c>
      <c r="B250" s="16">
        <v>1000</v>
      </c>
      <c r="C250" s="11" t="s">
        <v>17</v>
      </c>
      <c r="D250" s="11" t="s">
        <v>13</v>
      </c>
      <c r="F250" s="11" t="s">
        <v>12</v>
      </c>
      <c r="G250" s="11" t="s">
        <v>42</v>
      </c>
      <c r="H250" s="10" t="s">
        <v>113</v>
      </c>
      <c r="J250"/>
      <c r="K250" s="19"/>
      <c r="L250" s="19"/>
      <c r="M250" s="19"/>
      <c r="N250" s="19"/>
      <c r="O250" s="19"/>
      <c r="P250" s="19"/>
      <c r="Q250"/>
      <c r="R250"/>
    </row>
    <row r="251" spans="1:18" s="11" customFormat="1" ht="16" x14ac:dyDescent="0.2">
      <c r="A251" s="11" t="s">
        <v>20</v>
      </c>
      <c r="B251" s="16">
        <v>1500</v>
      </c>
      <c r="C251" s="11" t="s">
        <v>17</v>
      </c>
      <c r="D251" s="11" t="s">
        <v>13</v>
      </c>
      <c r="F251" s="11" t="s">
        <v>12</v>
      </c>
      <c r="G251" s="11" t="s">
        <v>15</v>
      </c>
      <c r="H251" s="10" t="s">
        <v>113</v>
      </c>
      <c r="J251"/>
      <c r="K251" s="19"/>
      <c r="L251" s="19"/>
      <c r="M251" s="19"/>
      <c r="N251" s="19"/>
      <c r="O251" s="19"/>
      <c r="P251" s="19"/>
      <c r="Q251"/>
      <c r="R251"/>
    </row>
    <row r="252" spans="1:18" s="11" customFormat="1" ht="16" x14ac:dyDescent="0.2">
      <c r="A252" s="11" t="s">
        <v>73</v>
      </c>
      <c r="B252" s="16">
        <v>511</v>
      </c>
      <c r="C252" s="11" t="s">
        <v>17</v>
      </c>
      <c r="D252" s="11" t="s">
        <v>13</v>
      </c>
      <c r="F252" s="11" t="s">
        <v>12</v>
      </c>
      <c r="G252" s="11" t="s">
        <v>74</v>
      </c>
      <c r="H252" s="10" t="s">
        <v>114</v>
      </c>
      <c r="J252"/>
      <c r="K252" s="19"/>
      <c r="L252" s="19"/>
      <c r="M252" s="19"/>
      <c r="N252" s="19"/>
      <c r="O252" s="19"/>
      <c r="P252" s="19"/>
      <c r="Q252"/>
      <c r="R252"/>
    </row>
    <row r="253" spans="1:18" s="11" customFormat="1" ht="16" x14ac:dyDescent="0.2">
      <c r="A253" s="11" t="s">
        <v>20</v>
      </c>
      <c r="B253" s="16">
        <v>511</v>
      </c>
      <c r="C253" s="11" t="s">
        <v>17</v>
      </c>
      <c r="D253" s="11" t="s">
        <v>13</v>
      </c>
      <c r="F253" s="11" t="s">
        <v>12</v>
      </c>
      <c r="G253" s="11" t="s">
        <v>15</v>
      </c>
      <c r="H253" s="10" t="s">
        <v>114</v>
      </c>
      <c r="J253"/>
      <c r="K253" s="19"/>
      <c r="L253" s="19"/>
      <c r="M253" s="19"/>
      <c r="N253" s="19"/>
      <c r="O253" s="19"/>
      <c r="P253" s="19"/>
      <c r="Q253"/>
      <c r="R253"/>
    </row>
    <row r="254" spans="1:18" s="11" customFormat="1" ht="16" x14ac:dyDescent="0.2">
      <c r="A254" s="11" t="s">
        <v>115</v>
      </c>
      <c r="B254" s="16">
        <v>29</v>
      </c>
      <c r="C254" s="11" t="s">
        <v>17</v>
      </c>
      <c r="D254" s="11" t="s">
        <v>116</v>
      </c>
      <c r="F254" s="11" t="s">
        <v>12</v>
      </c>
      <c r="G254" s="11" t="s">
        <v>117</v>
      </c>
      <c r="H254" s="10" t="s">
        <v>114</v>
      </c>
      <c r="J254"/>
      <c r="K254" s="19"/>
      <c r="L254" s="19"/>
      <c r="M254" s="19"/>
      <c r="N254" s="19"/>
      <c r="O254" s="19"/>
      <c r="P254" s="19"/>
      <c r="Q254"/>
      <c r="R254"/>
    </row>
    <row r="255" spans="1:18" s="11" customFormat="1" ht="16" x14ac:dyDescent="0.2">
      <c r="A255" s="11" t="s">
        <v>84</v>
      </c>
      <c r="B255" s="16">
        <v>2250</v>
      </c>
      <c r="C255" s="11" t="s">
        <v>17</v>
      </c>
      <c r="D255" s="11" t="s">
        <v>13</v>
      </c>
      <c r="F255" s="11" t="s">
        <v>12</v>
      </c>
      <c r="G255" s="11" t="s">
        <v>42</v>
      </c>
      <c r="H255" s="10" t="s">
        <v>118</v>
      </c>
      <c r="J255"/>
      <c r="K255" s="19"/>
      <c r="L255" s="19"/>
      <c r="M255" s="19"/>
      <c r="N255" s="19"/>
      <c r="O255" s="19"/>
      <c r="P255" s="19"/>
      <c r="Q255"/>
      <c r="R255"/>
    </row>
    <row r="256" spans="1:18" s="11" customFormat="1" ht="15.5" customHeight="1" x14ac:dyDescent="0.2">
      <c r="A256" s="28" t="s">
        <v>25</v>
      </c>
      <c r="B256" s="29">
        <v>2250</v>
      </c>
      <c r="C256" s="11" t="s">
        <v>17</v>
      </c>
      <c r="D256" s="11" t="s">
        <v>13</v>
      </c>
      <c r="F256" s="11" t="s">
        <v>12</v>
      </c>
      <c r="G256" s="10" t="s">
        <v>26</v>
      </c>
      <c r="H256" s="10" t="s">
        <v>118</v>
      </c>
      <c r="J256"/>
      <c r="K256" s="19"/>
      <c r="L256" s="19"/>
      <c r="M256" s="19"/>
      <c r="N256" s="19"/>
      <c r="O256" s="19"/>
      <c r="P256" s="19"/>
      <c r="Q256"/>
      <c r="R256"/>
    </row>
    <row r="257" spans="1:20" s="11" customFormat="1" ht="16" x14ac:dyDescent="0.2">
      <c r="A257" s="11" t="s">
        <v>119</v>
      </c>
      <c r="B257" s="29">
        <v>2.2999999999999998</v>
      </c>
      <c r="C257" s="11" t="s">
        <v>45</v>
      </c>
      <c r="D257" s="10" t="s">
        <v>31</v>
      </c>
      <c r="F257" s="11" t="s">
        <v>12</v>
      </c>
      <c r="G257" s="10" t="s">
        <v>120</v>
      </c>
      <c r="H257" s="10" t="s">
        <v>121</v>
      </c>
      <c r="J257"/>
      <c r="K257" s="19"/>
      <c r="L257" s="19"/>
      <c r="M257" s="19"/>
      <c r="N257" s="19"/>
      <c r="O257" s="19"/>
      <c r="P257" s="19"/>
      <c r="Q257"/>
      <c r="R257"/>
    </row>
    <row r="258" spans="1:20" s="11" customFormat="1" ht="16" x14ac:dyDescent="0.2">
      <c r="A258" s="11" t="s">
        <v>33</v>
      </c>
      <c r="B258" s="16">
        <v>50000</v>
      </c>
      <c r="C258" s="11" t="s">
        <v>17</v>
      </c>
      <c r="D258" s="11" t="s">
        <v>35</v>
      </c>
      <c r="F258" s="11" t="s">
        <v>12</v>
      </c>
      <c r="G258" s="10" t="s">
        <v>36</v>
      </c>
      <c r="H258" s="11" t="s">
        <v>79</v>
      </c>
      <c r="J258"/>
      <c r="K258" s="19"/>
      <c r="L258" s="19"/>
      <c r="M258" s="19"/>
      <c r="N258" s="19"/>
      <c r="O258" s="19"/>
      <c r="P258" s="19"/>
      <c r="Q258"/>
      <c r="R258"/>
    </row>
    <row r="259" spans="1:20" s="11" customFormat="1" ht="16" x14ac:dyDescent="0.2">
      <c r="B259" s="16"/>
      <c r="K259" s="12"/>
      <c r="L259" s="12"/>
      <c r="M259" s="12"/>
      <c r="N259" s="12"/>
      <c r="O259" s="12"/>
      <c r="P259" s="12"/>
    </row>
    <row r="260" spans="1:20" s="11" customFormat="1" ht="16" x14ac:dyDescent="0.2">
      <c r="A260" s="8" t="s">
        <v>1</v>
      </c>
      <c r="B260" s="9" t="s">
        <v>506</v>
      </c>
      <c r="K260" s="12"/>
      <c r="L260" s="12"/>
      <c r="M260" s="12"/>
      <c r="N260" s="12"/>
      <c r="O260" s="12"/>
      <c r="P260" s="12"/>
    </row>
    <row r="261" spans="1:20" s="11" customFormat="1" ht="16" x14ac:dyDescent="0.2">
      <c r="A261" s="13" t="s">
        <v>3</v>
      </c>
      <c r="B261" s="14">
        <v>1</v>
      </c>
      <c r="K261" s="12"/>
      <c r="L261" s="12"/>
      <c r="M261" s="12"/>
      <c r="N261" s="12"/>
      <c r="O261" s="12"/>
      <c r="P261" s="12"/>
    </row>
    <row r="262" spans="1:20" s="11" customFormat="1" ht="16" x14ac:dyDescent="0.2">
      <c r="A262" s="13" t="s">
        <v>11</v>
      </c>
      <c r="B262" s="14" t="s">
        <v>56</v>
      </c>
      <c r="K262" s="12"/>
      <c r="L262" s="12"/>
      <c r="M262" s="12"/>
      <c r="N262" s="12"/>
      <c r="O262" s="12"/>
      <c r="P262" s="12"/>
    </row>
    <row r="263" spans="1:20" s="11" customFormat="1" ht="16" x14ac:dyDescent="0.2">
      <c r="A263" s="13" t="s">
        <v>4</v>
      </c>
      <c r="B263" s="16" t="s">
        <v>507</v>
      </c>
      <c r="K263" s="12"/>
      <c r="L263" s="12"/>
      <c r="M263" s="12"/>
      <c r="N263" s="12"/>
      <c r="O263" s="12"/>
      <c r="P263" s="12"/>
    </row>
    <row r="264" spans="1:20" s="11" customFormat="1" ht="16" x14ac:dyDescent="0.2">
      <c r="A264" s="13" t="s">
        <v>2</v>
      </c>
      <c r="B264" s="14" t="s">
        <v>34</v>
      </c>
      <c r="K264" s="12"/>
      <c r="L264" s="12"/>
      <c r="M264" s="12"/>
      <c r="N264" s="12"/>
      <c r="O264" s="12"/>
      <c r="P264" s="12"/>
    </row>
    <row r="265" spans="1:20" s="11" customFormat="1" ht="16" x14ac:dyDescent="0.2">
      <c r="A265" s="13" t="s">
        <v>6</v>
      </c>
      <c r="B265" s="16" t="s">
        <v>6</v>
      </c>
      <c r="K265" s="12"/>
      <c r="L265" s="12"/>
      <c r="M265" s="12"/>
      <c r="N265" s="12"/>
      <c r="O265" s="12"/>
      <c r="P265" s="12"/>
    </row>
    <row r="266" spans="1:20" s="11" customFormat="1" ht="16" x14ac:dyDescent="0.2">
      <c r="A266" s="17" t="s">
        <v>7</v>
      </c>
      <c r="B266" s="9"/>
      <c r="C266" s="17"/>
      <c r="D266" s="17"/>
      <c r="E266" s="17"/>
      <c r="F266" s="17"/>
      <c r="G266" s="17"/>
      <c r="H266" s="17"/>
      <c r="I266" s="17"/>
      <c r="J266" s="17"/>
      <c r="K266" s="12"/>
      <c r="L266" s="12"/>
      <c r="M266" s="12"/>
      <c r="N266" s="12"/>
      <c r="O266" s="12"/>
      <c r="P266" s="12"/>
    </row>
    <row r="267" spans="1:20" s="11" customFormat="1" ht="16" x14ac:dyDescent="0.2">
      <c r="A267" s="17" t="s">
        <v>8</v>
      </c>
      <c r="B267" s="9" t="s">
        <v>9</v>
      </c>
      <c r="C267" s="17" t="s">
        <v>2</v>
      </c>
      <c r="D267" s="17" t="s">
        <v>6</v>
      </c>
      <c r="E267" s="23" t="s">
        <v>10</v>
      </c>
      <c r="F267" s="17" t="s">
        <v>5</v>
      </c>
      <c r="G267" s="17" t="s">
        <v>4</v>
      </c>
      <c r="H267" s="23" t="s">
        <v>11</v>
      </c>
      <c r="I267" s="17"/>
      <c r="J267" s="7"/>
      <c r="K267" s="18"/>
      <c r="L267" s="18"/>
      <c r="M267" s="18"/>
      <c r="N267" s="18"/>
      <c r="O267" s="18"/>
      <c r="P267" s="18"/>
      <c r="Q267" s="7"/>
      <c r="R267" s="7"/>
      <c r="S267" s="17"/>
      <c r="T267" s="7"/>
    </row>
    <row r="268" spans="1:20" s="11" customFormat="1" ht="16" x14ac:dyDescent="0.2">
      <c r="A268" s="16" t="str">
        <f>B260</f>
        <v>treatment of electrolyzer balance of plant, 1MWe, PEM</v>
      </c>
      <c r="B268" s="12">
        <v>-1</v>
      </c>
      <c r="C268" s="11" t="s">
        <v>34</v>
      </c>
      <c r="D268" s="11" t="str">
        <f>B265</f>
        <v>unit</v>
      </c>
      <c r="F268" s="11" t="s">
        <v>16</v>
      </c>
      <c r="G268" s="11" t="str">
        <f>B263</f>
        <v>used electrolyzer balance of plant, 1MWe, PEM</v>
      </c>
      <c r="K268" s="12"/>
      <c r="L268" s="12"/>
      <c r="M268" s="12"/>
      <c r="N268" s="12"/>
      <c r="O268" s="12"/>
      <c r="P268" s="12"/>
    </row>
    <row r="269" spans="1:20" s="11" customFormat="1" ht="16" x14ac:dyDescent="0.2">
      <c r="A269" s="16" t="s">
        <v>204</v>
      </c>
      <c r="B269" s="11">
        <f>7523*-1</f>
        <v>-7523</v>
      </c>
      <c r="C269" s="11" t="s">
        <v>37</v>
      </c>
      <c r="D269" s="11" t="s">
        <v>13</v>
      </c>
      <c r="F269" s="11" t="s">
        <v>12</v>
      </c>
      <c r="G269" s="11" t="s">
        <v>205</v>
      </c>
      <c r="J269"/>
      <c r="K269" s="19"/>
      <c r="L269" s="19"/>
      <c r="M269" s="19"/>
      <c r="N269" s="19"/>
      <c r="O269" s="19"/>
      <c r="P269" s="19"/>
      <c r="Q269"/>
      <c r="R269"/>
    </row>
    <row r="270" spans="1:20" s="11" customFormat="1" ht="16" x14ac:dyDescent="0.2">
      <c r="A270" s="16" t="s">
        <v>449</v>
      </c>
      <c r="B270" s="11">
        <v>-3312</v>
      </c>
      <c r="C270" s="11" t="s">
        <v>217</v>
      </c>
      <c r="D270" s="11" t="s">
        <v>13</v>
      </c>
      <c r="F270" s="11" t="s">
        <v>12</v>
      </c>
      <c r="G270" s="16" t="s">
        <v>216</v>
      </c>
      <c r="J270"/>
      <c r="K270" s="19"/>
      <c r="L270" s="19"/>
      <c r="M270" s="19"/>
      <c r="N270" s="19"/>
      <c r="O270" s="19"/>
      <c r="P270" s="19"/>
      <c r="Q270"/>
      <c r="R270"/>
    </row>
    <row r="271" spans="1:20" s="11" customFormat="1" ht="16" x14ac:dyDescent="0.2">
      <c r="A271" s="11" t="s">
        <v>206</v>
      </c>
      <c r="B271" s="11">
        <v>-260</v>
      </c>
      <c r="C271" s="11" t="s">
        <v>37</v>
      </c>
      <c r="D271" s="11" t="s">
        <v>13</v>
      </c>
      <c r="F271" s="11" t="s">
        <v>12</v>
      </c>
      <c r="G271" s="11" t="s">
        <v>207</v>
      </c>
      <c r="J271"/>
      <c r="K271" s="19"/>
      <c r="L271" s="19"/>
      <c r="M271" s="19"/>
      <c r="N271" s="19"/>
      <c r="O271" s="19"/>
      <c r="P271" s="19"/>
      <c r="Q271"/>
      <c r="R271"/>
    </row>
    <row r="272" spans="1:20" s="11" customFormat="1" ht="16" x14ac:dyDescent="0.2">
      <c r="A272" s="11" t="s">
        <v>226</v>
      </c>
      <c r="B272" s="11">
        <v>-32</v>
      </c>
      <c r="C272" s="11" t="s">
        <v>217</v>
      </c>
      <c r="D272" s="11" t="s">
        <v>13</v>
      </c>
      <c r="F272" s="11" t="s">
        <v>12</v>
      </c>
      <c r="G272" s="11" t="s">
        <v>227</v>
      </c>
      <c r="J272"/>
      <c r="K272" s="19"/>
      <c r="L272" s="19"/>
      <c r="M272" s="19"/>
      <c r="N272" s="19"/>
      <c r="O272" s="19"/>
      <c r="P272" s="19"/>
      <c r="Q272"/>
      <c r="R272"/>
    </row>
    <row r="273" spans="1:18" s="11" customFormat="1" ht="16" x14ac:dyDescent="0.2">
      <c r="A273" s="11" t="s">
        <v>218</v>
      </c>
      <c r="B273" s="11">
        <v>-14</v>
      </c>
      <c r="C273" s="11" t="s">
        <v>217</v>
      </c>
      <c r="D273" s="11" t="s">
        <v>13</v>
      </c>
      <c r="F273" s="11" t="s">
        <v>12</v>
      </c>
      <c r="G273" s="11" t="s">
        <v>450</v>
      </c>
      <c r="J273"/>
      <c r="K273" s="19"/>
      <c r="L273" s="19"/>
      <c r="M273" s="19"/>
      <c r="N273" s="19"/>
      <c r="O273" s="19"/>
      <c r="P273" s="19"/>
      <c r="Q273"/>
      <c r="R273"/>
    </row>
    <row r="274" spans="1:18" s="11" customFormat="1" ht="16" x14ac:dyDescent="0.2">
      <c r="A274" s="11" t="s">
        <v>219</v>
      </c>
      <c r="B274" s="11">
        <v>-8</v>
      </c>
      <c r="C274" s="11" t="s">
        <v>17</v>
      </c>
      <c r="D274" s="11" t="s">
        <v>13</v>
      </c>
      <c r="F274" s="11" t="s">
        <v>12</v>
      </c>
      <c r="G274" s="11" t="s">
        <v>220</v>
      </c>
      <c r="J274"/>
      <c r="K274" s="19"/>
      <c r="L274" s="19"/>
      <c r="M274" s="19"/>
      <c r="N274" s="19"/>
      <c r="O274" s="19"/>
      <c r="P274" s="19"/>
      <c r="Q274"/>
      <c r="R274"/>
    </row>
    <row r="275" spans="1:18" s="11" customFormat="1" ht="16" x14ac:dyDescent="0.2">
      <c r="A275" s="11" t="s">
        <v>221</v>
      </c>
      <c r="B275" s="11">
        <v>-764.6</v>
      </c>
      <c r="C275" s="11" t="s">
        <v>37</v>
      </c>
      <c r="D275" s="11" t="s">
        <v>13</v>
      </c>
      <c r="F275" s="11" t="s">
        <v>12</v>
      </c>
      <c r="G275" s="11" t="s">
        <v>452</v>
      </c>
      <c r="J275"/>
      <c r="K275" s="19"/>
      <c r="L275" s="19"/>
      <c r="M275" s="19"/>
      <c r="N275" s="19"/>
      <c r="O275" s="19"/>
      <c r="P275" s="19"/>
      <c r="Q275"/>
      <c r="R275"/>
    </row>
    <row r="276" spans="1:18" s="11" customFormat="1" ht="16" x14ac:dyDescent="0.2">
      <c r="A276" s="11" t="s">
        <v>451</v>
      </c>
      <c r="B276" s="11">
        <v>-600</v>
      </c>
      <c r="C276" s="11" t="s">
        <v>37</v>
      </c>
      <c r="D276" s="11" t="s">
        <v>13</v>
      </c>
      <c r="F276" s="11" t="s">
        <v>12</v>
      </c>
      <c r="G276" s="11" t="s">
        <v>222</v>
      </c>
      <c r="J276"/>
      <c r="K276" s="19"/>
      <c r="L276" s="19"/>
      <c r="M276" s="19"/>
      <c r="N276" s="19"/>
      <c r="O276" s="19"/>
      <c r="P276" s="19"/>
      <c r="Q276"/>
      <c r="R276"/>
    </row>
    <row r="277" spans="1:18" s="11" customFormat="1" ht="16" x14ac:dyDescent="0.2">
      <c r="A277" s="11" t="s">
        <v>208</v>
      </c>
      <c r="B277" s="11">
        <v>-345</v>
      </c>
      <c r="C277" s="11" t="s">
        <v>37</v>
      </c>
      <c r="D277" s="11" t="s">
        <v>13</v>
      </c>
      <c r="F277" s="11" t="s">
        <v>12</v>
      </c>
      <c r="G277" s="11" t="s">
        <v>209</v>
      </c>
      <c r="J277"/>
      <c r="K277" s="19"/>
      <c r="L277" s="19"/>
      <c r="M277" s="19"/>
      <c r="N277" s="19"/>
      <c r="O277" s="19"/>
      <c r="P277" s="19"/>
      <c r="Q277"/>
      <c r="R277"/>
    </row>
    <row r="278" spans="1:18" s="11" customFormat="1" ht="16" x14ac:dyDescent="0.2">
      <c r="A278" s="11" t="s">
        <v>210</v>
      </c>
      <c r="B278" s="11">
        <v>-147</v>
      </c>
      <c r="C278" s="11" t="s">
        <v>212</v>
      </c>
      <c r="D278" s="11" t="s">
        <v>13</v>
      </c>
      <c r="F278" s="11" t="s">
        <v>12</v>
      </c>
      <c r="G278" s="11" t="s">
        <v>211</v>
      </c>
      <c r="J278"/>
      <c r="K278" s="19"/>
      <c r="L278" s="19"/>
      <c r="M278" s="19"/>
      <c r="N278" s="19"/>
      <c r="O278" s="19"/>
      <c r="P278" s="19"/>
      <c r="Q278"/>
      <c r="R278"/>
    </row>
    <row r="279" spans="1:18" s="11" customFormat="1" ht="16" x14ac:dyDescent="0.2">
      <c r="A279" s="11" t="s">
        <v>448</v>
      </c>
      <c r="B279" s="11">
        <v>-5600</v>
      </c>
      <c r="C279" s="11" t="s">
        <v>37</v>
      </c>
      <c r="D279" s="11" t="s">
        <v>13</v>
      </c>
      <c r="F279" s="11" t="s">
        <v>12</v>
      </c>
      <c r="G279" s="11" t="s">
        <v>223</v>
      </c>
      <c r="J279"/>
      <c r="K279" s="19"/>
      <c r="L279" s="19"/>
      <c r="M279" s="19"/>
      <c r="N279" s="19"/>
      <c r="O279" s="19"/>
      <c r="P279" s="19"/>
      <c r="Q279"/>
      <c r="R279"/>
    </row>
    <row r="280" spans="1:18" s="11" customFormat="1" ht="16" x14ac:dyDescent="0.2">
      <c r="A280" s="11" t="s">
        <v>224</v>
      </c>
      <c r="B280" s="11">
        <v>-100</v>
      </c>
      <c r="C280" s="11" t="s">
        <v>217</v>
      </c>
      <c r="D280" s="11" t="s">
        <v>13</v>
      </c>
      <c r="F280" s="11" t="s">
        <v>12</v>
      </c>
      <c r="G280" s="11" t="s">
        <v>447</v>
      </c>
      <c r="J280"/>
      <c r="K280" s="19"/>
      <c r="L280" s="19"/>
      <c r="M280" s="19"/>
      <c r="N280" s="19"/>
      <c r="O280" s="19"/>
      <c r="P280" s="19"/>
      <c r="Q280"/>
      <c r="R280"/>
    </row>
    <row r="281" spans="1:18" s="11" customFormat="1" ht="16" x14ac:dyDescent="0.2">
      <c r="B281" s="16"/>
      <c r="K281" s="12"/>
      <c r="L281" s="12"/>
      <c r="M281" s="12"/>
      <c r="N281" s="12"/>
      <c r="O281" s="12"/>
      <c r="P281" s="12"/>
    </row>
    <row r="282" spans="1:18" s="11" customFormat="1" ht="16" x14ac:dyDescent="0.2">
      <c r="A282" s="8" t="s">
        <v>1</v>
      </c>
      <c r="B282" s="9" t="s">
        <v>439</v>
      </c>
      <c r="C282" s="10"/>
      <c r="K282" s="12"/>
      <c r="L282" s="12"/>
      <c r="M282" s="12"/>
      <c r="N282" s="12"/>
      <c r="O282" s="12"/>
      <c r="P282" s="12"/>
    </row>
    <row r="283" spans="1:18" s="11" customFormat="1" ht="16" x14ac:dyDescent="0.2">
      <c r="A283" s="13" t="s">
        <v>3</v>
      </c>
      <c r="B283" s="14">
        <v>1</v>
      </c>
      <c r="K283" s="12"/>
      <c r="L283" s="12"/>
      <c r="M283" s="12"/>
      <c r="N283" s="12"/>
      <c r="O283" s="12"/>
      <c r="P283" s="12"/>
    </row>
    <row r="284" spans="1:18" s="11" customFormat="1" ht="16" x14ac:dyDescent="0.2">
      <c r="A284" s="13" t="s">
        <v>11</v>
      </c>
      <c r="B284" s="14" t="s">
        <v>436</v>
      </c>
      <c r="K284" s="12"/>
      <c r="L284" s="12"/>
      <c r="M284" s="12"/>
      <c r="N284" s="12"/>
      <c r="O284" s="12"/>
      <c r="P284" s="12"/>
    </row>
    <row r="285" spans="1:18" s="11" customFormat="1" ht="16" x14ac:dyDescent="0.2">
      <c r="A285" s="13" t="s">
        <v>4</v>
      </c>
      <c r="B285" s="15" t="s">
        <v>440</v>
      </c>
      <c r="K285" s="12"/>
      <c r="L285" s="12"/>
      <c r="M285" s="12"/>
      <c r="N285" s="12"/>
      <c r="O285" s="12"/>
      <c r="P285" s="12"/>
    </row>
    <row r="286" spans="1:18" s="11" customFormat="1" ht="16" x14ac:dyDescent="0.2">
      <c r="A286" s="13" t="s">
        <v>2</v>
      </c>
      <c r="B286" s="14" t="s">
        <v>45</v>
      </c>
      <c r="K286" s="12"/>
      <c r="L286" s="12"/>
      <c r="M286" s="12"/>
      <c r="N286" s="12"/>
      <c r="O286" s="12"/>
      <c r="P286" s="12"/>
    </row>
    <row r="287" spans="1:18" s="11" customFormat="1" ht="16" x14ac:dyDescent="0.2">
      <c r="A287" s="13" t="s">
        <v>6</v>
      </c>
      <c r="B287" s="16" t="s">
        <v>13</v>
      </c>
      <c r="H287" s="17"/>
      <c r="I287" s="17"/>
      <c r="J287" s="17"/>
      <c r="K287" s="12"/>
      <c r="L287" s="12"/>
      <c r="M287" s="12"/>
      <c r="N287" s="12"/>
      <c r="O287" s="12"/>
      <c r="P287" s="12"/>
    </row>
    <row r="288" spans="1:18" s="11" customFormat="1" ht="16" x14ac:dyDescent="0.2">
      <c r="A288" s="17" t="s">
        <v>7</v>
      </c>
      <c r="B288" s="9"/>
      <c r="C288" s="17"/>
      <c r="D288" s="17"/>
      <c r="E288" s="17"/>
      <c r="F288" s="17"/>
      <c r="G288" s="17"/>
      <c r="H288" s="10"/>
      <c r="I288" s="10"/>
      <c r="J288" s="10"/>
      <c r="K288" s="12"/>
      <c r="L288" s="12"/>
      <c r="M288" s="12"/>
      <c r="N288" s="12"/>
      <c r="O288" s="12"/>
      <c r="P288" s="12"/>
    </row>
    <row r="289" spans="1:21" s="11" customFormat="1" ht="16" x14ac:dyDescent="0.2">
      <c r="A289" s="17" t="s">
        <v>8</v>
      </c>
      <c r="B289" s="9" t="s">
        <v>9</v>
      </c>
      <c r="C289" s="17" t="s">
        <v>2</v>
      </c>
      <c r="D289" s="17" t="s">
        <v>6</v>
      </c>
      <c r="E289" s="17" t="s">
        <v>10</v>
      </c>
      <c r="F289" s="17" t="s">
        <v>5</v>
      </c>
      <c r="G289" s="17" t="s">
        <v>4</v>
      </c>
      <c r="H289" s="23" t="s">
        <v>11</v>
      </c>
      <c r="I289" s="17" t="s">
        <v>466</v>
      </c>
      <c r="J289" s="7" t="s">
        <v>467</v>
      </c>
      <c r="K289" s="18" t="s">
        <v>468</v>
      </c>
      <c r="L289" s="18" t="s">
        <v>469</v>
      </c>
      <c r="M289" s="18" t="s">
        <v>470</v>
      </c>
      <c r="N289" s="18" t="s">
        <v>471</v>
      </c>
      <c r="O289" s="18" t="s">
        <v>472</v>
      </c>
      <c r="P289" s="18" t="s">
        <v>473</v>
      </c>
      <c r="Q289" s="7" t="s">
        <v>474</v>
      </c>
      <c r="R289" s="7" t="s">
        <v>475</v>
      </c>
      <c r="S289" s="17" t="s">
        <v>476</v>
      </c>
      <c r="T289" s="7" t="s">
        <v>477</v>
      </c>
      <c r="U289" s="17" t="s">
        <v>46</v>
      </c>
    </row>
    <row r="290" spans="1:21" s="11" customFormat="1" ht="16" x14ac:dyDescent="0.2">
      <c r="A290" s="16" t="s">
        <v>439</v>
      </c>
      <c r="B290" s="16">
        <v>1</v>
      </c>
      <c r="C290" s="11" t="str">
        <f>B286</f>
        <v>CH</v>
      </c>
      <c r="D290" s="11" t="str">
        <f>B287</f>
        <v>kilogram</v>
      </c>
      <c r="E290" s="10"/>
      <c r="F290" s="11" t="s">
        <v>16</v>
      </c>
      <c r="G290" s="11" t="s">
        <v>440</v>
      </c>
      <c r="H290" s="10"/>
      <c r="I290" s="10"/>
      <c r="K290" s="12"/>
      <c r="L290" s="12"/>
      <c r="M290" s="12"/>
      <c r="N290" s="12"/>
      <c r="O290" s="12"/>
      <c r="P290" s="12"/>
      <c r="T290"/>
    </row>
    <row r="291" spans="1:21" s="11" customFormat="1" ht="16" x14ac:dyDescent="0.2">
      <c r="A291" s="16" t="str">
        <f>B303</f>
        <v>electrolyzer production, 1MWe, AEC, Stack</v>
      </c>
      <c r="B291" s="16">
        <f>(1/4259200)*4</f>
        <v>9.3914350112697222E-7</v>
      </c>
      <c r="C291" s="11" t="s">
        <v>34</v>
      </c>
      <c r="D291" s="11" t="s">
        <v>6</v>
      </c>
      <c r="F291" s="11" t="s">
        <v>12</v>
      </c>
      <c r="G291" s="11" t="s">
        <v>123</v>
      </c>
      <c r="H291" s="11" t="s">
        <v>486</v>
      </c>
      <c r="I291" s="11">
        <v>5</v>
      </c>
      <c r="J291" s="4">
        <f>B291</f>
        <v>9.3914350112697222E-7</v>
      </c>
      <c r="K291" s="19"/>
      <c r="L291" s="19"/>
      <c r="M291" s="19"/>
      <c r="N291" s="19"/>
      <c r="O291" s="19"/>
      <c r="P291" s="19"/>
      <c r="Q291"/>
      <c r="R291"/>
      <c r="S291" s="11">
        <f>(1/(32.5*8000*19.36))*4</f>
        <v>7.9465988556897644E-7</v>
      </c>
      <c r="T291" s="11">
        <f>(1/(22.5*8000*19.36))*4</f>
        <v>1.1478420569329661E-6</v>
      </c>
    </row>
    <row r="292" spans="1:21" s="11" customFormat="1" ht="16" x14ac:dyDescent="0.2">
      <c r="A292" s="16" t="str">
        <f>B332</f>
        <v>electrolyzer production, 1MWe, AEC, Balance of Plant</v>
      </c>
      <c r="B292" s="16">
        <f>1/4259200</f>
        <v>2.3478587528174306E-7</v>
      </c>
      <c r="C292" s="11" t="s">
        <v>34</v>
      </c>
      <c r="D292" s="11" t="s">
        <v>6</v>
      </c>
      <c r="F292" s="11" t="s">
        <v>12</v>
      </c>
      <c r="G292" s="11" t="s">
        <v>124</v>
      </c>
      <c r="H292" s="11" t="s">
        <v>487</v>
      </c>
      <c r="I292" s="11">
        <v>5</v>
      </c>
      <c r="J292" s="4">
        <f>B292</f>
        <v>2.3478587528174306E-7</v>
      </c>
      <c r="K292" s="19"/>
      <c r="L292" s="19"/>
      <c r="M292" s="19"/>
      <c r="N292" s="19"/>
      <c r="O292" s="19"/>
      <c r="P292" s="19"/>
      <c r="Q292"/>
      <c r="R292"/>
      <c r="S292" s="11">
        <f>(1/(32.5*8000*19.36))</f>
        <v>1.9866497139224411E-7</v>
      </c>
      <c r="T292" s="11">
        <f>(1/(22.5*8000*19.36))</f>
        <v>2.8696051423324152E-7</v>
      </c>
    </row>
    <row r="293" spans="1:21" s="11" customFormat="1" ht="16" x14ac:dyDescent="0.2">
      <c r="A293" s="16" t="s">
        <v>508</v>
      </c>
      <c r="B293" s="16">
        <f>-1*B291</f>
        <v>-9.3914350112697222E-7</v>
      </c>
      <c r="C293" s="11" t="s">
        <v>34</v>
      </c>
      <c r="D293" s="11" t="s">
        <v>6</v>
      </c>
      <c r="F293" s="11" t="s">
        <v>12</v>
      </c>
      <c r="G293" s="11" t="s">
        <v>509</v>
      </c>
      <c r="H293" s="11" t="s">
        <v>215</v>
      </c>
      <c r="I293" s="11">
        <v>5</v>
      </c>
      <c r="J293" s="4">
        <f>B293</f>
        <v>-9.3914350112697222E-7</v>
      </c>
      <c r="K293" s="19"/>
      <c r="L293" s="19"/>
      <c r="M293" s="19"/>
      <c r="N293" s="19"/>
      <c r="O293" s="19"/>
      <c r="P293" s="19"/>
      <c r="Q293"/>
      <c r="R293"/>
      <c r="S293" s="11">
        <f>-1*T291</f>
        <v>-1.1478420569329661E-6</v>
      </c>
      <c r="T293" s="11">
        <f>-1*S291</f>
        <v>-7.9465988556897644E-7</v>
      </c>
      <c r="U293" s="11" t="b">
        <v>1</v>
      </c>
    </row>
    <row r="294" spans="1:21" s="11" customFormat="1" ht="16" x14ac:dyDescent="0.2">
      <c r="A294" s="16" t="s">
        <v>510</v>
      </c>
      <c r="B294" s="16">
        <f>-1*B292</f>
        <v>-2.3478587528174306E-7</v>
      </c>
      <c r="C294" s="11" t="s">
        <v>34</v>
      </c>
      <c r="D294" s="11" t="s">
        <v>6</v>
      </c>
      <c r="F294" s="11" t="s">
        <v>12</v>
      </c>
      <c r="G294" s="11" t="s">
        <v>511</v>
      </c>
      <c r="H294" s="11" t="s">
        <v>225</v>
      </c>
      <c r="I294" s="11">
        <v>5</v>
      </c>
      <c r="J294" s="4">
        <f>B294</f>
        <v>-2.3478587528174306E-7</v>
      </c>
      <c r="K294" s="19"/>
      <c r="L294" s="19"/>
      <c r="M294" s="19"/>
      <c r="N294" s="19"/>
      <c r="O294" s="19"/>
      <c r="P294" s="19"/>
      <c r="Q294"/>
      <c r="R294"/>
      <c r="S294" s="11">
        <f>-1*T292</f>
        <v>-2.8696051423324152E-7</v>
      </c>
      <c r="T294" s="11">
        <f>-1*S292</f>
        <v>-1.9866497139224411E-7</v>
      </c>
      <c r="U294" s="11" t="b">
        <v>1</v>
      </c>
    </row>
    <row r="295" spans="1:21" s="11" customFormat="1" ht="16" x14ac:dyDescent="0.2">
      <c r="A295" s="13" t="s">
        <v>50</v>
      </c>
      <c r="B295" s="16">
        <v>51.8</v>
      </c>
      <c r="C295" s="11" t="s">
        <v>45</v>
      </c>
      <c r="D295" s="11" t="s">
        <v>35</v>
      </c>
      <c r="E295" s="10"/>
      <c r="F295" s="11" t="s">
        <v>12</v>
      </c>
      <c r="G295" s="11" t="s">
        <v>36</v>
      </c>
      <c r="H295" s="10" t="s">
        <v>482</v>
      </c>
      <c r="I295" s="11">
        <v>5</v>
      </c>
      <c r="J295" s="4">
        <f>B295</f>
        <v>51.8</v>
      </c>
      <c r="K295" s="19"/>
      <c r="L295" s="19"/>
      <c r="M295" s="19"/>
      <c r="N295" s="19"/>
      <c r="O295" s="19"/>
      <c r="P295" s="19"/>
      <c r="Q295"/>
      <c r="R295"/>
      <c r="S295" s="11">
        <v>48.7</v>
      </c>
      <c r="T295" s="11">
        <v>54.9</v>
      </c>
    </row>
    <row r="296" spans="1:21" s="11" customFormat="1" ht="16" x14ac:dyDescent="0.2">
      <c r="A296" s="13" t="s">
        <v>125</v>
      </c>
      <c r="B296" s="16">
        <v>3.7000000000000002E-3</v>
      </c>
      <c r="C296" s="11" t="s">
        <v>17</v>
      </c>
      <c r="D296" s="11" t="s">
        <v>13</v>
      </c>
      <c r="E296" s="10"/>
      <c r="F296" s="11" t="s">
        <v>12</v>
      </c>
      <c r="G296" s="13" t="s">
        <v>126</v>
      </c>
      <c r="H296" s="10" t="s">
        <v>127</v>
      </c>
      <c r="J296"/>
      <c r="K296" s="19"/>
      <c r="L296" s="19"/>
      <c r="M296" s="19"/>
      <c r="N296" s="19"/>
      <c r="O296" s="19"/>
      <c r="P296" s="19"/>
      <c r="Q296"/>
      <c r="R296"/>
    </row>
    <row r="297" spans="1:21" s="11" customFormat="1" ht="16" x14ac:dyDescent="0.2">
      <c r="A297" s="13" t="s">
        <v>516</v>
      </c>
      <c r="B297" s="16">
        <v>14</v>
      </c>
      <c r="C297" s="11" t="s">
        <v>34</v>
      </c>
      <c r="D297" s="11" t="s">
        <v>13</v>
      </c>
      <c r="F297" s="11" t="s">
        <v>12</v>
      </c>
      <c r="G297" s="11" t="s">
        <v>517</v>
      </c>
      <c r="H297" s="20" t="s">
        <v>54</v>
      </c>
      <c r="J297"/>
      <c r="K297" s="19"/>
      <c r="L297" s="19"/>
      <c r="M297" s="19"/>
      <c r="N297" s="19"/>
      <c r="O297" s="19"/>
      <c r="P297" s="19"/>
      <c r="Q297"/>
      <c r="R297"/>
    </row>
    <row r="298" spans="1:21" s="11" customFormat="1" ht="16" x14ac:dyDescent="0.2">
      <c r="A298" s="21" t="s">
        <v>38</v>
      </c>
      <c r="B298" s="15">
        <v>8</v>
      </c>
      <c r="C298" s="21"/>
      <c r="D298" s="21" t="s">
        <v>13</v>
      </c>
      <c r="E298" s="21" t="s">
        <v>39</v>
      </c>
      <c r="F298" s="21" t="s">
        <v>14</v>
      </c>
      <c r="G298" s="21"/>
      <c r="H298" s="22"/>
      <c r="J298"/>
      <c r="K298" s="19"/>
      <c r="L298" s="19"/>
      <c r="M298" s="19"/>
      <c r="N298" s="19"/>
      <c r="O298" s="19"/>
      <c r="P298" s="19"/>
      <c r="Q298" s="19"/>
      <c r="R298"/>
    </row>
    <row r="299" spans="1:21" s="11" customFormat="1" ht="16" x14ac:dyDescent="0.2">
      <c r="A299" s="47" t="s">
        <v>456</v>
      </c>
      <c r="B299" s="48">
        <f>(0.12*1000)/(4259200/27.5)</f>
        <v>7.7479338842975209E-4</v>
      </c>
      <c r="C299" s="47"/>
      <c r="D299" s="47" t="s">
        <v>453</v>
      </c>
      <c r="E299" s="47" t="s">
        <v>454</v>
      </c>
      <c r="F299" s="47" t="s">
        <v>14</v>
      </c>
      <c r="H299" s="47" t="s">
        <v>462</v>
      </c>
      <c r="I299" s="11">
        <v>2</v>
      </c>
      <c r="J299">
        <f t="shared" ref="J299:J301" si="16">LN(B299)</f>
        <v>-7.1629141597283583</v>
      </c>
      <c r="K299" s="19">
        <v>1.05</v>
      </c>
      <c r="L299" s="19">
        <v>1.1000000000000001</v>
      </c>
      <c r="M299" s="19">
        <v>1</v>
      </c>
      <c r="N299" s="19">
        <v>1.02</v>
      </c>
      <c r="O299" s="19">
        <v>1.2</v>
      </c>
      <c r="P299" s="19">
        <v>1.2</v>
      </c>
      <c r="Q299" s="19">
        <v>1.5</v>
      </c>
      <c r="R299">
        <f t="shared" ref="R299:R301" si="17">LN(SQRT(EXP(
SQRT(
+POWER(LN(K299),2)
+POWER(LN(L299),2)
+POWER(LN(M299),2)
+POWER(LN(N299),2)
+POWER(LN(O299),2)
+POWER(LN(P299),2)
+POWER(LN(Q299),2)
)
)))</f>
        <v>0.24634371748562628</v>
      </c>
    </row>
    <row r="300" spans="1:21" s="11" customFormat="1" ht="16" x14ac:dyDescent="0.2">
      <c r="A300" s="47" t="s">
        <v>458</v>
      </c>
      <c r="B300" s="48">
        <f>(0.12*1000)/4259200</f>
        <v>2.8174305033809167E-5</v>
      </c>
      <c r="C300" s="47"/>
      <c r="D300" s="47" t="s">
        <v>459</v>
      </c>
      <c r="E300" s="47" t="s">
        <v>454</v>
      </c>
      <c r="F300" s="47" t="s">
        <v>14</v>
      </c>
      <c r="H300" s="47" t="s">
        <v>463</v>
      </c>
      <c r="I300" s="11">
        <v>2</v>
      </c>
      <c r="J300">
        <f t="shared" si="16"/>
        <v>-10.477100164400884</v>
      </c>
      <c r="K300" s="19">
        <v>1.05</v>
      </c>
      <c r="L300" s="19">
        <v>1.1000000000000001</v>
      </c>
      <c r="M300" s="19">
        <v>1</v>
      </c>
      <c r="N300" s="19">
        <v>1.02</v>
      </c>
      <c r="O300" s="19">
        <v>1.2</v>
      </c>
      <c r="P300" s="19">
        <v>1.2</v>
      </c>
      <c r="Q300" s="19">
        <v>1.5</v>
      </c>
      <c r="R300">
        <f t="shared" si="17"/>
        <v>0.24634371748562628</v>
      </c>
    </row>
    <row r="301" spans="1:21" s="11" customFormat="1" ht="16" x14ac:dyDescent="0.2">
      <c r="A301" s="47" t="s">
        <v>461</v>
      </c>
      <c r="B301" s="48">
        <f>(0.12*1000)/4259200</f>
        <v>2.8174305033809167E-5</v>
      </c>
      <c r="C301" s="47"/>
      <c r="D301" s="47" t="s">
        <v>459</v>
      </c>
      <c r="E301" s="47" t="s">
        <v>454</v>
      </c>
      <c r="F301" s="47" t="s">
        <v>14</v>
      </c>
      <c r="H301" s="47" t="s">
        <v>463</v>
      </c>
      <c r="I301" s="11">
        <v>2</v>
      </c>
      <c r="J301">
        <f t="shared" si="16"/>
        <v>-10.477100164400884</v>
      </c>
      <c r="K301" s="19">
        <v>1.05</v>
      </c>
      <c r="L301" s="19">
        <v>1.1000000000000001</v>
      </c>
      <c r="M301" s="19">
        <v>1</v>
      </c>
      <c r="N301" s="19">
        <v>1.02</v>
      </c>
      <c r="O301" s="19">
        <v>1.2</v>
      </c>
      <c r="P301" s="19">
        <v>1.2</v>
      </c>
      <c r="Q301" s="19">
        <v>1.5</v>
      </c>
      <c r="R301">
        <f t="shared" si="17"/>
        <v>0.24634371748562628</v>
      </c>
    </row>
    <row r="302" spans="1:21" s="11" customFormat="1" ht="16" x14ac:dyDescent="0.2">
      <c r="B302" s="16"/>
      <c r="K302" s="12"/>
      <c r="L302" s="12"/>
      <c r="M302" s="12"/>
      <c r="N302" s="12"/>
      <c r="O302" s="12"/>
      <c r="P302" s="12"/>
    </row>
    <row r="303" spans="1:21" s="11" customFormat="1" ht="16" x14ac:dyDescent="0.2">
      <c r="A303" s="8" t="s">
        <v>1</v>
      </c>
      <c r="B303" s="9" t="s">
        <v>128</v>
      </c>
      <c r="K303" s="12"/>
      <c r="L303" s="12"/>
      <c r="M303" s="12"/>
      <c r="N303" s="12"/>
      <c r="O303" s="12"/>
      <c r="P303" s="12"/>
    </row>
    <row r="304" spans="1:21" s="11" customFormat="1" ht="16" x14ac:dyDescent="0.2">
      <c r="A304" s="13" t="s">
        <v>3</v>
      </c>
      <c r="B304" s="14">
        <v>1</v>
      </c>
      <c r="K304" s="12"/>
      <c r="L304" s="12"/>
      <c r="M304" s="12"/>
      <c r="N304" s="12"/>
      <c r="O304" s="12"/>
      <c r="P304" s="12"/>
    </row>
    <row r="305" spans="1:20" s="11" customFormat="1" ht="16" x14ac:dyDescent="0.2">
      <c r="A305" s="13" t="s">
        <v>11</v>
      </c>
      <c r="B305" s="14" t="s">
        <v>129</v>
      </c>
      <c r="K305" s="12"/>
      <c r="L305" s="12"/>
      <c r="M305" s="12"/>
      <c r="N305" s="12"/>
      <c r="O305" s="12"/>
      <c r="P305" s="12"/>
    </row>
    <row r="306" spans="1:20" s="11" customFormat="1" ht="16" x14ac:dyDescent="0.2">
      <c r="A306" s="13" t="s">
        <v>4</v>
      </c>
      <c r="B306" s="16" t="s">
        <v>123</v>
      </c>
      <c r="K306" s="12"/>
      <c r="L306" s="12"/>
      <c r="M306" s="12"/>
      <c r="N306" s="12"/>
      <c r="O306" s="12"/>
      <c r="P306" s="12"/>
    </row>
    <row r="307" spans="1:20" s="11" customFormat="1" ht="16" x14ac:dyDescent="0.2">
      <c r="A307" s="13" t="s">
        <v>2</v>
      </c>
      <c r="B307" s="14" t="s">
        <v>34</v>
      </c>
      <c r="K307" s="12"/>
      <c r="L307" s="12"/>
      <c r="M307" s="12"/>
      <c r="N307" s="12"/>
      <c r="O307" s="12"/>
      <c r="P307" s="12"/>
    </row>
    <row r="308" spans="1:20" s="11" customFormat="1" ht="16" x14ac:dyDescent="0.2">
      <c r="A308" s="13" t="s">
        <v>6</v>
      </c>
      <c r="B308" s="16" t="s">
        <v>6</v>
      </c>
      <c r="K308" s="12"/>
      <c r="L308" s="12"/>
      <c r="M308" s="12"/>
      <c r="N308" s="12"/>
      <c r="O308" s="12"/>
      <c r="P308" s="12"/>
    </row>
    <row r="309" spans="1:20" s="11" customFormat="1" ht="16" x14ac:dyDescent="0.2">
      <c r="A309" s="17" t="s">
        <v>7</v>
      </c>
      <c r="B309" s="9"/>
      <c r="C309" s="17"/>
      <c r="D309" s="17"/>
      <c r="E309" s="17"/>
      <c r="F309" s="17"/>
      <c r="G309" s="17"/>
      <c r="H309" s="17"/>
      <c r="I309" s="17"/>
      <c r="J309" s="17"/>
      <c r="K309" s="12"/>
      <c r="L309" s="12"/>
      <c r="M309" s="12"/>
      <c r="N309" s="12"/>
      <c r="O309" s="12"/>
      <c r="P309" s="12"/>
    </row>
    <row r="310" spans="1:20" s="11" customFormat="1" ht="16" x14ac:dyDescent="0.2">
      <c r="A310" s="17" t="s">
        <v>8</v>
      </c>
      <c r="B310" s="9" t="s">
        <v>9</v>
      </c>
      <c r="C310" s="17" t="s">
        <v>2</v>
      </c>
      <c r="D310" s="17" t="s">
        <v>6</v>
      </c>
      <c r="E310" s="23" t="s">
        <v>10</v>
      </c>
      <c r="F310" s="17" t="s">
        <v>5</v>
      </c>
      <c r="G310" s="17" t="s">
        <v>4</v>
      </c>
      <c r="H310" s="23" t="s">
        <v>11</v>
      </c>
      <c r="I310" s="17"/>
      <c r="J310" s="7"/>
      <c r="K310" s="18"/>
      <c r="L310" s="18"/>
      <c r="M310" s="18"/>
      <c r="N310" s="18"/>
      <c r="O310" s="18"/>
      <c r="P310" s="18"/>
      <c r="Q310" s="7"/>
      <c r="R310" s="7"/>
      <c r="S310" s="17"/>
      <c r="T310" s="7"/>
    </row>
    <row r="311" spans="1:20" s="11" customFormat="1" ht="16" x14ac:dyDescent="0.2">
      <c r="A311" s="16" t="str">
        <f>B303</f>
        <v>electrolyzer production, 1MWe, AEC, Stack</v>
      </c>
      <c r="B311" s="16">
        <v>1</v>
      </c>
      <c r="C311" s="11" t="s">
        <v>34</v>
      </c>
      <c r="D311" s="11" t="str">
        <f>B308</f>
        <v>unit</v>
      </c>
      <c r="F311" s="11" t="s">
        <v>16</v>
      </c>
      <c r="G311" s="11" t="str">
        <f>B306</f>
        <v>electrolyzer, 1MWe, AEC, Stack</v>
      </c>
      <c r="K311" s="12"/>
      <c r="L311" s="12"/>
      <c r="M311" s="12"/>
      <c r="N311" s="12"/>
      <c r="O311" s="12"/>
      <c r="P311" s="12"/>
    </row>
    <row r="312" spans="1:20" s="11" customFormat="1" ht="16" x14ac:dyDescent="0.2">
      <c r="A312" s="11" t="s">
        <v>21</v>
      </c>
      <c r="B312" s="12">
        <v>144.19999999999999</v>
      </c>
      <c r="C312" s="11" t="s">
        <v>17</v>
      </c>
      <c r="D312" s="11" t="s">
        <v>13</v>
      </c>
      <c r="F312" s="11" t="s">
        <v>12</v>
      </c>
      <c r="G312" s="11" t="s">
        <v>22</v>
      </c>
      <c r="H312" s="11" t="s">
        <v>78</v>
      </c>
      <c r="J312"/>
      <c r="K312" s="19"/>
      <c r="L312" s="19"/>
      <c r="M312" s="19"/>
      <c r="N312" s="19"/>
      <c r="O312" s="19"/>
      <c r="P312" s="19"/>
      <c r="Q312"/>
      <c r="R312"/>
    </row>
    <row r="313" spans="1:20" s="11" customFormat="1" ht="16" x14ac:dyDescent="0.2">
      <c r="A313" s="11" t="s">
        <v>73</v>
      </c>
      <c r="B313" s="12">
        <v>20194.400000000001</v>
      </c>
      <c r="C313" s="11" t="s">
        <v>17</v>
      </c>
      <c r="D313" s="11" t="s">
        <v>13</v>
      </c>
      <c r="F313" s="11" t="s">
        <v>12</v>
      </c>
      <c r="G313" s="11" t="s">
        <v>74</v>
      </c>
      <c r="H313" s="11" t="s">
        <v>130</v>
      </c>
      <c r="J313"/>
      <c r="K313" s="19"/>
      <c r="L313" s="19"/>
      <c r="M313" s="19"/>
      <c r="N313" s="19"/>
      <c r="O313" s="19"/>
      <c r="P313" s="19"/>
      <c r="Q313"/>
      <c r="R313"/>
    </row>
    <row r="314" spans="1:20" s="11" customFormat="1" ht="16" x14ac:dyDescent="0.2">
      <c r="A314" s="11" t="s">
        <v>20</v>
      </c>
      <c r="B314" s="12">
        <v>20194.400000000001</v>
      </c>
      <c r="C314" s="11" t="s">
        <v>17</v>
      </c>
      <c r="D314" s="11" t="s">
        <v>13</v>
      </c>
      <c r="F314" s="11" t="s">
        <v>12</v>
      </c>
      <c r="G314" s="11" t="s">
        <v>15</v>
      </c>
      <c r="H314" s="11" t="s">
        <v>130</v>
      </c>
      <c r="J314"/>
      <c r="K314" s="19"/>
      <c r="L314" s="19"/>
      <c r="M314" s="19"/>
      <c r="N314" s="19"/>
      <c r="O314" s="19"/>
      <c r="P314" s="19"/>
      <c r="Q314"/>
      <c r="R314"/>
    </row>
    <row r="315" spans="1:20" s="11" customFormat="1" ht="16" x14ac:dyDescent="0.2">
      <c r="A315" s="11" t="s">
        <v>131</v>
      </c>
      <c r="B315" s="12">
        <v>2884.9</v>
      </c>
      <c r="C315" s="11" t="s">
        <v>17</v>
      </c>
      <c r="D315" s="11" t="s">
        <v>13</v>
      </c>
      <c r="F315" s="11" t="s">
        <v>12</v>
      </c>
      <c r="G315" s="11" t="s">
        <v>132</v>
      </c>
      <c r="H315" s="11" t="s">
        <v>130</v>
      </c>
      <c r="J315"/>
      <c r="K315" s="19"/>
      <c r="L315" s="19"/>
      <c r="M315" s="19"/>
      <c r="N315" s="19"/>
      <c r="O315" s="19"/>
      <c r="P315" s="19"/>
      <c r="Q315"/>
      <c r="R315"/>
    </row>
    <row r="316" spans="1:20" s="11" customFormat="1" ht="16" x14ac:dyDescent="0.2">
      <c r="A316" s="11" t="s">
        <v>133</v>
      </c>
      <c r="B316" s="12">
        <v>48.8</v>
      </c>
      <c r="C316" s="11" t="s">
        <v>17</v>
      </c>
      <c r="D316" s="11" t="s">
        <v>13</v>
      </c>
      <c r="E316" s="10"/>
      <c r="F316" s="11" t="s">
        <v>12</v>
      </c>
      <c r="G316" s="10" t="s">
        <v>134</v>
      </c>
      <c r="H316" s="11" t="s">
        <v>135</v>
      </c>
      <c r="J316"/>
      <c r="K316" s="19"/>
      <c r="L316" s="19"/>
      <c r="M316" s="19"/>
      <c r="N316" s="19"/>
      <c r="O316" s="19"/>
      <c r="P316" s="19"/>
      <c r="Q316"/>
      <c r="R316"/>
    </row>
    <row r="317" spans="1:20" s="11" customFormat="1" ht="16" x14ac:dyDescent="0.2">
      <c r="A317" s="11" t="s">
        <v>136</v>
      </c>
      <c r="B317" s="12">
        <v>73</v>
      </c>
      <c r="C317" s="11" t="s">
        <v>17</v>
      </c>
      <c r="D317" s="11" t="s">
        <v>13</v>
      </c>
      <c r="E317" s="10"/>
      <c r="F317" s="11" t="s">
        <v>12</v>
      </c>
      <c r="G317" s="10" t="s">
        <v>137</v>
      </c>
      <c r="H317" s="11" t="s">
        <v>135</v>
      </c>
      <c r="J317"/>
      <c r="K317" s="19"/>
      <c r="L317" s="19"/>
      <c r="M317" s="19"/>
      <c r="N317" s="19"/>
      <c r="O317" s="19"/>
      <c r="P317" s="19"/>
      <c r="Q317"/>
      <c r="R317"/>
    </row>
    <row r="318" spans="1:20" s="11" customFormat="1" ht="16" x14ac:dyDescent="0.2">
      <c r="A318" s="11" t="s">
        <v>33</v>
      </c>
      <c r="B318" s="12">
        <v>95553.31568</v>
      </c>
      <c r="C318" s="11" t="s">
        <v>17</v>
      </c>
      <c r="D318" s="11" t="s">
        <v>35</v>
      </c>
      <c r="E318" s="10"/>
      <c r="F318" s="11" t="s">
        <v>12</v>
      </c>
      <c r="G318" s="10" t="s">
        <v>36</v>
      </c>
      <c r="H318" s="11" t="s">
        <v>79</v>
      </c>
      <c r="J318"/>
      <c r="K318" s="19"/>
      <c r="L318" s="19"/>
      <c r="M318" s="19"/>
      <c r="N318" s="19"/>
      <c r="O318" s="19"/>
      <c r="P318" s="19"/>
      <c r="Q318"/>
      <c r="R318"/>
    </row>
    <row r="319" spans="1:20" s="11" customFormat="1" ht="16" x14ac:dyDescent="0.2">
      <c r="B319" s="16"/>
      <c r="F319" s="10"/>
      <c r="G319" s="10"/>
      <c r="K319" s="12"/>
      <c r="L319" s="12"/>
      <c r="M319" s="12"/>
      <c r="N319" s="12"/>
      <c r="O319" s="12"/>
      <c r="P319" s="12"/>
    </row>
    <row r="320" spans="1:20" s="11" customFormat="1" ht="16" x14ac:dyDescent="0.2">
      <c r="A320" s="8" t="s">
        <v>1</v>
      </c>
      <c r="B320" s="9" t="s">
        <v>508</v>
      </c>
      <c r="K320" s="12"/>
      <c r="L320" s="12"/>
      <c r="M320" s="12"/>
      <c r="N320" s="12"/>
      <c r="O320" s="12"/>
      <c r="P320" s="12"/>
    </row>
    <row r="321" spans="1:20" s="11" customFormat="1" ht="16" x14ac:dyDescent="0.2">
      <c r="A321" s="13" t="s">
        <v>3</v>
      </c>
      <c r="B321" s="14">
        <v>1</v>
      </c>
      <c r="K321" s="12"/>
      <c r="L321" s="12"/>
      <c r="M321" s="12"/>
      <c r="N321" s="12"/>
      <c r="O321" s="12"/>
      <c r="P321" s="12"/>
    </row>
    <row r="322" spans="1:20" s="11" customFormat="1" ht="16" x14ac:dyDescent="0.2">
      <c r="A322" s="13" t="s">
        <v>11</v>
      </c>
      <c r="B322" s="14" t="s">
        <v>56</v>
      </c>
      <c r="K322" s="12"/>
      <c r="L322" s="12"/>
      <c r="M322" s="12"/>
      <c r="N322" s="12"/>
      <c r="O322" s="12"/>
      <c r="P322" s="12"/>
    </row>
    <row r="323" spans="1:20" s="11" customFormat="1" ht="16" x14ac:dyDescent="0.2">
      <c r="A323" s="13" t="s">
        <v>4</v>
      </c>
      <c r="B323" s="16" t="s">
        <v>509</v>
      </c>
      <c r="K323" s="12"/>
      <c r="L323" s="12"/>
      <c r="M323" s="12"/>
      <c r="N323" s="12"/>
      <c r="O323" s="12"/>
      <c r="P323" s="12"/>
    </row>
    <row r="324" spans="1:20" s="11" customFormat="1" ht="16" x14ac:dyDescent="0.2">
      <c r="A324" s="13" t="s">
        <v>2</v>
      </c>
      <c r="B324" s="14" t="s">
        <v>34</v>
      </c>
      <c r="K324" s="12"/>
      <c r="L324" s="12"/>
      <c r="M324" s="12"/>
      <c r="N324" s="12"/>
      <c r="O324" s="12"/>
      <c r="P324" s="12"/>
    </row>
    <row r="325" spans="1:20" s="11" customFormat="1" ht="16" x14ac:dyDescent="0.2">
      <c r="A325" s="13" t="s">
        <v>6</v>
      </c>
      <c r="B325" s="16" t="s">
        <v>6</v>
      </c>
      <c r="K325" s="12"/>
      <c r="L325" s="12"/>
      <c r="M325" s="12"/>
      <c r="N325" s="12"/>
      <c r="O325" s="12"/>
      <c r="P325" s="12"/>
    </row>
    <row r="326" spans="1:20" s="11" customFormat="1" ht="16" x14ac:dyDescent="0.2">
      <c r="A326" s="17" t="s">
        <v>7</v>
      </c>
      <c r="B326" s="9"/>
      <c r="C326" s="17"/>
      <c r="D326" s="17"/>
      <c r="E326" s="17"/>
      <c r="F326" s="17"/>
      <c r="G326" s="17"/>
      <c r="H326" s="17"/>
      <c r="I326" s="17"/>
      <c r="J326" s="17"/>
      <c r="K326" s="12"/>
      <c r="L326" s="12"/>
      <c r="M326" s="12"/>
      <c r="N326" s="12"/>
      <c r="O326" s="12"/>
      <c r="P326" s="12"/>
    </row>
    <row r="327" spans="1:20" s="11" customFormat="1" ht="16" x14ac:dyDescent="0.2">
      <c r="A327" s="17" t="s">
        <v>8</v>
      </c>
      <c r="B327" s="9" t="s">
        <v>9</v>
      </c>
      <c r="C327" s="17" t="s">
        <v>2</v>
      </c>
      <c r="D327" s="17" t="s">
        <v>6</v>
      </c>
      <c r="E327" s="23" t="s">
        <v>10</v>
      </c>
      <c r="F327" s="17" t="s">
        <v>5</v>
      </c>
      <c r="G327" s="17" t="s">
        <v>4</v>
      </c>
      <c r="H327" s="23" t="s">
        <v>11</v>
      </c>
      <c r="I327" s="17"/>
      <c r="J327" s="7"/>
      <c r="K327" s="18"/>
      <c r="L327" s="18"/>
      <c r="M327" s="18"/>
      <c r="N327" s="18"/>
      <c r="O327" s="18"/>
      <c r="P327" s="18"/>
      <c r="Q327" s="7"/>
      <c r="R327" s="7"/>
      <c r="S327" s="17"/>
      <c r="T327" s="7"/>
    </row>
    <row r="328" spans="1:20" s="11" customFormat="1" ht="16" x14ac:dyDescent="0.2">
      <c r="A328" s="16" t="str">
        <f>B320</f>
        <v>treatment of electrolyzer stack, 1MWe, AEC</v>
      </c>
      <c r="B328" s="12">
        <v>-1</v>
      </c>
      <c r="C328" s="11" t="s">
        <v>34</v>
      </c>
      <c r="D328" s="11" t="str">
        <f>B325</f>
        <v>unit</v>
      </c>
      <c r="F328" s="11" t="s">
        <v>16</v>
      </c>
      <c r="G328" s="11" t="str">
        <f>B323</f>
        <v>used electrolyzer stack, 1MWe, AEC</v>
      </c>
      <c r="K328" s="12"/>
      <c r="L328" s="12"/>
      <c r="M328" s="12"/>
      <c r="N328" s="12"/>
      <c r="O328" s="12"/>
      <c r="P328" s="12"/>
    </row>
    <row r="329" spans="1:20" s="11" customFormat="1" ht="16" x14ac:dyDescent="0.2">
      <c r="A329" s="16" t="s">
        <v>204</v>
      </c>
      <c r="B329" s="11">
        <f>-1*B314</f>
        <v>-20194.400000000001</v>
      </c>
      <c r="C329" s="11" t="s">
        <v>37</v>
      </c>
      <c r="D329" s="11" t="s">
        <v>13</v>
      </c>
      <c r="F329" s="11" t="s">
        <v>12</v>
      </c>
      <c r="G329" s="11" t="s">
        <v>205</v>
      </c>
      <c r="J329"/>
      <c r="K329" s="19"/>
      <c r="L329" s="19"/>
      <c r="M329" s="19"/>
      <c r="N329" s="19"/>
      <c r="O329" s="19"/>
      <c r="P329" s="19"/>
      <c r="Q329"/>
      <c r="R329"/>
    </row>
    <row r="330" spans="1:20" s="11" customFormat="1" ht="16" x14ac:dyDescent="0.2">
      <c r="A330" s="11" t="s">
        <v>210</v>
      </c>
      <c r="B330" s="11">
        <f>-1*SUM(B312,B316)</f>
        <v>-193</v>
      </c>
      <c r="C330" s="11" t="s">
        <v>212</v>
      </c>
      <c r="D330" s="11" t="s">
        <v>13</v>
      </c>
      <c r="F330" s="11" t="s">
        <v>12</v>
      </c>
      <c r="G330" s="11" t="s">
        <v>211</v>
      </c>
      <c r="J330"/>
      <c r="K330" s="19"/>
      <c r="L330" s="19"/>
      <c r="M330" s="19"/>
      <c r="N330" s="19"/>
      <c r="O330" s="19"/>
      <c r="P330" s="19"/>
      <c r="Q330"/>
      <c r="R330"/>
    </row>
    <row r="331" spans="1:20" s="11" customFormat="1" ht="16" x14ac:dyDescent="0.2">
      <c r="B331" s="16"/>
      <c r="K331" s="12"/>
      <c r="L331" s="12"/>
      <c r="M331" s="12"/>
      <c r="N331" s="12"/>
      <c r="O331" s="12"/>
      <c r="P331" s="12"/>
    </row>
    <row r="332" spans="1:20" s="11" customFormat="1" ht="16" x14ac:dyDescent="0.2">
      <c r="A332" s="8" t="s">
        <v>1</v>
      </c>
      <c r="B332" s="9" t="s">
        <v>138</v>
      </c>
      <c r="K332" s="24"/>
      <c r="L332" s="25"/>
      <c r="M332" s="12"/>
      <c r="N332" s="12"/>
      <c r="O332" s="12"/>
      <c r="P332" s="12"/>
    </row>
    <row r="333" spans="1:20" s="11" customFormat="1" ht="16" x14ac:dyDescent="0.2">
      <c r="A333" s="13" t="s">
        <v>3</v>
      </c>
      <c r="B333" s="14">
        <v>1</v>
      </c>
      <c r="K333" s="26"/>
      <c r="L333" s="25"/>
      <c r="M333" s="12"/>
      <c r="N333" s="12"/>
      <c r="O333" s="12"/>
      <c r="P333" s="12"/>
    </row>
    <row r="334" spans="1:20" s="11" customFormat="1" ht="16" x14ac:dyDescent="0.2">
      <c r="A334" s="13" t="s">
        <v>11</v>
      </c>
      <c r="B334" s="14" t="s">
        <v>139</v>
      </c>
      <c r="K334" s="12"/>
      <c r="L334" s="25"/>
      <c r="M334" s="12"/>
      <c r="N334" s="12"/>
      <c r="O334" s="12"/>
      <c r="P334" s="12"/>
    </row>
    <row r="335" spans="1:20" s="11" customFormat="1" ht="16" x14ac:dyDescent="0.2">
      <c r="A335" s="13" t="s">
        <v>4</v>
      </c>
      <c r="B335" s="16" t="s">
        <v>124</v>
      </c>
      <c r="K335" s="12"/>
      <c r="L335" s="12"/>
      <c r="M335" s="12"/>
      <c r="N335" s="12"/>
      <c r="O335" s="12"/>
      <c r="P335" s="12"/>
    </row>
    <row r="336" spans="1:20" s="11" customFormat="1" ht="16.25" customHeight="1" x14ac:dyDescent="0.2">
      <c r="A336" s="13" t="s">
        <v>2</v>
      </c>
      <c r="B336" s="14" t="s">
        <v>34</v>
      </c>
      <c r="K336" s="12"/>
      <c r="L336" s="12"/>
      <c r="M336" s="12"/>
      <c r="N336" s="12"/>
      <c r="O336" s="12"/>
      <c r="P336" s="12"/>
    </row>
    <row r="337" spans="1:20" s="11" customFormat="1" ht="16" x14ac:dyDescent="0.2">
      <c r="A337" s="13" t="s">
        <v>6</v>
      </c>
      <c r="B337" s="16" t="s">
        <v>6</v>
      </c>
      <c r="H337" s="17"/>
      <c r="I337" s="17"/>
      <c r="K337" s="12"/>
      <c r="L337" s="12"/>
      <c r="M337" s="12"/>
      <c r="N337" s="12"/>
      <c r="O337" s="12"/>
      <c r="P337" s="12"/>
    </row>
    <row r="338" spans="1:20" s="11" customFormat="1" ht="16" x14ac:dyDescent="0.2">
      <c r="A338" s="17" t="s">
        <v>7</v>
      </c>
      <c r="B338" s="9"/>
      <c r="C338" s="17"/>
      <c r="D338" s="17"/>
      <c r="E338" s="17"/>
      <c r="F338" s="17"/>
      <c r="G338" s="17"/>
      <c r="H338" s="10"/>
      <c r="I338" s="10"/>
      <c r="K338" s="12"/>
      <c r="L338" s="12"/>
      <c r="M338" s="12"/>
      <c r="N338" s="12"/>
      <c r="O338" s="12"/>
      <c r="P338" s="12"/>
    </row>
    <row r="339" spans="1:20" s="11" customFormat="1" ht="16" x14ac:dyDescent="0.2">
      <c r="A339" s="17" t="s">
        <v>8</v>
      </c>
      <c r="B339" s="9" t="s">
        <v>9</v>
      </c>
      <c r="C339" s="17" t="s">
        <v>2</v>
      </c>
      <c r="D339" s="17" t="s">
        <v>6</v>
      </c>
      <c r="E339" s="23" t="s">
        <v>10</v>
      </c>
      <c r="F339" s="17" t="s">
        <v>5</v>
      </c>
      <c r="G339" s="17" t="s">
        <v>4</v>
      </c>
      <c r="H339" s="23" t="s">
        <v>11</v>
      </c>
      <c r="I339" s="17"/>
      <c r="J339" s="7"/>
      <c r="K339" s="18"/>
      <c r="L339" s="18"/>
      <c r="M339" s="18"/>
      <c r="N339" s="18"/>
      <c r="O339" s="18"/>
      <c r="P339" s="18"/>
      <c r="Q339" s="7"/>
      <c r="R339" s="7"/>
      <c r="S339" s="17"/>
      <c r="T339" s="7"/>
    </row>
    <row r="340" spans="1:20" s="11" customFormat="1" ht="16" x14ac:dyDescent="0.2">
      <c r="A340" s="16" t="str">
        <f>B332</f>
        <v>electrolyzer production, 1MWe, AEC, Balance of Plant</v>
      </c>
      <c r="B340" s="16">
        <v>1</v>
      </c>
      <c r="C340" s="11" t="s">
        <v>34</v>
      </c>
      <c r="D340" s="11" t="s">
        <v>6</v>
      </c>
      <c r="F340" s="11" t="s">
        <v>16</v>
      </c>
      <c r="G340" s="16" t="str">
        <f>B335</f>
        <v>electrolyzer, 1MWe, AEC, Balance of Plant</v>
      </c>
      <c r="H340" s="10"/>
      <c r="I340" s="10"/>
      <c r="J340" s="10"/>
      <c r="K340" s="12"/>
      <c r="L340" s="12"/>
      <c r="M340" s="12"/>
      <c r="N340" s="12"/>
      <c r="O340" s="12"/>
      <c r="P340" s="12"/>
    </row>
    <row r="341" spans="1:20" s="11" customFormat="1" ht="16" x14ac:dyDescent="0.2">
      <c r="A341" s="11" t="s">
        <v>18</v>
      </c>
      <c r="B341" s="16">
        <v>100</v>
      </c>
      <c r="C341" s="11" t="s">
        <v>17</v>
      </c>
      <c r="D341" s="11" t="s">
        <v>13</v>
      </c>
      <c r="F341" s="11" t="s">
        <v>12</v>
      </c>
      <c r="G341" s="11" t="s">
        <v>19</v>
      </c>
      <c r="H341" s="27" t="s">
        <v>82</v>
      </c>
      <c r="J341"/>
      <c r="K341" s="19"/>
      <c r="L341" s="19"/>
      <c r="M341" s="19"/>
      <c r="N341" s="19"/>
      <c r="O341" s="19"/>
      <c r="P341" s="19"/>
      <c r="Q341"/>
      <c r="R341"/>
    </row>
    <row r="342" spans="1:20" s="11" customFormat="1" ht="16" x14ac:dyDescent="0.2">
      <c r="A342" s="11" t="s">
        <v>68</v>
      </c>
      <c r="B342" s="16">
        <v>200</v>
      </c>
      <c r="C342" s="11" t="s">
        <v>17</v>
      </c>
      <c r="D342" s="11" t="s">
        <v>13</v>
      </c>
      <c r="F342" s="11" t="s">
        <v>12</v>
      </c>
      <c r="G342" s="11" t="s">
        <v>69</v>
      </c>
      <c r="H342" s="27" t="s">
        <v>82</v>
      </c>
      <c r="J342"/>
      <c r="K342" s="19"/>
      <c r="L342" s="19"/>
      <c r="M342" s="19"/>
      <c r="N342" s="19"/>
      <c r="O342" s="19"/>
      <c r="P342" s="19"/>
      <c r="Q342"/>
      <c r="R342"/>
    </row>
    <row r="343" spans="1:20" s="11" customFormat="1" ht="16" x14ac:dyDescent="0.2">
      <c r="A343" s="11" t="s">
        <v>83</v>
      </c>
      <c r="B343" s="16">
        <v>600</v>
      </c>
      <c r="C343" s="11" t="s">
        <v>17</v>
      </c>
      <c r="D343" s="11" t="s">
        <v>13</v>
      </c>
      <c r="F343" s="11" t="s">
        <v>12</v>
      </c>
      <c r="G343" s="11" t="s">
        <v>40</v>
      </c>
      <c r="H343" s="27" t="s">
        <v>82</v>
      </c>
      <c r="J343"/>
      <c r="K343" s="19"/>
      <c r="L343" s="19"/>
      <c r="M343" s="19"/>
      <c r="N343" s="19"/>
      <c r="O343" s="19"/>
      <c r="P343" s="19"/>
      <c r="Q343"/>
      <c r="R343"/>
    </row>
    <row r="344" spans="1:20" s="11" customFormat="1" ht="16" x14ac:dyDescent="0.2">
      <c r="A344" s="11" t="s">
        <v>58</v>
      </c>
      <c r="B344" s="16">
        <v>100</v>
      </c>
      <c r="C344" s="11" t="s">
        <v>17</v>
      </c>
      <c r="D344" s="11" t="s">
        <v>13</v>
      </c>
      <c r="F344" s="11" t="s">
        <v>12</v>
      </c>
      <c r="G344" s="11" t="s">
        <v>41</v>
      </c>
      <c r="H344" s="27" t="s">
        <v>82</v>
      </c>
      <c r="J344"/>
      <c r="K344" s="19"/>
      <c r="L344" s="19"/>
      <c r="M344" s="19"/>
      <c r="N344" s="19"/>
      <c r="O344" s="19"/>
      <c r="P344" s="19"/>
      <c r="Q344"/>
      <c r="R344"/>
    </row>
    <row r="345" spans="1:20" s="11" customFormat="1" ht="16" x14ac:dyDescent="0.2">
      <c r="A345" s="11" t="s">
        <v>84</v>
      </c>
      <c r="B345" s="16">
        <v>600</v>
      </c>
      <c r="C345" s="11" t="s">
        <v>17</v>
      </c>
      <c r="D345" s="11" t="s">
        <v>13</v>
      </c>
      <c r="F345" s="11" t="s">
        <v>12</v>
      </c>
      <c r="G345" s="11" t="s">
        <v>42</v>
      </c>
      <c r="H345" s="27" t="s">
        <v>82</v>
      </c>
      <c r="J345"/>
      <c r="K345" s="19"/>
      <c r="L345" s="19"/>
      <c r="M345" s="19"/>
      <c r="N345" s="19"/>
      <c r="O345" s="19"/>
      <c r="P345" s="19"/>
      <c r="Q345"/>
      <c r="R345"/>
    </row>
    <row r="346" spans="1:20" s="11" customFormat="1" ht="16" x14ac:dyDescent="0.2">
      <c r="A346" s="11" t="s">
        <v>85</v>
      </c>
      <c r="B346" s="16">
        <v>100</v>
      </c>
      <c r="C346" s="11" t="s">
        <v>17</v>
      </c>
      <c r="D346" s="11" t="s">
        <v>13</v>
      </c>
      <c r="F346" s="11" t="s">
        <v>12</v>
      </c>
      <c r="G346" s="11" t="s">
        <v>43</v>
      </c>
      <c r="H346" s="27" t="s">
        <v>82</v>
      </c>
      <c r="J346"/>
      <c r="K346" s="19"/>
      <c r="L346" s="19"/>
      <c r="M346" s="19"/>
      <c r="N346" s="19"/>
      <c r="O346" s="19"/>
      <c r="P346" s="19"/>
      <c r="Q346"/>
      <c r="R346"/>
    </row>
    <row r="347" spans="1:20" s="11" customFormat="1" ht="16" x14ac:dyDescent="0.2">
      <c r="A347" s="11" t="s">
        <v>86</v>
      </c>
      <c r="B347" s="16">
        <v>200</v>
      </c>
      <c r="C347" s="11" t="s">
        <v>17</v>
      </c>
      <c r="D347" s="11" t="s">
        <v>13</v>
      </c>
      <c r="F347" s="11" t="s">
        <v>12</v>
      </c>
      <c r="G347" s="11" t="s">
        <v>44</v>
      </c>
      <c r="H347" s="27" t="s">
        <v>82</v>
      </c>
      <c r="J347"/>
      <c r="K347" s="19"/>
      <c r="L347" s="19"/>
      <c r="M347" s="19"/>
      <c r="N347" s="19"/>
      <c r="O347" s="19"/>
      <c r="P347" s="19"/>
      <c r="Q347"/>
      <c r="R347"/>
    </row>
    <row r="348" spans="1:20" s="11" customFormat="1" ht="16" x14ac:dyDescent="0.2">
      <c r="A348" s="11" t="s">
        <v>30</v>
      </c>
      <c r="B348" s="16">
        <v>100</v>
      </c>
      <c r="C348" s="11" t="s">
        <v>17</v>
      </c>
      <c r="D348" s="11" t="s">
        <v>13</v>
      </c>
      <c r="F348" s="11" t="s">
        <v>12</v>
      </c>
      <c r="G348" s="11" t="s">
        <v>29</v>
      </c>
      <c r="H348" s="10" t="s">
        <v>87</v>
      </c>
      <c r="J348"/>
      <c r="K348" s="19"/>
      <c r="L348" s="19"/>
      <c r="M348" s="19"/>
      <c r="N348" s="19"/>
      <c r="O348" s="19"/>
      <c r="P348" s="19"/>
      <c r="Q348"/>
      <c r="R348"/>
    </row>
    <row r="349" spans="1:20" s="11" customFormat="1" ht="16" x14ac:dyDescent="0.2">
      <c r="A349" s="11" t="s">
        <v>140</v>
      </c>
      <c r="B349" s="16">
        <v>464.6</v>
      </c>
      <c r="C349" s="11" t="s">
        <v>17</v>
      </c>
      <c r="D349" s="11" t="s">
        <v>13</v>
      </c>
      <c r="F349" s="11" t="s">
        <v>12</v>
      </c>
      <c r="G349" s="11" t="s">
        <v>141</v>
      </c>
      <c r="H349" s="10" t="s">
        <v>142</v>
      </c>
      <c r="J349"/>
      <c r="K349" s="19"/>
      <c r="L349" s="19"/>
      <c r="M349" s="19"/>
      <c r="N349" s="19"/>
      <c r="O349" s="19"/>
      <c r="P349" s="19"/>
      <c r="Q349"/>
      <c r="R349"/>
    </row>
    <row r="350" spans="1:20" s="11" customFormat="1" ht="16" x14ac:dyDescent="0.2">
      <c r="A350" s="11" t="s">
        <v>83</v>
      </c>
      <c r="B350" s="16">
        <v>696.8</v>
      </c>
      <c r="C350" s="11" t="s">
        <v>17</v>
      </c>
      <c r="D350" s="11" t="s">
        <v>13</v>
      </c>
      <c r="F350" s="11" t="s">
        <v>12</v>
      </c>
      <c r="G350" s="11" t="s">
        <v>40</v>
      </c>
      <c r="H350" s="10" t="s">
        <v>142</v>
      </c>
      <c r="J350"/>
      <c r="K350" s="19"/>
      <c r="L350" s="19"/>
      <c r="M350" s="19"/>
      <c r="N350" s="19"/>
      <c r="O350" s="19"/>
      <c r="P350" s="19"/>
      <c r="Q350"/>
      <c r="R350"/>
    </row>
    <row r="351" spans="1:20" s="11" customFormat="1" ht="16" x14ac:dyDescent="0.2">
      <c r="A351" s="11" t="s">
        <v>84</v>
      </c>
      <c r="B351" s="16">
        <v>696.8</v>
      </c>
      <c r="C351" s="11" t="s">
        <v>17</v>
      </c>
      <c r="D351" s="11" t="s">
        <v>13</v>
      </c>
      <c r="F351" s="11" t="s">
        <v>12</v>
      </c>
      <c r="G351" s="11" t="s">
        <v>42</v>
      </c>
      <c r="H351" s="10" t="s">
        <v>142</v>
      </c>
      <c r="J351"/>
      <c r="K351" s="19"/>
      <c r="L351" s="19"/>
      <c r="M351" s="19"/>
      <c r="N351" s="19"/>
      <c r="O351" s="19"/>
      <c r="P351" s="19"/>
      <c r="Q351"/>
      <c r="R351"/>
    </row>
    <row r="352" spans="1:20" s="11" customFormat="1" ht="16" x14ac:dyDescent="0.2">
      <c r="A352" s="11" t="s">
        <v>73</v>
      </c>
      <c r="B352" s="16">
        <v>232.3</v>
      </c>
      <c r="C352" s="11" t="s">
        <v>17</v>
      </c>
      <c r="D352" s="11" t="s">
        <v>13</v>
      </c>
      <c r="F352" s="11" t="s">
        <v>12</v>
      </c>
      <c r="G352" s="11" t="s">
        <v>74</v>
      </c>
      <c r="H352" s="10" t="s">
        <v>142</v>
      </c>
      <c r="J352"/>
      <c r="K352" s="19"/>
      <c r="L352" s="19"/>
      <c r="M352" s="19"/>
      <c r="N352" s="19"/>
      <c r="O352" s="19"/>
      <c r="P352" s="19"/>
      <c r="Q352"/>
      <c r="R352"/>
    </row>
    <row r="353" spans="1:18" s="11" customFormat="1" ht="16" x14ac:dyDescent="0.2">
      <c r="A353" s="11" t="s">
        <v>20</v>
      </c>
      <c r="B353" s="16">
        <v>232.3</v>
      </c>
      <c r="C353" s="11" t="s">
        <v>17</v>
      </c>
      <c r="D353" s="11" t="s">
        <v>13</v>
      </c>
      <c r="F353" s="11" t="s">
        <v>12</v>
      </c>
      <c r="G353" s="11" t="s">
        <v>15</v>
      </c>
      <c r="H353" s="10" t="s">
        <v>142</v>
      </c>
      <c r="J353"/>
      <c r="K353" s="19"/>
      <c r="L353" s="19"/>
      <c r="M353" s="19"/>
      <c r="N353" s="19"/>
      <c r="O353" s="19"/>
      <c r="P353" s="19"/>
      <c r="Q353"/>
      <c r="R353"/>
    </row>
    <row r="354" spans="1:18" s="11" customFormat="1" ht="16" x14ac:dyDescent="0.2">
      <c r="A354" s="11" t="s">
        <v>103</v>
      </c>
      <c r="B354" s="16">
        <v>464.6</v>
      </c>
      <c r="C354" s="11" t="s">
        <v>34</v>
      </c>
      <c r="D354" s="11" t="s">
        <v>13</v>
      </c>
      <c r="F354" s="11" t="s">
        <v>12</v>
      </c>
      <c r="G354" s="11" t="s">
        <v>103</v>
      </c>
      <c r="H354" s="10" t="s">
        <v>104</v>
      </c>
      <c r="J354"/>
      <c r="K354" s="19"/>
      <c r="L354" s="19"/>
      <c r="M354" s="19"/>
      <c r="N354" s="19"/>
      <c r="O354" s="19"/>
      <c r="P354" s="19"/>
      <c r="Q354"/>
      <c r="R354"/>
    </row>
    <row r="355" spans="1:18" s="11" customFormat="1" ht="16" x14ac:dyDescent="0.2">
      <c r="A355" s="11" t="s">
        <v>105</v>
      </c>
      <c r="B355" s="16">
        <v>464.6</v>
      </c>
      <c r="C355" s="11" t="s">
        <v>17</v>
      </c>
      <c r="D355" s="11" t="s">
        <v>13</v>
      </c>
      <c r="F355" s="11" t="s">
        <v>12</v>
      </c>
      <c r="G355" s="11" t="s">
        <v>106</v>
      </c>
      <c r="H355" s="10" t="s">
        <v>104</v>
      </c>
      <c r="J355"/>
      <c r="K355" s="19"/>
      <c r="L355" s="19"/>
      <c r="M355" s="19"/>
      <c r="N355" s="19"/>
      <c r="O355" s="19"/>
      <c r="P355" s="19"/>
      <c r="Q355"/>
      <c r="R355"/>
    </row>
    <row r="356" spans="1:18" s="11" customFormat="1" ht="16" x14ac:dyDescent="0.2">
      <c r="A356" s="11" t="s">
        <v>83</v>
      </c>
      <c r="B356" s="16">
        <v>232.3</v>
      </c>
      <c r="C356" s="11" t="s">
        <v>17</v>
      </c>
      <c r="D356" s="11" t="s">
        <v>13</v>
      </c>
      <c r="F356" s="11" t="s">
        <v>12</v>
      </c>
      <c r="G356" s="11" t="s">
        <v>40</v>
      </c>
      <c r="H356" s="10" t="s">
        <v>104</v>
      </c>
      <c r="J356"/>
      <c r="K356" s="19"/>
      <c r="L356" s="19"/>
      <c r="M356" s="19"/>
      <c r="N356" s="19"/>
      <c r="O356" s="19"/>
      <c r="P356" s="19"/>
      <c r="Q356"/>
      <c r="R356"/>
    </row>
    <row r="357" spans="1:18" s="11" customFormat="1" ht="16" x14ac:dyDescent="0.2">
      <c r="A357" s="11" t="s">
        <v>84</v>
      </c>
      <c r="B357" s="16">
        <v>232.3</v>
      </c>
      <c r="C357" s="11" t="s">
        <v>17</v>
      </c>
      <c r="D357" s="11" t="s">
        <v>13</v>
      </c>
      <c r="F357" s="11" t="s">
        <v>12</v>
      </c>
      <c r="G357" s="11" t="s">
        <v>42</v>
      </c>
      <c r="H357" s="10" t="s">
        <v>104</v>
      </c>
      <c r="J357"/>
      <c r="K357" s="19"/>
      <c r="L357" s="19"/>
      <c r="M357" s="19"/>
      <c r="N357" s="19"/>
      <c r="O357" s="19"/>
      <c r="P357" s="19"/>
      <c r="Q357"/>
      <c r="R357"/>
    </row>
    <row r="358" spans="1:18" s="11" customFormat="1" ht="16" x14ac:dyDescent="0.2">
      <c r="A358" s="11" t="s">
        <v>18</v>
      </c>
      <c r="B358" s="16">
        <v>60</v>
      </c>
      <c r="C358" s="11" t="s">
        <v>17</v>
      </c>
      <c r="D358" s="11" t="s">
        <v>13</v>
      </c>
      <c r="F358" s="11" t="s">
        <v>12</v>
      </c>
      <c r="G358" s="11" t="s">
        <v>19</v>
      </c>
      <c r="H358" s="10" t="s">
        <v>107</v>
      </c>
      <c r="J358"/>
      <c r="K358" s="19"/>
      <c r="L358" s="19"/>
      <c r="M358" s="19"/>
      <c r="N358" s="19"/>
      <c r="O358" s="19"/>
      <c r="P358" s="19"/>
      <c r="Q358"/>
      <c r="R358"/>
    </row>
    <row r="359" spans="1:18" s="11" customFormat="1" ht="16" x14ac:dyDescent="0.2">
      <c r="A359" s="11" t="s">
        <v>68</v>
      </c>
      <c r="B359" s="16">
        <v>45</v>
      </c>
      <c r="C359" s="11" t="s">
        <v>17</v>
      </c>
      <c r="D359" s="11" t="s">
        <v>13</v>
      </c>
      <c r="F359" s="11" t="s">
        <v>12</v>
      </c>
      <c r="G359" s="11" t="s">
        <v>69</v>
      </c>
      <c r="H359" s="10" t="s">
        <v>107</v>
      </c>
      <c r="J359"/>
      <c r="K359" s="19"/>
      <c r="L359" s="19"/>
      <c r="M359" s="19"/>
      <c r="N359" s="19"/>
      <c r="O359" s="19"/>
      <c r="P359" s="19"/>
      <c r="Q359"/>
      <c r="R359"/>
    </row>
    <row r="360" spans="1:18" s="11" customFormat="1" ht="16" x14ac:dyDescent="0.2">
      <c r="A360" s="11" t="s">
        <v>83</v>
      </c>
      <c r="B360" s="16">
        <v>180</v>
      </c>
      <c r="C360" s="11" t="s">
        <v>17</v>
      </c>
      <c r="D360" s="11" t="s">
        <v>13</v>
      </c>
      <c r="F360" s="11" t="s">
        <v>12</v>
      </c>
      <c r="G360" s="11" t="s">
        <v>40</v>
      </c>
      <c r="H360" s="10" t="s">
        <v>107</v>
      </c>
      <c r="J360"/>
      <c r="K360" s="19"/>
      <c r="L360" s="19"/>
      <c r="M360" s="19"/>
      <c r="N360" s="19"/>
      <c r="O360" s="19"/>
      <c r="P360" s="19"/>
      <c r="Q360"/>
      <c r="R360"/>
    </row>
    <row r="361" spans="1:18" s="11" customFormat="1" ht="16" x14ac:dyDescent="0.2">
      <c r="A361" s="11" t="s">
        <v>85</v>
      </c>
      <c r="B361" s="16">
        <v>15</v>
      </c>
      <c r="C361" s="11" t="s">
        <v>17</v>
      </c>
      <c r="D361" s="11" t="s">
        <v>13</v>
      </c>
      <c r="F361" s="11" t="s">
        <v>12</v>
      </c>
      <c r="G361" s="11" t="s">
        <v>43</v>
      </c>
      <c r="H361" s="10" t="s">
        <v>107</v>
      </c>
      <c r="J361"/>
      <c r="K361" s="19"/>
      <c r="L361" s="19"/>
      <c r="M361" s="19"/>
      <c r="N361" s="19"/>
      <c r="O361" s="19"/>
      <c r="P361" s="19"/>
      <c r="Q361"/>
      <c r="R361"/>
    </row>
    <row r="362" spans="1:18" s="11" customFormat="1" ht="16" x14ac:dyDescent="0.2">
      <c r="A362" s="11" t="s">
        <v>86</v>
      </c>
      <c r="B362" s="16">
        <v>45</v>
      </c>
      <c r="C362" s="11" t="s">
        <v>17</v>
      </c>
      <c r="D362" s="11" t="s">
        <v>13</v>
      </c>
      <c r="F362" s="11" t="s">
        <v>12</v>
      </c>
      <c r="G362" s="11" t="s">
        <v>44</v>
      </c>
      <c r="H362" s="10" t="s">
        <v>107</v>
      </c>
      <c r="J362"/>
      <c r="K362" s="19"/>
      <c r="L362" s="19"/>
      <c r="M362" s="19"/>
      <c r="N362" s="19"/>
      <c r="O362" s="19"/>
      <c r="P362" s="19"/>
      <c r="Q362"/>
      <c r="R362"/>
    </row>
    <row r="363" spans="1:18" s="11" customFormat="1" ht="16" x14ac:dyDescent="0.2">
      <c r="A363" s="11" t="s">
        <v>108</v>
      </c>
      <c r="B363" s="16">
        <v>600</v>
      </c>
      <c r="C363" s="11" t="s">
        <v>17</v>
      </c>
      <c r="D363" s="11" t="s">
        <v>13</v>
      </c>
      <c r="F363" s="11" t="s">
        <v>12</v>
      </c>
      <c r="G363" s="11" t="s">
        <v>109</v>
      </c>
      <c r="H363" s="10" t="s">
        <v>110</v>
      </c>
      <c r="J363"/>
      <c r="K363" s="19"/>
      <c r="L363" s="19"/>
      <c r="M363" s="19"/>
      <c r="N363" s="19"/>
      <c r="O363" s="19"/>
      <c r="P363" s="19"/>
      <c r="Q363"/>
      <c r="R363"/>
    </row>
    <row r="364" spans="1:18" s="11" customFormat="1" ht="16" x14ac:dyDescent="0.2">
      <c r="A364" s="11" t="s">
        <v>111</v>
      </c>
      <c r="B364" s="16">
        <v>7</v>
      </c>
      <c r="C364" s="11" t="s">
        <v>17</v>
      </c>
      <c r="D364" s="11" t="s">
        <v>13</v>
      </c>
      <c r="F364" s="11" t="s">
        <v>12</v>
      </c>
      <c r="G364" s="11" t="s">
        <v>112</v>
      </c>
      <c r="H364" s="10" t="s">
        <v>110</v>
      </c>
      <c r="J364"/>
      <c r="K364" s="19"/>
      <c r="L364" s="19"/>
      <c r="M364" s="19"/>
      <c r="N364" s="19"/>
      <c r="O364" s="19"/>
      <c r="P364" s="19"/>
      <c r="Q364"/>
      <c r="R364"/>
    </row>
    <row r="365" spans="1:18" s="11" customFormat="1" ht="16" x14ac:dyDescent="0.2">
      <c r="A365" s="11" t="s">
        <v>83</v>
      </c>
      <c r="B365" s="16">
        <v>1300</v>
      </c>
      <c r="C365" s="11" t="s">
        <v>17</v>
      </c>
      <c r="D365" s="11" t="s">
        <v>13</v>
      </c>
      <c r="F365" s="11" t="s">
        <v>12</v>
      </c>
      <c r="G365" s="11" t="s">
        <v>40</v>
      </c>
      <c r="H365" s="10" t="s">
        <v>110</v>
      </c>
      <c r="J365"/>
      <c r="K365" s="19"/>
      <c r="L365" s="19"/>
      <c r="M365" s="19"/>
      <c r="N365" s="19"/>
      <c r="O365" s="19"/>
      <c r="P365" s="19"/>
      <c r="Q365"/>
      <c r="R365"/>
    </row>
    <row r="366" spans="1:18" s="11" customFormat="1" ht="16" x14ac:dyDescent="0.2">
      <c r="A366" s="11" t="s">
        <v>73</v>
      </c>
      <c r="B366" s="16">
        <v>405</v>
      </c>
      <c r="C366" s="11" t="s">
        <v>17</v>
      </c>
      <c r="D366" s="11" t="s">
        <v>13</v>
      </c>
      <c r="F366" s="11" t="s">
        <v>12</v>
      </c>
      <c r="G366" s="11" t="s">
        <v>74</v>
      </c>
      <c r="H366" s="10" t="s">
        <v>110</v>
      </c>
      <c r="J366"/>
      <c r="K366" s="19"/>
      <c r="L366" s="19"/>
      <c r="M366" s="19"/>
      <c r="N366" s="19"/>
      <c r="O366" s="19"/>
      <c r="P366" s="19"/>
      <c r="Q366"/>
      <c r="R366"/>
    </row>
    <row r="367" spans="1:18" s="11" customFormat="1" ht="16" x14ac:dyDescent="0.2">
      <c r="A367" s="11" t="s">
        <v>84</v>
      </c>
      <c r="B367" s="16">
        <v>400</v>
      </c>
      <c r="C367" s="11" t="s">
        <v>17</v>
      </c>
      <c r="D367" s="11" t="s">
        <v>13</v>
      </c>
      <c r="F367" s="11" t="s">
        <v>12</v>
      </c>
      <c r="G367" s="11" t="s">
        <v>42</v>
      </c>
      <c r="H367" s="10" t="s">
        <v>110</v>
      </c>
      <c r="J367"/>
      <c r="K367" s="19"/>
      <c r="L367" s="19"/>
      <c r="M367" s="19"/>
      <c r="N367" s="19"/>
      <c r="O367" s="19"/>
      <c r="P367" s="19"/>
      <c r="Q367"/>
      <c r="R367"/>
    </row>
    <row r="368" spans="1:18" s="11" customFormat="1" ht="16" x14ac:dyDescent="0.2">
      <c r="A368" s="11" t="s">
        <v>20</v>
      </c>
      <c r="B368" s="16">
        <v>405</v>
      </c>
      <c r="C368" s="11" t="s">
        <v>17</v>
      </c>
      <c r="D368" s="11" t="s">
        <v>13</v>
      </c>
      <c r="F368" s="11" t="s">
        <v>12</v>
      </c>
      <c r="G368" s="11" t="s">
        <v>15</v>
      </c>
      <c r="H368" s="10" t="s">
        <v>110</v>
      </c>
      <c r="J368"/>
      <c r="K368" s="19"/>
      <c r="L368" s="19"/>
      <c r="M368" s="19"/>
      <c r="N368" s="19"/>
      <c r="O368" s="19"/>
      <c r="P368" s="19"/>
      <c r="Q368"/>
      <c r="R368"/>
    </row>
    <row r="369" spans="1:18" s="11" customFormat="1" ht="16" x14ac:dyDescent="0.2">
      <c r="A369" s="11" t="s">
        <v>83</v>
      </c>
      <c r="B369" s="16">
        <v>1000</v>
      </c>
      <c r="C369" s="11" t="s">
        <v>17</v>
      </c>
      <c r="D369" s="11" t="s">
        <v>13</v>
      </c>
      <c r="F369" s="11" t="s">
        <v>12</v>
      </c>
      <c r="G369" s="11" t="s">
        <v>40</v>
      </c>
      <c r="H369" s="10" t="s">
        <v>113</v>
      </c>
      <c r="J369"/>
      <c r="K369" s="19"/>
      <c r="L369" s="19"/>
      <c r="M369" s="19"/>
      <c r="N369" s="19"/>
      <c r="O369" s="19"/>
      <c r="P369" s="19"/>
      <c r="Q369"/>
      <c r="R369"/>
    </row>
    <row r="370" spans="1:18" s="11" customFormat="1" ht="16" x14ac:dyDescent="0.2">
      <c r="A370" s="11" t="s">
        <v>73</v>
      </c>
      <c r="B370" s="16">
        <v>1500</v>
      </c>
      <c r="C370" s="11" t="s">
        <v>17</v>
      </c>
      <c r="D370" s="11" t="s">
        <v>13</v>
      </c>
      <c r="F370" s="11" t="s">
        <v>12</v>
      </c>
      <c r="G370" s="11" t="s">
        <v>74</v>
      </c>
      <c r="H370" s="10" t="s">
        <v>113</v>
      </c>
      <c r="J370"/>
      <c r="K370" s="19"/>
      <c r="L370" s="19"/>
      <c r="M370" s="19"/>
      <c r="N370" s="19"/>
      <c r="O370" s="19"/>
      <c r="P370" s="19"/>
      <c r="Q370"/>
      <c r="R370"/>
    </row>
    <row r="371" spans="1:18" s="11" customFormat="1" ht="16" x14ac:dyDescent="0.2">
      <c r="A371" s="11" t="s">
        <v>84</v>
      </c>
      <c r="B371" s="16">
        <v>1000</v>
      </c>
      <c r="C371" s="11" t="s">
        <v>17</v>
      </c>
      <c r="D371" s="11" t="s">
        <v>13</v>
      </c>
      <c r="F371" s="11" t="s">
        <v>12</v>
      </c>
      <c r="G371" s="11" t="s">
        <v>42</v>
      </c>
      <c r="H371" s="10" t="s">
        <v>113</v>
      </c>
      <c r="J371"/>
      <c r="K371" s="19"/>
      <c r="L371" s="19"/>
      <c r="M371" s="19"/>
      <c r="N371" s="19"/>
      <c r="O371" s="19"/>
      <c r="P371" s="19"/>
      <c r="Q371"/>
      <c r="R371"/>
    </row>
    <row r="372" spans="1:18" s="11" customFormat="1" ht="16" x14ac:dyDescent="0.2">
      <c r="A372" s="11" t="s">
        <v>20</v>
      </c>
      <c r="B372" s="16">
        <v>1500</v>
      </c>
      <c r="C372" s="11" t="s">
        <v>17</v>
      </c>
      <c r="D372" s="11" t="s">
        <v>13</v>
      </c>
      <c r="F372" s="11" t="s">
        <v>12</v>
      </c>
      <c r="G372" s="11" t="s">
        <v>15</v>
      </c>
      <c r="H372" s="10" t="s">
        <v>113</v>
      </c>
      <c r="J372"/>
      <c r="K372" s="19"/>
      <c r="L372" s="19"/>
      <c r="M372" s="19"/>
      <c r="N372" s="19"/>
      <c r="O372" s="19"/>
      <c r="P372" s="19"/>
      <c r="Q372"/>
      <c r="R372"/>
    </row>
    <row r="373" spans="1:18" s="11" customFormat="1" ht="16" x14ac:dyDescent="0.2">
      <c r="A373" s="11" t="s">
        <v>73</v>
      </c>
      <c r="B373" s="16">
        <v>511</v>
      </c>
      <c r="C373" s="11" t="s">
        <v>17</v>
      </c>
      <c r="D373" s="11" t="s">
        <v>13</v>
      </c>
      <c r="F373" s="11" t="s">
        <v>12</v>
      </c>
      <c r="G373" s="11" t="s">
        <v>74</v>
      </c>
      <c r="H373" s="10" t="s">
        <v>114</v>
      </c>
      <c r="J373"/>
      <c r="K373" s="19"/>
      <c r="L373" s="19"/>
      <c r="M373" s="19"/>
      <c r="N373" s="19"/>
      <c r="O373" s="19"/>
      <c r="P373" s="19"/>
      <c r="Q373"/>
      <c r="R373"/>
    </row>
    <row r="374" spans="1:18" s="11" customFormat="1" ht="16" x14ac:dyDescent="0.2">
      <c r="A374" s="11" t="s">
        <v>20</v>
      </c>
      <c r="B374" s="16">
        <v>511</v>
      </c>
      <c r="C374" s="11" t="s">
        <v>17</v>
      </c>
      <c r="D374" s="11" t="s">
        <v>13</v>
      </c>
      <c r="F374" s="11" t="s">
        <v>12</v>
      </c>
      <c r="G374" s="11" t="s">
        <v>15</v>
      </c>
      <c r="H374" s="10" t="s">
        <v>114</v>
      </c>
      <c r="J374"/>
      <c r="K374" s="19"/>
      <c r="L374" s="19"/>
      <c r="M374" s="19"/>
      <c r="N374" s="19"/>
      <c r="O374" s="19"/>
      <c r="P374" s="19"/>
      <c r="Q374"/>
      <c r="R374"/>
    </row>
    <row r="375" spans="1:18" s="11" customFormat="1" ht="16" x14ac:dyDescent="0.2">
      <c r="A375" s="11" t="s">
        <v>68</v>
      </c>
      <c r="B375" s="16">
        <v>371.7</v>
      </c>
      <c r="C375" s="11" t="s">
        <v>17</v>
      </c>
      <c r="D375" s="11" t="s">
        <v>13</v>
      </c>
      <c r="F375" s="11" t="s">
        <v>12</v>
      </c>
      <c r="G375" s="11" t="s">
        <v>69</v>
      </c>
      <c r="H375" s="10" t="s">
        <v>143</v>
      </c>
      <c r="J375"/>
      <c r="K375" s="19"/>
      <c r="L375" s="19"/>
      <c r="M375" s="19"/>
      <c r="N375" s="19"/>
      <c r="O375" s="19"/>
      <c r="P375" s="19"/>
      <c r="Q375"/>
      <c r="R375"/>
    </row>
    <row r="376" spans="1:18" s="11" customFormat="1" ht="16" x14ac:dyDescent="0.2">
      <c r="A376" s="11" t="s">
        <v>86</v>
      </c>
      <c r="B376" s="16">
        <v>371.7</v>
      </c>
      <c r="C376" s="11" t="s">
        <v>17</v>
      </c>
      <c r="D376" s="11" t="s">
        <v>13</v>
      </c>
      <c r="F376" s="11" t="s">
        <v>12</v>
      </c>
      <c r="G376" s="11" t="s">
        <v>44</v>
      </c>
      <c r="H376" s="10" t="s">
        <v>143</v>
      </c>
      <c r="J376"/>
      <c r="K376" s="19"/>
      <c r="L376" s="19"/>
      <c r="M376" s="19"/>
      <c r="N376" s="19"/>
      <c r="O376" s="19"/>
      <c r="P376" s="19"/>
      <c r="Q376"/>
      <c r="R376"/>
    </row>
    <row r="377" spans="1:18" s="11" customFormat="1" ht="16" x14ac:dyDescent="0.2">
      <c r="A377" s="11" t="s">
        <v>73</v>
      </c>
      <c r="B377" s="16">
        <v>929.1</v>
      </c>
      <c r="C377" s="11" t="s">
        <v>17</v>
      </c>
      <c r="D377" s="11" t="s">
        <v>13</v>
      </c>
      <c r="F377" s="11" t="s">
        <v>12</v>
      </c>
      <c r="G377" s="11" t="s">
        <v>74</v>
      </c>
      <c r="H377" s="10" t="s">
        <v>143</v>
      </c>
      <c r="J377"/>
      <c r="K377" s="19"/>
      <c r="L377" s="19"/>
      <c r="M377" s="19"/>
      <c r="N377" s="19"/>
      <c r="O377" s="19"/>
      <c r="P377" s="19"/>
      <c r="Q377"/>
      <c r="R377"/>
    </row>
    <row r="378" spans="1:18" s="11" customFormat="1" ht="16" x14ac:dyDescent="0.2">
      <c r="A378" s="11" t="s">
        <v>20</v>
      </c>
      <c r="B378" s="16">
        <v>929.1</v>
      </c>
      <c r="C378" s="11" t="s">
        <v>17</v>
      </c>
      <c r="D378" s="11" t="s">
        <v>13</v>
      </c>
      <c r="F378" s="11" t="s">
        <v>12</v>
      </c>
      <c r="G378" s="11" t="s">
        <v>15</v>
      </c>
      <c r="H378" s="10" t="s">
        <v>143</v>
      </c>
      <c r="J378"/>
      <c r="K378" s="19"/>
      <c r="L378" s="19"/>
      <c r="M378" s="19"/>
      <c r="N378" s="19"/>
      <c r="O378" s="19"/>
      <c r="P378" s="19"/>
      <c r="Q378"/>
      <c r="R378"/>
    </row>
    <row r="379" spans="1:18" s="11" customFormat="1" ht="16" x14ac:dyDescent="0.2">
      <c r="A379" s="11" t="s">
        <v>85</v>
      </c>
      <c r="B379" s="16">
        <v>92.9</v>
      </c>
      <c r="C379" s="11" t="s">
        <v>17</v>
      </c>
      <c r="D379" s="11" t="s">
        <v>13</v>
      </c>
      <c r="F379" s="11" t="s">
        <v>12</v>
      </c>
      <c r="G379" s="11" t="s">
        <v>43</v>
      </c>
      <c r="H379" s="10" t="s">
        <v>143</v>
      </c>
      <c r="J379"/>
      <c r="K379" s="19"/>
      <c r="L379" s="19"/>
      <c r="M379" s="19"/>
      <c r="N379" s="19"/>
      <c r="O379" s="19"/>
      <c r="P379" s="19"/>
      <c r="Q379"/>
      <c r="R379"/>
    </row>
    <row r="380" spans="1:18" s="11" customFormat="1" ht="16" x14ac:dyDescent="0.2">
      <c r="A380" s="11" t="s">
        <v>83</v>
      </c>
      <c r="B380" s="16">
        <v>836.2</v>
      </c>
      <c r="C380" s="11" t="s">
        <v>17</v>
      </c>
      <c r="D380" s="11" t="s">
        <v>13</v>
      </c>
      <c r="F380" s="11" t="s">
        <v>12</v>
      </c>
      <c r="G380" s="11" t="s">
        <v>40</v>
      </c>
      <c r="H380" s="10" t="s">
        <v>144</v>
      </c>
      <c r="J380"/>
      <c r="K380" s="19"/>
      <c r="L380" s="19"/>
      <c r="M380" s="19"/>
      <c r="N380" s="19"/>
      <c r="O380" s="19"/>
      <c r="P380" s="19"/>
      <c r="Q380"/>
      <c r="R380"/>
    </row>
    <row r="381" spans="1:18" s="11" customFormat="1" ht="16" x14ac:dyDescent="0.2">
      <c r="A381" s="11" t="s">
        <v>84</v>
      </c>
      <c r="B381" s="16">
        <v>836.2</v>
      </c>
      <c r="C381" s="11" t="s">
        <v>17</v>
      </c>
      <c r="D381" s="11" t="s">
        <v>13</v>
      </c>
      <c r="F381" s="11" t="s">
        <v>12</v>
      </c>
      <c r="G381" s="11" t="s">
        <v>42</v>
      </c>
      <c r="H381" s="10" t="s">
        <v>144</v>
      </c>
      <c r="J381"/>
      <c r="K381" s="19"/>
      <c r="L381" s="19"/>
      <c r="M381" s="19"/>
      <c r="N381" s="19"/>
      <c r="O381" s="19"/>
      <c r="P381" s="19"/>
      <c r="Q381"/>
      <c r="R381"/>
    </row>
    <row r="382" spans="1:18" s="11" customFormat="1" ht="16" x14ac:dyDescent="0.2">
      <c r="A382" s="11" t="s">
        <v>108</v>
      </c>
      <c r="B382" s="16">
        <v>116.1</v>
      </c>
      <c r="C382" s="11" t="s">
        <v>17</v>
      </c>
      <c r="D382" s="11" t="s">
        <v>13</v>
      </c>
      <c r="F382" s="11" t="s">
        <v>12</v>
      </c>
      <c r="G382" s="11" t="s">
        <v>109</v>
      </c>
      <c r="H382" s="10" t="s">
        <v>145</v>
      </c>
      <c r="J382"/>
      <c r="K382" s="19"/>
      <c r="L382" s="19"/>
      <c r="M382" s="19"/>
      <c r="N382" s="19"/>
      <c r="O382" s="19"/>
      <c r="P382" s="19"/>
      <c r="Q382"/>
      <c r="R382"/>
    </row>
    <row r="383" spans="1:18" s="11" customFormat="1" ht="16" x14ac:dyDescent="0.2">
      <c r="A383" s="11" t="s">
        <v>83</v>
      </c>
      <c r="B383" s="16">
        <v>209.1</v>
      </c>
      <c r="C383" s="11" t="s">
        <v>17</v>
      </c>
      <c r="D383" s="11" t="s">
        <v>13</v>
      </c>
      <c r="F383" s="11" t="s">
        <v>12</v>
      </c>
      <c r="G383" s="11" t="s">
        <v>40</v>
      </c>
      <c r="H383" s="10" t="s">
        <v>145</v>
      </c>
      <c r="J383"/>
      <c r="K383" s="19"/>
      <c r="L383" s="19"/>
      <c r="M383" s="19"/>
      <c r="N383" s="19"/>
      <c r="O383" s="19"/>
      <c r="P383" s="19"/>
      <c r="Q383"/>
      <c r="R383"/>
    </row>
    <row r="384" spans="1:18" s="11" customFormat="1" ht="16" x14ac:dyDescent="0.2">
      <c r="A384" s="11" t="s">
        <v>84</v>
      </c>
      <c r="B384" s="16">
        <v>209.1</v>
      </c>
      <c r="C384" s="11" t="s">
        <v>17</v>
      </c>
      <c r="D384" s="11" t="s">
        <v>13</v>
      </c>
      <c r="F384" s="11" t="s">
        <v>12</v>
      </c>
      <c r="G384" s="11" t="s">
        <v>42</v>
      </c>
      <c r="H384" s="10" t="s">
        <v>145</v>
      </c>
      <c r="J384"/>
      <c r="K384" s="19"/>
      <c r="L384" s="19"/>
      <c r="M384" s="19"/>
      <c r="N384" s="19"/>
      <c r="O384" s="19"/>
      <c r="P384" s="19"/>
      <c r="Q384"/>
      <c r="R384"/>
    </row>
    <row r="385" spans="1:18" s="11" customFormat="1" ht="16" x14ac:dyDescent="0.2">
      <c r="A385" s="11" t="s">
        <v>73</v>
      </c>
      <c r="B385" s="16">
        <v>1161.4000000000001</v>
      </c>
      <c r="C385" s="11" t="s">
        <v>17</v>
      </c>
      <c r="D385" s="11" t="s">
        <v>13</v>
      </c>
      <c r="F385" s="11" t="s">
        <v>12</v>
      </c>
      <c r="G385" s="11" t="s">
        <v>74</v>
      </c>
      <c r="H385" s="10" t="s">
        <v>101</v>
      </c>
      <c r="J385"/>
      <c r="K385" s="19"/>
      <c r="L385" s="19"/>
      <c r="M385" s="19"/>
      <c r="N385" s="19"/>
      <c r="O385" s="19"/>
      <c r="P385" s="19"/>
      <c r="Q385"/>
      <c r="R385"/>
    </row>
    <row r="386" spans="1:18" s="11" customFormat="1" ht="16" x14ac:dyDescent="0.2">
      <c r="A386" s="11" t="s">
        <v>20</v>
      </c>
      <c r="B386" s="16">
        <v>1161.4000000000001</v>
      </c>
      <c r="C386" s="11" t="s">
        <v>17</v>
      </c>
      <c r="D386" s="11" t="s">
        <v>13</v>
      </c>
      <c r="F386" s="11" t="s">
        <v>12</v>
      </c>
      <c r="G386" s="11" t="s">
        <v>15</v>
      </c>
      <c r="H386" s="10" t="s">
        <v>101</v>
      </c>
      <c r="J386"/>
      <c r="K386" s="19"/>
      <c r="L386" s="19"/>
      <c r="M386" s="19"/>
      <c r="N386" s="19"/>
      <c r="O386" s="19"/>
      <c r="P386" s="19"/>
      <c r="Q386"/>
      <c r="R386"/>
    </row>
    <row r="387" spans="1:18" s="11" customFormat="1" ht="16" x14ac:dyDescent="0.2">
      <c r="A387" s="11" t="s">
        <v>83</v>
      </c>
      <c r="B387" s="16">
        <v>80</v>
      </c>
      <c r="C387" s="11" t="s">
        <v>17</v>
      </c>
      <c r="D387" s="11" t="s">
        <v>13</v>
      </c>
      <c r="F387" s="11" t="s">
        <v>12</v>
      </c>
      <c r="G387" s="11" t="s">
        <v>40</v>
      </c>
      <c r="H387" s="10" t="s">
        <v>146</v>
      </c>
      <c r="J387"/>
      <c r="K387" s="19"/>
      <c r="L387" s="19"/>
      <c r="M387" s="19"/>
      <c r="N387" s="19"/>
      <c r="O387" s="19"/>
      <c r="P387" s="19"/>
      <c r="Q387"/>
      <c r="R387"/>
    </row>
    <row r="388" spans="1:18" s="11" customFormat="1" ht="16" x14ac:dyDescent="0.2">
      <c r="A388" s="11" t="s">
        <v>84</v>
      </c>
      <c r="B388" s="16">
        <v>80</v>
      </c>
      <c r="C388" s="11" t="s">
        <v>17</v>
      </c>
      <c r="D388" s="11" t="s">
        <v>13</v>
      </c>
      <c r="F388" s="11" t="s">
        <v>12</v>
      </c>
      <c r="G388" s="11" t="s">
        <v>42</v>
      </c>
      <c r="H388" s="10" t="s">
        <v>146</v>
      </c>
      <c r="J388"/>
      <c r="K388" s="19"/>
      <c r="L388" s="19"/>
      <c r="M388" s="19"/>
      <c r="N388" s="19"/>
      <c r="O388" s="19"/>
      <c r="P388" s="19"/>
      <c r="Q388"/>
      <c r="R388"/>
    </row>
    <row r="389" spans="1:18" s="11" customFormat="1" ht="16" x14ac:dyDescent="0.2">
      <c r="A389" s="11" t="s">
        <v>73</v>
      </c>
      <c r="B389" s="16">
        <v>851</v>
      </c>
      <c r="C389" s="11" t="s">
        <v>17</v>
      </c>
      <c r="D389" s="11" t="s">
        <v>13</v>
      </c>
      <c r="F389" s="11" t="s">
        <v>12</v>
      </c>
      <c r="G389" s="11" t="s">
        <v>74</v>
      </c>
      <c r="H389" s="10" t="s">
        <v>147</v>
      </c>
      <c r="J389"/>
      <c r="K389" s="19"/>
      <c r="L389" s="19"/>
      <c r="M389" s="19"/>
      <c r="N389" s="19"/>
      <c r="O389" s="19"/>
      <c r="P389" s="19"/>
      <c r="Q389"/>
      <c r="R389"/>
    </row>
    <row r="390" spans="1:18" s="11" customFormat="1" ht="16" x14ac:dyDescent="0.2">
      <c r="A390" s="11" t="s">
        <v>20</v>
      </c>
      <c r="B390" s="16">
        <v>851</v>
      </c>
      <c r="C390" s="11" t="s">
        <v>17</v>
      </c>
      <c r="D390" s="11" t="s">
        <v>13</v>
      </c>
      <c r="F390" s="11" t="s">
        <v>12</v>
      </c>
      <c r="G390" s="11" t="s">
        <v>15</v>
      </c>
      <c r="H390" s="10" t="s">
        <v>147</v>
      </c>
      <c r="J390"/>
      <c r="K390" s="19"/>
      <c r="L390" s="19"/>
      <c r="M390" s="19"/>
      <c r="N390" s="19"/>
      <c r="O390" s="19"/>
      <c r="P390" s="19"/>
      <c r="Q390"/>
      <c r="R390"/>
    </row>
    <row r="391" spans="1:18" s="11" customFormat="1" ht="16" x14ac:dyDescent="0.2">
      <c r="A391" s="11" t="s">
        <v>27</v>
      </c>
      <c r="B391" s="16">
        <v>3</v>
      </c>
      <c r="C391" s="11" t="s">
        <v>17</v>
      </c>
      <c r="D391" s="11" t="s">
        <v>13</v>
      </c>
      <c r="F391" s="11" t="s">
        <v>12</v>
      </c>
      <c r="G391" s="11" t="s">
        <v>28</v>
      </c>
      <c r="H391" s="10" t="s">
        <v>148</v>
      </c>
      <c r="J391"/>
      <c r="K391" s="19"/>
      <c r="L391" s="19"/>
      <c r="M391" s="19"/>
      <c r="N391" s="19"/>
      <c r="O391" s="19"/>
      <c r="P391" s="19"/>
      <c r="Q391"/>
      <c r="R391"/>
    </row>
    <row r="392" spans="1:18" s="11" customFormat="1" ht="16" x14ac:dyDescent="0.2">
      <c r="A392" s="11" t="s">
        <v>93</v>
      </c>
      <c r="B392" s="16">
        <v>3</v>
      </c>
      <c r="C392" s="11" t="s">
        <v>17</v>
      </c>
      <c r="D392" s="11" t="s">
        <v>13</v>
      </c>
      <c r="F392" s="11" t="s">
        <v>12</v>
      </c>
      <c r="G392" s="11" t="s">
        <v>94</v>
      </c>
      <c r="H392" s="10" t="s">
        <v>148</v>
      </c>
      <c r="J392"/>
      <c r="K392" s="19"/>
      <c r="L392" s="19"/>
      <c r="M392" s="19"/>
      <c r="N392" s="19"/>
      <c r="O392" s="19"/>
      <c r="P392" s="19"/>
      <c r="Q392"/>
      <c r="R392"/>
    </row>
    <row r="393" spans="1:18" s="11" customFormat="1" ht="16" x14ac:dyDescent="0.2">
      <c r="A393" s="11" t="s">
        <v>73</v>
      </c>
      <c r="B393" s="16">
        <v>1108</v>
      </c>
      <c r="C393" s="11" t="s">
        <v>17</v>
      </c>
      <c r="D393" s="11" t="s">
        <v>13</v>
      </c>
      <c r="F393" s="11" t="s">
        <v>12</v>
      </c>
      <c r="G393" s="11" t="s">
        <v>74</v>
      </c>
      <c r="H393" s="10" t="s">
        <v>149</v>
      </c>
      <c r="J393"/>
      <c r="K393" s="19"/>
      <c r="L393" s="19"/>
      <c r="M393" s="19"/>
      <c r="N393" s="19"/>
      <c r="O393" s="19"/>
      <c r="P393" s="19"/>
      <c r="Q393"/>
      <c r="R393"/>
    </row>
    <row r="394" spans="1:18" s="11" customFormat="1" ht="16" x14ac:dyDescent="0.2">
      <c r="A394" s="11" t="s">
        <v>20</v>
      </c>
      <c r="B394" s="16">
        <v>1108</v>
      </c>
      <c r="C394" s="11" t="s">
        <v>17</v>
      </c>
      <c r="D394" s="11" t="s">
        <v>13</v>
      </c>
      <c r="F394" s="11" t="s">
        <v>12</v>
      </c>
      <c r="G394" s="11" t="s">
        <v>15</v>
      </c>
      <c r="H394" s="10" t="s">
        <v>149</v>
      </c>
      <c r="J394"/>
      <c r="K394" s="19"/>
      <c r="L394" s="19"/>
      <c r="M394" s="19"/>
      <c r="N394" s="19"/>
      <c r="O394" s="19"/>
      <c r="P394" s="19"/>
      <c r="Q394"/>
      <c r="R394"/>
    </row>
    <row r="395" spans="1:18" s="11" customFormat="1" ht="16" x14ac:dyDescent="0.2">
      <c r="A395" s="11" t="s">
        <v>115</v>
      </c>
      <c r="B395" s="16">
        <v>29</v>
      </c>
      <c r="C395" s="11" t="s">
        <v>17</v>
      </c>
      <c r="D395" s="11" t="s">
        <v>116</v>
      </c>
      <c r="F395" s="11" t="s">
        <v>12</v>
      </c>
      <c r="G395" s="11" t="s">
        <v>117</v>
      </c>
      <c r="H395" s="10" t="s">
        <v>114</v>
      </c>
      <c r="J395"/>
      <c r="K395" s="19"/>
      <c r="L395" s="19"/>
      <c r="M395" s="19"/>
      <c r="N395" s="19"/>
      <c r="O395" s="19"/>
      <c r="P395" s="19"/>
      <c r="Q395"/>
      <c r="R395"/>
    </row>
    <row r="396" spans="1:18" s="11" customFormat="1" ht="16" x14ac:dyDescent="0.2">
      <c r="A396" s="11" t="s">
        <v>84</v>
      </c>
      <c r="B396" s="16">
        <v>6075.6</v>
      </c>
      <c r="C396" s="11" t="s">
        <v>17</v>
      </c>
      <c r="D396" s="11" t="s">
        <v>13</v>
      </c>
      <c r="F396" s="11" t="s">
        <v>12</v>
      </c>
      <c r="G396" s="11" t="s">
        <v>42</v>
      </c>
      <c r="H396" s="10" t="s">
        <v>118</v>
      </c>
      <c r="J396"/>
      <c r="K396" s="19"/>
      <c r="L396" s="19"/>
      <c r="M396" s="19"/>
      <c r="N396" s="19"/>
      <c r="O396" s="19"/>
      <c r="P396" s="19"/>
      <c r="Q396"/>
      <c r="R396"/>
    </row>
    <row r="397" spans="1:18" s="11" customFormat="1" ht="15.5" customHeight="1" x14ac:dyDescent="0.2">
      <c r="A397" s="28" t="s">
        <v>25</v>
      </c>
      <c r="B397" s="16">
        <v>6075.6</v>
      </c>
      <c r="C397" s="11" t="s">
        <v>17</v>
      </c>
      <c r="D397" s="11" t="s">
        <v>13</v>
      </c>
      <c r="F397" s="11" t="s">
        <v>12</v>
      </c>
      <c r="G397" s="10" t="s">
        <v>26</v>
      </c>
      <c r="H397" s="10" t="s">
        <v>118</v>
      </c>
      <c r="J397"/>
      <c r="K397" s="19"/>
      <c r="L397" s="19"/>
      <c r="M397" s="19"/>
      <c r="N397" s="19"/>
      <c r="O397" s="19"/>
      <c r="P397" s="19"/>
      <c r="Q397"/>
      <c r="R397"/>
    </row>
    <row r="398" spans="1:18" s="11" customFormat="1" ht="16" x14ac:dyDescent="0.2">
      <c r="A398" s="11" t="s">
        <v>119</v>
      </c>
      <c r="B398" s="29">
        <v>7.7</v>
      </c>
      <c r="C398" s="11" t="s">
        <v>45</v>
      </c>
      <c r="D398" s="10" t="s">
        <v>31</v>
      </c>
      <c r="F398" s="11" t="s">
        <v>12</v>
      </c>
      <c r="G398" s="10" t="s">
        <v>120</v>
      </c>
      <c r="H398" s="10" t="s">
        <v>121</v>
      </c>
      <c r="J398"/>
      <c r="K398" s="19"/>
      <c r="L398" s="19"/>
      <c r="M398" s="19"/>
      <c r="N398" s="19"/>
      <c r="O398" s="19"/>
      <c r="P398" s="19"/>
      <c r="Q398"/>
      <c r="R398"/>
    </row>
    <row r="399" spans="1:18" s="11" customFormat="1" ht="16" x14ac:dyDescent="0.2">
      <c r="A399" s="11" t="s">
        <v>33</v>
      </c>
      <c r="B399" s="16">
        <v>37113.5</v>
      </c>
      <c r="C399" s="11" t="s">
        <v>17</v>
      </c>
      <c r="D399" s="11" t="s">
        <v>35</v>
      </c>
      <c r="F399" s="11" t="s">
        <v>12</v>
      </c>
      <c r="G399" s="10" t="s">
        <v>36</v>
      </c>
      <c r="H399" s="11" t="s">
        <v>79</v>
      </c>
      <c r="J399"/>
      <c r="K399" s="19"/>
      <c r="L399" s="19"/>
      <c r="M399" s="19"/>
      <c r="N399" s="19"/>
      <c r="O399" s="19"/>
      <c r="P399" s="19"/>
      <c r="Q399"/>
      <c r="R399"/>
    </row>
    <row r="400" spans="1:18" s="11" customFormat="1" ht="16" x14ac:dyDescent="0.2">
      <c r="B400" s="16"/>
      <c r="C400" s="10"/>
      <c r="F400" s="10"/>
      <c r="G400" s="10"/>
      <c r="H400" s="10"/>
      <c r="I400" s="10"/>
      <c r="K400" s="12"/>
      <c r="L400" s="12"/>
      <c r="M400" s="12"/>
      <c r="N400" s="12"/>
      <c r="O400" s="12"/>
      <c r="P400" s="12"/>
    </row>
    <row r="401" spans="1:20" s="11" customFormat="1" ht="16" x14ac:dyDescent="0.2">
      <c r="A401" s="8" t="s">
        <v>1</v>
      </c>
      <c r="B401" s="9" t="s">
        <v>510</v>
      </c>
      <c r="K401" s="12"/>
      <c r="L401" s="12"/>
      <c r="M401" s="12"/>
      <c r="N401" s="12"/>
      <c r="O401" s="12"/>
      <c r="P401" s="12"/>
    </row>
    <row r="402" spans="1:20" s="11" customFormat="1" ht="16" x14ac:dyDescent="0.2">
      <c r="A402" s="13" t="s">
        <v>3</v>
      </c>
      <c r="B402" s="14">
        <v>1</v>
      </c>
      <c r="K402" s="12"/>
      <c r="L402" s="12"/>
      <c r="M402" s="12"/>
      <c r="N402" s="12"/>
      <c r="O402" s="12"/>
      <c r="P402" s="12"/>
    </row>
    <row r="403" spans="1:20" s="11" customFormat="1" ht="16" x14ac:dyDescent="0.2">
      <c r="A403" s="13" t="s">
        <v>11</v>
      </c>
      <c r="B403" s="14" t="s">
        <v>56</v>
      </c>
      <c r="K403" s="12"/>
      <c r="L403" s="12"/>
      <c r="M403" s="12"/>
      <c r="N403" s="12"/>
      <c r="O403" s="12"/>
      <c r="P403" s="12"/>
    </row>
    <row r="404" spans="1:20" s="11" customFormat="1" ht="16" x14ac:dyDescent="0.2">
      <c r="A404" s="13" t="s">
        <v>4</v>
      </c>
      <c r="B404" s="16" t="s">
        <v>511</v>
      </c>
      <c r="K404" s="12"/>
      <c r="L404" s="12"/>
      <c r="M404" s="12"/>
      <c r="N404" s="12"/>
      <c r="O404" s="12"/>
      <c r="P404" s="12"/>
    </row>
    <row r="405" spans="1:20" s="11" customFormat="1" ht="16" x14ac:dyDescent="0.2">
      <c r="A405" s="13" t="s">
        <v>2</v>
      </c>
      <c r="B405" s="14" t="s">
        <v>34</v>
      </c>
      <c r="K405" s="12"/>
      <c r="L405" s="12"/>
      <c r="M405" s="12"/>
      <c r="N405" s="12"/>
      <c r="O405" s="12"/>
      <c r="P405" s="12"/>
    </row>
    <row r="406" spans="1:20" s="11" customFormat="1" ht="16" x14ac:dyDescent="0.2">
      <c r="A406" s="13" t="s">
        <v>6</v>
      </c>
      <c r="B406" s="16" t="s">
        <v>6</v>
      </c>
      <c r="K406" s="12"/>
      <c r="L406" s="12"/>
      <c r="M406" s="12"/>
      <c r="N406" s="12"/>
      <c r="O406" s="12"/>
      <c r="P406" s="12"/>
    </row>
    <row r="407" spans="1:20" s="11" customFormat="1" ht="16" x14ac:dyDescent="0.2">
      <c r="A407" s="17" t="s">
        <v>7</v>
      </c>
      <c r="B407" s="9"/>
      <c r="C407" s="17"/>
      <c r="D407" s="17"/>
      <c r="E407" s="17"/>
      <c r="F407" s="17"/>
      <c r="G407" s="17"/>
      <c r="H407" s="17"/>
      <c r="I407" s="17"/>
      <c r="J407" s="17"/>
      <c r="K407" s="12"/>
      <c r="L407" s="12"/>
      <c r="M407" s="12"/>
      <c r="N407" s="12"/>
      <c r="O407" s="12"/>
      <c r="P407" s="12"/>
    </row>
    <row r="408" spans="1:20" s="11" customFormat="1" ht="16" x14ac:dyDescent="0.2">
      <c r="A408" s="17" t="s">
        <v>8</v>
      </c>
      <c r="B408" s="9" t="s">
        <v>9</v>
      </c>
      <c r="C408" s="17" t="s">
        <v>2</v>
      </c>
      <c r="D408" s="17" t="s">
        <v>6</v>
      </c>
      <c r="E408" s="23" t="s">
        <v>10</v>
      </c>
      <c r="F408" s="17" t="s">
        <v>5</v>
      </c>
      <c r="G408" s="17" t="s">
        <v>4</v>
      </c>
      <c r="H408" s="23" t="s">
        <v>11</v>
      </c>
      <c r="I408" s="17"/>
      <c r="J408" s="7"/>
      <c r="K408" s="18"/>
      <c r="L408" s="18"/>
      <c r="M408" s="18"/>
      <c r="N408" s="18"/>
      <c r="O408" s="18"/>
      <c r="P408" s="18"/>
      <c r="Q408" s="7"/>
      <c r="R408" s="7"/>
      <c r="S408" s="17"/>
      <c r="T408" s="7"/>
    </row>
    <row r="409" spans="1:20" s="11" customFormat="1" ht="16" x14ac:dyDescent="0.2">
      <c r="A409" s="16" t="str">
        <f>B401</f>
        <v>treatment of electrolyzer balance of plant, 1MWe, AEC</v>
      </c>
      <c r="B409" s="12">
        <v>-1</v>
      </c>
      <c r="C409" s="11" t="s">
        <v>34</v>
      </c>
      <c r="D409" s="11" t="str">
        <f>B406</f>
        <v>unit</v>
      </c>
      <c r="F409" s="11" t="s">
        <v>16</v>
      </c>
      <c r="G409" s="11" t="str">
        <f>B404</f>
        <v>used electrolyzer balance of plant, 1MWe, AEC</v>
      </c>
      <c r="K409" s="12"/>
      <c r="L409" s="12"/>
      <c r="M409" s="12"/>
      <c r="N409" s="12"/>
      <c r="O409" s="12"/>
      <c r="P409" s="12"/>
    </row>
    <row r="410" spans="1:20" s="11" customFormat="1" ht="16" x14ac:dyDescent="0.2">
      <c r="A410" s="16" t="s">
        <v>204</v>
      </c>
      <c r="B410" s="11">
        <v>-12819.5</v>
      </c>
      <c r="C410" s="11" t="s">
        <v>37</v>
      </c>
      <c r="D410" s="11" t="s">
        <v>13</v>
      </c>
      <c r="F410" s="11" t="s">
        <v>12</v>
      </c>
      <c r="G410" s="11" t="s">
        <v>205</v>
      </c>
      <c r="J410"/>
      <c r="K410" s="19"/>
      <c r="L410" s="19"/>
      <c r="M410" s="19"/>
      <c r="N410" s="19"/>
      <c r="O410" s="19"/>
      <c r="P410" s="19"/>
      <c r="Q410"/>
      <c r="R410"/>
    </row>
    <row r="411" spans="1:20" s="11" customFormat="1" ht="16" x14ac:dyDescent="0.2">
      <c r="A411" s="16" t="s">
        <v>449</v>
      </c>
      <c r="B411" s="11">
        <v>-5134.3999999999996</v>
      </c>
      <c r="C411" s="11" t="s">
        <v>217</v>
      </c>
      <c r="D411" s="11" t="s">
        <v>13</v>
      </c>
      <c r="F411" s="11" t="s">
        <v>12</v>
      </c>
      <c r="G411" s="16" t="s">
        <v>216</v>
      </c>
      <c r="J411"/>
      <c r="K411" s="19"/>
      <c r="L411" s="19"/>
      <c r="M411" s="19"/>
      <c r="N411" s="19"/>
      <c r="O411" s="19"/>
      <c r="P411" s="19"/>
      <c r="Q411"/>
      <c r="R411"/>
    </row>
    <row r="412" spans="1:20" s="11" customFormat="1" ht="16" x14ac:dyDescent="0.2">
      <c r="A412" s="11" t="s">
        <v>206</v>
      </c>
      <c r="B412" s="11">
        <v>-160</v>
      </c>
      <c r="C412" s="11" t="s">
        <v>37</v>
      </c>
      <c r="D412" s="11" t="s">
        <v>13</v>
      </c>
      <c r="F412" s="11" t="s">
        <v>12</v>
      </c>
      <c r="G412" s="11" t="s">
        <v>207</v>
      </c>
      <c r="J412"/>
      <c r="K412" s="19"/>
      <c r="L412" s="19"/>
      <c r="M412" s="19"/>
      <c r="N412" s="19"/>
      <c r="O412" s="19"/>
      <c r="P412" s="19"/>
      <c r="Q412"/>
      <c r="R412"/>
    </row>
    <row r="413" spans="1:20" s="11" customFormat="1" ht="16" x14ac:dyDescent="0.2">
      <c r="A413" s="11" t="s">
        <v>226</v>
      </c>
      <c r="B413" s="11">
        <v>-32</v>
      </c>
      <c r="C413" s="11" t="s">
        <v>217</v>
      </c>
      <c r="D413" s="11" t="s">
        <v>13</v>
      </c>
      <c r="F413" s="11" t="s">
        <v>12</v>
      </c>
      <c r="G413" s="11" t="s">
        <v>227</v>
      </c>
      <c r="J413"/>
      <c r="K413" s="19"/>
      <c r="L413" s="19"/>
      <c r="M413" s="19"/>
      <c r="N413" s="19"/>
      <c r="O413" s="19"/>
      <c r="P413" s="19"/>
      <c r="Q413"/>
      <c r="R413"/>
    </row>
    <row r="414" spans="1:20" s="11" customFormat="1" ht="16" x14ac:dyDescent="0.2">
      <c r="A414" s="11" t="s">
        <v>218</v>
      </c>
      <c r="B414" s="11">
        <v>-14</v>
      </c>
      <c r="C414" s="11" t="s">
        <v>217</v>
      </c>
      <c r="D414" s="11" t="s">
        <v>13</v>
      </c>
      <c r="F414" s="11" t="s">
        <v>12</v>
      </c>
      <c r="G414" s="11" t="s">
        <v>450</v>
      </c>
      <c r="J414"/>
      <c r="K414" s="19"/>
      <c r="L414" s="19"/>
      <c r="M414" s="19"/>
      <c r="N414" s="19"/>
      <c r="O414" s="19"/>
      <c r="P414" s="19"/>
      <c r="Q414"/>
      <c r="R414"/>
    </row>
    <row r="415" spans="1:20" s="11" customFormat="1" ht="16" x14ac:dyDescent="0.2">
      <c r="A415" s="11" t="s">
        <v>219</v>
      </c>
      <c r="B415" s="11">
        <v>-800</v>
      </c>
      <c r="C415" s="11" t="s">
        <v>17</v>
      </c>
      <c r="D415" s="11" t="s">
        <v>13</v>
      </c>
      <c r="F415" s="11" t="s">
        <v>12</v>
      </c>
      <c r="G415" s="11" t="s">
        <v>220</v>
      </c>
      <c r="J415"/>
      <c r="K415" s="19"/>
      <c r="L415" s="19"/>
      <c r="M415" s="19"/>
      <c r="N415" s="19"/>
      <c r="O415" s="19"/>
      <c r="P415" s="19"/>
      <c r="Q415"/>
      <c r="R415"/>
    </row>
    <row r="416" spans="1:20" s="11" customFormat="1" ht="16" x14ac:dyDescent="0.2">
      <c r="A416" s="11" t="s">
        <v>221</v>
      </c>
      <c r="B416" s="11">
        <v>-468</v>
      </c>
      <c r="C416" s="11" t="s">
        <v>37</v>
      </c>
      <c r="D416" s="11" t="s">
        <v>13</v>
      </c>
      <c r="F416" s="11" t="s">
        <v>12</v>
      </c>
      <c r="G416" s="11" t="s">
        <v>452</v>
      </c>
      <c r="J416"/>
      <c r="K416" s="19"/>
      <c r="L416" s="19"/>
      <c r="M416" s="19"/>
      <c r="N416" s="19"/>
      <c r="O416" s="19"/>
      <c r="P416" s="19"/>
      <c r="Q416"/>
      <c r="R416"/>
    </row>
    <row r="417" spans="1:21" s="11" customFormat="1" ht="16" x14ac:dyDescent="0.2">
      <c r="A417" s="11" t="s">
        <v>451</v>
      </c>
      <c r="B417" s="11">
        <v>-716</v>
      </c>
      <c r="C417" s="11" t="s">
        <v>37</v>
      </c>
      <c r="D417" s="11" t="s">
        <v>13</v>
      </c>
      <c r="F417" s="11" t="s">
        <v>12</v>
      </c>
      <c r="G417" s="11" t="s">
        <v>222</v>
      </c>
      <c r="J417"/>
      <c r="K417" s="19"/>
      <c r="L417" s="19"/>
      <c r="M417" s="19"/>
      <c r="N417" s="19"/>
      <c r="O417" s="19"/>
      <c r="P417" s="19"/>
      <c r="Q417"/>
      <c r="R417"/>
    </row>
    <row r="418" spans="1:21" s="11" customFormat="1" ht="16" x14ac:dyDescent="0.2">
      <c r="A418" s="11" t="s">
        <v>208</v>
      </c>
      <c r="B418" s="11">
        <v>-617</v>
      </c>
      <c r="C418" s="11" t="s">
        <v>37</v>
      </c>
      <c r="D418" s="11" t="s">
        <v>13</v>
      </c>
      <c r="F418" s="11" t="s">
        <v>12</v>
      </c>
      <c r="G418" s="11" t="s">
        <v>209</v>
      </c>
      <c r="J418"/>
      <c r="K418" s="19"/>
      <c r="L418" s="19"/>
      <c r="M418" s="19"/>
      <c r="N418" s="19"/>
      <c r="O418" s="19"/>
      <c r="P418" s="19"/>
      <c r="Q418"/>
      <c r="R418"/>
    </row>
    <row r="419" spans="1:21" s="11" customFormat="1" ht="16" x14ac:dyDescent="0.2">
      <c r="A419" s="11" t="s">
        <v>210</v>
      </c>
      <c r="B419" s="11">
        <v>-208</v>
      </c>
      <c r="C419" s="11" t="s">
        <v>212</v>
      </c>
      <c r="D419" s="11" t="s">
        <v>13</v>
      </c>
      <c r="F419" s="11" t="s">
        <v>12</v>
      </c>
      <c r="G419" s="11" t="s">
        <v>211</v>
      </c>
      <c r="J419"/>
      <c r="K419" s="19"/>
      <c r="L419" s="19"/>
      <c r="M419" s="19"/>
      <c r="N419" s="19"/>
      <c r="O419" s="19"/>
      <c r="P419" s="19"/>
      <c r="Q419"/>
      <c r="R419"/>
    </row>
    <row r="420" spans="1:21" s="11" customFormat="1" ht="16" x14ac:dyDescent="0.2">
      <c r="A420" s="11" t="s">
        <v>448</v>
      </c>
      <c r="B420" s="11">
        <v>-18519</v>
      </c>
      <c r="C420" s="11" t="s">
        <v>37</v>
      </c>
      <c r="D420" s="11" t="s">
        <v>13</v>
      </c>
      <c r="F420" s="11" t="s">
        <v>12</v>
      </c>
      <c r="G420" s="11" t="s">
        <v>223</v>
      </c>
      <c r="J420"/>
      <c r="K420" s="19"/>
      <c r="L420" s="19"/>
      <c r="M420" s="19"/>
      <c r="N420" s="19"/>
      <c r="O420" s="19"/>
      <c r="P420" s="19"/>
      <c r="Q420"/>
      <c r="R420"/>
    </row>
    <row r="421" spans="1:21" s="11" customFormat="1" ht="16" x14ac:dyDescent="0.2">
      <c r="B421" s="16"/>
      <c r="K421" s="12"/>
      <c r="L421" s="12"/>
      <c r="M421" s="12"/>
      <c r="N421" s="12"/>
      <c r="O421" s="12"/>
      <c r="P421" s="12"/>
    </row>
    <row r="422" spans="1:21" s="11" customFormat="1" ht="16" x14ac:dyDescent="0.2">
      <c r="A422" s="8" t="s">
        <v>1</v>
      </c>
      <c r="B422" s="9" t="s">
        <v>441</v>
      </c>
      <c r="C422" s="10"/>
      <c r="K422" s="12"/>
      <c r="L422" s="12"/>
      <c r="M422" s="12"/>
      <c r="N422" s="12"/>
      <c r="O422" s="12"/>
      <c r="P422" s="12"/>
    </row>
    <row r="423" spans="1:21" s="11" customFormat="1" ht="16" x14ac:dyDescent="0.2">
      <c r="A423" s="13" t="s">
        <v>3</v>
      </c>
      <c r="B423" s="14">
        <v>1</v>
      </c>
      <c r="K423" s="12"/>
      <c r="L423" s="12"/>
      <c r="M423" s="12"/>
      <c r="N423" s="12"/>
      <c r="O423" s="12"/>
      <c r="P423" s="12"/>
    </row>
    <row r="424" spans="1:21" s="11" customFormat="1" ht="16" x14ac:dyDescent="0.2">
      <c r="A424" s="13" t="s">
        <v>11</v>
      </c>
      <c r="B424" s="14" t="s">
        <v>437</v>
      </c>
      <c r="K424" s="12"/>
      <c r="L424" s="12"/>
      <c r="M424" s="12"/>
      <c r="N424" s="12"/>
      <c r="O424" s="12"/>
      <c r="P424" s="12"/>
    </row>
    <row r="425" spans="1:21" s="11" customFormat="1" ht="16" x14ac:dyDescent="0.2">
      <c r="A425" s="13" t="s">
        <v>4</v>
      </c>
      <c r="B425" s="15" t="s">
        <v>442</v>
      </c>
      <c r="K425" s="12"/>
      <c r="L425" s="12"/>
      <c r="M425" s="12"/>
      <c r="N425" s="12"/>
      <c r="O425" s="12"/>
      <c r="P425" s="12"/>
    </row>
    <row r="426" spans="1:21" s="11" customFormat="1" ht="16" x14ac:dyDescent="0.2">
      <c r="A426" s="13" t="s">
        <v>2</v>
      </c>
      <c r="B426" s="14" t="s">
        <v>45</v>
      </c>
      <c r="K426" s="12"/>
      <c r="L426" s="12"/>
      <c r="M426" s="12"/>
      <c r="N426" s="12"/>
      <c r="O426" s="12"/>
      <c r="P426" s="12"/>
    </row>
    <row r="427" spans="1:21" s="11" customFormat="1" ht="16" x14ac:dyDescent="0.2">
      <c r="A427" s="13" t="s">
        <v>6</v>
      </c>
      <c r="B427" s="16" t="s">
        <v>13</v>
      </c>
      <c r="H427" s="17"/>
      <c r="I427" s="17"/>
      <c r="J427" s="17"/>
      <c r="K427" s="12"/>
      <c r="L427" s="12"/>
      <c r="M427" s="12"/>
      <c r="N427" s="12"/>
      <c r="O427" s="12"/>
      <c r="P427" s="12"/>
    </row>
    <row r="428" spans="1:21" s="11" customFormat="1" ht="16" x14ac:dyDescent="0.2">
      <c r="A428" s="17" t="s">
        <v>7</v>
      </c>
      <c r="B428" s="9"/>
      <c r="C428" s="17"/>
      <c r="D428" s="17"/>
      <c r="E428" s="17"/>
      <c r="F428" s="17"/>
      <c r="G428" s="17"/>
      <c r="H428" s="10"/>
      <c r="I428" s="10"/>
      <c r="J428" s="10"/>
      <c r="K428" s="12"/>
      <c r="L428" s="12"/>
      <c r="M428" s="12"/>
      <c r="N428" s="12"/>
      <c r="O428" s="12"/>
      <c r="P428" s="12"/>
    </row>
    <row r="429" spans="1:21" s="11" customFormat="1" ht="16" x14ac:dyDescent="0.2">
      <c r="A429" s="17" t="s">
        <v>8</v>
      </c>
      <c r="B429" s="9" t="s">
        <v>9</v>
      </c>
      <c r="C429" s="17" t="s">
        <v>2</v>
      </c>
      <c r="D429" s="17" t="s">
        <v>6</v>
      </c>
      <c r="E429" s="17" t="s">
        <v>10</v>
      </c>
      <c r="F429" s="17" t="s">
        <v>5</v>
      </c>
      <c r="G429" s="17" t="s">
        <v>4</v>
      </c>
      <c r="H429" s="23" t="s">
        <v>11</v>
      </c>
      <c r="I429" s="17" t="s">
        <v>466</v>
      </c>
      <c r="J429" s="7" t="s">
        <v>467</v>
      </c>
      <c r="K429" s="18" t="s">
        <v>468</v>
      </c>
      <c r="L429" s="18" t="s">
        <v>469</v>
      </c>
      <c r="M429" s="18" t="s">
        <v>470</v>
      </c>
      <c r="N429" s="18" t="s">
        <v>471</v>
      </c>
      <c r="O429" s="18" t="s">
        <v>472</v>
      </c>
      <c r="P429" s="18" t="s">
        <v>473</v>
      </c>
      <c r="Q429" s="7" t="s">
        <v>474</v>
      </c>
      <c r="R429" s="7" t="s">
        <v>475</v>
      </c>
      <c r="S429" s="17" t="s">
        <v>476</v>
      </c>
      <c r="T429" s="7" t="s">
        <v>477</v>
      </c>
      <c r="U429" s="17" t="s">
        <v>46</v>
      </c>
    </row>
    <row r="430" spans="1:21" s="11" customFormat="1" ht="16" x14ac:dyDescent="0.2">
      <c r="A430" s="16" t="s">
        <v>441</v>
      </c>
      <c r="B430" s="16">
        <v>1</v>
      </c>
      <c r="C430" s="11" t="str">
        <f>B426</f>
        <v>CH</v>
      </c>
      <c r="D430" s="11" t="str">
        <f>B427</f>
        <v>kilogram</v>
      </c>
      <c r="E430" s="10"/>
      <c r="F430" s="11" t="s">
        <v>16</v>
      </c>
      <c r="G430" s="11" t="s">
        <v>442</v>
      </c>
      <c r="H430" s="10"/>
      <c r="I430" s="10"/>
      <c r="K430" s="12"/>
      <c r="L430" s="12"/>
      <c r="M430" s="12"/>
      <c r="N430" s="12"/>
      <c r="O430" s="12"/>
      <c r="P430" s="12"/>
      <c r="T430"/>
    </row>
    <row r="431" spans="1:21" s="11" customFormat="1" ht="16" x14ac:dyDescent="0.2">
      <c r="A431" s="16" t="str">
        <f>B464</f>
        <v>electrolyzer production, 1MWe, SOEC, Stack</v>
      </c>
      <c r="B431" s="11">
        <f>(1/3776000)*8</f>
        <v>2.1186440677966101E-6</v>
      </c>
      <c r="C431" s="11" t="s">
        <v>34</v>
      </c>
      <c r="D431" s="11" t="s">
        <v>6</v>
      </c>
      <c r="F431" s="11" t="s">
        <v>12</v>
      </c>
      <c r="G431" s="11" t="s">
        <v>150</v>
      </c>
      <c r="H431" s="11" t="s">
        <v>443</v>
      </c>
      <c r="J431"/>
      <c r="K431" s="19"/>
      <c r="L431" s="19"/>
      <c r="M431" s="19"/>
      <c r="N431" s="19"/>
      <c r="O431" s="19"/>
      <c r="P431" s="19"/>
      <c r="Q431"/>
      <c r="R431"/>
    </row>
    <row r="432" spans="1:21" s="11" customFormat="1" ht="16" x14ac:dyDescent="0.2">
      <c r="A432" s="16" t="str">
        <f>B501</f>
        <v>electrolyzer production, 1MWe, SOEC, Balance of Plant</v>
      </c>
      <c r="B432" s="11">
        <f>1/3776000</f>
        <v>2.6483050847457627E-7</v>
      </c>
      <c r="C432" s="11" t="s">
        <v>34</v>
      </c>
      <c r="D432" s="11" t="s">
        <v>6</v>
      </c>
      <c r="F432" s="11" t="s">
        <v>12</v>
      </c>
      <c r="G432" s="11" t="s">
        <v>151</v>
      </c>
      <c r="H432" s="11" t="s">
        <v>49</v>
      </c>
      <c r="J432"/>
      <c r="K432" s="19"/>
      <c r="L432" s="19"/>
      <c r="M432" s="19"/>
      <c r="N432" s="19"/>
      <c r="O432" s="19"/>
      <c r="P432" s="19"/>
      <c r="Q432"/>
      <c r="R432"/>
    </row>
    <row r="433" spans="1:20" s="11" customFormat="1" ht="16" x14ac:dyDescent="0.2">
      <c r="A433" s="16" t="s">
        <v>512</v>
      </c>
      <c r="B433" s="11">
        <f>-1*B431</f>
        <v>-2.1186440677966101E-6</v>
      </c>
      <c r="C433" s="11" t="s">
        <v>34</v>
      </c>
      <c r="D433" s="11" t="s">
        <v>6</v>
      </c>
      <c r="F433" s="11" t="s">
        <v>12</v>
      </c>
      <c r="G433" s="11" t="s">
        <v>513</v>
      </c>
      <c r="H433" s="11" t="s">
        <v>215</v>
      </c>
      <c r="J433"/>
      <c r="K433" s="19"/>
      <c r="L433" s="19"/>
      <c r="M433" s="19"/>
      <c r="N433" s="19"/>
      <c r="O433" s="19"/>
      <c r="P433" s="19"/>
      <c r="Q433"/>
      <c r="R433"/>
    </row>
    <row r="434" spans="1:20" s="11" customFormat="1" ht="16" x14ac:dyDescent="0.2">
      <c r="A434" s="16" t="s">
        <v>514</v>
      </c>
      <c r="B434" s="11">
        <f>-1*B432</f>
        <v>-2.6483050847457627E-7</v>
      </c>
      <c r="C434" s="11" t="s">
        <v>34</v>
      </c>
      <c r="D434" s="11" t="s">
        <v>6</v>
      </c>
      <c r="F434" s="11" t="s">
        <v>12</v>
      </c>
      <c r="G434" s="11" t="s">
        <v>515</v>
      </c>
      <c r="H434" s="11" t="s">
        <v>225</v>
      </c>
      <c r="J434"/>
      <c r="K434" s="19"/>
      <c r="L434" s="19"/>
      <c r="M434" s="19"/>
      <c r="N434" s="19"/>
      <c r="O434" s="19"/>
      <c r="P434" s="19"/>
      <c r="Q434"/>
      <c r="R434"/>
    </row>
    <row r="435" spans="1:20" s="11" customFormat="1" ht="16" x14ac:dyDescent="0.2">
      <c r="A435" s="13" t="s">
        <v>50</v>
      </c>
      <c r="B435" s="16">
        <v>42.3</v>
      </c>
      <c r="C435" s="11" t="s">
        <v>45</v>
      </c>
      <c r="D435" s="11" t="s">
        <v>35</v>
      </c>
      <c r="E435" s="10"/>
      <c r="F435" s="11" t="s">
        <v>12</v>
      </c>
      <c r="G435" s="11" t="s">
        <v>36</v>
      </c>
      <c r="H435" s="10" t="s">
        <v>483</v>
      </c>
      <c r="I435" s="11">
        <v>5</v>
      </c>
      <c r="J435" s="4">
        <f>B435</f>
        <v>42.3</v>
      </c>
      <c r="K435" s="19"/>
      <c r="L435" s="19"/>
      <c r="M435" s="19"/>
      <c r="N435" s="19"/>
      <c r="O435" s="19"/>
      <c r="P435" s="19"/>
      <c r="Q435"/>
      <c r="R435"/>
      <c r="S435" s="11">
        <v>41.2</v>
      </c>
      <c r="T435" s="11">
        <v>43.4</v>
      </c>
    </row>
    <row r="436" spans="1:20" s="11" customFormat="1" ht="16" x14ac:dyDescent="0.2">
      <c r="A436" s="13" t="s">
        <v>51</v>
      </c>
      <c r="B436" s="16">
        <v>0</v>
      </c>
      <c r="C436" s="11" t="s">
        <v>34</v>
      </c>
      <c r="D436" s="11" t="s">
        <v>52</v>
      </c>
      <c r="E436" s="10"/>
      <c r="F436" s="11" t="s">
        <v>12</v>
      </c>
      <c r="G436" s="11" t="s">
        <v>53</v>
      </c>
      <c r="H436" s="10" t="s">
        <v>152</v>
      </c>
      <c r="J436"/>
      <c r="K436" s="19"/>
      <c r="L436" s="19"/>
      <c r="M436" s="19"/>
      <c r="N436" s="19"/>
      <c r="O436" s="19"/>
      <c r="P436" s="19"/>
      <c r="Q436"/>
      <c r="R436"/>
    </row>
    <row r="437" spans="1:20" s="11" customFormat="1" ht="16" x14ac:dyDescent="0.2">
      <c r="A437" s="13" t="s">
        <v>516</v>
      </c>
      <c r="B437" s="16">
        <v>14</v>
      </c>
      <c r="C437" s="11" t="s">
        <v>34</v>
      </c>
      <c r="D437" s="11" t="s">
        <v>13</v>
      </c>
      <c r="F437" s="11" t="s">
        <v>12</v>
      </c>
      <c r="G437" s="11" t="s">
        <v>517</v>
      </c>
      <c r="H437" s="20" t="s">
        <v>54</v>
      </c>
      <c r="J437"/>
      <c r="K437" s="19"/>
      <c r="L437" s="19"/>
      <c r="M437" s="19"/>
      <c r="N437" s="19"/>
      <c r="O437" s="19"/>
      <c r="P437" s="19"/>
      <c r="Q437"/>
      <c r="R437"/>
    </row>
    <row r="438" spans="1:20" s="11" customFormat="1" ht="16" x14ac:dyDescent="0.2">
      <c r="A438" s="21" t="s">
        <v>38</v>
      </c>
      <c r="B438" s="15">
        <v>8</v>
      </c>
      <c r="C438" s="21"/>
      <c r="D438" s="21" t="s">
        <v>13</v>
      </c>
      <c r="E438" s="21" t="s">
        <v>39</v>
      </c>
      <c r="F438" s="21" t="s">
        <v>14</v>
      </c>
      <c r="G438" s="21"/>
      <c r="H438" s="22"/>
      <c r="J438"/>
      <c r="K438" s="19"/>
      <c r="L438" s="19"/>
      <c r="M438" s="19"/>
      <c r="N438" s="19"/>
      <c r="O438" s="19"/>
      <c r="P438" s="19"/>
      <c r="Q438" s="19"/>
      <c r="R438"/>
    </row>
    <row r="439" spans="1:20" s="11" customFormat="1" ht="16" x14ac:dyDescent="0.2">
      <c r="A439" s="47" t="s">
        <v>456</v>
      </c>
      <c r="B439" s="48">
        <f>(0.02*1000)/(3776000/20)</f>
        <v>1.0593220338983051E-4</v>
      </c>
      <c r="C439" s="47"/>
      <c r="D439" s="47" t="s">
        <v>453</v>
      </c>
      <c r="E439" s="47" t="s">
        <v>454</v>
      </c>
      <c r="F439" s="47" t="s">
        <v>14</v>
      </c>
      <c r="H439" s="47" t="s">
        <v>464</v>
      </c>
      <c r="I439" s="11">
        <v>2</v>
      </c>
      <c r="J439">
        <f t="shared" ref="J439:J441" si="18">LN(B439)</f>
        <v>-9.1527112591395472</v>
      </c>
      <c r="K439" s="19">
        <v>1.05</v>
      </c>
      <c r="L439" s="19">
        <v>1.1000000000000001</v>
      </c>
      <c r="M439" s="19">
        <v>1</v>
      </c>
      <c r="N439" s="19">
        <v>1.02</v>
      </c>
      <c r="O439" s="19">
        <v>1.2</v>
      </c>
      <c r="P439" s="19">
        <v>1.2</v>
      </c>
      <c r="Q439" s="19">
        <v>1.5</v>
      </c>
      <c r="R439">
        <f t="shared" ref="R439:R441" si="19">LN(SQRT(EXP(
SQRT(
+POWER(LN(K439),2)
+POWER(LN(L439),2)
+POWER(LN(M439),2)
+POWER(LN(N439),2)
+POWER(LN(O439),2)
+POWER(LN(P439),2)
+POWER(LN(Q439),2)
)
)))</f>
        <v>0.24634371748562628</v>
      </c>
    </row>
    <row r="440" spans="1:20" s="11" customFormat="1" ht="16" x14ac:dyDescent="0.2">
      <c r="A440" s="47" t="s">
        <v>458</v>
      </c>
      <c r="B440" s="48">
        <f>(0.02*1000)/3776000</f>
        <v>5.2966101694915258E-6</v>
      </c>
      <c r="C440" s="47"/>
      <c r="D440" s="47" t="s">
        <v>459</v>
      </c>
      <c r="E440" s="47" t="s">
        <v>454</v>
      </c>
      <c r="F440" s="47" t="s">
        <v>14</v>
      </c>
      <c r="H440" s="47" t="s">
        <v>465</v>
      </c>
      <c r="I440" s="11">
        <v>2</v>
      </c>
      <c r="J440">
        <f t="shared" si="18"/>
        <v>-12.148443532693538</v>
      </c>
      <c r="K440" s="19">
        <v>1.05</v>
      </c>
      <c r="L440" s="19">
        <v>1.1000000000000001</v>
      </c>
      <c r="M440" s="19">
        <v>1</v>
      </c>
      <c r="N440" s="19">
        <v>1.02</v>
      </c>
      <c r="O440" s="19">
        <v>1.2</v>
      </c>
      <c r="P440" s="19">
        <v>1.2</v>
      </c>
      <c r="Q440" s="19">
        <v>1.5</v>
      </c>
      <c r="R440">
        <f t="shared" si="19"/>
        <v>0.24634371748562628</v>
      </c>
    </row>
    <row r="441" spans="1:20" s="11" customFormat="1" ht="16" x14ac:dyDescent="0.2">
      <c r="A441" s="47" t="s">
        <v>461</v>
      </c>
      <c r="B441" s="48">
        <f>(0.02*1000)/3776000</f>
        <v>5.2966101694915258E-6</v>
      </c>
      <c r="C441" s="47"/>
      <c r="D441" s="47" t="s">
        <v>459</v>
      </c>
      <c r="E441" s="47" t="s">
        <v>454</v>
      </c>
      <c r="F441" s="47" t="s">
        <v>14</v>
      </c>
      <c r="H441" s="47" t="s">
        <v>465</v>
      </c>
      <c r="I441" s="11">
        <v>2</v>
      </c>
      <c r="J441">
        <f t="shared" si="18"/>
        <v>-12.148443532693538</v>
      </c>
      <c r="K441" s="19">
        <v>1.05</v>
      </c>
      <c r="L441" s="19">
        <v>1.1000000000000001</v>
      </c>
      <c r="M441" s="19">
        <v>1</v>
      </c>
      <c r="N441" s="19">
        <v>1.02</v>
      </c>
      <c r="O441" s="19">
        <v>1.2</v>
      </c>
      <c r="P441" s="19">
        <v>1.2</v>
      </c>
      <c r="Q441" s="19">
        <v>1.5</v>
      </c>
      <c r="R441">
        <f t="shared" si="19"/>
        <v>0.24634371748562628</v>
      </c>
    </row>
    <row r="442" spans="1:20" s="11" customFormat="1" ht="16" x14ac:dyDescent="0.2">
      <c r="B442" s="16"/>
      <c r="K442" s="12"/>
      <c r="L442" s="12"/>
      <c r="M442" s="12"/>
      <c r="N442" s="12"/>
      <c r="O442" s="12"/>
      <c r="P442" s="12"/>
    </row>
    <row r="443" spans="1:20" s="11" customFormat="1" ht="16" x14ac:dyDescent="0.2">
      <c r="A443" s="8" t="s">
        <v>1</v>
      </c>
      <c r="B443" s="9" t="s">
        <v>445</v>
      </c>
      <c r="C443" s="10"/>
      <c r="K443" s="12"/>
      <c r="L443" s="12"/>
      <c r="M443" s="12"/>
      <c r="N443" s="12"/>
      <c r="O443" s="12"/>
      <c r="P443" s="12"/>
    </row>
    <row r="444" spans="1:20" s="11" customFormat="1" ht="16" x14ac:dyDescent="0.2">
      <c r="A444" s="13" t="s">
        <v>3</v>
      </c>
      <c r="B444" s="14">
        <v>1</v>
      </c>
      <c r="K444" s="12"/>
      <c r="L444" s="12"/>
      <c r="M444" s="12"/>
      <c r="N444" s="12"/>
      <c r="O444" s="12"/>
      <c r="P444" s="12"/>
    </row>
    <row r="445" spans="1:20" s="11" customFormat="1" ht="16" x14ac:dyDescent="0.2">
      <c r="A445" s="13" t="s">
        <v>11</v>
      </c>
      <c r="B445" s="14" t="s">
        <v>437</v>
      </c>
      <c r="K445" s="12"/>
      <c r="L445" s="12"/>
      <c r="M445" s="12"/>
      <c r="N445" s="12"/>
      <c r="O445" s="12"/>
      <c r="P445" s="12"/>
    </row>
    <row r="446" spans="1:20" s="11" customFormat="1" ht="16" x14ac:dyDescent="0.2">
      <c r="A446" s="13" t="s">
        <v>4</v>
      </c>
      <c r="B446" s="15" t="s">
        <v>442</v>
      </c>
      <c r="K446" s="12"/>
      <c r="L446" s="12"/>
      <c r="M446" s="12"/>
      <c r="N446" s="12"/>
      <c r="O446" s="12"/>
      <c r="P446" s="12"/>
    </row>
    <row r="447" spans="1:20" s="11" customFormat="1" ht="16" x14ac:dyDescent="0.2">
      <c r="A447" s="13" t="s">
        <v>2</v>
      </c>
      <c r="B447" s="14" t="s">
        <v>45</v>
      </c>
      <c r="K447" s="12"/>
      <c r="L447" s="12"/>
      <c r="M447" s="12"/>
      <c r="N447" s="12"/>
      <c r="O447" s="12"/>
      <c r="P447" s="12"/>
    </row>
    <row r="448" spans="1:20" s="11" customFormat="1" ht="16" x14ac:dyDescent="0.2">
      <c r="A448" s="13" t="s">
        <v>6</v>
      </c>
      <c r="B448" s="16" t="s">
        <v>13</v>
      </c>
      <c r="H448" s="17"/>
      <c r="I448" s="17"/>
      <c r="J448" s="17"/>
      <c r="K448" s="12"/>
      <c r="L448" s="12"/>
      <c r="M448" s="12"/>
      <c r="N448" s="12"/>
      <c r="O448" s="12"/>
      <c r="P448" s="12"/>
    </row>
    <row r="449" spans="1:21" s="11" customFormat="1" ht="16" x14ac:dyDescent="0.2">
      <c r="A449" s="17" t="s">
        <v>7</v>
      </c>
      <c r="B449" s="9"/>
      <c r="C449" s="17"/>
      <c r="D449" s="17"/>
      <c r="E449" s="17"/>
      <c r="F449" s="17"/>
      <c r="G449" s="17"/>
      <c r="H449" s="10"/>
      <c r="I449" s="10"/>
      <c r="J449" s="10"/>
      <c r="K449" s="12"/>
      <c r="L449" s="12"/>
      <c r="M449" s="12"/>
      <c r="N449" s="12"/>
      <c r="O449" s="12"/>
      <c r="P449" s="12"/>
    </row>
    <row r="450" spans="1:21" s="11" customFormat="1" ht="16" x14ac:dyDescent="0.2">
      <c r="A450" s="17" t="s">
        <v>8</v>
      </c>
      <c r="B450" s="9" t="s">
        <v>9</v>
      </c>
      <c r="C450" s="17" t="s">
        <v>2</v>
      </c>
      <c r="D450" s="17" t="s">
        <v>6</v>
      </c>
      <c r="E450" s="17" t="s">
        <v>10</v>
      </c>
      <c r="F450" s="17" t="s">
        <v>5</v>
      </c>
      <c r="G450" s="17" t="s">
        <v>4</v>
      </c>
      <c r="H450" s="23" t="s">
        <v>11</v>
      </c>
      <c r="I450" s="17" t="s">
        <v>466</v>
      </c>
      <c r="J450" s="7" t="s">
        <v>467</v>
      </c>
      <c r="K450" s="18" t="s">
        <v>468</v>
      </c>
      <c r="L450" s="18" t="s">
        <v>469</v>
      </c>
      <c r="M450" s="18" t="s">
        <v>470</v>
      </c>
      <c r="N450" s="18" t="s">
        <v>471</v>
      </c>
      <c r="O450" s="18" t="s">
        <v>472</v>
      </c>
      <c r="P450" s="18" t="s">
        <v>473</v>
      </c>
      <c r="Q450" s="7" t="s">
        <v>474</v>
      </c>
      <c r="R450" s="7" t="s">
        <v>475</v>
      </c>
      <c r="S450" s="17" t="s">
        <v>476</v>
      </c>
      <c r="T450" s="7" t="s">
        <v>477</v>
      </c>
      <c r="U450" s="17" t="s">
        <v>46</v>
      </c>
    </row>
    <row r="451" spans="1:21" s="11" customFormat="1" ht="16" x14ac:dyDescent="0.2">
      <c r="A451" s="16" t="s">
        <v>445</v>
      </c>
      <c r="B451" s="16">
        <v>1</v>
      </c>
      <c r="C451" s="11" t="str">
        <f>B447</f>
        <v>CH</v>
      </c>
      <c r="D451" s="11" t="str">
        <f>B448</f>
        <v>kilogram</v>
      </c>
      <c r="E451" s="10"/>
      <c r="F451" s="11" t="s">
        <v>16</v>
      </c>
      <c r="G451" s="11" t="s">
        <v>442</v>
      </c>
      <c r="H451" s="10"/>
      <c r="I451" s="10"/>
      <c r="K451" s="12"/>
      <c r="L451" s="12"/>
      <c r="M451" s="12"/>
      <c r="N451" s="12"/>
      <c r="O451" s="12"/>
      <c r="P451" s="12"/>
      <c r="T451"/>
    </row>
    <row r="452" spans="1:21" s="11" customFormat="1" ht="16" x14ac:dyDescent="0.2">
      <c r="A452" s="16" t="s">
        <v>153</v>
      </c>
      <c r="B452" s="11">
        <f>(1/3776000)*8</f>
        <v>2.1186440677966101E-6</v>
      </c>
      <c r="C452" s="11" t="s">
        <v>34</v>
      </c>
      <c r="D452" s="11" t="s">
        <v>6</v>
      </c>
      <c r="F452" s="11" t="s">
        <v>12</v>
      </c>
      <c r="G452" s="11" t="s">
        <v>150</v>
      </c>
      <c r="H452" s="11" t="s">
        <v>488</v>
      </c>
      <c r="I452" s="11">
        <v>5</v>
      </c>
      <c r="J452">
        <f>B452</f>
        <v>2.1186440677966101E-6</v>
      </c>
      <c r="K452" s="19"/>
      <c r="L452" s="19"/>
      <c r="M452" s="19"/>
      <c r="N452" s="19"/>
      <c r="O452" s="19"/>
      <c r="P452" s="19"/>
      <c r="Q452"/>
      <c r="R452"/>
      <c r="S452" s="11">
        <f>(1/(25*8000*23.6))*8</f>
        <v>1.6949152542372882E-6</v>
      </c>
      <c r="T452" s="11">
        <f>(1/(15*8000*23.6))*8</f>
        <v>2.8248587570621469E-6</v>
      </c>
    </row>
    <row r="453" spans="1:21" s="11" customFormat="1" ht="16" x14ac:dyDescent="0.2">
      <c r="A453" s="16" t="s">
        <v>179</v>
      </c>
      <c r="B453" s="11">
        <f>1/3776000</f>
        <v>2.6483050847457627E-7</v>
      </c>
      <c r="C453" s="11" t="s">
        <v>34</v>
      </c>
      <c r="D453" s="11" t="s">
        <v>6</v>
      </c>
      <c r="F453" s="11" t="s">
        <v>12</v>
      </c>
      <c r="G453" s="11" t="s">
        <v>151</v>
      </c>
      <c r="H453" s="11" t="s">
        <v>49</v>
      </c>
      <c r="I453" s="11">
        <v>5</v>
      </c>
      <c r="J453">
        <f>B453</f>
        <v>2.6483050847457627E-7</v>
      </c>
      <c r="K453" s="19"/>
      <c r="L453" s="19"/>
      <c r="M453" s="19"/>
      <c r="N453" s="19"/>
      <c r="O453" s="19"/>
      <c r="P453" s="19"/>
      <c r="Q453"/>
      <c r="R453"/>
      <c r="S453" s="11">
        <f>(1/(25*8000*23.6))</f>
        <v>2.1186440677966102E-7</v>
      </c>
      <c r="T453" s="11">
        <f>(1/(15*8000*23.6))</f>
        <v>3.5310734463276836E-7</v>
      </c>
    </row>
    <row r="454" spans="1:21" s="11" customFormat="1" ht="16" x14ac:dyDescent="0.2">
      <c r="A454" s="16" t="s">
        <v>512</v>
      </c>
      <c r="B454" s="11">
        <f>-1*B452</f>
        <v>-2.1186440677966101E-6</v>
      </c>
      <c r="C454" s="11" t="s">
        <v>34</v>
      </c>
      <c r="D454" s="11" t="s">
        <v>6</v>
      </c>
      <c r="F454" s="11" t="s">
        <v>12</v>
      </c>
      <c r="G454" s="11" t="s">
        <v>513</v>
      </c>
      <c r="H454" s="11" t="s">
        <v>215</v>
      </c>
      <c r="I454" s="11">
        <v>5</v>
      </c>
      <c r="J454">
        <f>B454</f>
        <v>-2.1186440677966101E-6</v>
      </c>
      <c r="K454" s="19"/>
      <c r="L454" s="19"/>
      <c r="M454" s="19"/>
      <c r="N454" s="19"/>
      <c r="O454" s="19"/>
      <c r="P454" s="19"/>
      <c r="Q454"/>
      <c r="R454"/>
      <c r="S454" s="11">
        <f>-1*T452</f>
        <v>-2.8248587570621469E-6</v>
      </c>
      <c r="T454" s="11">
        <f>-1*S452</f>
        <v>-1.6949152542372882E-6</v>
      </c>
      <c r="U454" s="11" t="b">
        <v>1</v>
      </c>
    </row>
    <row r="455" spans="1:21" s="11" customFormat="1" ht="16" x14ac:dyDescent="0.2">
      <c r="A455" s="16" t="s">
        <v>514</v>
      </c>
      <c r="B455" s="11">
        <f>-1*B453</f>
        <v>-2.6483050847457627E-7</v>
      </c>
      <c r="C455" s="11" t="s">
        <v>34</v>
      </c>
      <c r="D455" s="11" t="s">
        <v>6</v>
      </c>
      <c r="F455" s="11" t="s">
        <v>12</v>
      </c>
      <c r="G455" s="11" t="s">
        <v>515</v>
      </c>
      <c r="H455" s="11" t="s">
        <v>225</v>
      </c>
      <c r="I455" s="11">
        <v>5</v>
      </c>
      <c r="J455">
        <f>B455</f>
        <v>-2.6483050847457627E-7</v>
      </c>
      <c r="K455" s="19"/>
      <c r="L455" s="19"/>
      <c r="M455" s="19"/>
      <c r="N455" s="19"/>
      <c r="O455" s="19"/>
      <c r="P455" s="19"/>
      <c r="Q455"/>
      <c r="R455"/>
      <c r="S455" s="11">
        <f>-1*T453</f>
        <v>-3.5310734463276836E-7</v>
      </c>
      <c r="T455" s="11">
        <f>-1*S453</f>
        <v>-2.1186440677966102E-7</v>
      </c>
      <c r="U455" s="11" t="b">
        <v>1</v>
      </c>
    </row>
    <row r="456" spans="1:21" s="11" customFormat="1" ht="16" x14ac:dyDescent="0.2">
      <c r="A456" s="13" t="s">
        <v>50</v>
      </c>
      <c r="B456" s="16">
        <v>39</v>
      </c>
      <c r="C456" s="11" t="s">
        <v>45</v>
      </c>
      <c r="D456" s="11" t="s">
        <v>35</v>
      </c>
      <c r="E456" s="10"/>
      <c r="F456" s="11" t="s">
        <v>12</v>
      </c>
      <c r="G456" s="11" t="s">
        <v>36</v>
      </c>
      <c r="H456" s="10" t="s">
        <v>444</v>
      </c>
      <c r="J456"/>
      <c r="K456" s="19"/>
      <c r="L456" s="19"/>
      <c r="M456" s="19"/>
      <c r="N456" s="19"/>
      <c r="O456" s="19"/>
      <c r="P456" s="19"/>
      <c r="Q456"/>
      <c r="R456"/>
    </row>
    <row r="457" spans="1:21" s="11" customFormat="1" ht="16" x14ac:dyDescent="0.2">
      <c r="A457" s="13" t="s">
        <v>51</v>
      </c>
      <c r="B457" s="16">
        <v>16</v>
      </c>
      <c r="C457" s="11" t="s">
        <v>34</v>
      </c>
      <c r="D457" s="11" t="s">
        <v>52</v>
      </c>
      <c r="E457" s="10"/>
      <c r="F457" s="11" t="s">
        <v>12</v>
      </c>
      <c r="G457" s="11" t="s">
        <v>53</v>
      </c>
      <c r="H457" s="10" t="s">
        <v>446</v>
      </c>
      <c r="J457"/>
      <c r="K457" s="19"/>
      <c r="L457" s="19"/>
      <c r="M457" s="19"/>
      <c r="N457" s="19"/>
      <c r="O457" s="19"/>
      <c r="P457" s="19"/>
      <c r="Q457"/>
      <c r="R457"/>
    </row>
    <row r="458" spans="1:21" s="11" customFormat="1" ht="16" x14ac:dyDescent="0.2">
      <c r="A458" s="13" t="s">
        <v>516</v>
      </c>
      <c r="B458" s="16">
        <v>14</v>
      </c>
      <c r="C458" s="11" t="s">
        <v>34</v>
      </c>
      <c r="D458" s="11" t="s">
        <v>13</v>
      </c>
      <c r="F458" s="11" t="s">
        <v>12</v>
      </c>
      <c r="G458" s="11" t="s">
        <v>517</v>
      </c>
      <c r="H458" s="20" t="s">
        <v>54</v>
      </c>
      <c r="J458"/>
      <c r="K458" s="19"/>
      <c r="L458" s="19"/>
      <c r="M458" s="19"/>
      <c r="N458" s="19"/>
      <c r="O458" s="19"/>
      <c r="P458" s="19"/>
      <c r="Q458"/>
      <c r="R458"/>
    </row>
    <row r="459" spans="1:21" s="11" customFormat="1" ht="16" x14ac:dyDescent="0.2">
      <c r="A459" s="21" t="s">
        <v>38</v>
      </c>
      <c r="B459" s="15">
        <v>8</v>
      </c>
      <c r="C459" s="21"/>
      <c r="D459" s="21" t="s">
        <v>13</v>
      </c>
      <c r="E459" s="21" t="s">
        <v>39</v>
      </c>
      <c r="F459" s="21" t="s">
        <v>14</v>
      </c>
      <c r="G459" s="21"/>
      <c r="H459" s="22"/>
      <c r="J459"/>
      <c r="K459" s="19"/>
      <c r="L459" s="19"/>
      <c r="M459" s="19"/>
      <c r="N459" s="19"/>
      <c r="O459" s="19"/>
      <c r="P459" s="19"/>
      <c r="Q459" s="19"/>
      <c r="R459"/>
    </row>
    <row r="460" spans="1:21" s="11" customFormat="1" ht="16" x14ac:dyDescent="0.2">
      <c r="A460" s="47" t="s">
        <v>456</v>
      </c>
      <c r="B460" s="48">
        <f>(0.05*1000)/(3776000/20)</f>
        <v>2.6483050847457627E-4</v>
      </c>
      <c r="C460" s="47"/>
      <c r="D460" s="47" t="s">
        <v>453</v>
      </c>
      <c r="E460" s="47" t="s">
        <v>454</v>
      </c>
      <c r="F460" s="47" t="s">
        <v>14</v>
      </c>
      <c r="H460" s="47" t="s">
        <v>464</v>
      </c>
      <c r="I460" s="11">
        <v>2</v>
      </c>
      <c r="J460">
        <f t="shared" ref="J460:J462" si="20">LN(B460)</f>
        <v>-8.2364205272653912</v>
      </c>
      <c r="K460" s="19">
        <v>1.05</v>
      </c>
      <c r="L460" s="19">
        <v>1.1000000000000001</v>
      </c>
      <c r="M460" s="19">
        <v>1</v>
      </c>
      <c r="N460" s="19">
        <v>1.02</v>
      </c>
      <c r="O460" s="19">
        <v>1.2</v>
      </c>
      <c r="P460" s="19">
        <v>1.2</v>
      </c>
      <c r="Q460" s="19">
        <v>1.5</v>
      </c>
      <c r="R460">
        <f t="shared" ref="R460:R462" si="21">LN(SQRT(EXP(
SQRT(
+POWER(LN(K460),2)
+POWER(LN(L460),2)
+POWER(LN(M460),2)
+POWER(LN(N460),2)
+POWER(LN(O460),2)
+POWER(LN(P460),2)
+POWER(LN(Q460),2)
)
)))</f>
        <v>0.24634371748562628</v>
      </c>
    </row>
    <row r="461" spans="1:21" s="11" customFormat="1" ht="16" x14ac:dyDescent="0.2">
      <c r="A461" s="47" t="s">
        <v>458</v>
      </c>
      <c r="B461" s="48">
        <f>(0.05*1000)/3776000</f>
        <v>1.3241525423728813E-5</v>
      </c>
      <c r="C461" s="47"/>
      <c r="D461" s="47" t="s">
        <v>459</v>
      </c>
      <c r="E461" s="47" t="s">
        <v>454</v>
      </c>
      <c r="F461" s="47" t="s">
        <v>14</v>
      </c>
      <c r="H461" s="47" t="s">
        <v>465</v>
      </c>
      <c r="I461" s="11">
        <v>2</v>
      </c>
      <c r="J461">
        <f t="shared" si="20"/>
        <v>-11.232152800819382</v>
      </c>
      <c r="K461" s="19">
        <v>1.05</v>
      </c>
      <c r="L461" s="19">
        <v>1.1000000000000001</v>
      </c>
      <c r="M461" s="19">
        <v>1</v>
      </c>
      <c r="N461" s="19">
        <v>1.02</v>
      </c>
      <c r="O461" s="19">
        <v>1.2</v>
      </c>
      <c r="P461" s="19">
        <v>1.2</v>
      </c>
      <c r="Q461" s="19">
        <v>1.5</v>
      </c>
      <c r="R461">
        <f t="shared" si="21"/>
        <v>0.24634371748562628</v>
      </c>
    </row>
    <row r="462" spans="1:21" s="11" customFormat="1" ht="16" x14ac:dyDescent="0.2">
      <c r="A462" s="47" t="s">
        <v>461</v>
      </c>
      <c r="B462" s="48">
        <f>(0.05*1000)/3776000</f>
        <v>1.3241525423728813E-5</v>
      </c>
      <c r="C462" s="47"/>
      <c r="D462" s="47" t="s">
        <v>459</v>
      </c>
      <c r="E462" s="47" t="s">
        <v>454</v>
      </c>
      <c r="F462" s="47" t="s">
        <v>14</v>
      </c>
      <c r="H462" s="47" t="s">
        <v>465</v>
      </c>
      <c r="I462" s="11">
        <v>2</v>
      </c>
      <c r="J462">
        <f t="shared" si="20"/>
        <v>-11.232152800819382</v>
      </c>
      <c r="K462" s="19">
        <v>1.05</v>
      </c>
      <c r="L462" s="19">
        <v>1.1000000000000001</v>
      </c>
      <c r="M462" s="19">
        <v>1</v>
      </c>
      <c r="N462" s="19">
        <v>1.02</v>
      </c>
      <c r="O462" s="19">
        <v>1.2</v>
      </c>
      <c r="P462" s="19">
        <v>1.2</v>
      </c>
      <c r="Q462" s="19">
        <v>1.5</v>
      </c>
      <c r="R462">
        <f t="shared" si="21"/>
        <v>0.24634371748562628</v>
      </c>
    </row>
    <row r="463" spans="1:21" s="11" customFormat="1" ht="16" x14ac:dyDescent="0.2">
      <c r="B463" s="16"/>
      <c r="K463" s="12"/>
      <c r="L463" s="12"/>
      <c r="M463" s="12"/>
      <c r="N463" s="12"/>
      <c r="O463" s="12"/>
      <c r="P463" s="12"/>
    </row>
    <row r="464" spans="1:21" s="11" customFormat="1" ht="16" x14ac:dyDescent="0.2">
      <c r="A464" s="8" t="s">
        <v>1</v>
      </c>
      <c r="B464" s="9" t="s">
        <v>153</v>
      </c>
      <c r="K464" s="12"/>
      <c r="L464" s="12"/>
      <c r="M464" s="12"/>
      <c r="N464" s="12"/>
      <c r="O464" s="12"/>
      <c r="P464" s="12"/>
    </row>
    <row r="465" spans="1:20" s="11" customFormat="1" ht="16" x14ac:dyDescent="0.2">
      <c r="A465" s="13" t="s">
        <v>3</v>
      </c>
      <c r="B465" s="14">
        <v>1</v>
      </c>
      <c r="K465" s="12"/>
      <c r="L465" s="12"/>
      <c r="M465" s="12"/>
      <c r="N465" s="12"/>
      <c r="O465" s="12"/>
      <c r="P465" s="12"/>
    </row>
    <row r="466" spans="1:20" s="11" customFormat="1" ht="16" x14ac:dyDescent="0.2">
      <c r="A466" s="13" t="s">
        <v>11</v>
      </c>
      <c r="B466" s="14" t="s">
        <v>455</v>
      </c>
      <c r="K466" s="12"/>
      <c r="L466" s="12"/>
      <c r="M466" s="12"/>
      <c r="N466" s="12"/>
      <c r="O466" s="12"/>
      <c r="P466" s="12"/>
    </row>
    <row r="467" spans="1:20" s="11" customFormat="1" ht="16" x14ac:dyDescent="0.2">
      <c r="A467" s="13" t="s">
        <v>4</v>
      </c>
      <c r="B467" s="16" t="s">
        <v>150</v>
      </c>
      <c r="K467" s="12"/>
      <c r="L467" s="12"/>
      <c r="M467" s="12"/>
      <c r="N467" s="12"/>
      <c r="O467" s="12"/>
      <c r="P467" s="12"/>
    </row>
    <row r="468" spans="1:20" s="11" customFormat="1" ht="16" x14ac:dyDescent="0.2">
      <c r="A468" s="13" t="s">
        <v>2</v>
      </c>
      <c r="B468" s="14" t="s">
        <v>34</v>
      </c>
      <c r="K468" s="12"/>
      <c r="L468" s="12"/>
      <c r="M468" s="12"/>
      <c r="N468" s="12"/>
      <c r="O468" s="12"/>
      <c r="P468" s="12"/>
    </row>
    <row r="469" spans="1:20" s="11" customFormat="1" ht="16" x14ac:dyDescent="0.2">
      <c r="A469" s="13" t="s">
        <v>6</v>
      </c>
      <c r="B469" s="16" t="s">
        <v>6</v>
      </c>
      <c r="K469" s="12"/>
      <c r="L469" s="12"/>
      <c r="M469" s="12"/>
      <c r="N469" s="12"/>
      <c r="O469" s="12"/>
      <c r="P469" s="12"/>
    </row>
    <row r="470" spans="1:20" s="11" customFormat="1" ht="16" x14ac:dyDescent="0.2">
      <c r="A470" s="17" t="s">
        <v>7</v>
      </c>
      <c r="B470" s="9"/>
      <c r="C470" s="17"/>
      <c r="D470" s="17"/>
      <c r="E470" s="17"/>
      <c r="F470" s="17"/>
      <c r="G470" s="17"/>
      <c r="H470" s="17"/>
      <c r="I470" s="17"/>
      <c r="J470" s="17"/>
      <c r="K470" s="12"/>
      <c r="L470" s="12"/>
      <c r="M470" s="12"/>
      <c r="N470" s="12"/>
      <c r="O470" s="12"/>
      <c r="P470" s="12"/>
    </row>
    <row r="471" spans="1:20" s="11" customFormat="1" ht="16" x14ac:dyDescent="0.2">
      <c r="A471" s="17" t="s">
        <v>8</v>
      </c>
      <c r="B471" s="9" t="s">
        <v>9</v>
      </c>
      <c r="C471" s="17" t="s">
        <v>2</v>
      </c>
      <c r="D471" s="17" t="s">
        <v>6</v>
      </c>
      <c r="E471" s="23" t="s">
        <v>10</v>
      </c>
      <c r="F471" s="17" t="s">
        <v>5</v>
      </c>
      <c r="G471" s="17" t="s">
        <v>4</v>
      </c>
      <c r="H471" s="23" t="s">
        <v>11</v>
      </c>
      <c r="I471" s="17"/>
      <c r="J471" s="7"/>
      <c r="K471" s="18"/>
      <c r="L471" s="18"/>
      <c r="M471" s="18"/>
      <c r="N471" s="18"/>
      <c r="O471" s="18"/>
      <c r="P471" s="18"/>
      <c r="Q471" s="7"/>
      <c r="R471" s="7"/>
      <c r="S471" s="17"/>
      <c r="T471" s="7"/>
    </row>
    <row r="472" spans="1:20" s="11" customFormat="1" ht="16" x14ac:dyDescent="0.2">
      <c r="A472" s="16" t="str">
        <f>B464</f>
        <v>electrolyzer production, 1MWe, SOEC, Stack</v>
      </c>
      <c r="B472" s="16">
        <v>1</v>
      </c>
      <c r="C472" s="11" t="s">
        <v>34</v>
      </c>
      <c r="D472" s="11" t="str">
        <f>B469</f>
        <v>unit</v>
      </c>
      <c r="F472" s="11" t="s">
        <v>16</v>
      </c>
      <c r="G472" s="11" t="str">
        <f>B467</f>
        <v>electrolyzer, 1MWe, SOEC, Stack</v>
      </c>
      <c r="K472" s="12"/>
      <c r="L472" s="12"/>
      <c r="M472" s="12"/>
      <c r="N472" s="12"/>
      <c r="O472" s="12"/>
      <c r="P472" s="12"/>
    </row>
    <row r="473" spans="1:20" s="11" customFormat="1" ht="16" x14ac:dyDescent="0.2">
      <c r="A473" s="11" t="s">
        <v>73</v>
      </c>
      <c r="B473" s="12">
        <v>8976.1</v>
      </c>
      <c r="C473" s="11" t="s">
        <v>17</v>
      </c>
      <c r="D473" s="11" t="s">
        <v>13</v>
      </c>
      <c r="F473" s="11" t="s">
        <v>12</v>
      </c>
      <c r="G473" s="11" t="s">
        <v>74</v>
      </c>
      <c r="H473" s="11" t="s">
        <v>154</v>
      </c>
      <c r="J473"/>
      <c r="K473" s="19"/>
      <c r="L473" s="19"/>
      <c r="M473" s="19"/>
      <c r="N473" s="19"/>
      <c r="O473" s="19"/>
      <c r="P473" s="19"/>
      <c r="Q473"/>
      <c r="R473"/>
    </row>
    <row r="474" spans="1:20" s="11" customFormat="1" ht="16" x14ac:dyDescent="0.2">
      <c r="A474" s="11" t="s">
        <v>20</v>
      </c>
      <c r="B474" s="12">
        <v>8976.1</v>
      </c>
      <c r="C474" s="11" t="s">
        <v>17</v>
      </c>
      <c r="D474" s="11" t="s">
        <v>13</v>
      </c>
      <c r="F474" s="11" t="s">
        <v>12</v>
      </c>
      <c r="G474" s="11" t="s">
        <v>15</v>
      </c>
      <c r="H474" s="11" t="s">
        <v>154</v>
      </c>
      <c r="J474"/>
      <c r="K474" s="19"/>
      <c r="L474" s="19"/>
      <c r="M474" s="19"/>
      <c r="N474" s="19"/>
      <c r="O474" s="19"/>
      <c r="P474" s="19"/>
      <c r="Q474"/>
      <c r="R474"/>
    </row>
    <row r="475" spans="1:20" s="11" customFormat="1" ht="16" x14ac:dyDescent="0.2">
      <c r="A475" s="11" t="s">
        <v>155</v>
      </c>
      <c r="B475" s="12">
        <v>9</v>
      </c>
      <c r="C475" s="11" t="s">
        <v>17</v>
      </c>
      <c r="D475" s="11" t="s">
        <v>13</v>
      </c>
      <c r="F475" s="11" t="s">
        <v>12</v>
      </c>
      <c r="G475" s="11" t="s">
        <v>156</v>
      </c>
      <c r="H475" s="11" t="s">
        <v>157</v>
      </c>
      <c r="J475"/>
      <c r="K475" s="19"/>
      <c r="L475" s="19"/>
      <c r="M475" s="19"/>
      <c r="N475" s="19"/>
      <c r="O475" s="19"/>
      <c r="P475" s="19"/>
      <c r="Q475"/>
      <c r="R475"/>
    </row>
    <row r="476" spans="1:20" s="11" customFormat="1" ht="16" x14ac:dyDescent="0.2">
      <c r="A476" s="11" t="s">
        <v>131</v>
      </c>
      <c r="B476" s="12">
        <v>7.5</v>
      </c>
      <c r="C476" s="11" t="s">
        <v>17</v>
      </c>
      <c r="D476" s="11" t="s">
        <v>13</v>
      </c>
      <c r="F476" s="11" t="s">
        <v>12</v>
      </c>
      <c r="G476" s="11" t="s">
        <v>132</v>
      </c>
      <c r="H476" s="11" t="s">
        <v>157</v>
      </c>
      <c r="J476"/>
      <c r="K476" s="19"/>
      <c r="L476" s="19"/>
      <c r="M476" s="19"/>
      <c r="N476" s="19"/>
      <c r="O476" s="19"/>
      <c r="P476" s="19"/>
      <c r="Q476"/>
      <c r="R476"/>
    </row>
    <row r="477" spans="1:20" s="11" customFormat="1" ht="16" x14ac:dyDescent="0.2">
      <c r="A477" s="11" t="s">
        <v>136</v>
      </c>
      <c r="B477" s="12">
        <v>170.7</v>
      </c>
      <c r="C477" s="11" t="s">
        <v>17</v>
      </c>
      <c r="D477" s="11" t="s">
        <v>13</v>
      </c>
      <c r="F477" s="11" t="s">
        <v>12</v>
      </c>
      <c r="G477" s="11" t="s">
        <v>137</v>
      </c>
      <c r="H477" s="11" t="s">
        <v>158</v>
      </c>
      <c r="J477"/>
      <c r="K477" s="19"/>
      <c r="L477" s="19"/>
      <c r="M477" s="19"/>
      <c r="N477" s="19"/>
      <c r="O477" s="19"/>
      <c r="P477" s="19"/>
      <c r="Q477"/>
      <c r="R477"/>
    </row>
    <row r="478" spans="1:20" s="11" customFormat="1" ht="16" x14ac:dyDescent="0.2">
      <c r="A478" s="11" t="s">
        <v>159</v>
      </c>
      <c r="B478" s="12">
        <v>14.8</v>
      </c>
      <c r="C478" s="11" t="s">
        <v>17</v>
      </c>
      <c r="D478" s="11" t="s">
        <v>13</v>
      </c>
      <c r="F478" s="11" t="s">
        <v>12</v>
      </c>
      <c r="G478" s="11" t="s">
        <v>160</v>
      </c>
      <c r="H478" s="11" t="s">
        <v>158</v>
      </c>
      <c r="J478"/>
      <c r="K478" s="19"/>
      <c r="L478" s="19"/>
      <c r="M478" s="19"/>
      <c r="N478" s="19"/>
      <c r="O478" s="19"/>
      <c r="P478" s="19"/>
      <c r="Q478"/>
      <c r="R478"/>
    </row>
    <row r="479" spans="1:20" s="11" customFormat="1" ht="16" x14ac:dyDescent="0.2">
      <c r="A479" s="11" t="s">
        <v>161</v>
      </c>
      <c r="B479" s="12">
        <v>91.5</v>
      </c>
      <c r="C479" s="11" t="s">
        <v>17</v>
      </c>
      <c r="D479" s="11" t="s">
        <v>13</v>
      </c>
      <c r="F479" s="11" t="s">
        <v>12</v>
      </c>
      <c r="G479" s="11" t="s">
        <v>162</v>
      </c>
      <c r="H479" s="11" t="s">
        <v>157</v>
      </c>
      <c r="J479"/>
      <c r="K479" s="19"/>
      <c r="L479" s="19"/>
      <c r="M479" s="19"/>
      <c r="N479" s="19"/>
      <c r="O479" s="19"/>
      <c r="P479" s="19"/>
      <c r="Q479"/>
      <c r="R479"/>
    </row>
    <row r="480" spans="1:20" s="11" customFormat="1" ht="16" x14ac:dyDescent="0.2">
      <c r="A480" s="11" t="s">
        <v>159</v>
      </c>
      <c r="B480" s="12">
        <v>22.9</v>
      </c>
      <c r="C480" s="11" t="s">
        <v>17</v>
      </c>
      <c r="D480" s="11" t="s">
        <v>13</v>
      </c>
      <c r="F480" s="11" t="s">
        <v>12</v>
      </c>
      <c r="G480" s="11" t="s">
        <v>160</v>
      </c>
      <c r="H480" s="11" t="s">
        <v>157</v>
      </c>
      <c r="J480"/>
      <c r="K480" s="19"/>
      <c r="L480" s="19"/>
      <c r="M480" s="19"/>
      <c r="N480" s="19"/>
      <c r="O480" s="19"/>
      <c r="P480" s="19"/>
      <c r="Q480"/>
      <c r="R480"/>
    </row>
    <row r="481" spans="1:18" s="11" customFormat="1" ht="16" x14ac:dyDescent="0.2">
      <c r="A481" s="11" t="s">
        <v>163</v>
      </c>
      <c r="B481" s="12">
        <f>42/2</f>
        <v>21</v>
      </c>
      <c r="C481" s="11" t="s">
        <v>17</v>
      </c>
      <c r="D481" s="11" t="s">
        <v>13</v>
      </c>
      <c r="F481" s="11" t="s">
        <v>12</v>
      </c>
      <c r="G481" s="11" t="s">
        <v>164</v>
      </c>
      <c r="H481" s="11" t="s">
        <v>165</v>
      </c>
      <c r="J481"/>
      <c r="K481" s="19"/>
      <c r="L481" s="19"/>
      <c r="M481" s="19"/>
      <c r="N481" s="19"/>
      <c r="O481" s="19"/>
      <c r="P481" s="19"/>
      <c r="Q481"/>
      <c r="R481"/>
    </row>
    <row r="482" spans="1:18" s="11" customFormat="1" ht="16" x14ac:dyDescent="0.2">
      <c r="A482" s="11" t="s">
        <v>166</v>
      </c>
      <c r="B482" s="12">
        <f>42/2</f>
        <v>21</v>
      </c>
      <c r="C482" s="11" t="s">
        <v>17</v>
      </c>
      <c r="D482" s="11" t="s">
        <v>13</v>
      </c>
      <c r="F482" s="11" t="s">
        <v>12</v>
      </c>
      <c r="G482" s="11" t="s">
        <v>167</v>
      </c>
      <c r="H482" s="11" t="s">
        <v>165</v>
      </c>
      <c r="J482"/>
      <c r="K482" s="19"/>
      <c r="L482" s="19"/>
      <c r="M482" s="19"/>
      <c r="N482" s="19"/>
      <c r="O482" s="19"/>
      <c r="P482" s="19"/>
      <c r="Q482"/>
      <c r="R482"/>
    </row>
    <row r="483" spans="1:18" s="11" customFormat="1" ht="16" x14ac:dyDescent="0.2">
      <c r="A483" s="11" t="s">
        <v>168</v>
      </c>
      <c r="B483" s="12">
        <v>6.4</v>
      </c>
      <c r="C483" s="11" t="s">
        <v>169</v>
      </c>
      <c r="D483" s="11" t="s">
        <v>13</v>
      </c>
      <c r="F483" s="11" t="s">
        <v>12</v>
      </c>
      <c r="G483" s="11" t="s">
        <v>170</v>
      </c>
      <c r="H483" s="11" t="s">
        <v>171</v>
      </c>
      <c r="J483"/>
      <c r="K483" s="19"/>
      <c r="L483" s="19"/>
      <c r="M483" s="19"/>
      <c r="N483" s="19"/>
      <c r="O483" s="19"/>
      <c r="P483" s="19"/>
      <c r="Q483"/>
      <c r="R483"/>
    </row>
    <row r="484" spans="1:18" s="11" customFormat="1" ht="16" x14ac:dyDescent="0.2">
      <c r="A484" s="11" t="s">
        <v>172</v>
      </c>
      <c r="B484" s="12">
        <v>6.4</v>
      </c>
      <c r="C484" s="11" t="s">
        <v>17</v>
      </c>
      <c r="D484" s="11" t="s">
        <v>13</v>
      </c>
      <c r="F484" s="11" t="s">
        <v>12</v>
      </c>
      <c r="G484" s="11" t="s">
        <v>173</v>
      </c>
      <c r="H484" s="11" t="s">
        <v>171</v>
      </c>
      <c r="J484"/>
      <c r="K484" s="19"/>
      <c r="L484" s="19"/>
      <c r="M484" s="19"/>
      <c r="N484" s="19"/>
      <c r="O484" s="19"/>
      <c r="P484" s="19"/>
      <c r="Q484"/>
      <c r="R484"/>
    </row>
    <row r="485" spans="1:18" s="11" customFormat="1" ht="16" x14ac:dyDescent="0.2">
      <c r="A485" s="11" t="s">
        <v>174</v>
      </c>
      <c r="B485" s="12">
        <v>6.4</v>
      </c>
      <c r="C485" s="11" t="s">
        <v>17</v>
      </c>
      <c r="D485" s="11" t="s">
        <v>13</v>
      </c>
      <c r="F485" s="11" t="s">
        <v>12</v>
      </c>
      <c r="G485" s="11" t="s">
        <v>175</v>
      </c>
      <c r="H485" s="11" t="s">
        <v>171</v>
      </c>
      <c r="J485"/>
      <c r="K485" s="19"/>
      <c r="L485" s="19"/>
      <c r="M485" s="19"/>
      <c r="N485" s="19"/>
      <c r="O485" s="19"/>
      <c r="P485" s="19"/>
      <c r="Q485"/>
      <c r="R485"/>
    </row>
    <row r="486" spans="1:18" s="11" customFormat="1" ht="16" x14ac:dyDescent="0.2">
      <c r="A486" s="11" t="s">
        <v>176</v>
      </c>
      <c r="B486" s="12">
        <v>6.4</v>
      </c>
      <c r="C486" s="11" t="s">
        <v>34</v>
      </c>
      <c r="D486" s="11" t="s">
        <v>13</v>
      </c>
      <c r="F486" s="11" t="s">
        <v>12</v>
      </c>
      <c r="G486" s="11" t="s">
        <v>177</v>
      </c>
      <c r="H486" s="11" t="s">
        <v>171</v>
      </c>
      <c r="J486"/>
      <c r="K486" s="19"/>
      <c r="L486" s="19"/>
      <c r="M486" s="19"/>
      <c r="N486" s="19"/>
      <c r="O486" s="19"/>
      <c r="P486" s="19"/>
      <c r="Q486"/>
      <c r="R486"/>
    </row>
    <row r="487" spans="1:18" s="11" customFormat="1" ht="16" x14ac:dyDescent="0.2">
      <c r="A487" s="11" t="s">
        <v>131</v>
      </c>
      <c r="B487" s="12">
        <v>136.6</v>
      </c>
      <c r="C487" s="11" t="s">
        <v>17</v>
      </c>
      <c r="D487" s="11" t="s">
        <v>13</v>
      </c>
      <c r="F487" s="11" t="s">
        <v>12</v>
      </c>
      <c r="G487" s="11" t="s">
        <v>132</v>
      </c>
      <c r="H487" s="11" t="s">
        <v>178</v>
      </c>
      <c r="J487"/>
      <c r="K487" s="19"/>
      <c r="L487" s="19"/>
      <c r="M487" s="19"/>
      <c r="N487" s="19"/>
      <c r="O487" s="19"/>
      <c r="P487" s="19"/>
      <c r="Q487"/>
      <c r="R487"/>
    </row>
    <row r="488" spans="1:18" s="11" customFormat="1" ht="16" x14ac:dyDescent="0.2">
      <c r="A488" s="11" t="s">
        <v>33</v>
      </c>
      <c r="B488" s="12">
        <v>122224.433</v>
      </c>
      <c r="C488" s="11" t="s">
        <v>17</v>
      </c>
      <c r="D488" s="11" t="s">
        <v>35</v>
      </c>
      <c r="F488" s="11" t="s">
        <v>12</v>
      </c>
      <c r="G488" s="11" t="s">
        <v>36</v>
      </c>
      <c r="H488" s="11" t="s">
        <v>79</v>
      </c>
      <c r="J488"/>
      <c r="K488" s="19"/>
      <c r="L488" s="19"/>
      <c r="M488" s="19"/>
      <c r="N488" s="19"/>
      <c r="O488" s="19"/>
      <c r="P488" s="19"/>
      <c r="Q488"/>
      <c r="R488"/>
    </row>
    <row r="489" spans="1:18" s="11" customFormat="1" ht="16" x14ac:dyDescent="0.2">
      <c r="B489" s="12"/>
      <c r="F489" s="10"/>
      <c r="G489" s="10"/>
      <c r="K489" s="12"/>
      <c r="L489" s="12"/>
      <c r="M489" s="12"/>
      <c r="N489" s="12"/>
      <c r="O489" s="12"/>
      <c r="P489" s="12"/>
    </row>
    <row r="490" spans="1:18" s="11" customFormat="1" ht="16" x14ac:dyDescent="0.2">
      <c r="A490" s="8" t="s">
        <v>1</v>
      </c>
      <c r="B490" s="9" t="s">
        <v>512</v>
      </c>
      <c r="K490" s="12"/>
      <c r="L490" s="12"/>
      <c r="M490" s="12"/>
      <c r="N490" s="12"/>
      <c r="O490" s="12"/>
      <c r="P490" s="12"/>
    </row>
    <row r="491" spans="1:18" s="11" customFormat="1" ht="16" x14ac:dyDescent="0.2">
      <c r="A491" s="13" t="s">
        <v>3</v>
      </c>
      <c r="B491" s="14">
        <v>1</v>
      </c>
      <c r="K491" s="12"/>
      <c r="L491" s="12"/>
      <c r="M491" s="12"/>
      <c r="N491" s="12"/>
      <c r="O491" s="12"/>
      <c r="P491" s="12"/>
    </row>
    <row r="492" spans="1:18" s="11" customFormat="1" ht="16" x14ac:dyDescent="0.2">
      <c r="A492" s="13" t="s">
        <v>11</v>
      </c>
      <c r="B492" s="14" t="s">
        <v>56</v>
      </c>
      <c r="K492" s="12"/>
      <c r="L492" s="12"/>
      <c r="M492" s="12"/>
      <c r="N492" s="12"/>
      <c r="O492" s="12"/>
      <c r="P492" s="12"/>
    </row>
    <row r="493" spans="1:18" s="11" customFormat="1" ht="16" x14ac:dyDescent="0.2">
      <c r="A493" s="13" t="s">
        <v>4</v>
      </c>
      <c r="B493" s="16" t="s">
        <v>513</v>
      </c>
      <c r="K493" s="12"/>
      <c r="L493" s="12"/>
      <c r="M493" s="12"/>
      <c r="N493" s="12"/>
      <c r="O493" s="12"/>
      <c r="P493" s="12"/>
    </row>
    <row r="494" spans="1:18" s="11" customFormat="1" ht="16" x14ac:dyDescent="0.2">
      <c r="A494" s="13" t="s">
        <v>2</v>
      </c>
      <c r="B494" s="14" t="s">
        <v>34</v>
      </c>
      <c r="K494" s="12"/>
      <c r="L494" s="12"/>
      <c r="M494" s="12"/>
      <c r="N494" s="12"/>
      <c r="O494" s="12"/>
      <c r="P494" s="12"/>
    </row>
    <row r="495" spans="1:18" s="11" customFormat="1" ht="16" x14ac:dyDescent="0.2">
      <c r="A495" s="13" t="s">
        <v>6</v>
      </c>
      <c r="B495" s="16" t="s">
        <v>6</v>
      </c>
      <c r="K495" s="12"/>
      <c r="L495" s="12"/>
      <c r="M495" s="12"/>
      <c r="N495" s="12"/>
      <c r="O495" s="12"/>
      <c r="P495" s="12"/>
    </row>
    <row r="496" spans="1:18" s="11" customFormat="1" ht="16" x14ac:dyDescent="0.2">
      <c r="A496" s="17" t="s">
        <v>7</v>
      </c>
      <c r="B496" s="9"/>
      <c r="C496" s="17"/>
      <c r="D496" s="17"/>
      <c r="E496" s="17"/>
      <c r="F496" s="17"/>
      <c r="G496" s="17"/>
      <c r="H496" s="17"/>
      <c r="I496" s="17"/>
      <c r="J496" s="17"/>
      <c r="K496" s="12"/>
      <c r="L496" s="12"/>
      <c r="M496" s="12"/>
      <c r="N496" s="12"/>
      <c r="O496" s="12"/>
      <c r="P496" s="12"/>
    </row>
    <row r="497" spans="1:20" s="11" customFormat="1" ht="16" x14ac:dyDescent="0.2">
      <c r="A497" s="17" t="s">
        <v>8</v>
      </c>
      <c r="B497" s="9" t="s">
        <v>9</v>
      </c>
      <c r="C497" s="17" t="s">
        <v>2</v>
      </c>
      <c r="D497" s="17" t="s">
        <v>6</v>
      </c>
      <c r="E497" s="23" t="s">
        <v>10</v>
      </c>
      <c r="F497" s="17" t="s">
        <v>5</v>
      </c>
      <c r="G497" s="17" t="s">
        <v>4</v>
      </c>
      <c r="H497" s="23" t="s">
        <v>11</v>
      </c>
      <c r="I497" s="17"/>
      <c r="J497" s="7"/>
      <c r="K497" s="18"/>
      <c r="L497" s="18"/>
      <c r="M497" s="18"/>
      <c r="N497" s="18"/>
      <c r="O497" s="18"/>
      <c r="P497" s="18"/>
      <c r="Q497" s="7"/>
      <c r="R497" s="7"/>
      <c r="S497" s="17"/>
      <c r="T497" s="7"/>
    </row>
    <row r="498" spans="1:20" s="11" customFormat="1" ht="16" x14ac:dyDescent="0.2">
      <c r="A498" s="16" t="str">
        <f>B490</f>
        <v>treatment of electrolyzer stack, 1MWe, SOEC</v>
      </c>
      <c r="B498" s="12">
        <v>-1</v>
      </c>
      <c r="C498" s="11" t="s">
        <v>34</v>
      </c>
      <c r="D498" s="11" t="str">
        <f>B495</f>
        <v>unit</v>
      </c>
      <c r="F498" s="11" t="s">
        <v>16</v>
      </c>
      <c r="G498" s="11" t="str">
        <f>B493</f>
        <v>used electrolyzer stack, 1MWe, SOEC</v>
      </c>
      <c r="K498" s="12"/>
      <c r="L498" s="12"/>
      <c r="M498" s="12"/>
      <c r="N498" s="12"/>
      <c r="O498" s="12"/>
      <c r="P498" s="12"/>
    </row>
    <row r="499" spans="1:20" s="11" customFormat="1" ht="16" x14ac:dyDescent="0.2">
      <c r="A499" s="16" t="s">
        <v>204</v>
      </c>
      <c r="B499" s="11">
        <f>-1*B474</f>
        <v>-8976.1</v>
      </c>
      <c r="C499" s="11" t="s">
        <v>37</v>
      </c>
      <c r="D499" s="11" t="s">
        <v>13</v>
      </c>
      <c r="F499" s="11" t="s">
        <v>12</v>
      </c>
      <c r="G499" s="11" t="s">
        <v>205</v>
      </c>
      <c r="J499"/>
      <c r="K499" s="19"/>
      <c r="L499" s="19"/>
      <c r="M499" s="19"/>
      <c r="N499" s="19"/>
      <c r="O499" s="19"/>
      <c r="P499" s="19"/>
      <c r="Q499"/>
      <c r="R499"/>
    </row>
    <row r="500" spans="1:20" s="11" customFormat="1" ht="16" x14ac:dyDescent="0.2">
      <c r="B500" s="16"/>
      <c r="K500" s="12"/>
      <c r="L500" s="12"/>
      <c r="M500" s="12"/>
      <c r="N500" s="12"/>
      <c r="O500" s="12"/>
      <c r="P500" s="12"/>
    </row>
    <row r="501" spans="1:20" s="11" customFormat="1" ht="16" x14ac:dyDescent="0.2">
      <c r="A501" s="8" t="s">
        <v>1</v>
      </c>
      <c r="B501" s="9" t="s">
        <v>179</v>
      </c>
      <c r="K501" s="24"/>
      <c r="L501" s="25"/>
      <c r="M501" s="12"/>
      <c r="N501" s="12"/>
      <c r="O501" s="12"/>
      <c r="P501" s="12"/>
    </row>
    <row r="502" spans="1:20" s="11" customFormat="1" ht="16" x14ac:dyDescent="0.2">
      <c r="A502" s="13" t="s">
        <v>3</v>
      </c>
      <c r="B502" s="14">
        <v>1</v>
      </c>
      <c r="K502" s="26"/>
      <c r="L502" s="25"/>
      <c r="M502" s="12"/>
      <c r="N502" s="12"/>
      <c r="O502" s="12"/>
      <c r="P502" s="12"/>
    </row>
    <row r="503" spans="1:20" s="11" customFormat="1" ht="16" x14ac:dyDescent="0.2">
      <c r="A503" s="13" t="s">
        <v>11</v>
      </c>
      <c r="B503" s="14" t="s">
        <v>180</v>
      </c>
      <c r="K503" s="12"/>
      <c r="L503" s="25"/>
      <c r="M503" s="12"/>
      <c r="N503" s="12"/>
      <c r="O503" s="12"/>
      <c r="P503" s="12"/>
    </row>
    <row r="504" spans="1:20" s="11" customFormat="1" ht="16" x14ac:dyDescent="0.2">
      <c r="A504" s="13" t="s">
        <v>4</v>
      </c>
      <c r="B504" s="16" t="s">
        <v>151</v>
      </c>
      <c r="K504" s="12"/>
      <c r="L504" s="12"/>
      <c r="M504" s="12"/>
      <c r="N504" s="12"/>
      <c r="O504" s="12"/>
      <c r="P504" s="12"/>
    </row>
    <row r="505" spans="1:20" s="11" customFormat="1" ht="16.25" customHeight="1" x14ac:dyDescent="0.2">
      <c r="A505" s="13" t="s">
        <v>2</v>
      </c>
      <c r="B505" s="14" t="s">
        <v>34</v>
      </c>
      <c r="K505" s="12"/>
      <c r="L505" s="12"/>
      <c r="M505" s="12"/>
      <c r="N505" s="12"/>
      <c r="O505" s="12"/>
      <c r="P505" s="12"/>
    </row>
    <row r="506" spans="1:20" s="11" customFormat="1" ht="16" x14ac:dyDescent="0.2">
      <c r="A506" s="13" t="s">
        <v>6</v>
      </c>
      <c r="B506" s="16" t="s">
        <v>6</v>
      </c>
      <c r="H506" s="17"/>
      <c r="I506" s="17"/>
      <c r="K506" s="12"/>
      <c r="L506" s="12"/>
      <c r="M506" s="12"/>
      <c r="N506" s="12"/>
      <c r="O506" s="12"/>
      <c r="P506" s="12"/>
    </row>
    <row r="507" spans="1:20" s="11" customFormat="1" ht="16" x14ac:dyDescent="0.2">
      <c r="A507" s="17" t="s">
        <v>7</v>
      </c>
      <c r="B507" s="9"/>
      <c r="C507" s="17"/>
      <c r="D507" s="17"/>
      <c r="E507" s="17"/>
      <c r="F507" s="17"/>
      <c r="G507" s="17"/>
      <c r="H507" s="10"/>
      <c r="I507" s="10"/>
      <c r="K507" s="12"/>
      <c r="L507" s="12"/>
      <c r="M507" s="12"/>
      <c r="N507" s="12"/>
      <c r="O507" s="12"/>
      <c r="P507" s="12"/>
    </row>
    <row r="508" spans="1:20" s="11" customFormat="1" ht="16" x14ac:dyDescent="0.2">
      <c r="A508" s="17" t="s">
        <v>8</v>
      </c>
      <c r="B508" s="9" t="s">
        <v>9</v>
      </c>
      <c r="C508" s="17" t="s">
        <v>2</v>
      </c>
      <c r="D508" s="17" t="s">
        <v>6</v>
      </c>
      <c r="E508" s="23" t="s">
        <v>10</v>
      </c>
      <c r="F508" s="17" t="s">
        <v>5</v>
      </c>
      <c r="G508" s="17" t="s">
        <v>4</v>
      </c>
      <c r="H508" s="23" t="s">
        <v>11</v>
      </c>
      <c r="I508" s="17"/>
      <c r="J508" s="7"/>
      <c r="K508" s="18"/>
      <c r="L508" s="18"/>
      <c r="M508" s="18"/>
      <c r="N508" s="18"/>
      <c r="O508" s="18"/>
      <c r="P508" s="18"/>
      <c r="Q508" s="7"/>
      <c r="R508" s="7"/>
      <c r="S508" s="17"/>
      <c r="T508" s="7"/>
    </row>
    <row r="509" spans="1:20" s="11" customFormat="1" ht="16" x14ac:dyDescent="0.2">
      <c r="A509" s="16" t="str">
        <f>B501</f>
        <v>electrolyzer production, 1MWe, SOEC, Balance of Plant</v>
      </c>
      <c r="B509" s="16">
        <v>1</v>
      </c>
      <c r="C509" s="11" t="s">
        <v>34</v>
      </c>
      <c r="D509" s="11" t="s">
        <v>6</v>
      </c>
      <c r="F509" s="11" t="s">
        <v>16</v>
      </c>
      <c r="G509" s="16" t="str">
        <f>B504</f>
        <v>electrolyzer, 1MWe, SOEC, Balance of Plant</v>
      </c>
      <c r="H509" s="10"/>
      <c r="I509" s="10"/>
      <c r="J509" s="10"/>
      <c r="K509" s="12"/>
      <c r="L509" s="12"/>
      <c r="M509" s="12"/>
      <c r="N509" s="12"/>
      <c r="O509" s="12"/>
      <c r="P509" s="12"/>
    </row>
    <row r="510" spans="1:20" s="11" customFormat="1" ht="16" x14ac:dyDescent="0.2">
      <c r="A510" s="11" t="s">
        <v>73</v>
      </c>
      <c r="B510" s="12">
        <v>5858.2</v>
      </c>
      <c r="C510" s="11" t="s">
        <v>17</v>
      </c>
      <c r="D510" s="11" t="s">
        <v>13</v>
      </c>
      <c r="F510" s="11" t="s">
        <v>12</v>
      </c>
      <c r="G510" s="11" t="s">
        <v>74</v>
      </c>
      <c r="H510" s="10" t="s">
        <v>181</v>
      </c>
      <c r="J510"/>
      <c r="K510" s="19"/>
      <c r="L510" s="19"/>
      <c r="M510" s="19"/>
      <c r="N510" s="19"/>
      <c r="O510" s="19"/>
      <c r="P510" s="19"/>
      <c r="Q510"/>
      <c r="R510"/>
    </row>
    <row r="511" spans="1:20" s="11" customFormat="1" ht="16" x14ac:dyDescent="0.2">
      <c r="A511" s="11" t="s">
        <v>20</v>
      </c>
      <c r="B511" s="12">
        <v>5858.2</v>
      </c>
      <c r="C511" s="11" t="s">
        <v>17</v>
      </c>
      <c r="D511" s="11" t="s">
        <v>13</v>
      </c>
      <c r="F511" s="11" t="s">
        <v>12</v>
      </c>
      <c r="G511" s="11" t="s">
        <v>15</v>
      </c>
      <c r="H511" s="10" t="s">
        <v>181</v>
      </c>
      <c r="J511"/>
      <c r="K511" s="19"/>
      <c r="L511" s="19"/>
      <c r="M511" s="19"/>
      <c r="N511" s="19"/>
      <c r="O511" s="19"/>
      <c r="P511" s="19"/>
      <c r="Q511"/>
      <c r="R511"/>
    </row>
    <row r="512" spans="1:20" s="11" customFormat="1" ht="16" x14ac:dyDescent="0.2">
      <c r="A512" s="16" t="s">
        <v>18</v>
      </c>
      <c r="B512" s="16">
        <v>300</v>
      </c>
      <c r="C512" s="11" t="s">
        <v>17</v>
      </c>
      <c r="D512" s="11" t="s">
        <v>13</v>
      </c>
      <c r="F512" s="11" t="s">
        <v>12</v>
      </c>
      <c r="G512" s="16" t="s">
        <v>19</v>
      </c>
      <c r="H512" s="10" t="s">
        <v>182</v>
      </c>
      <c r="J512"/>
      <c r="K512" s="19"/>
      <c r="L512" s="19"/>
      <c r="M512" s="19"/>
      <c r="N512" s="19"/>
      <c r="O512" s="19"/>
      <c r="P512" s="19"/>
      <c r="Q512"/>
      <c r="R512"/>
    </row>
    <row r="513" spans="1:18" s="11" customFormat="1" ht="16" x14ac:dyDescent="0.2">
      <c r="A513" s="16" t="s">
        <v>68</v>
      </c>
      <c r="B513" s="16">
        <v>225</v>
      </c>
      <c r="C513" s="11" t="s">
        <v>17</v>
      </c>
      <c r="D513" s="11" t="s">
        <v>13</v>
      </c>
      <c r="F513" s="11" t="s">
        <v>12</v>
      </c>
      <c r="G513" s="16" t="s">
        <v>69</v>
      </c>
      <c r="H513" s="10" t="s">
        <v>182</v>
      </c>
      <c r="J513"/>
      <c r="K513" s="19"/>
      <c r="L513" s="19"/>
      <c r="M513" s="19"/>
      <c r="N513" s="19"/>
      <c r="O513" s="19"/>
      <c r="P513" s="19"/>
      <c r="Q513"/>
      <c r="R513"/>
    </row>
    <row r="514" spans="1:18" s="11" customFormat="1" ht="16" x14ac:dyDescent="0.2">
      <c r="A514" s="16" t="s">
        <v>83</v>
      </c>
      <c r="B514" s="16">
        <f>180*5</f>
        <v>900</v>
      </c>
      <c r="C514" s="11" t="s">
        <v>17</v>
      </c>
      <c r="D514" s="11" t="s">
        <v>13</v>
      </c>
      <c r="F514" s="11" t="s">
        <v>12</v>
      </c>
      <c r="G514" s="16" t="s">
        <v>40</v>
      </c>
      <c r="H514" s="10" t="s">
        <v>182</v>
      </c>
      <c r="J514"/>
      <c r="K514" s="19"/>
      <c r="L514" s="19"/>
      <c r="M514" s="19"/>
      <c r="N514" s="19"/>
      <c r="O514" s="19"/>
      <c r="P514" s="19"/>
      <c r="Q514"/>
      <c r="R514"/>
    </row>
    <row r="515" spans="1:18" s="11" customFormat="1" ht="16" x14ac:dyDescent="0.2">
      <c r="A515" s="16" t="s">
        <v>85</v>
      </c>
      <c r="B515" s="16">
        <f>15*5</f>
        <v>75</v>
      </c>
      <c r="C515" s="11" t="s">
        <v>17</v>
      </c>
      <c r="D515" s="11" t="s">
        <v>13</v>
      </c>
      <c r="F515" s="11" t="s">
        <v>12</v>
      </c>
      <c r="G515" s="16" t="s">
        <v>43</v>
      </c>
      <c r="H515" s="10" t="s">
        <v>182</v>
      </c>
      <c r="J515"/>
      <c r="K515" s="19"/>
      <c r="L515" s="19"/>
      <c r="M515" s="19"/>
      <c r="N515" s="19"/>
      <c r="O515" s="19"/>
      <c r="P515" s="19"/>
      <c r="Q515"/>
      <c r="R515"/>
    </row>
    <row r="516" spans="1:18" s="11" customFormat="1" ht="16" x14ac:dyDescent="0.2">
      <c r="A516" s="16" t="s">
        <v>86</v>
      </c>
      <c r="B516" s="16">
        <f>45*5</f>
        <v>225</v>
      </c>
      <c r="C516" s="11" t="s">
        <v>17</v>
      </c>
      <c r="D516" s="11" t="s">
        <v>13</v>
      </c>
      <c r="F516" s="11" t="s">
        <v>12</v>
      </c>
      <c r="G516" s="16" t="s">
        <v>44</v>
      </c>
      <c r="H516" s="10" t="s">
        <v>182</v>
      </c>
      <c r="J516"/>
      <c r="K516" s="19"/>
      <c r="L516" s="19"/>
      <c r="M516" s="19"/>
      <c r="N516" s="19"/>
      <c r="O516" s="19"/>
      <c r="P516" s="19"/>
      <c r="Q516"/>
      <c r="R516"/>
    </row>
    <row r="517" spans="1:18" s="11" customFormat="1" ht="16" x14ac:dyDescent="0.2">
      <c r="A517" s="16" t="s">
        <v>108</v>
      </c>
      <c r="B517" s="16">
        <f>600*5</f>
        <v>3000</v>
      </c>
      <c r="C517" s="11" t="s">
        <v>17</v>
      </c>
      <c r="D517" s="11" t="s">
        <v>13</v>
      </c>
      <c r="F517" s="11" t="s">
        <v>12</v>
      </c>
      <c r="G517" s="16" t="s">
        <v>109</v>
      </c>
      <c r="H517" s="10" t="s">
        <v>183</v>
      </c>
      <c r="J517"/>
      <c r="K517" s="19"/>
      <c r="L517" s="19"/>
      <c r="M517" s="19"/>
      <c r="N517" s="19"/>
      <c r="O517" s="19"/>
      <c r="P517" s="19"/>
      <c r="Q517"/>
      <c r="R517"/>
    </row>
    <row r="518" spans="1:18" s="11" customFormat="1" ht="16" x14ac:dyDescent="0.2">
      <c r="A518" s="16" t="s">
        <v>111</v>
      </c>
      <c r="B518" s="16">
        <f>7*5</f>
        <v>35</v>
      </c>
      <c r="C518" s="11" t="s">
        <v>17</v>
      </c>
      <c r="D518" s="11" t="s">
        <v>13</v>
      </c>
      <c r="F518" s="11" t="s">
        <v>12</v>
      </c>
      <c r="G518" s="16" t="s">
        <v>112</v>
      </c>
      <c r="H518" s="10" t="s">
        <v>183</v>
      </c>
      <c r="J518"/>
      <c r="K518" s="19"/>
      <c r="L518" s="19"/>
      <c r="M518" s="19"/>
      <c r="N518" s="19"/>
      <c r="O518" s="19"/>
      <c r="P518" s="19"/>
      <c r="Q518"/>
      <c r="R518"/>
    </row>
    <row r="519" spans="1:18" s="11" customFormat="1" ht="16" x14ac:dyDescent="0.2">
      <c r="A519" s="16" t="s">
        <v>83</v>
      </c>
      <c r="B519" s="16">
        <f>1300*5</f>
        <v>6500</v>
      </c>
      <c r="C519" s="11" t="s">
        <v>17</v>
      </c>
      <c r="D519" s="11" t="s">
        <v>13</v>
      </c>
      <c r="F519" s="11" t="s">
        <v>12</v>
      </c>
      <c r="G519" s="16" t="s">
        <v>40</v>
      </c>
      <c r="H519" s="10" t="s">
        <v>183</v>
      </c>
      <c r="J519"/>
      <c r="K519" s="19"/>
      <c r="L519" s="19"/>
      <c r="M519" s="19"/>
      <c r="N519" s="19"/>
      <c r="O519" s="19"/>
      <c r="P519" s="19"/>
      <c r="Q519"/>
      <c r="R519"/>
    </row>
    <row r="520" spans="1:18" s="11" customFormat="1" ht="16" x14ac:dyDescent="0.2">
      <c r="A520" s="16" t="s">
        <v>73</v>
      </c>
      <c r="B520" s="16">
        <f>405*5</f>
        <v>2025</v>
      </c>
      <c r="C520" s="11" t="s">
        <v>17</v>
      </c>
      <c r="D520" s="11" t="s">
        <v>13</v>
      </c>
      <c r="F520" s="11" t="s">
        <v>12</v>
      </c>
      <c r="G520" s="16" t="s">
        <v>74</v>
      </c>
      <c r="H520" s="10" t="s">
        <v>183</v>
      </c>
      <c r="J520"/>
      <c r="K520" s="19"/>
      <c r="L520" s="19"/>
      <c r="M520" s="19"/>
      <c r="N520" s="19"/>
      <c r="O520" s="19"/>
      <c r="P520" s="19"/>
      <c r="Q520"/>
      <c r="R520"/>
    </row>
    <row r="521" spans="1:18" s="11" customFormat="1" ht="16" x14ac:dyDescent="0.2">
      <c r="A521" s="16" t="s">
        <v>84</v>
      </c>
      <c r="B521" s="16">
        <f>400*5</f>
        <v>2000</v>
      </c>
      <c r="C521" s="11" t="s">
        <v>17</v>
      </c>
      <c r="D521" s="11" t="s">
        <v>13</v>
      </c>
      <c r="F521" s="11" t="s">
        <v>12</v>
      </c>
      <c r="G521" s="16" t="s">
        <v>42</v>
      </c>
      <c r="H521" s="10" t="s">
        <v>183</v>
      </c>
      <c r="J521"/>
      <c r="K521" s="19"/>
      <c r="L521" s="19"/>
      <c r="M521" s="19"/>
      <c r="N521" s="19"/>
      <c r="O521" s="19"/>
      <c r="P521" s="19"/>
      <c r="Q521"/>
      <c r="R521"/>
    </row>
    <row r="522" spans="1:18" s="11" customFormat="1" ht="16" x14ac:dyDescent="0.2">
      <c r="A522" s="16" t="s">
        <v>20</v>
      </c>
      <c r="B522" s="16">
        <f>405*5</f>
        <v>2025</v>
      </c>
      <c r="C522" s="11" t="s">
        <v>17</v>
      </c>
      <c r="D522" s="11" t="s">
        <v>13</v>
      </c>
      <c r="F522" s="11" t="s">
        <v>12</v>
      </c>
      <c r="G522" s="16" t="s">
        <v>15</v>
      </c>
      <c r="H522" s="10" t="s">
        <v>183</v>
      </c>
      <c r="J522"/>
      <c r="K522" s="19"/>
      <c r="L522" s="19"/>
      <c r="M522" s="19"/>
      <c r="N522" s="19"/>
      <c r="O522" s="19"/>
      <c r="P522" s="19"/>
      <c r="Q522"/>
      <c r="R522"/>
    </row>
    <row r="523" spans="1:18" s="11" customFormat="1" ht="16" x14ac:dyDescent="0.2">
      <c r="A523" s="16" t="s">
        <v>83</v>
      </c>
      <c r="B523" s="16">
        <f>1000*5</f>
        <v>5000</v>
      </c>
      <c r="C523" s="11" t="s">
        <v>17</v>
      </c>
      <c r="D523" s="11" t="s">
        <v>13</v>
      </c>
      <c r="F523" s="11" t="s">
        <v>12</v>
      </c>
      <c r="G523" s="16" t="s">
        <v>40</v>
      </c>
      <c r="H523" s="10" t="s">
        <v>184</v>
      </c>
      <c r="J523"/>
      <c r="K523" s="19"/>
      <c r="L523" s="19"/>
      <c r="M523" s="19"/>
      <c r="N523" s="19"/>
      <c r="O523" s="19"/>
      <c r="P523" s="19"/>
      <c r="Q523"/>
      <c r="R523"/>
    </row>
    <row r="524" spans="1:18" s="11" customFormat="1" ht="16" x14ac:dyDescent="0.2">
      <c r="A524" s="16" t="s">
        <v>73</v>
      </c>
      <c r="B524" s="16">
        <f>1500*5</f>
        <v>7500</v>
      </c>
      <c r="C524" s="11" t="s">
        <v>17</v>
      </c>
      <c r="D524" s="11" t="s">
        <v>13</v>
      </c>
      <c r="F524" s="11" t="s">
        <v>12</v>
      </c>
      <c r="G524" s="16" t="s">
        <v>74</v>
      </c>
      <c r="H524" s="10" t="s">
        <v>184</v>
      </c>
      <c r="J524"/>
      <c r="K524" s="19"/>
      <c r="L524" s="19"/>
      <c r="M524" s="19"/>
      <c r="N524" s="19"/>
      <c r="O524" s="19"/>
      <c r="P524" s="19"/>
      <c r="Q524"/>
      <c r="R524"/>
    </row>
    <row r="525" spans="1:18" s="11" customFormat="1" ht="16" x14ac:dyDescent="0.2">
      <c r="A525" s="16" t="s">
        <v>84</v>
      </c>
      <c r="B525" s="16">
        <f>1000*5</f>
        <v>5000</v>
      </c>
      <c r="C525" s="11" t="s">
        <v>17</v>
      </c>
      <c r="D525" s="11" t="s">
        <v>13</v>
      </c>
      <c r="F525" s="11" t="s">
        <v>12</v>
      </c>
      <c r="G525" s="16" t="s">
        <v>42</v>
      </c>
      <c r="H525" s="10" t="s">
        <v>184</v>
      </c>
      <c r="J525"/>
      <c r="K525" s="19"/>
      <c r="L525" s="19"/>
      <c r="M525" s="19"/>
      <c r="N525" s="19"/>
      <c r="O525" s="19"/>
      <c r="P525" s="19"/>
      <c r="Q525"/>
      <c r="R525"/>
    </row>
    <row r="526" spans="1:18" s="11" customFormat="1" ht="16" x14ac:dyDescent="0.2">
      <c r="A526" s="16" t="s">
        <v>20</v>
      </c>
      <c r="B526" s="16">
        <f>1500*5</f>
        <v>7500</v>
      </c>
      <c r="C526" s="11" t="s">
        <v>17</v>
      </c>
      <c r="D526" s="11" t="s">
        <v>13</v>
      </c>
      <c r="F526" s="11" t="s">
        <v>12</v>
      </c>
      <c r="G526" s="16" t="s">
        <v>15</v>
      </c>
      <c r="H526" s="10" t="s">
        <v>184</v>
      </c>
      <c r="J526"/>
      <c r="K526" s="19"/>
      <c r="L526" s="19"/>
      <c r="M526" s="19"/>
      <c r="N526" s="19"/>
      <c r="O526" s="19"/>
      <c r="P526" s="19"/>
      <c r="Q526"/>
      <c r="R526"/>
    </row>
    <row r="527" spans="1:18" s="11" customFormat="1" ht="16" x14ac:dyDescent="0.2">
      <c r="A527" s="16" t="s">
        <v>18</v>
      </c>
      <c r="B527" s="16">
        <v>100</v>
      </c>
      <c r="C527" s="11" t="s">
        <v>17</v>
      </c>
      <c r="D527" s="11" t="s">
        <v>13</v>
      </c>
      <c r="F527" s="11" t="s">
        <v>12</v>
      </c>
      <c r="G527" s="16" t="s">
        <v>19</v>
      </c>
      <c r="H527" s="10" t="s">
        <v>185</v>
      </c>
      <c r="J527"/>
      <c r="K527" s="19"/>
      <c r="L527" s="19"/>
      <c r="M527" s="19"/>
      <c r="N527" s="19"/>
      <c r="O527" s="19"/>
      <c r="P527" s="19"/>
      <c r="Q527"/>
      <c r="R527"/>
    </row>
    <row r="528" spans="1:18" s="11" customFormat="1" ht="16" x14ac:dyDescent="0.2">
      <c r="A528" s="16" t="s">
        <v>68</v>
      </c>
      <c r="B528" s="16">
        <v>200</v>
      </c>
      <c r="C528" s="11" t="s">
        <v>17</v>
      </c>
      <c r="D528" s="11" t="s">
        <v>13</v>
      </c>
      <c r="F528" s="11" t="s">
        <v>12</v>
      </c>
      <c r="G528" s="16" t="s">
        <v>69</v>
      </c>
      <c r="H528" s="10" t="s">
        <v>185</v>
      </c>
      <c r="J528"/>
      <c r="K528" s="19"/>
      <c r="L528" s="19"/>
      <c r="M528" s="19"/>
      <c r="N528" s="19"/>
      <c r="O528" s="19"/>
      <c r="P528" s="19"/>
      <c r="Q528"/>
      <c r="R528"/>
    </row>
    <row r="529" spans="1:18" s="11" customFormat="1" ht="16" x14ac:dyDescent="0.2">
      <c r="A529" s="16" t="s">
        <v>83</v>
      </c>
      <c r="B529" s="16">
        <v>600</v>
      </c>
      <c r="C529" s="11" t="s">
        <v>17</v>
      </c>
      <c r="D529" s="11" t="s">
        <v>13</v>
      </c>
      <c r="F529" s="11" t="s">
        <v>12</v>
      </c>
      <c r="G529" s="16" t="s">
        <v>40</v>
      </c>
      <c r="H529" s="10" t="s">
        <v>185</v>
      </c>
      <c r="J529"/>
      <c r="K529" s="19"/>
      <c r="L529" s="19"/>
      <c r="M529" s="19"/>
      <c r="N529" s="19"/>
      <c r="O529" s="19"/>
      <c r="P529" s="19"/>
      <c r="Q529"/>
      <c r="R529"/>
    </row>
    <row r="530" spans="1:18" s="11" customFormat="1" ht="16" x14ac:dyDescent="0.2">
      <c r="A530" s="16" t="s">
        <v>58</v>
      </c>
      <c r="B530" s="16">
        <v>100</v>
      </c>
      <c r="C530" s="11" t="s">
        <v>17</v>
      </c>
      <c r="D530" s="11" t="s">
        <v>13</v>
      </c>
      <c r="F530" s="11" t="s">
        <v>12</v>
      </c>
      <c r="G530" s="16" t="s">
        <v>41</v>
      </c>
      <c r="H530" s="10" t="s">
        <v>185</v>
      </c>
      <c r="J530"/>
      <c r="K530" s="19"/>
      <c r="L530" s="19"/>
      <c r="M530" s="19"/>
      <c r="N530" s="19"/>
      <c r="O530" s="19"/>
      <c r="P530" s="19"/>
      <c r="Q530"/>
      <c r="R530"/>
    </row>
    <row r="531" spans="1:18" s="11" customFormat="1" ht="16" x14ac:dyDescent="0.2">
      <c r="A531" s="16" t="s">
        <v>84</v>
      </c>
      <c r="B531" s="16">
        <v>600</v>
      </c>
      <c r="C531" s="11" t="s">
        <v>17</v>
      </c>
      <c r="D531" s="11" t="s">
        <v>13</v>
      </c>
      <c r="F531" s="11" t="s">
        <v>12</v>
      </c>
      <c r="G531" s="16" t="s">
        <v>42</v>
      </c>
      <c r="H531" s="10" t="s">
        <v>185</v>
      </c>
      <c r="J531"/>
      <c r="K531" s="19"/>
      <c r="L531" s="19"/>
      <c r="M531" s="19"/>
      <c r="N531" s="19"/>
      <c r="O531" s="19"/>
      <c r="P531" s="19"/>
      <c r="Q531"/>
      <c r="R531"/>
    </row>
    <row r="532" spans="1:18" s="11" customFormat="1" ht="16" x14ac:dyDescent="0.2">
      <c r="A532" s="16" t="s">
        <v>85</v>
      </c>
      <c r="B532" s="16">
        <v>100</v>
      </c>
      <c r="C532" s="11" t="s">
        <v>17</v>
      </c>
      <c r="D532" s="11" t="s">
        <v>13</v>
      </c>
      <c r="F532" s="11" t="s">
        <v>12</v>
      </c>
      <c r="G532" s="16" t="s">
        <v>43</v>
      </c>
      <c r="H532" s="10" t="s">
        <v>185</v>
      </c>
      <c r="J532"/>
      <c r="K532" s="19"/>
      <c r="L532" s="19"/>
      <c r="M532" s="19"/>
      <c r="N532" s="19"/>
      <c r="O532" s="19"/>
      <c r="P532" s="19"/>
      <c r="Q532"/>
      <c r="R532"/>
    </row>
    <row r="533" spans="1:18" s="11" customFormat="1" ht="16" x14ac:dyDescent="0.2">
      <c r="A533" s="16" t="s">
        <v>86</v>
      </c>
      <c r="B533" s="16">
        <v>200</v>
      </c>
      <c r="C533" s="11" t="s">
        <v>17</v>
      </c>
      <c r="D533" s="11" t="s">
        <v>13</v>
      </c>
      <c r="F533" s="11" t="s">
        <v>12</v>
      </c>
      <c r="G533" s="16" t="s">
        <v>44</v>
      </c>
      <c r="H533" s="10" t="s">
        <v>185</v>
      </c>
      <c r="J533"/>
      <c r="K533" s="19"/>
      <c r="L533" s="19"/>
      <c r="M533" s="19"/>
      <c r="N533" s="19"/>
      <c r="O533" s="19"/>
      <c r="P533" s="19"/>
      <c r="Q533"/>
      <c r="R533"/>
    </row>
    <row r="534" spans="1:18" s="11" customFormat="1" ht="16" x14ac:dyDescent="0.2">
      <c r="A534" s="16" t="s">
        <v>30</v>
      </c>
      <c r="B534" s="16">
        <v>100</v>
      </c>
      <c r="C534" s="11" t="s">
        <v>17</v>
      </c>
      <c r="D534" s="11" t="s">
        <v>13</v>
      </c>
      <c r="F534" s="11" t="s">
        <v>12</v>
      </c>
      <c r="G534" s="16" t="s">
        <v>29</v>
      </c>
      <c r="H534" s="10" t="s">
        <v>186</v>
      </c>
      <c r="J534"/>
      <c r="K534" s="19"/>
      <c r="L534" s="19"/>
      <c r="M534" s="19"/>
      <c r="N534" s="19"/>
      <c r="O534" s="19"/>
      <c r="P534" s="19"/>
      <c r="Q534"/>
      <c r="R534"/>
    </row>
    <row r="535" spans="1:18" s="11" customFormat="1" ht="16" x14ac:dyDescent="0.2">
      <c r="A535" s="16" t="s">
        <v>73</v>
      </c>
      <c r="B535" s="16">
        <f>25.3+2.1</f>
        <v>27.400000000000002</v>
      </c>
      <c r="C535" s="11" t="s">
        <v>17</v>
      </c>
      <c r="D535" s="11" t="s">
        <v>13</v>
      </c>
      <c r="F535" s="11" t="s">
        <v>12</v>
      </c>
      <c r="G535" s="16" t="s">
        <v>74</v>
      </c>
      <c r="H535" s="10" t="s">
        <v>187</v>
      </c>
      <c r="J535"/>
      <c r="K535" s="19"/>
      <c r="L535" s="19"/>
      <c r="M535" s="19"/>
      <c r="N535" s="19"/>
      <c r="O535" s="19"/>
      <c r="P535" s="19"/>
      <c r="Q535"/>
      <c r="R535"/>
    </row>
    <row r="536" spans="1:18" s="11" customFormat="1" ht="16" x14ac:dyDescent="0.2">
      <c r="A536" s="16" t="s">
        <v>20</v>
      </c>
      <c r="B536" s="16">
        <f>25.3+2.1</f>
        <v>27.400000000000002</v>
      </c>
      <c r="C536" s="11" t="s">
        <v>17</v>
      </c>
      <c r="D536" s="11" t="s">
        <v>13</v>
      </c>
      <c r="F536" s="11" t="s">
        <v>12</v>
      </c>
      <c r="G536" s="16" t="s">
        <v>15</v>
      </c>
      <c r="H536" s="10" t="s">
        <v>187</v>
      </c>
      <c r="J536"/>
      <c r="K536" s="19"/>
      <c r="L536" s="19"/>
      <c r="M536" s="19"/>
      <c r="N536" s="19"/>
      <c r="O536" s="19"/>
      <c r="P536" s="19"/>
      <c r="Q536"/>
      <c r="R536"/>
    </row>
    <row r="537" spans="1:18" s="11" customFormat="1" ht="16" x14ac:dyDescent="0.2">
      <c r="A537" s="16" t="s">
        <v>73</v>
      </c>
      <c r="B537" s="16">
        <v>2.4</v>
      </c>
      <c r="C537" s="11" t="s">
        <v>17</v>
      </c>
      <c r="D537" s="11" t="s">
        <v>13</v>
      </c>
      <c r="F537" s="11" t="s">
        <v>12</v>
      </c>
      <c r="G537" s="16" t="s">
        <v>74</v>
      </c>
      <c r="H537" s="10" t="s">
        <v>188</v>
      </c>
      <c r="J537"/>
      <c r="K537" s="19"/>
      <c r="L537" s="19"/>
      <c r="M537" s="19"/>
      <c r="N537" s="19"/>
      <c r="O537" s="19"/>
      <c r="P537" s="19"/>
      <c r="Q537"/>
      <c r="R537"/>
    </row>
    <row r="538" spans="1:18" s="11" customFormat="1" ht="16" x14ac:dyDescent="0.2">
      <c r="A538" s="16" t="s">
        <v>20</v>
      </c>
      <c r="B538" s="16">
        <v>2.4</v>
      </c>
      <c r="C538" s="11" t="s">
        <v>17</v>
      </c>
      <c r="D538" s="11" t="s">
        <v>13</v>
      </c>
      <c r="F538" s="11" t="s">
        <v>12</v>
      </c>
      <c r="G538" s="16" t="s">
        <v>15</v>
      </c>
      <c r="H538" s="10" t="s">
        <v>188</v>
      </c>
      <c r="J538"/>
      <c r="K538" s="19"/>
      <c r="L538" s="19"/>
      <c r="M538" s="19"/>
      <c r="N538" s="19"/>
      <c r="O538" s="19"/>
      <c r="P538" s="19"/>
      <c r="Q538"/>
      <c r="R538"/>
    </row>
    <row r="539" spans="1:18" s="11" customFormat="1" ht="16" x14ac:dyDescent="0.2">
      <c r="A539" s="16" t="s">
        <v>73</v>
      </c>
      <c r="B539" s="16">
        <f>11+53.1</f>
        <v>64.099999999999994</v>
      </c>
      <c r="C539" s="11" t="s">
        <v>17</v>
      </c>
      <c r="D539" s="11" t="s">
        <v>13</v>
      </c>
      <c r="F539" s="11" t="s">
        <v>12</v>
      </c>
      <c r="G539" s="16" t="s">
        <v>74</v>
      </c>
      <c r="H539" s="10" t="s">
        <v>189</v>
      </c>
      <c r="J539"/>
      <c r="K539" s="19"/>
      <c r="L539" s="19"/>
      <c r="M539" s="19"/>
      <c r="N539" s="19"/>
      <c r="O539" s="19"/>
      <c r="P539" s="19"/>
      <c r="Q539"/>
      <c r="R539"/>
    </row>
    <row r="540" spans="1:18" s="11" customFormat="1" ht="16" x14ac:dyDescent="0.2">
      <c r="A540" s="16" t="s">
        <v>20</v>
      </c>
      <c r="B540" s="16">
        <f>11+53.1</f>
        <v>64.099999999999994</v>
      </c>
      <c r="C540" s="11" t="s">
        <v>17</v>
      </c>
      <c r="D540" s="11" t="s">
        <v>13</v>
      </c>
      <c r="F540" s="11" t="s">
        <v>12</v>
      </c>
      <c r="G540" s="16" t="s">
        <v>15</v>
      </c>
      <c r="H540" s="10" t="s">
        <v>189</v>
      </c>
      <c r="J540"/>
      <c r="K540" s="19"/>
      <c r="L540" s="19"/>
      <c r="M540" s="19"/>
      <c r="N540" s="19"/>
      <c r="O540" s="19"/>
      <c r="P540" s="19"/>
      <c r="Q540"/>
      <c r="R540"/>
    </row>
    <row r="541" spans="1:18" s="11" customFormat="1" ht="16" x14ac:dyDescent="0.2">
      <c r="A541" s="16" t="s">
        <v>73</v>
      </c>
      <c r="B541" s="16">
        <f>29.3+121</f>
        <v>150.30000000000001</v>
      </c>
      <c r="C541" s="11" t="s">
        <v>17</v>
      </c>
      <c r="D541" s="11" t="s">
        <v>13</v>
      </c>
      <c r="F541" s="11" t="s">
        <v>12</v>
      </c>
      <c r="G541" s="16" t="s">
        <v>74</v>
      </c>
      <c r="H541" s="10" t="s">
        <v>190</v>
      </c>
      <c r="J541"/>
      <c r="K541" s="19"/>
      <c r="L541" s="19"/>
      <c r="M541" s="19"/>
      <c r="N541" s="19"/>
      <c r="O541" s="19"/>
      <c r="P541" s="19"/>
      <c r="Q541"/>
      <c r="R541"/>
    </row>
    <row r="542" spans="1:18" s="11" customFormat="1" ht="16" x14ac:dyDescent="0.2">
      <c r="A542" s="16" t="s">
        <v>20</v>
      </c>
      <c r="B542" s="16">
        <f>29.3+121</f>
        <v>150.30000000000001</v>
      </c>
      <c r="C542" s="11" t="s">
        <v>17</v>
      </c>
      <c r="D542" s="11" t="s">
        <v>13</v>
      </c>
      <c r="F542" s="11" t="s">
        <v>12</v>
      </c>
      <c r="G542" s="16" t="s">
        <v>15</v>
      </c>
      <c r="H542" s="10" t="s">
        <v>190</v>
      </c>
      <c r="J542"/>
      <c r="K542" s="19"/>
      <c r="L542" s="19"/>
      <c r="M542" s="19"/>
      <c r="N542" s="19"/>
      <c r="O542" s="19"/>
      <c r="P542" s="19"/>
      <c r="Q542"/>
      <c r="R542"/>
    </row>
    <row r="543" spans="1:18" s="11" customFormat="1" ht="16" x14ac:dyDescent="0.2">
      <c r="A543" s="16" t="s">
        <v>191</v>
      </c>
      <c r="B543" s="16">
        <f>0.4+1</f>
        <v>1.4</v>
      </c>
      <c r="C543" s="11" t="s">
        <v>17</v>
      </c>
      <c r="D543" s="11" t="s">
        <v>13</v>
      </c>
      <c r="F543" s="11" t="s">
        <v>12</v>
      </c>
      <c r="G543" s="16" t="s">
        <v>192</v>
      </c>
      <c r="H543" s="10" t="s">
        <v>193</v>
      </c>
      <c r="J543"/>
      <c r="K543" s="19"/>
      <c r="L543" s="19"/>
      <c r="M543" s="19"/>
      <c r="N543" s="19"/>
      <c r="O543" s="19"/>
      <c r="P543" s="19"/>
      <c r="Q543"/>
      <c r="R543"/>
    </row>
    <row r="544" spans="1:18" s="11" customFormat="1" ht="16" x14ac:dyDescent="0.2">
      <c r="A544" s="16" t="s">
        <v>93</v>
      </c>
      <c r="B544" s="16">
        <f>0.4+1</f>
        <v>1.4</v>
      </c>
      <c r="C544" s="11" t="s">
        <v>17</v>
      </c>
      <c r="D544" s="11" t="s">
        <v>13</v>
      </c>
      <c r="F544" s="11" t="s">
        <v>12</v>
      </c>
      <c r="G544" s="16" t="s">
        <v>94</v>
      </c>
      <c r="H544" s="10" t="s">
        <v>193</v>
      </c>
      <c r="J544"/>
      <c r="K544" s="19"/>
      <c r="L544" s="19"/>
      <c r="M544" s="19"/>
      <c r="N544" s="19"/>
      <c r="O544" s="19"/>
      <c r="P544" s="19"/>
      <c r="Q544"/>
      <c r="R544"/>
    </row>
    <row r="545" spans="1:18" s="11" customFormat="1" ht="16" x14ac:dyDescent="0.2">
      <c r="A545" s="16" t="s">
        <v>85</v>
      </c>
      <c r="B545" s="16">
        <f>0.4+1</f>
        <v>1.4</v>
      </c>
      <c r="C545" s="11" t="s">
        <v>17</v>
      </c>
      <c r="D545" s="11" t="s">
        <v>13</v>
      </c>
      <c r="F545" s="11" t="s">
        <v>12</v>
      </c>
      <c r="G545" s="16" t="s">
        <v>43</v>
      </c>
      <c r="H545" s="10" t="s">
        <v>193</v>
      </c>
      <c r="J545"/>
      <c r="K545" s="19"/>
      <c r="L545" s="19"/>
      <c r="M545" s="19"/>
      <c r="N545" s="19"/>
      <c r="O545" s="19"/>
      <c r="P545" s="19"/>
      <c r="Q545"/>
      <c r="R545"/>
    </row>
    <row r="546" spans="1:18" s="11" customFormat="1" ht="16" x14ac:dyDescent="0.2">
      <c r="A546" s="16" t="s">
        <v>68</v>
      </c>
      <c r="B546" s="16">
        <f>0.9+1.9</f>
        <v>2.8</v>
      </c>
      <c r="C546" s="11" t="s">
        <v>17</v>
      </c>
      <c r="D546" s="11" t="s">
        <v>13</v>
      </c>
      <c r="F546" s="11" t="s">
        <v>12</v>
      </c>
      <c r="G546" s="16" t="s">
        <v>69</v>
      </c>
      <c r="H546" s="10" t="s">
        <v>193</v>
      </c>
      <c r="J546"/>
      <c r="K546" s="19"/>
      <c r="L546" s="19"/>
      <c r="M546" s="19"/>
      <c r="N546" s="19"/>
      <c r="O546" s="19"/>
      <c r="P546" s="19"/>
      <c r="Q546"/>
      <c r="R546"/>
    </row>
    <row r="547" spans="1:18" s="11" customFormat="1" ht="16" x14ac:dyDescent="0.2">
      <c r="A547" s="16" t="s">
        <v>86</v>
      </c>
      <c r="B547" s="16">
        <f>0.9+1.9</f>
        <v>2.8</v>
      </c>
      <c r="C547" s="11" t="s">
        <v>17</v>
      </c>
      <c r="D547" s="11" t="s">
        <v>13</v>
      </c>
      <c r="F547" s="11" t="s">
        <v>12</v>
      </c>
      <c r="G547" s="16" t="s">
        <v>44</v>
      </c>
      <c r="H547" s="10" t="s">
        <v>193</v>
      </c>
      <c r="J547"/>
      <c r="K547" s="19"/>
      <c r="L547" s="19"/>
      <c r="M547" s="19"/>
      <c r="N547" s="19"/>
      <c r="O547" s="19"/>
      <c r="P547" s="19"/>
      <c r="Q547"/>
      <c r="R547"/>
    </row>
    <row r="548" spans="1:18" s="11" customFormat="1" ht="16" x14ac:dyDescent="0.2">
      <c r="A548" s="16" t="s">
        <v>83</v>
      </c>
      <c r="B548" s="16">
        <f>2.7+5.8</f>
        <v>8.5</v>
      </c>
      <c r="C548" s="11" t="s">
        <v>17</v>
      </c>
      <c r="D548" s="11" t="s">
        <v>13</v>
      </c>
      <c r="F548" s="11" t="s">
        <v>12</v>
      </c>
      <c r="G548" s="16" t="s">
        <v>40</v>
      </c>
      <c r="H548" s="10" t="s">
        <v>193</v>
      </c>
      <c r="J548"/>
      <c r="K548" s="19"/>
      <c r="L548" s="19"/>
      <c r="M548" s="19"/>
      <c r="N548" s="19"/>
      <c r="O548" s="19"/>
      <c r="P548" s="19"/>
      <c r="Q548"/>
      <c r="R548"/>
    </row>
    <row r="549" spans="1:18" s="11" customFormat="1" ht="16" x14ac:dyDescent="0.2">
      <c r="A549" s="16" t="s">
        <v>84</v>
      </c>
      <c r="B549" s="16">
        <f>2.7+5.8</f>
        <v>8.5</v>
      </c>
      <c r="C549" s="11" t="s">
        <v>17</v>
      </c>
      <c r="D549" s="11" t="s">
        <v>13</v>
      </c>
      <c r="F549" s="11" t="s">
        <v>12</v>
      </c>
      <c r="G549" s="16" t="s">
        <v>42</v>
      </c>
      <c r="H549" s="10" t="s">
        <v>193</v>
      </c>
      <c r="J549"/>
      <c r="K549" s="19"/>
      <c r="L549" s="19"/>
      <c r="M549" s="19"/>
      <c r="N549" s="19"/>
      <c r="O549" s="19"/>
      <c r="P549" s="19"/>
      <c r="Q549"/>
      <c r="R549"/>
    </row>
    <row r="550" spans="1:18" s="11" customFormat="1" ht="16" x14ac:dyDescent="0.2">
      <c r="A550" s="16" t="s">
        <v>83</v>
      </c>
      <c r="B550" s="16">
        <f>92.3+359.8</f>
        <v>452.1</v>
      </c>
      <c r="C550" s="11" t="s">
        <v>17</v>
      </c>
      <c r="D550" s="11" t="s">
        <v>13</v>
      </c>
      <c r="F550" s="11" t="s">
        <v>12</v>
      </c>
      <c r="G550" s="16" t="s">
        <v>40</v>
      </c>
      <c r="H550" s="10" t="s">
        <v>194</v>
      </c>
      <c r="J550"/>
      <c r="K550" s="19"/>
      <c r="L550" s="19"/>
      <c r="M550" s="19"/>
      <c r="N550" s="19"/>
      <c r="O550" s="19"/>
      <c r="P550" s="19"/>
      <c r="Q550"/>
      <c r="R550"/>
    </row>
    <row r="551" spans="1:18" s="11" customFormat="1" ht="16" x14ac:dyDescent="0.2">
      <c r="A551" s="16" t="s">
        <v>84</v>
      </c>
      <c r="B551" s="16">
        <f>92.3+359.8</f>
        <v>452.1</v>
      </c>
      <c r="C551" s="11" t="s">
        <v>17</v>
      </c>
      <c r="D551" s="11" t="s">
        <v>13</v>
      </c>
      <c r="F551" s="11" t="s">
        <v>12</v>
      </c>
      <c r="G551" s="16" t="s">
        <v>42</v>
      </c>
      <c r="H551" s="10" t="s">
        <v>194</v>
      </c>
      <c r="J551"/>
      <c r="K551" s="19"/>
      <c r="L551" s="19"/>
      <c r="M551" s="19"/>
      <c r="N551" s="19"/>
      <c r="O551" s="19"/>
      <c r="P551" s="19"/>
      <c r="Q551"/>
      <c r="R551"/>
    </row>
    <row r="552" spans="1:18" s="11" customFormat="1" ht="16" x14ac:dyDescent="0.2">
      <c r="A552" s="16" t="s">
        <v>83</v>
      </c>
      <c r="B552" s="16">
        <v>399</v>
      </c>
      <c r="C552" s="11" t="s">
        <v>17</v>
      </c>
      <c r="D552" s="11" t="s">
        <v>13</v>
      </c>
      <c r="F552" s="11" t="s">
        <v>12</v>
      </c>
      <c r="G552" s="16" t="s">
        <v>40</v>
      </c>
      <c r="H552" s="10" t="s">
        <v>195</v>
      </c>
      <c r="J552"/>
      <c r="K552" s="19"/>
      <c r="L552" s="19"/>
      <c r="M552" s="19"/>
      <c r="N552" s="19"/>
      <c r="O552" s="19"/>
      <c r="P552" s="19"/>
      <c r="Q552"/>
      <c r="R552"/>
    </row>
    <row r="553" spans="1:18" s="11" customFormat="1" ht="16" x14ac:dyDescent="0.2">
      <c r="A553" s="16" t="s">
        <v>84</v>
      </c>
      <c r="B553" s="16">
        <v>399</v>
      </c>
      <c r="C553" s="11" t="s">
        <v>17</v>
      </c>
      <c r="D553" s="11" t="s">
        <v>13</v>
      </c>
      <c r="F553" s="11" t="s">
        <v>12</v>
      </c>
      <c r="G553" s="16" t="s">
        <v>42</v>
      </c>
      <c r="H553" s="10" t="s">
        <v>195</v>
      </c>
      <c r="J553"/>
      <c r="K553" s="19"/>
      <c r="L553" s="19"/>
      <c r="M553" s="19"/>
      <c r="N553" s="19"/>
      <c r="O553" s="19"/>
      <c r="P553" s="19"/>
      <c r="Q553"/>
      <c r="R553"/>
    </row>
    <row r="554" spans="1:18" s="11" customFormat="1" ht="16" x14ac:dyDescent="0.2">
      <c r="A554" s="16" t="s">
        <v>83</v>
      </c>
      <c r="B554" s="16">
        <v>7</v>
      </c>
      <c r="C554" s="11" t="s">
        <v>17</v>
      </c>
      <c r="D554" s="11" t="s">
        <v>13</v>
      </c>
      <c r="F554" s="11" t="s">
        <v>12</v>
      </c>
      <c r="G554" s="16" t="s">
        <v>40</v>
      </c>
      <c r="H554" s="10" t="s">
        <v>196</v>
      </c>
      <c r="J554"/>
      <c r="K554" s="19"/>
      <c r="L554" s="19"/>
      <c r="M554" s="19"/>
      <c r="N554" s="19"/>
      <c r="O554" s="19"/>
      <c r="P554" s="19"/>
      <c r="Q554"/>
      <c r="R554"/>
    </row>
    <row r="555" spans="1:18" s="11" customFormat="1" ht="16" x14ac:dyDescent="0.2">
      <c r="A555" s="16" t="s">
        <v>84</v>
      </c>
      <c r="B555" s="16">
        <v>7</v>
      </c>
      <c r="C555" s="11" t="s">
        <v>17</v>
      </c>
      <c r="D555" s="11" t="s">
        <v>13</v>
      </c>
      <c r="F555" s="11" t="s">
        <v>12</v>
      </c>
      <c r="G555" s="16" t="s">
        <v>42</v>
      </c>
      <c r="H555" s="10" t="s">
        <v>196</v>
      </c>
      <c r="J555"/>
      <c r="K555" s="19"/>
      <c r="L555" s="19"/>
      <c r="M555" s="19"/>
      <c r="N555" s="19"/>
      <c r="O555" s="19"/>
      <c r="P555" s="19"/>
      <c r="Q555"/>
      <c r="R555"/>
    </row>
    <row r="556" spans="1:18" s="11" customFormat="1" ht="16" x14ac:dyDescent="0.2">
      <c r="A556" s="16" t="s">
        <v>18</v>
      </c>
      <c r="B556" s="16">
        <v>1</v>
      </c>
      <c r="C556" s="11" t="s">
        <v>17</v>
      </c>
      <c r="D556" s="11" t="s">
        <v>13</v>
      </c>
      <c r="F556" s="11" t="s">
        <v>12</v>
      </c>
      <c r="G556" s="16" t="s">
        <v>19</v>
      </c>
      <c r="H556" s="10" t="s">
        <v>197</v>
      </c>
      <c r="J556"/>
      <c r="K556" s="19"/>
      <c r="L556" s="19"/>
      <c r="M556" s="19"/>
      <c r="N556" s="19"/>
      <c r="O556" s="19"/>
      <c r="P556" s="19"/>
      <c r="Q556"/>
      <c r="R556"/>
    </row>
    <row r="557" spans="1:18" s="11" customFormat="1" ht="16" x14ac:dyDescent="0.2">
      <c r="A557" s="16" t="s">
        <v>68</v>
      </c>
      <c r="B557" s="16">
        <v>0.7</v>
      </c>
      <c r="C557" s="11" t="s">
        <v>17</v>
      </c>
      <c r="D557" s="11" t="s">
        <v>13</v>
      </c>
      <c r="F557" s="11" t="s">
        <v>12</v>
      </c>
      <c r="G557" s="16" t="s">
        <v>69</v>
      </c>
      <c r="H557" s="10" t="s">
        <v>197</v>
      </c>
      <c r="J557"/>
      <c r="K557" s="19"/>
      <c r="L557" s="19"/>
      <c r="M557" s="19"/>
      <c r="N557" s="19"/>
      <c r="O557" s="19"/>
      <c r="P557" s="19"/>
      <c r="Q557"/>
      <c r="R557"/>
    </row>
    <row r="558" spans="1:18" s="11" customFormat="1" ht="16" x14ac:dyDescent="0.2">
      <c r="A558" s="16" t="s">
        <v>83</v>
      </c>
      <c r="B558" s="16">
        <v>3</v>
      </c>
      <c r="C558" s="11" t="s">
        <v>17</v>
      </c>
      <c r="D558" s="11" t="s">
        <v>13</v>
      </c>
      <c r="F558" s="11" t="s">
        <v>12</v>
      </c>
      <c r="G558" s="16" t="s">
        <v>198</v>
      </c>
      <c r="H558" s="10" t="s">
        <v>197</v>
      </c>
      <c r="J558"/>
      <c r="K558" s="19"/>
      <c r="L558" s="19"/>
      <c r="M558" s="19"/>
      <c r="N558" s="19"/>
      <c r="O558" s="19"/>
      <c r="P558" s="19"/>
      <c r="Q558"/>
      <c r="R558"/>
    </row>
    <row r="559" spans="1:18" s="11" customFormat="1" ht="16" x14ac:dyDescent="0.2">
      <c r="A559" s="16" t="s">
        <v>85</v>
      </c>
      <c r="B559" s="16">
        <v>0.2</v>
      </c>
      <c r="C559" s="11" t="s">
        <v>17</v>
      </c>
      <c r="D559" s="11" t="s">
        <v>13</v>
      </c>
      <c r="F559" s="11" t="s">
        <v>12</v>
      </c>
      <c r="G559" s="16" t="s">
        <v>43</v>
      </c>
      <c r="H559" s="10" t="s">
        <v>197</v>
      </c>
      <c r="J559"/>
      <c r="K559" s="19"/>
      <c r="L559" s="19"/>
      <c r="M559" s="19"/>
      <c r="N559" s="19"/>
      <c r="O559" s="19"/>
      <c r="P559" s="19"/>
      <c r="Q559"/>
      <c r="R559"/>
    </row>
    <row r="560" spans="1:18" s="11" customFormat="1" ht="16" x14ac:dyDescent="0.2">
      <c r="A560" s="16" t="s">
        <v>86</v>
      </c>
      <c r="B560" s="16">
        <v>0.7</v>
      </c>
      <c r="C560" s="11" t="s">
        <v>17</v>
      </c>
      <c r="D560" s="11" t="s">
        <v>13</v>
      </c>
      <c r="F560" s="11" t="s">
        <v>12</v>
      </c>
      <c r="G560" s="16" t="s">
        <v>44</v>
      </c>
      <c r="H560" s="10" t="s">
        <v>197</v>
      </c>
      <c r="J560"/>
      <c r="K560" s="19"/>
      <c r="L560" s="19"/>
      <c r="M560" s="19"/>
      <c r="N560" s="19"/>
      <c r="O560" s="19"/>
      <c r="P560" s="19"/>
      <c r="Q560"/>
      <c r="R560"/>
    </row>
    <row r="561" spans="1:18" s="11" customFormat="1" ht="16" x14ac:dyDescent="0.2">
      <c r="A561" s="16" t="s">
        <v>25</v>
      </c>
      <c r="B561" s="16">
        <v>1503.6</v>
      </c>
      <c r="C561" s="11" t="s">
        <v>17</v>
      </c>
      <c r="D561" s="11" t="s">
        <v>13</v>
      </c>
      <c r="F561" s="11" t="s">
        <v>12</v>
      </c>
      <c r="G561" s="16" t="s">
        <v>26</v>
      </c>
      <c r="H561" s="10" t="s">
        <v>199</v>
      </c>
      <c r="J561"/>
      <c r="K561" s="19"/>
      <c r="L561" s="19"/>
      <c r="M561" s="19"/>
      <c r="N561" s="19"/>
      <c r="O561" s="19"/>
      <c r="P561" s="19"/>
      <c r="Q561"/>
      <c r="R561"/>
    </row>
    <row r="562" spans="1:18" s="11" customFormat="1" ht="16" x14ac:dyDescent="0.2">
      <c r="A562" s="16" t="s">
        <v>84</v>
      </c>
      <c r="B562" s="16">
        <v>1503.6</v>
      </c>
      <c r="C562" s="11" t="s">
        <v>17</v>
      </c>
      <c r="D562" s="11" t="s">
        <v>13</v>
      </c>
      <c r="F562" s="11" t="s">
        <v>12</v>
      </c>
      <c r="G562" s="16" t="s">
        <v>42</v>
      </c>
      <c r="H562" s="10" t="s">
        <v>199</v>
      </c>
      <c r="J562"/>
      <c r="K562" s="19"/>
      <c r="L562" s="19"/>
      <c r="M562" s="19"/>
      <c r="N562" s="19"/>
      <c r="O562" s="19"/>
      <c r="P562" s="19"/>
      <c r="Q562"/>
      <c r="R562"/>
    </row>
    <row r="563" spans="1:18" s="11" customFormat="1" ht="16" x14ac:dyDescent="0.2">
      <c r="A563" s="16" t="s">
        <v>102</v>
      </c>
      <c r="B563" s="16">
        <v>534</v>
      </c>
      <c r="C563" s="11" t="s">
        <v>17</v>
      </c>
      <c r="D563" s="11" t="s">
        <v>13</v>
      </c>
      <c r="F563" s="11" t="s">
        <v>12</v>
      </c>
      <c r="G563" s="16" t="s">
        <v>103</v>
      </c>
      <c r="H563" s="10" t="s">
        <v>200</v>
      </c>
      <c r="J563"/>
      <c r="K563" s="19"/>
      <c r="L563" s="19"/>
      <c r="M563" s="19"/>
      <c r="N563" s="19"/>
      <c r="O563" s="19"/>
      <c r="P563" s="19"/>
      <c r="Q563"/>
      <c r="R563"/>
    </row>
    <row r="564" spans="1:18" s="11" customFormat="1" ht="16" x14ac:dyDescent="0.2">
      <c r="A564" s="16" t="s">
        <v>105</v>
      </c>
      <c r="B564" s="16">
        <v>534</v>
      </c>
      <c r="C564" s="11" t="s">
        <v>17</v>
      </c>
      <c r="D564" s="11" t="s">
        <v>13</v>
      </c>
      <c r="F564" s="11" t="s">
        <v>12</v>
      </c>
      <c r="G564" s="16" t="s">
        <v>106</v>
      </c>
      <c r="H564" s="10" t="s">
        <v>200</v>
      </c>
      <c r="J564"/>
      <c r="K564" s="19"/>
      <c r="L564" s="19"/>
      <c r="M564" s="19"/>
      <c r="N564" s="19"/>
      <c r="O564" s="19"/>
      <c r="P564" s="19"/>
      <c r="Q564"/>
      <c r="R564"/>
    </row>
    <row r="565" spans="1:18" s="11" customFormat="1" ht="16" x14ac:dyDescent="0.2">
      <c r="A565" s="16" t="s">
        <v>83</v>
      </c>
      <c r="B565" s="16">
        <v>267</v>
      </c>
      <c r="C565" s="11" t="s">
        <v>17</v>
      </c>
      <c r="D565" s="11" t="s">
        <v>13</v>
      </c>
      <c r="F565" s="11" t="s">
        <v>12</v>
      </c>
      <c r="G565" s="16" t="s">
        <v>40</v>
      </c>
      <c r="H565" s="10" t="s">
        <v>200</v>
      </c>
      <c r="J565"/>
      <c r="K565" s="19"/>
      <c r="L565" s="19"/>
      <c r="M565" s="19"/>
      <c r="N565" s="19"/>
      <c r="O565" s="19"/>
      <c r="P565" s="19"/>
      <c r="Q565"/>
      <c r="R565"/>
    </row>
    <row r="566" spans="1:18" s="11" customFormat="1" ht="16" x14ac:dyDescent="0.2">
      <c r="A566" s="16" t="s">
        <v>84</v>
      </c>
      <c r="B566" s="16">
        <v>267</v>
      </c>
      <c r="C566" s="11" t="s">
        <v>17</v>
      </c>
      <c r="D566" s="11" t="s">
        <v>13</v>
      </c>
      <c r="F566" s="11" t="s">
        <v>12</v>
      </c>
      <c r="G566" s="16" t="s">
        <v>42</v>
      </c>
      <c r="H566" s="10" t="s">
        <v>200</v>
      </c>
      <c r="J566"/>
      <c r="K566" s="19"/>
      <c r="L566" s="19"/>
      <c r="M566" s="19"/>
      <c r="N566" s="19"/>
      <c r="O566" s="19"/>
      <c r="P566" s="19"/>
      <c r="Q566"/>
      <c r="R566"/>
    </row>
    <row r="567" spans="1:18" s="11" customFormat="1" ht="16" x14ac:dyDescent="0.2">
      <c r="A567" s="16" t="s">
        <v>73</v>
      </c>
      <c r="B567" s="16">
        <v>588</v>
      </c>
      <c r="C567" s="11" t="s">
        <v>17</v>
      </c>
      <c r="D567" s="11" t="s">
        <v>13</v>
      </c>
      <c r="F567" s="11" t="s">
        <v>12</v>
      </c>
      <c r="G567" s="16" t="s">
        <v>74</v>
      </c>
      <c r="H567" s="10" t="s">
        <v>114</v>
      </c>
      <c r="J567"/>
      <c r="K567" s="19"/>
      <c r="L567" s="19"/>
      <c r="M567" s="19"/>
      <c r="N567" s="19"/>
      <c r="O567" s="19"/>
      <c r="P567" s="19"/>
      <c r="Q567"/>
      <c r="R567"/>
    </row>
    <row r="568" spans="1:18" s="11" customFormat="1" ht="16" x14ac:dyDescent="0.2">
      <c r="A568" s="16" t="s">
        <v>20</v>
      </c>
      <c r="B568" s="16">
        <v>588</v>
      </c>
      <c r="C568" s="11" t="s">
        <v>17</v>
      </c>
      <c r="D568" s="11" t="s">
        <v>13</v>
      </c>
      <c r="F568" s="11" t="s">
        <v>12</v>
      </c>
      <c r="G568" s="16" t="s">
        <v>15</v>
      </c>
      <c r="H568" s="10" t="s">
        <v>114</v>
      </c>
      <c r="J568"/>
      <c r="K568" s="19"/>
      <c r="L568" s="19"/>
      <c r="M568" s="19"/>
      <c r="N568" s="19"/>
      <c r="O568" s="19"/>
      <c r="P568" s="19"/>
      <c r="Q568"/>
      <c r="R568"/>
    </row>
    <row r="569" spans="1:18" s="11" customFormat="1" ht="16" x14ac:dyDescent="0.2">
      <c r="A569" s="16" t="s">
        <v>115</v>
      </c>
      <c r="B569" s="16">
        <v>33.299999999999997</v>
      </c>
      <c r="C569" s="11" t="s">
        <v>17</v>
      </c>
      <c r="D569" s="11" t="s">
        <v>116</v>
      </c>
      <c r="F569" s="11" t="s">
        <v>12</v>
      </c>
      <c r="G569" s="16" t="s">
        <v>117</v>
      </c>
      <c r="H569" s="10" t="s">
        <v>114</v>
      </c>
      <c r="J569"/>
      <c r="K569" s="19"/>
      <c r="L569" s="19"/>
      <c r="M569" s="19"/>
      <c r="N569" s="19"/>
      <c r="O569" s="19"/>
      <c r="P569" s="19"/>
      <c r="Q569"/>
      <c r="R569"/>
    </row>
    <row r="570" spans="1:18" s="11" customFormat="1" ht="16" x14ac:dyDescent="0.2">
      <c r="A570" s="16" t="s">
        <v>84</v>
      </c>
      <c r="B570" s="16">
        <v>2250</v>
      </c>
      <c r="C570" s="11" t="s">
        <v>17</v>
      </c>
      <c r="D570" s="11" t="s">
        <v>13</v>
      </c>
      <c r="F570" s="11" t="s">
        <v>12</v>
      </c>
      <c r="G570" s="16" t="s">
        <v>42</v>
      </c>
      <c r="H570" s="10" t="s">
        <v>118</v>
      </c>
      <c r="J570"/>
      <c r="K570" s="19"/>
      <c r="L570" s="19"/>
      <c r="M570" s="19"/>
      <c r="N570" s="19"/>
      <c r="O570" s="19"/>
      <c r="P570" s="19"/>
      <c r="Q570"/>
      <c r="R570"/>
    </row>
    <row r="571" spans="1:18" s="11" customFormat="1" ht="16" x14ac:dyDescent="0.2">
      <c r="A571" s="16" t="s">
        <v>201</v>
      </c>
      <c r="B571" s="16">
        <v>2250</v>
      </c>
      <c r="C571" s="11" t="s">
        <v>17</v>
      </c>
      <c r="D571" s="11" t="s">
        <v>13</v>
      </c>
      <c r="F571" s="11" t="s">
        <v>12</v>
      </c>
      <c r="G571" s="16" t="s">
        <v>202</v>
      </c>
      <c r="H571" s="10" t="s">
        <v>118</v>
      </c>
      <c r="J571"/>
      <c r="K571" s="19"/>
      <c r="L571" s="19"/>
      <c r="M571" s="19"/>
      <c r="N571" s="19"/>
      <c r="O571" s="19"/>
      <c r="P571" s="19"/>
      <c r="Q571"/>
      <c r="R571"/>
    </row>
    <row r="572" spans="1:18" s="11" customFormat="1" ht="16" x14ac:dyDescent="0.2">
      <c r="A572" s="16" t="s">
        <v>119</v>
      </c>
      <c r="B572" s="16">
        <v>2.2999999999999998</v>
      </c>
      <c r="C572" s="11" t="s">
        <v>45</v>
      </c>
      <c r="D572" s="11" t="s">
        <v>31</v>
      </c>
      <c r="F572" s="11" t="s">
        <v>12</v>
      </c>
      <c r="G572" s="16" t="s">
        <v>120</v>
      </c>
      <c r="H572" s="10" t="s">
        <v>203</v>
      </c>
      <c r="J572"/>
      <c r="K572" s="19"/>
      <c r="L572" s="19"/>
      <c r="M572" s="19"/>
      <c r="N572" s="19"/>
      <c r="O572" s="19"/>
      <c r="P572" s="19"/>
      <c r="Q572"/>
      <c r="R572"/>
    </row>
    <row r="573" spans="1:18" s="11" customFormat="1" ht="16" x14ac:dyDescent="0.2">
      <c r="A573" s="11" t="s">
        <v>33</v>
      </c>
      <c r="B573" s="12">
        <v>76420.2</v>
      </c>
      <c r="C573" s="11" t="s">
        <v>17</v>
      </c>
      <c r="D573" s="11" t="s">
        <v>35</v>
      </c>
      <c r="F573" s="11" t="s">
        <v>12</v>
      </c>
      <c r="G573" s="11" t="s">
        <v>36</v>
      </c>
      <c r="H573" s="11" t="s">
        <v>79</v>
      </c>
      <c r="J573"/>
      <c r="K573" s="19"/>
      <c r="L573" s="19"/>
      <c r="M573" s="19"/>
      <c r="N573" s="19"/>
      <c r="O573" s="19"/>
      <c r="P573" s="19"/>
      <c r="Q573"/>
      <c r="R573"/>
    </row>
    <row r="574" spans="1:18" s="11" customFormat="1" ht="16" x14ac:dyDescent="0.2">
      <c r="B574" s="16"/>
      <c r="F574" s="10"/>
      <c r="G574" s="10"/>
      <c r="K574" s="12"/>
      <c r="L574" s="12"/>
      <c r="M574" s="12"/>
      <c r="N574" s="12"/>
      <c r="O574" s="12"/>
      <c r="P574" s="12"/>
    </row>
    <row r="575" spans="1:18" s="11" customFormat="1" ht="16" x14ac:dyDescent="0.2">
      <c r="A575" s="8" t="s">
        <v>1</v>
      </c>
      <c r="B575" s="9" t="s">
        <v>514</v>
      </c>
      <c r="K575" s="12"/>
      <c r="L575" s="12"/>
      <c r="M575" s="12"/>
      <c r="N575" s="12"/>
      <c r="O575" s="12"/>
      <c r="P575" s="12"/>
    </row>
    <row r="576" spans="1:18" s="11" customFormat="1" ht="16" x14ac:dyDescent="0.2">
      <c r="A576" s="13" t="s">
        <v>3</v>
      </c>
      <c r="B576" s="14">
        <v>1</v>
      </c>
      <c r="K576" s="12"/>
      <c r="L576" s="12"/>
      <c r="M576" s="12"/>
      <c r="N576" s="12"/>
      <c r="O576" s="12"/>
      <c r="P576" s="12"/>
    </row>
    <row r="577" spans="1:20" s="11" customFormat="1" ht="16" x14ac:dyDescent="0.2">
      <c r="A577" s="13" t="s">
        <v>11</v>
      </c>
      <c r="B577" s="14" t="s">
        <v>56</v>
      </c>
      <c r="K577" s="12"/>
      <c r="L577" s="12"/>
      <c r="M577" s="12"/>
      <c r="N577" s="12"/>
      <c r="O577" s="12"/>
      <c r="P577" s="12"/>
    </row>
    <row r="578" spans="1:20" s="11" customFormat="1" ht="16" x14ac:dyDescent="0.2">
      <c r="A578" s="13" t="s">
        <v>4</v>
      </c>
      <c r="B578" s="16" t="s">
        <v>515</v>
      </c>
      <c r="K578" s="12"/>
      <c r="L578" s="12"/>
      <c r="M578" s="12"/>
      <c r="N578" s="12"/>
      <c r="O578" s="12"/>
      <c r="P578" s="12"/>
    </row>
    <row r="579" spans="1:20" s="11" customFormat="1" ht="16" x14ac:dyDescent="0.2">
      <c r="A579" s="13" t="s">
        <v>2</v>
      </c>
      <c r="B579" s="14" t="s">
        <v>34</v>
      </c>
      <c r="K579" s="12"/>
      <c r="L579" s="12"/>
      <c r="M579" s="12"/>
      <c r="N579" s="12"/>
      <c r="O579" s="12"/>
      <c r="P579" s="12"/>
    </row>
    <row r="580" spans="1:20" s="11" customFormat="1" ht="16" x14ac:dyDescent="0.2">
      <c r="A580" s="13" t="s">
        <v>6</v>
      </c>
      <c r="B580" s="16" t="s">
        <v>6</v>
      </c>
      <c r="K580" s="12"/>
      <c r="L580" s="12"/>
      <c r="M580" s="12"/>
      <c r="N580" s="12"/>
      <c r="O580" s="12"/>
      <c r="P580" s="12"/>
    </row>
    <row r="581" spans="1:20" s="11" customFormat="1" ht="16" x14ac:dyDescent="0.2">
      <c r="A581" s="17" t="s">
        <v>7</v>
      </c>
      <c r="B581" s="9"/>
      <c r="C581" s="17"/>
      <c r="D581" s="17"/>
      <c r="E581" s="17"/>
      <c r="F581" s="17"/>
      <c r="G581" s="17"/>
      <c r="H581" s="17"/>
      <c r="I581" s="17"/>
      <c r="J581" s="17"/>
      <c r="K581" s="12"/>
      <c r="L581" s="12"/>
      <c r="M581" s="12"/>
      <c r="N581" s="12"/>
      <c r="O581" s="12"/>
      <c r="P581" s="12"/>
    </row>
    <row r="582" spans="1:20" s="11" customFormat="1" ht="16" x14ac:dyDescent="0.2">
      <c r="A582" s="17" t="s">
        <v>8</v>
      </c>
      <c r="B582" s="9" t="s">
        <v>9</v>
      </c>
      <c r="C582" s="17" t="s">
        <v>2</v>
      </c>
      <c r="D582" s="17" t="s">
        <v>6</v>
      </c>
      <c r="E582" s="23" t="s">
        <v>10</v>
      </c>
      <c r="F582" s="17" t="s">
        <v>5</v>
      </c>
      <c r="G582" s="17" t="s">
        <v>4</v>
      </c>
      <c r="H582" s="23" t="s">
        <v>11</v>
      </c>
      <c r="I582" s="17"/>
      <c r="J582" s="7"/>
      <c r="K582" s="18"/>
      <c r="L582" s="18"/>
      <c r="M582" s="18"/>
      <c r="N582" s="18"/>
      <c r="O582" s="18"/>
      <c r="P582" s="18"/>
      <c r="Q582" s="7"/>
      <c r="R582" s="7"/>
      <c r="S582" s="17"/>
      <c r="T582" s="7"/>
    </row>
    <row r="583" spans="1:20" s="11" customFormat="1" ht="16" x14ac:dyDescent="0.2">
      <c r="A583" s="16" t="str">
        <f>B575</f>
        <v>treatment of electrolyzer balance of plant, 1MWe, SOEC</v>
      </c>
      <c r="B583" s="12">
        <v>-1</v>
      </c>
      <c r="C583" s="11" t="s">
        <v>34</v>
      </c>
      <c r="D583" s="11" t="str">
        <f>B580</f>
        <v>unit</v>
      </c>
      <c r="F583" s="11" t="s">
        <v>16</v>
      </c>
      <c r="G583" s="11" t="str">
        <f>B578</f>
        <v>used electrolyzer balance of plant, 1MWe, SOEC</v>
      </c>
      <c r="K583" s="12"/>
      <c r="L583" s="12"/>
      <c r="M583" s="12"/>
      <c r="N583" s="12"/>
      <c r="O583" s="12"/>
      <c r="P583" s="12"/>
    </row>
    <row r="584" spans="1:20" s="11" customFormat="1" ht="16" x14ac:dyDescent="0.2">
      <c r="A584" s="16" t="s">
        <v>204</v>
      </c>
      <c r="B584" s="11">
        <v>-20421</v>
      </c>
      <c r="C584" s="11" t="s">
        <v>37</v>
      </c>
      <c r="D584" s="11" t="s">
        <v>13</v>
      </c>
      <c r="F584" s="11" t="s">
        <v>12</v>
      </c>
      <c r="G584" s="11" t="s">
        <v>205</v>
      </c>
      <c r="J584"/>
      <c r="K584" s="19"/>
      <c r="L584" s="19"/>
      <c r="M584" s="19"/>
      <c r="N584" s="19"/>
      <c r="O584" s="19"/>
      <c r="P584" s="19"/>
      <c r="Q584"/>
      <c r="R584"/>
    </row>
    <row r="585" spans="1:20" s="11" customFormat="1" ht="16" x14ac:dyDescent="0.2">
      <c r="A585" s="16" t="s">
        <v>449</v>
      </c>
      <c r="B585" s="11">
        <v>-13730</v>
      </c>
      <c r="C585" s="11" t="s">
        <v>217</v>
      </c>
      <c r="D585" s="11" t="s">
        <v>13</v>
      </c>
      <c r="F585" s="11" t="s">
        <v>12</v>
      </c>
      <c r="G585" s="16" t="s">
        <v>216</v>
      </c>
      <c r="J585"/>
      <c r="K585" s="19"/>
      <c r="L585" s="19"/>
      <c r="M585" s="19"/>
      <c r="N585" s="19"/>
      <c r="O585" s="19"/>
      <c r="P585" s="19"/>
      <c r="Q585"/>
      <c r="R585"/>
    </row>
    <row r="586" spans="1:20" s="11" customFormat="1" ht="16" x14ac:dyDescent="0.2">
      <c r="A586" s="11" t="s">
        <v>206</v>
      </c>
      <c r="B586" s="11">
        <v>-401</v>
      </c>
      <c r="C586" s="11" t="s">
        <v>37</v>
      </c>
      <c r="D586" s="11" t="s">
        <v>13</v>
      </c>
      <c r="F586" s="11" t="s">
        <v>12</v>
      </c>
      <c r="G586" s="11" t="s">
        <v>207</v>
      </c>
      <c r="J586"/>
      <c r="K586" s="19"/>
      <c r="L586" s="19"/>
      <c r="M586" s="19"/>
      <c r="N586" s="19"/>
      <c r="O586" s="19"/>
      <c r="P586" s="19"/>
      <c r="Q586"/>
      <c r="R586"/>
    </row>
    <row r="587" spans="1:20" s="11" customFormat="1" ht="16" x14ac:dyDescent="0.2">
      <c r="A587" s="11" t="s">
        <v>226</v>
      </c>
      <c r="B587" s="11">
        <v>-32</v>
      </c>
      <c r="C587" s="11" t="s">
        <v>217</v>
      </c>
      <c r="D587" s="11" t="s">
        <v>13</v>
      </c>
      <c r="F587" s="11" t="s">
        <v>12</v>
      </c>
      <c r="G587" s="11" t="s">
        <v>227</v>
      </c>
      <c r="J587"/>
      <c r="K587" s="19"/>
      <c r="L587" s="19"/>
      <c r="M587" s="19"/>
      <c r="N587" s="19"/>
      <c r="O587" s="19"/>
      <c r="P587" s="19"/>
      <c r="Q587"/>
      <c r="R587"/>
    </row>
    <row r="588" spans="1:20" s="11" customFormat="1" ht="16" x14ac:dyDescent="0.2">
      <c r="A588" s="11" t="s">
        <v>218</v>
      </c>
      <c r="B588" s="11">
        <v>-14</v>
      </c>
      <c r="C588" s="11" t="s">
        <v>217</v>
      </c>
      <c r="D588" s="11" t="s">
        <v>13</v>
      </c>
      <c r="F588" s="11" t="s">
        <v>12</v>
      </c>
      <c r="G588" s="11" t="s">
        <v>450</v>
      </c>
      <c r="J588"/>
      <c r="K588" s="19"/>
      <c r="L588" s="19"/>
      <c r="M588" s="19"/>
      <c r="N588" s="19"/>
      <c r="O588" s="19"/>
      <c r="P588" s="19"/>
      <c r="Q588"/>
      <c r="R588"/>
    </row>
    <row r="589" spans="1:20" s="11" customFormat="1" ht="16" x14ac:dyDescent="0.2">
      <c r="A589" s="11" t="s">
        <v>219</v>
      </c>
      <c r="B589" s="11">
        <v>-8</v>
      </c>
      <c r="C589" s="11" t="s">
        <v>17</v>
      </c>
      <c r="D589" s="11" t="s">
        <v>13</v>
      </c>
      <c r="F589" s="11" t="s">
        <v>12</v>
      </c>
      <c r="G589" s="11" t="s">
        <v>220</v>
      </c>
      <c r="J589"/>
      <c r="K589" s="19"/>
      <c r="L589" s="19"/>
      <c r="M589" s="19"/>
      <c r="N589" s="19"/>
      <c r="O589" s="19"/>
      <c r="P589" s="19"/>
      <c r="Q589"/>
      <c r="R589"/>
    </row>
    <row r="590" spans="1:20" s="11" customFormat="1" ht="16" x14ac:dyDescent="0.2">
      <c r="A590" s="11" t="s">
        <v>221</v>
      </c>
      <c r="B590" s="11">
        <v>-534</v>
      </c>
      <c r="C590" s="11" t="s">
        <v>37</v>
      </c>
      <c r="D590" s="11" t="s">
        <v>13</v>
      </c>
      <c r="F590" s="11" t="s">
        <v>12</v>
      </c>
      <c r="G590" s="11" t="s">
        <v>452</v>
      </c>
      <c r="J590"/>
      <c r="K590" s="19"/>
      <c r="L590" s="19"/>
      <c r="M590" s="19"/>
      <c r="N590" s="19"/>
      <c r="O590" s="19"/>
      <c r="P590" s="19"/>
      <c r="Q590"/>
      <c r="R590"/>
    </row>
    <row r="591" spans="1:20" s="11" customFormat="1" ht="16" x14ac:dyDescent="0.2">
      <c r="A591" s="11" t="s">
        <v>451</v>
      </c>
      <c r="B591" s="11">
        <v>-3000</v>
      </c>
      <c r="C591" s="11" t="s">
        <v>37</v>
      </c>
      <c r="D591" s="11" t="s">
        <v>13</v>
      </c>
      <c r="F591" s="11" t="s">
        <v>12</v>
      </c>
      <c r="G591" s="11" t="s">
        <v>222</v>
      </c>
      <c r="J591"/>
      <c r="K591" s="19"/>
      <c r="L591" s="19"/>
      <c r="M591" s="19"/>
      <c r="N591" s="19"/>
      <c r="O591" s="19"/>
      <c r="P591" s="19"/>
      <c r="Q591"/>
      <c r="R591"/>
    </row>
    <row r="592" spans="1:20" s="11" customFormat="1" ht="16" x14ac:dyDescent="0.2">
      <c r="A592" s="11" t="s">
        <v>208</v>
      </c>
      <c r="B592" s="11">
        <v>-429</v>
      </c>
      <c r="C592" s="11" t="s">
        <v>37</v>
      </c>
      <c r="D592" s="11" t="s">
        <v>13</v>
      </c>
      <c r="F592" s="11" t="s">
        <v>12</v>
      </c>
      <c r="G592" s="11" t="s">
        <v>209</v>
      </c>
      <c r="J592"/>
      <c r="K592" s="19"/>
      <c r="L592" s="19"/>
      <c r="M592" s="19"/>
      <c r="N592" s="19"/>
      <c r="O592" s="19"/>
      <c r="P592" s="19"/>
      <c r="Q592"/>
      <c r="R592"/>
    </row>
    <row r="593" spans="1:21" s="11" customFormat="1" ht="16" x14ac:dyDescent="0.2">
      <c r="A593" s="11" t="s">
        <v>210</v>
      </c>
      <c r="B593" s="11">
        <v>-210</v>
      </c>
      <c r="C593" s="11" t="s">
        <v>212</v>
      </c>
      <c r="D593" s="11" t="s">
        <v>13</v>
      </c>
      <c r="F593" s="11" t="s">
        <v>12</v>
      </c>
      <c r="G593" s="11" t="s">
        <v>211</v>
      </c>
      <c r="J593"/>
      <c r="K593" s="19"/>
      <c r="L593" s="19"/>
      <c r="M593" s="19"/>
      <c r="N593" s="19"/>
      <c r="O593" s="19"/>
      <c r="P593" s="19"/>
      <c r="Q593"/>
      <c r="R593"/>
    </row>
    <row r="594" spans="1:21" s="11" customFormat="1" ht="16" x14ac:dyDescent="0.2">
      <c r="A594" s="11" t="s">
        <v>448</v>
      </c>
      <c r="B594" s="11">
        <v>-5600</v>
      </c>
      <c r="C594" s="11" t="s">
        <v>37</v>
      </c>
      <c r="D594" s="11" t="s">
        <v>13</v>
      </c>
      <c r="F594" s="11" t="s">
        <v>12</v>
      </c>
      <c r="G594" s="11" t="s">
        <v>223</v>
      </c>
      <c r="J594"/>
      <c r="K594" s="19"/>
      <c r="L594" s="19"/>
      <c r="M594" s="19"/>
      <c r="N594" s="19"/>
      <c r="O594" s="19"/>
      <c r="P594" s="19"/>
      <c r="Q594"/>
      <c r="R594"/>
    </row>
    <row r="595" spans="1:21" s="11" customFormat="1" ht="16" x14ac:dyDescent="0.2">
      <c r="B595" s="16"/>
      <c r="K595" s="12"/>
      <c r="L595" s="12"/>
      <c r="M595" s="12"/>
      <c r="N595" s="12"/>
      <c r="O595" s="12"/>
      <c r="P595" s="12"/>
    </row>
    <row r="596" spans="1:21" s="11" customFormat="1" ht="16" x14ac:dyDescent="0.2">
      <c r="A596" s="8" t="s">
        <v>1</v>
      </c>
      <c r="B596" s="9" t="s">
        <v>516</v>
      </c>
      <c r="C596" s="10"/>
      <c r="K596" s="12"/>
      <c r="L596" s="12"/>
      <c r="M596" s="12"/>
      <c r="N596" s="12"/>
      <c r="O596" s="12"/>
      <c r="P596" s="12"/>
    </row>
    <row r="597" spans="1:21" s="11" customFormat="1" ht="16" x14ac:dyDescent="0.2">
      <c r="A597" s="13" t="s">
        <v>3</v>
      </c>
      <c r="B597" s="14">
        <v>1</v>
      </c>
      <c r="K597" s="12"/>
      <c r="L597" s="12"/>
      <c r="M597" s="12"/>
      <c r="N597" s="12"/>
      <c r="O597" s="12"/>
      <c r="P597" s="12"/>
    </row>
    <row r="598" spans="1:21" s="11" customFormat="1" ht="16" x14ac:dyDescent="0.2">
      <c r="A598" s="13" t="s">
        <v>11</v>
      </c>
      <c r="B598" s="14" t="s">
        <v>544</v>
      </c>
      <c r="K598" s="12"/>
      <c r="L598" s="12"/>
      <c r="M598" s="12"/>
      <c r="N598" s="12"/>
      <c r="O598" s="12"/>
      <c r="P598" s="12"/>
    </row>
    <row r="599" spans="1:21" s="11" customFormat="1" ht="16" x14ac:dyDescent="0.2">
      <c r="A599" s="13" t="s">
        <v>4</v>
      </c>
      <c r="B599" s="15" t="s">
        <v>517</v>
      </c>
      <c r="K599" s="12"/>
      <c r="L599" s="12"/>
      <c r="M599" s="12"/>
      <c r="N599" s="12"/>
      <c r="O599" s="12"/>
      <c r="P599" s="12"/>
    </row>
    <row r="600" spans="1:21" s="11" customFormat="1" ht="16" x14ac:dyDescent="0.2">
      <c r="A600" s="13" t="s">
        <v>2</v>
      </c>
      <c r="B600" s="14" t="s">
        <v>34</v>
      </c>
      <c r="K600" s="12"/>
      <c r="L600" s="12"/>
      <c r="M600" s="12"/>
      <c r="N600" s="12"/>
      <c r="O600" s="12"/>
      <c r="P600" s="12"/>
    </row>
    <row r="601" spans="1:21" s="11" customFormat="1" ht="16" x14ac:dyDescent="0.2">
      <c r="A601" s="13" t="s">
        <v>6</v>
      </c>
      <c r="B601" s="16" t="s">
        <v>13</v>
      </c>
      <c r="H601" s="17"/>
      <c r="I601" s="17"/>
      <c r="J601" s="17"/>
      <c r="K601" s="12"/>
      <c r="L601" s="12"/>
      <c r="M601" s="12"/>
      <c r="N601" s="12"/>
      <c r="O601" s="12"/>
      <c r="P601" s="12"/>
    </row>
    <row r="602" spans="1:21" s="11" customFormat="1" ht="16" x14ac:dyDescent="0.2">
      <c r="A602" s="17" t="s">
        <v>7</v>
      </c>
      <c r="B602" s="9"/>
      <c r="C602" s="17"/>
      <c r="D602" s="17"/>
      <c r="E602" s="17"/>
      <c r="F602" s="17"/>
      <c r="G602" s="17"/>
      <c r="H602" s="10"/>
      <c r="I602" s="10"/>
      <c r="J602" s="10"/>
      <c r="K602" s="12"/>
      <c r="L602" s="12"/>
      <c r="M602" s="12"/>
      <c r="N602" s="12"/>
      <c r="O602" s="12"/>
      <c r="P602" s="12"/>
    </row>
    <row r="603" spans="1:21" s="11" customFormat="1" ht="16" x14ac:dyDescent="0.2">
      <c r="A603" s="17" t="s">
        <v>8</v>
      </c>
      <c r="B603" s="17" t="s">
        <v>9</v>
      </c>
      <c r="C603" s="17" t="s">
        <v>2</v>
      </c>
      <c r="D603" s="17" t="s">
        <v>6</v>
      </c>
      <c r="E603" s="17" t="s">
        <v>10</v>
      </c>
      <c r="F603" s="17" t="s">
        <v>5</v>
      </c>
      <c r="G603" s="17" t="s">
        <v>4</v>
      </c>
      <c r="H603" s="17" t="s">
        <v>11</v>
      </c>
      <c r="I603" s="17" t="s">
        <v>466</v>
      </c>
      <c r="J603" s="7" t="s">
        <v>467</v>
      </c>
      <c r="K603" s="18" t="s">
        <v>468</v>
      </c>
      <c r="L603" s="18" t="s">
        <v>469</v>
      </c>
      <c r="M603" s="18" t="s">
        <v>470</v>
      </c>
      <c r="N603" s="18" t="s">
        <v>471</v>
      </c>
      <c r="O603" s="18" t="s">
        <v>472</v>
      </c>
      <c r="P603" s="18" t="s">
        <v>473</v>
      </c>
      <c r="Q603" s="7" t="s">
        <v>474</v>
      </c>
      <c r="R603" s="7" t="s">
        <v>475</v>
      </c>
      <c r="S603" s="17" t="s">
        <v>476</v>
      </c>
      <c r="T603" s="7" t="s">
        <v>477</v>
      </c>
      <c r="U603" s="17" t="s">
        <v>46</v>
      </c>
    </row>
    <row r="604" spans="1:21" s="11" customFormat="1" ht="16" x14ac:dyDescent="0.2">
      <c r="A604" s="16" t="str">
        <f>B596</f>
        <v>deionized water production, via reverse osmosis, from brackish water</v>
      </c>
      <c r="B604" s="16">
        <v>1</v>
      </c>
      <c r="C604" s="11" t="str">
        <f>B600</f>
        <v>RER</v>
      </c>
      <c r="D604" s="11" t="str">
        <f>B601</f>
        <v>kilogram</v>
      </c>
      <c r="E604" s="10"/>
      <c r="F604" s="11" t="s">
        <v>16</v>
      </c>
      <c r="G604" s="16" t="str">
        <f>B599</f>
        <v>water, deionized</v>
      </c>
      <c r="H604" s="10"/>
      <c r="I604" s="10">
        <v>0</v>
      </c>
      <c r="K604" s="12"/>
      <c r="L604" s="12"/>
      <c r="M604" s="12"/>
      <c r="N604" s="12"/>
      <c r="O604" s="12"/>
      <c r="P604" s="12"/>
      <c r="T604"/>
    </row>
    <row r="605" spans="1:21" ht="16" x14ac:dyDescent="0.2">
      <c r="A605" t="s">
        <v>33</v>
      </c>
      <c r="B605" s="4">
        <v>1.5499999999999999E-3</v>
      </c>
      <c r="C605" s="11" t="s">
        <v>34</v>
      </c>
      <c r="D605" t="s">
        <v>35</v>
      </c>
      <c r="F605" t="s">
        <v>12</v>
      </c>
      <c r="G605" t="s">
        <v>36</v>
      </c>
      <c r="H605" t="s">
        <v>529</v>
      </c>
      <c r="I605">
        <v>5</v>
      </c>
      <c r="J605" s="4">
        <f>B605</f>
        <v>1.5499999999999999E-3</v>
      </c>
      <c r="S605">
        <f>1.4/1000</f>
        <v>1.4E-3</v>
      </c>
      <c r="T605">
        <f>1.7/1000</f>
        <v>1.6999999999999999E-3</v>
      </c>
    </row>
    <row r="606" spans="1:21" ht="16" x14ac:dyDescent="0.2">
      <c r="A606" t="s">
        <v>518</v>
      </c>
      <c r="B606" s="4">
        <v>1.3499999999999999E-5</v>
      </c>
      <c r="C606" s="11" t="s">
        <v>34</v>
      </c>
      <c r="D606" t="s">
        <v>13</v>
      </c>
      <c r="F606" t="s">
        <v>12</v>
      </c>
      <c r="G606" t="s">
        <v>519</v>
      </c>
      <c r="I606">
        <v>0</v>
      </c>
    </row>
    <row r="607" spans="1:21" ht="16" x14ac:dyDescent="0.2">
      <c r="A607" t="s">
        <v>520</v>
      </c>
      <c r="B607" s="4">
        <v>7.5799999999999998E-7</v>
      </c>
      <c r="C607" s="11" t="s">
        <v>17</v>
      </c>
      <c r="D607" t="s">
        <v>13</v>
      </c>
      <c r="F607" t="s">
        <v>12</v>
      </c>
      <c r="G607" t="s">
        <v>521</v>
      </c>
      <c r="I607">
        <v>0</v>
      </c>
    </row>
    <row r="608" spans="1:21" ht="16" x14ac:dyDescent="0.2">
      <c r="A608" t="s">
        <v>522</v>
      </c>
      <c r="B608" s="4">
        <v>2.1600000000000001E-6</v>
      </c>
      <c r="C608" s="11" t="s">
        <v>34</v>
      </c>
      <c r="D608" t="s">
        <v>13</v>
      </c>
      <c r="F608" t="s">
        <v>12</v>
      </c>
      <c r="G608" t="s">
        <v>523</v>
      </c>
      <c r="I608">
        <v>0</v>
      </c>
    </row>
    <row r="609" spans="1:21" ht="16" x14ac:dyDescent="0.2">
      <c r="A609" t="s">
        <v>537</v>
      </c>
      <c r="B609" s="4">
        <v>2.7E-6</v>
      </c>
      <c r="C609" s="11" t="s">
        <v>34</v>
      </c>
      <c r="D609" t="s">
        <v>13</v>
      </c>
      <c r="F609" t="s">
        <v>12</v>
      </c>
      <c r="G609" t="s">
        <v>524</v>
      </c>
      <c r="I609">
        <v>0</v>
      </c>
    </row>
    <row r="610" spans="1:21" x14ac:dyDescent="0.2">
      <c r="A610" t="s">
        <v>525</v>
      </c>
      <c r="B610" s="4">
        <f>1/0.7/1000</f>
        <v>1.4285714285714286E-3</v>
      </c>
      <c r="D610" t="s">
        <v>31</v>
      </c>
      <c r="E610" t="s">
        <v>526</v>
      </c>
      <c r="F610" t="s">
        <v>14</v>
      </c>
      <c r="H610" t="s">
        <v>527</v>
      </c>
      <c r="I610">
        <v>5</v>
      </c>
      <c r="J610" s="4">
        <f>B610</f>
        <v>1.4285714285714286E-3</v>
      </c>
      <c r="S610" s="4">
        <f>1/0.9/1000</f>
        <v>1.1111111111111111E-3</v>
      </c>
      <c r="T610" s="4">
        <f>1/0.5/1000</f>
        <v>2E-3</v>
      </c>
    </row>
    <row r="611" spans="1:21" x14ac:dyDescent="0.2">
      <c r="A611" t="s">
        <v>534</v>
      </c>
      <c r="B611" s="4">
        <f>B610-(1/1000)</f>
        <v>4.2857142857142855E-4</v>
      </c>
      <c r="D611" t="s">
        <v>31</v>
      </c>
      <c r="E611" t="s">
        <v>535</v>
      </c>
      <c r="F611" t="s">
        <v>14</v>
      </c>
      <c r="H611" t="s">
        <v>536</v>
      </c>
      <c r="I611">
        <v>0</v>
      </c>
    </row>
    <row r="612" spans="1:21" x14ac:dyDescent="0.2">
      <c r="A612" t="s">
        <v>538</v>
      </c>
      <c r="B612" s="4">
        <f>(5.2*0.000001)*(B611*1000)</f>
        <v>2.2285714285714286E-6</v>
      </c>
      <c r="D612" t="s">
        <v>13</v>
      </c>
      <c r="E612" t="s">
        <v>535</v>
      </c>
      <c r="F612" t="s">
        <v>14</v>
      </c>
      <c r="H612" t="s">
        <v>539</v>
      </c>
      <c r="I612">
        <v>0</v>
      </c>
    </row>
    <row r="613" spans="1:21" x14ac:dyDescent="0.2">
      <c r="A613" t="s">
        <v>540</v>
      </c>
      <c r="B613" s="4">
        <f>(1.7*0.000001)*(B611*1000)</f>
        <v>7.2857142857142845E-7</v>
      </c>
      <c r="D613" t="s">
        <v>13</v>
      </c>
      <c r="E613" t="s">
        <v>535</v>
      </c>
      <c r="F613" t="s">
        <v>14</v>
      </c>
      <c r="H613" t="s">
        <v>541</v>
      </c>
      <c r="I613">
        <v>0</v>
      </c>
    </row>
    <row r="614" spans="1:21" x14ac:dyDescent="0.2">
      <c r="A614" t="s">
        <v>542</v>
      </c>
      <c r="B614" s="4">
        <f>(31*0.000001)*(B611*1000)</f>
        <v>1.3285714285714285E-5</v>
      </c>
      <c r="D614" t="s">
        <v>13</v>
      </c>
      <c r="E614" t="s">
        <v>535</v>
      </c>
      <c r="F614" t="s">
        <v>14</v>
      </c>
      <c r="H614" t="s">
        <v>543</v>
      </c>
      <c r="I614">
        <v>0</v>
      </c>
    </row>
    <row r="616" spans="1:21" s="11" customFormat="1" ht="16" x14ac:dyDescent="0.2">
      <c r="A616" s="8" t="s">
        <v>1</v>
      </c>
      <c r="B616" s="9" t="s">
        <v>528</v>
      </c>
      <c r="C616" s="10"/>
      <c r="K616" s="12"/>
      <c r="L616" s="12"/>
      <c r="M616" s="12"/>
      <c r="N616" s="12"/>
      <c r="O616" s="12"/>
      <c r="P616" s="12"/>
    </row>
    <row r="617" spans="1:21" s="11" customFormat="1" ht="16" x14ac:dyDescent="0.2">
      <c r="A617" s="13" t="s">
        <v>3</v>
      </c>
      <c r="B617" s="14">
        <v>1</v>
      </c>
      <c r="K617" s="12"/>
      <c r="L617" s="12"/>
      <c r="M617" s="12"/>
      <c r="N617" s="12"/>
      <c r="O617" s="12"/>
      <c r="P617" s="12"/>
    </row>
    <row r="618" spans="1:21" s="11" customFormat="1" ht="16" x14ac:dyDescent="0.2">
      <c r="A618" s="13" t="s">
        <v>11</v>
      </c>
      <c r="B618" s="14" t="s">
        <v>531</v>
      </c>
      <c r="K618" s="12"/>
      <c r="L618" s="12"/>
      <c r="M618" s="12"/>
      <c r="N618" s="12"/>
      <c r="O618" s="12"/>
      <c r="P618" s="12"/>
    </row>
    <row r="619" spans="1:21" s="11" customFormat="1" ht="16" x14ac:dyDescent="0.2">
      <c r="A619" s="13" t="s">
        <v>4</v>
      </c>
      <c r="B619" s="15" t="s">
        <v>517</v>
      </c>
      <c r="K619" s="12"/>
      <c r="L619" s="12"/>
      <c r="M619" s="12"/>
      <c r="N619" s="12"/>
      <c r="O619" s="12"/>
      <c r="P619" s="12"/>
    </row>
    <row r="620" spans="1:21" s="11" customFormat="1" ht="16" x14ac:dyDescent="0.2">
      <c r="A620" s="13" t="s">
        <v>2</v>
      </c>
      <c r="B620" s="14" t="s">
        <v>34</v>
      </c>
      <c r="K620" s="12"/>
      <c r="L620" s="12"/>
      <c r="M620" s="12"/>
      <c r="N620" s="12"/>
      <c r="O620" s="12"/>
      <c r="P620" s="12"/>
    </row>
    <row r="621" spans="1:21" s="11" customFormat="1" ht="16" x14ac:dyDescent="0.2">
      <c r="A621" s="13" t="s">
        <v>6</v>
      </c>
      <c r="B621" s="16" t="s">
        <v>13</v>
      </c>
      <c r="H621" s="17"/>
      <c r="I621" s="17"/>
      <c r="J621" s="17"/>
      <c r="K621" s="12"/>
      <c r="L621" s="12"/>
      <c r="M621" s="12"/>
      <c r="N621" s="12"/>
      <c r="O621" s="12"/>
      <c r="P621" s="12"/>
    </row>
    <row r="622" spans="1:21" s="11" customFormat="1" ht="16" x14ac:dyDescent="0.2">
      <c r="A622" s="17" t="s">
        <v>7</v>
      </c>
      <c r="B622" s="9"/>
      <c r="C622" s="17"/>
      <c r="D622" s="17"/>
      <c r="E622" s="17"/>
      <c r="F622" s="17"/>
      <c r="G622" s="17"/>
      <c r="H622" s="10"/>
      <c r="I622" s="10"/>
      <c r="J622" s="10"/>
      <c r="K622" s="12"/>
      <c r="L622" s="12"/>
      <c r="M622" s="12"/>
      <c r="N622" s="12"/>
      <c r="O622" s="12"/>
      <c r="P622" s="12"/>
    </row>
    <row r="623" spans="1:21" s="11" customFormat="1" ht="16" x14ac:dyDescent="0.2">
      <c r="A623" s="17" t="s">
        <v>8</v>
      </c>
      <c r="B623" s="17" t="s">
        <v>9</v>
      </c>
      <c r="C623" s="17" t="s">
        <v>2</v>
      </c>
      <c r="D623" s="17" t="s">
        <v>6</v>
      </c>
      <c r="E623" s="17" t="s">
        <v>10</v>
      </c>
      <c r="F623" s="17" t="s">
        <v>5</v>
      </c>
      <c r="G623" s="17" t="s">
        <v>4</v>
      </c>
      <c r="H623" s="17" t="s">
        <v>11</v>
      </c>
      <c r="I623" s="17" t="s">
        <v>466</v>
      </c>
      <c r="J623" s="7" t="s">
        <v>467</v>
      </c>
      <c r="K623" s="18" t="s">
        <v>468</v>
      </c>
      <c r="L623" s="18" t="s">
        <v>469</v>
      </c>
      <c r="M623" s="18" t="s">
        <v>470</v>
      </c>
      <c r="N623" s="18" t="s">
        <v>471</v>
      </c>
      <c r="O623" s="18" t="s">
        <v>472</v>
      </c>
      <c r="P623" s="18" t="s">
        <v>473</v>
      </c>
      <c r="Q623" s="7" t="s">
        <v>474</v>
      </c>
      <c r="R623" s="7" t="s">
        <v>475</v>
      </c>
      <c r="S623" s="17" t="s">
        <v>476</v>
      </c>
      <c r="T623" s="7" t="s">
        <v>477</v>
      </c>
      <c r="U623" s="17" t="s">
        <v>46</v>
      </c>
    </row>
    <row r="624" spans="1:21" s="11" customFormat="1" ht="16" x14ac:dyDescent="0.2">
      <c r="A624" s="16" t="str">
        <f>B616</f>
        <v>deionized water production, via reverse osmosis, from sea water</v>
      </c>
      <c r="B624" s="16">
        <v>1</v>
      </c>
      <c r="C624" s="11" t="str">
        <f>B620</f>
        <v>RER</v>
      </c>
      <c r="D624" s="11" t="str">
        <f>B621</f>
        <v>kilogram</v>
      </c>
      <c r="E624" s="10"/>
      <c r="F624" s="11" t="s">
        <v>16</v>
      </c>
      <c r="G624" s="16" t="str">
        <f>B619</f>
        <v>water, deionized</v>
      </c>
      <c r="H624" s="10"/>
      <c r="I624" s="10">
        <v>0</v>
      </c>
      <c r="K624" s="12"/>
      <c r="L624" s="12"/>
      <c r="M624" s="12"/>
      <c r="N624" s="12"/>
      <c r="O624" s="12"/>
      <c r="P624" s="12"/>
      <c r="T624"/>
    </row>
    <row r="625" spans="1:20" ht="16" x14ac:dyDescent="0.2">
      <c r="A625" t="s">
        <v>33</v>
      </c>
      <c r="B625" s="4">
        <f>AVERAGE(3.6, 5.7)/1000</f>
        <v>4.6500000000000005E-3</v>
      </c>
      <c r="C625" s="11" t="s">
        <v>34</v>
      </c>
      <c r="D625" t="s">
        <v>35</v>
      </c>
      <c r="F625" t="s">
        <v>12</v>
      </c>
      <c r="G625" t="s">
        <v>36</v>
      </c>
      <c r="H625" t="s">
        <v>530</v>
      </c>
      <c r="I625">
        <v>5</v>
      </c>
      <c r="J625" s="4">
        <f>B625</f>
        <v>4.6500000000000005E-3</v>
      </c>
      <c r="S625">
        <f>3.6/1000</f>
        <v>3.5999999999999999E-3</v>
      </c>
      <c r="T625">
        <f>5.7/1000</f>
        <v>5.7000000000000002E-3</v>
      </c>
    </row>
    <row r="626" spans="1:20" ht="16" x14ac:dyDescent="0.2">
      <c r="A626" t="s">
        <v>518</v>
      </c>
      <c r="B626" s="4">
        <v>1.3499999999999999E-5</v>
      </c>
      <c r="C626" s="11" t="s">
        <v>34</v>
      </c>
      <c r="D626" t="s">
        <v>13</v>
      </c>
      <c r="F626" t="s">
        <v>12</v>
      </c>
      <c r="G626" t="s">
        <v>519</v>
      </c>
      <c r="I626">
        <v>0</v>
      </c>
    </row>
    <row r="627" spans="1:20" ht="16" x14ac:dyDescent="0.2">
      <c r="A627" t="s">
        <v>520</v>
      </c>
      <c r="B627" s="4">
        <v>7.5799999999999998E-7</v>
      </c>
      <c r="C627" s="11" t="s">
        <v>17</v>
      </c>
      <c r="D627" t="s">
        <v>13</v>
      </c>
      <c r="F627" t="s">
        <v>12</v>
      </c>
      <c r="G627" t="s">
        <v>521</v>
      </c>
      <c r="I627">
        <v>0</v>
      </c>
    </row>
    <row r="628" spans="1:20" ht="16" x14ac:dyDescent="0.2">
      <c r="A628" t="s">
        <v>522</v>
      </c>
      <c r="B628" s="4">
        <v>2.1600000000000001E-6</v>
      </c>
      <c r="C628" s="11" t="s">
        <v>34</v>
      </c>
      <c r="D628" t="s">
        <v>13</v>
      </c>
      <c r="F628" t="s">
        <v>12</v>
      </c>
      <c r="G628" t="s">
        <v>523</v>
      </c>
      <c r="I628">
        <v>0</v>
      </c>
    </row>
    <row r="629" spans="1:20" ht="16" x14ac:dyDescent="0.2">
      <c r="A629" t="s">
        <v>537</v>
      </c>
      <c r="B629" s="4">
        <v>2.7E-6</v>
      </c>
      <c r="C629" s="11" t="s">
        <v>34</v>
      </c>
      <c r="D629" t="s">
        <v>13</v>
      </c>
      <c r="F629" t="s">
        <v>12</v>
      </c>
      <c r="G629" t="s">
        <v>524</v>
      </c>
      <c r="I629">
        <v>0</v>
      </c>
    </row>
    <row r="630" spans="1:20" x14ac:dyDescent="0.2">
      <c r="A630" t="s">
        <v>532</v>
      </c>
      <c r="B630" s="4">
        <f>1/0.4/1000</f>
        <v>2.5000000000000001E-3</v>
      </c>
      <c r="D630" t="s">
        <v>31</v>
      </c>
      <c r="E630" t="s">
        <v>526</v>
      </c>
      <c r="F630" t="s">
        <v>14</v>
      </c>
      <c r="H630" t="s">
        <v>533</v>
      </c>
      <c r="I630">
        <v>5</v>
      </c>
      <c r="J630" s="4">
        <f>B630</f>
        <v>2.5000000000000001E-3</v>
      </c>
      <c r="S630" s="4">
        <f>1/0.5/1000</f>
        <v>2E-3</v>
      </c>
      <c r="T630" s="4">
        <f>1/0.35/1000</f>
        <v>2.8571428571428571E-3</v>
      </c>
    </row>
    <row r="631" spans="1:20" x14ac:dyDescent="0.2">
      <c r="A631" t="s">
        <v>538</v>
      </c>
      <c r="B631" s="4">
        <f>(5.2*0.000001)*(B630*1000)</f>
        <v>1.3000000000000001E-5</v>
      </c>
      <c r="D631" t="s">
        <v>13</v>
      </c>
      <c r="E631" t="s">
        <v>535</v>
      </c>
      <c r="F631" t="s">
        <v>14</v>
      </c>
      <c r="H631" t="s">
        <v>539</v>
      </c>
      <c r="I631">
        <v>0</v>
      </c>
    </row>
    <row r="632" spans="1:20" x14ac:dyDescent="0.2">
      <c r="A632" t="s">
        <v>540</v>
      </c>
      <c r="B632" s="4">
        <f>(1.7*0.000001)*(B630*1000)</f>
        <v>4.25E-6</v>
      </c>
      <c r="D632" t="s">
        <v>13</v>
      </c>
      <c r="E632" t="s">
        <v>535</v>
      </c>
      <c r="F632" t="s">
        <v>14</v>
      </c>
      <c r="H632" t="s">
        <v>541</v>
      </c>
      <c r="I632">
        <v>0</v>
      </c>
    </row>
    <row r="633" spans="1:20" x14ac:dyDescent="0.2">
      <c r="A633" t="s">
        <v>542</v>
      </c>
      <c r="B633" s="4">
        <f>(31*0.000001)*(B630*1000)</f>
        <v>7.75E-5</v>
      </c>
      <c r="D633" t="s">
        <v>13</v>
      </c>
      <c r="E633" t="s">
        <v>535</v>
      </c>
      <c r="F633" t="s">
        <v>14</v>
      </c>
      <c r="H633" t="s">
        <v>543</v>
      </c>
      <c r="I633">
        <v>0</v>
      </c>
    </row>
  </sheetData>
  <autoFilter ref="A1:T638"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6" t="s">
        <v>395</v>
      </c>
      <c r="E4" s="57"/>
      <c r="F4" s="39" t="s">
        <v>396</v>
      </c>
    </row>
    <row r="5" spans="1:6" ht="71" thickBot="1" x14ac:dyDescent="0.25">
      <c r="A5" s="46" t="s">
        <v>429</v>
      </c>
      <c r="B5" s="39">
        <v>7</v>
      </c>
      <c r="C5" s="38">
        <v>5.5</v>
      </c>
      <c r="D5" s="58">
        <v>2.5</v>
      </c>
      <c r="E5" s="59"/>
      <c r="F5" s="38" t="s">
        <v>397</v>
      </c>
    </row>
    <row r="6" spans="1:6" ht="29" thickBot="1" x14ac:dyDescent="0.25">
      <c r="A6" s="46" t="s">
        <v>398</v>
      </c>
      <c r="B6" s="49" t="s">
        <v>399</v>
      </c>
      <c r="C6" s="55"/>
      <c r="D6" s="55"/>
      <c r="E6" s="50"/>
      <c r="F6" s="40" t="s">
        <v>400</v>
      </c>
    </row>
    <row r="7" spans="1:6" ht="16" thickBot="1" x14ac:dyDescent="0.25">
      <c r="A7" s="46" t="s">
        <v>401</v>
      </c>
      <c r="B7" s="39">
        <v>27.5</v>
      </c>
      <c r="C7" s="38">
        <v>20</v>
      </c>
      <c r="D7" s="58">
        <v>20</v>
      </c>
      <c r="E7" s="59"/>
      <c r="F7" s="38" t="s">
        <v>396</v>
      </c>
    </row>
    <row r="8" spans="1:6" ht="43" thickBot="1" x14ac:dyDescent="0.25">
      <c r="A8" s="46" t="s">
        <v>402</v>
      </c>
      <c r="B8" s="39">
        <v>3</v>
      </c>
      <c r="C8" s="38">
        <v>3</v>
      </c>
      <c r="D8" s="58">
        <v>7</v>
      </c>
      <c r="E8" s="59"/>
      <c r="F8" s="38" t="s">
        <v>403</v>
      </c>
    </row>
    <row r="9" spans="1:6" ht="31" thickBot="1" x14ac:dyDescent="0.25">
      <c r="A9" s="46" t="s">
        <v>404</v>
      </c>
      <c r="B9" s="49" t="s">
        <v>431</v>
      </c>
      <c r="C9" s="55"/>
      <c r="D9" s="55"/>
      <c r="E9" s="50"/>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0"/>
      <c r="F13" s="38" t="s">
        <v>408</v>
      </c>
    </row>
    <row r="14" spans="1:6" ht="17" thickBot="1" x14ac:dyDescent="0.25">
      <c r="A14" s="46" t="s">
        <v>412</v>
      </c>
      <c r="B14" s="39">
        <v>3.7000000000000002E-3</v>
      </c>
      <c r="C14" s="45"/>
      <c r="D14" s="51"/>
      <c r="E14" s="52"/>
      <c r="F14" s="40" t="s">
        <v>413</v>
      </c>
    </row>
    <row r="15" spans="1:6" ht="16" thickBot="1" x14ac:dyDescent="0.25">
      <c r="A15" s="46" t="s">
        <v>414</v>
      </c>
      <c r="B15" s="39" t="s">
        <v>415</v>
      </c>
      <c r="C15" s="39" t="s">
        <v>416</v>
      </c>
      <c r="D15" s="49" t="s">
        <v>417</v>
      </c>
      <c r="E15" s="50"/>
      <c r="F15" s="38" t="s">
        <v>410</v>
      </c>
    </row>
    <row r="16" spans="1:6" ht="16" thickBot="1" x14ac:dyDescent="0.25">
      <c r="A16" s="46" t="s">
        <v>418</v>
      </c>
      <c r="B16" s="39" t="s">
        <v>419</v>
      </c>
      <c r="C16" s="39" t="s">
        <v>420</v>
      </c>
      <c r="D16" s="49" t="s">
        <v>421</v>
      </c>
      <c r="E16" s="50"/>
      <c r="F16" s="38" t="s">
        <v>396</v>
      </c>
    </row>
    <row r="17" spans="1:6" ht="113" thickBot="1" x14ac:dyDescent="0.25">
      <c r="A17" s="46" t="s">
        <v>422</v>
      </c>
      <c r="B17" s="39" t="s">
        <v>423</v>
      </c>
      <c r="C17" s="39" t="s">
        <v>424</v>
      </c>
      <c r="D17" s="53" t="s">
        <v>425</v>
      </c>
      <c r="E17" s="54"/>
      <c r="F17" s="40" t="s">
        <v>426</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2025-09-26T09:12:41Z</dcterms:modified>
</cp:coreProperties>
</file>