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ghanne\Desktop\Spring 2017\CEE 123L\"/>
    </mc:Choice>
  </mc:AlternateContent>
  <bookViews>
    <workbookView xWindow="0" yWindow="0" windowWidth="14376" windowHeight="4500" activeTab="2"/>
  </bookViews>
  <sheets>
    <sheet name="Calculation Main" sheetId="1" r:id="rId1"/>
    <sheet name="Factors" sheetId="2" r:id="rId2"/>
    <sheet name="Axial Force Diagram" sheetId="3" r:id="rId3"/>
    <sheet name="Tower Moment &amp; shear" sheetId="4" r:id="rId4"/>
    <sheet name="Total Dead load " sheetId="5" r:id="rId5"/>
    <sheet name="Notes " sheetId="6" r:id="rId6"/>
  </sheets>
  <calcPr calcId="171027"/>
  <fileRecoveryPr repairLoad="1"/>
</workbook>
</file>

<file path=xl/calcChain.xml><?xml version="1.0" encoding="utf-8"?>
<calcChain xmlns="http://schemas.openxmlformats.org/spreadsheetml/2006/main">
  <c r="B10" i="5" l="1"/>
  <c r="B5" i="5"/>
  <c r="B6" i="5" s="1"/>
  <c r="B8" i="5" s="1"/>
  <c r="B4" i="5"/>
  <c r="B3" i="5"/>
  <c r="C21" i="4"/>
  <c r="A21" i="4"/>
  <c r="A20" i="4"/>
  <c r="C20" i="4" s="1"/>
  <c r="C19" i="4"/>
  <c r="A19" i="4"/>
  <c r="A18" i="4"/>
  <c r="C18" i="4" s="1"/>
  <c r="C17" i="4"/>
  <c r="A17" i="4"/>
  <c r="A16" i="4"/>
  <c r="C16" i="4" s="1"/>
  <c r="C15" i="4"/>
  <c r="A15" i="4"/>
  <c r="A14" i="4"/>
  <c r="C14" i="4" s="1"/>
  <c r="C13" i="4"/>
  <c r="A13" i="4"/>
  <c r="A12" i="4"/>
  <c r="C12" i="4" s="1"/>
  <c r="C11" i="4"/>
  <c r="A11" i="4"/>
  <c r="A10" i="4"/>
  <c r="C10" i="4" s="1"/>
  <c r="C9" i="4"/>
  <c r="A9" i="4"/>
  <c r="A8" i="4"/>
  <c r="C8" i="4" s="1"/>
  <c r="C7" i="4"/>
  <c r="A7" i="4"/>
  <c r="A6" i="4"/>
  <c r="C6" i="4" s="1"/>
  <c r="C5" i="4"/>
  <c r="A5" i="4"/>
  <c r="A4" i="4"/>
  <c r="C4" i="4" s="1"/>
  <c r="G3" i="4"/>
  <c r="A3" i="4"/>
  <c r="C3" i="4" s="1"/>
  <c r="C2" i="4"/>
  <c r="C24" i="4" s="1"/>
  <c r="D26" i="4" s="1"/>
  <c r="A2" i="4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E20" i="3"/>
  <c r="D20" i="3" s="1"/>
  <c r="B20" i="3"/>
  <c r="E19" i="3"/>
  <c r="D19" i="3"/>
  <c r="B19" i="3"/>
  <c r="E18" i="3"/>
  <c r="D18" i="3"/>
  <c r="B18" i="3"/>
  <c r="E17" i="3"/>
  <c r="D17" i="3" s="1"/>
  <c r="B17" i="3"/>
  <c r="E16" i="3"/>
  <c r="D16" i="3"/>
  <c r="B16" i="3"/>
  <c r="E15" i="3"/>
  <c r="D15" i="3" s="1"/>
  <c r="B15" i="3"/>
  <c r="E14" i="3"/>
  <c r="D14" i="3"/>
  <c r="B14" i="3"/>
  <c r="E13" i="3"/>
  <c r="D13" i="3" s="1"/>
  <c r="B13" i="3"/>
  <c r="E12" i="3"/>
  <c r="D12" i="3"/>
  <c r="B12" i="3"/>
  <c r="E11" i="3"/>
  <c r="D11" i="3" s="1"/>
  <c r="B11" i="3"/>
  <c r="E10" i="3"/>
  <c r="D10" i="3"/>
  <c r="B10" i="3"/>
  <c r="E9" i="3"/>
  <c r="D9" i="3" s="1"/>
  <c r="B9" i="3"/>
  <c r="E8" i="3"/>
  <c r="D8" i="3"/>
  <c r="B8" i="3"/>
  <c r="E7" i="3"/>
  <c r="D7" i="3" s="1"/>
  <c r="B7" i="3"/>
  <c r="E6" i="3"/>
  <c r="D6" i="3"/>
  <c r="B6" i="3"/>
  <c r="E5" i="3"/>
  <c r="D5" i="3" s="1"/>
  <c r="B5" i="3"/>
  <c r="E4" i="3"/>
  <c r="D4" i="3"/>
  <c r="B4" i="3"/>
  <c r="C52" i="2"/>
  <c r="C51" i="2"/>
  <c r="D43" i="2"/>
  <c r="F40" i="2"/>
  <c r="L37" i="2"/>
  <c r="L36" i="2"/>
  <c r="L35" i="2"/>
  <c r="L34" i="2"/>
  <c r="L33" i="2"/>
  <c r="L32" i="2"/>
  <c r="L31" i="2"/>
  <c r="B28" i="2"/>
  <c r="G25" i="2"/>
  <c r="G24" i="2"/>
  <c r="G23" i="2"/>
  <c r="E23" i="2"/>
  <c r="I22" i="2"/>
  <c r="G22" i="2"/>
  <c r="E22" i="2"/>
  <c r="K21" i="2"/>
  <c r="E21" i="2"/>
  <c r="I21" i="2" s="1"/>
  <c r="H20" i="2"/>
  <c r="I20" i="2" s="1"/>
  <c r="M19" i="2"/>
  <c r="M21" i="2" s="1"/>
  <c r="M22" i="2" s="1"/>
  <c r="M23" i="2" s="1"/>
  <c r="M24" i="2" s="1"/>
  <c r="H19" i="2"/>
  <c r="I19" i="2" s="1"/>
  <c r="J13" i="2"/>
  <c r="H10" i="2"/>
  <c r="I24" i="2" s="1"/>
  <c r="H9" i="2"/>
  <c r="I23" i="2" s="1"/>
  <c r="Y34" i="1"/>
  <c r="Z34" i="1" s="1"/>
  <c r="S33" i="1"/>
  <c r="Z30" i="1"/>
  <c r="Q26" i="1"/>
  <c r="L26" i="1"/>
  <c r="I26" i="1"/>
  <c r="J26" i="1" s="1"/>
  <c r="D26" i="1"/>
  <c r="E26" i="1" s="1"/>
  <c r="G26" i="1" s="1"/>
  <c r="X25" i="1"/>
  <c r="R25" i="1"/>
  <c r="Q25" i="1"/>
  <c r="L25" i="1"/>
  <c r="J25" i="1"/>
  <c r="I25" i="1"/>
  <c r="E25" i="1"/>
  <c r="G25" i="1" s="1"/>
  <c r="Q24" i="1"/>
  <c r="L24" i="1"/>
  <c r="J24" i="1"/>
  <c r="E24" i="1"/>
  <c r="G24" i="1" s="1"/>
  <c r="S23" i="1"/>
  <c r="R23" i="1"/>
  <c r="Q23" i="1"/>
  <c r="L23" i="1"/>
  <c r="J23" i="1"/>
  <c r="G23" i="1"/>
  <c r="F23" i="1"/>
  <c r="N22" i="1"/>
  <c r="L22" i="1"/>
  <c r="J22" i="1"/>
  <c r="S22" i="1" s="1"/>
  <c r="G22" i="1"/>
  <c r="E22" i="1"/>
  <c r="R20" i="1"/>
  <c r="Q20" i="1"/>
  <c r="L20" i="1"/>
  <c r="M16" i="1" s="1"/>
  <c r="H20" i="1"/>
  <c r="G20" i="1"/>
  <c r="J20" i="1" s="1"/>
  <c r="Q18" i="1"/>
  <c r="F17" i="1"/>
  <c r="Q16" i="1"/>
  <c r="P16" i="1"/>
  <c r="S20" i="1" l="1"/>
  <c r="K20" i="1"/>
  <c r="M20" i="1" s="1"/>
  <c r="P20" i="1" s="1"/>
  <c r="P18" i="1" s="1"/>
  <c r="S26" i="1"/>
  <c r="K26" i="1"/>
  <c r="M26" i="1" s="1"/>
  <c r="L19" i="2"/>
  <c r="I25" i="2"/>
  <c r="K25" i="1"/>
  <c r="M25" i="1" s="1"/>
  <c r="P25" i="1" s="1"/>
  <c r="S29" i="1"/>
  <c r="K22" i="1"/>
  <c r="M22" i="1" s="1"/>
  <c r="P22" i="1" s="1"/>
  <c r="U29" i="1"/>
  <c r="B33" i="2" l="1"/>
  <c r="B32" i="2"/>
  <c r="K24" i="1"/>
  <c r="M24" i="1" s="1"/>
  <c r="P24" i="1" s="1"/>
  <c r="U22" i="1"/>
  <c r="AA22" i="1" s="1"/>
  <c r="T22" i="1"/>
  <c r="Y22" i="1" s="1"/>
  <c r="L20" i="2"/>
  <c r="N19" i="2"/>
  <c r="K23" i="1"/>
  <c r="M23" i="1" s="1"/>
  <c r="P23" i="1" s="1"/>
  <c r="Z29" i="1"/>
  <c r="M28" i="1"/>
  <c r="N28" i="1" s="1"/>
  <c r="P26" i="1"/>
  <c r="S28" i="1"/>
  <c r="S30" i="1" l="1"/>
  <c r="U28" i="1"/>
  <c r="Z28" i="1"/>
  <c r="N20" i="2"/>
  <c r="O20" i="2" s="1"/>
  <c r="L21" i="2" s="1"/>
  <c r="N21" i="2" s="1"/>
  <c r="O19" i="2"/>
  <c r="X29" i="1"/>
  <c r="X30" i="1" s="1"/>
  <c r="T26" i="1" s="1"/>
  <c r="Y26" i="1" s="1"/>
  <c r="U24" i="1"/>
  <c r="AA24" i="1" s="1"/>
  <c r="T24" i="1"/>
  <c r="Y24" i="1" s="1"/>
  <c r="X28" i="1"/>
  <c r="U23" i="1"/>
  <c r="AA23" i="1" s="1"/>
  <c r="U25" i="1"/>
  <c r="AA25" i="1" s="1"/>
  <c r="T23" i="1"/>
  <c r="Y23" i="1" s="1"/>
  <c r="T25" i="1"/>
  <c r="Y25" i="1" s="1"/>
  <c r="T27" i="1"/>
  <c r="U26" i="1"/>
  <c r="AA26" i="1" s="1"/>
  <c r="C18" i="3" l="1"/>
  <c r="C14" i="3"/>
  <c r="C10" i="3"/>
  <c r="C6" i="3"/>
  <c r="C17" i="3"/>
  <c r="C13" i="3"/>
  <c r="C9" i="3"/>
  <c r="C5" i="3"/>
  <c r="C20" i="3"/>
  <c r="C16" i="3"/>
  <c r="C12" i="3"/>
  <c r="C8" i="3"/>
  <c r="C4" i="3"/>
  <c r="F4" i="3" s="1"/>
  <c r="C25" i="3" s="1"/>
  <c r="D25" i="3" s="1"/>
  <c r="C19" i="3"/>
  <c r="C15" i="3"/>
  <c r="C11" i="3"/>
  <c r="C7" i="3"/>
  <c r="P39" i="1"/>
  <c r="Q39" i="1" s="1"/>
  <c r="S32" i="1"/>
  <c r="U30" i="1"/>
  <c r="S31" i="1"/>
  <c r="V26" i="1"/>
  <c r="AC26" i="1" s="1"/>
  <c r="N30" i="1"/>
  <c r="F7" i="3" l="1"/>
  <c r="C28" i="3"/>
  <c r="U37" i="1"/>
  <c r="V37" i="1" s="1"/>
  <c r="W37" i="1" s="1"/>
  <c r="U32" i="1"/>
  <c r="F11" i="3"/>
  <c r="C32" i="3"/>
  <c r="C29" i="3"/>
  <c r="F8" i="3"/>
  <c r="F5" i="3"/>
  <c r="C26" i="3"/>
  <c r="D26" i="3" s="1"/>
  <c r="C27" i="3"/>
  <c r="F6" i="3"/>
  <c r="F15" i="3"/>
  <c r="C36" i="3"/>
  <c r="C33" i="3"/>
  <c r="F12" i="3"/>
  <c r="F9" i="3"/>
  <c r="C30" i="3"/>
  <c r="C31" i="3"/>
  <c r="F10" i="3"/>
  <c r="F19" i="3"/>
  <c r="C40" i="3"/>
  <c r="C37" i="3"/>
  <c r="F16" i="3"/>
  <c r="F13" i="3"/>
  <c r="C34" i="3"/>
  <c r="C35" i="3"/>
  <c r="F14" i="3"/>
  <c r="C41" i="3"/>
  <c r="F20" i="3"/>
  <c r="F17" i="3"/>
  <c r="C38" i="3"/>
  <c r="C39" i="3"/>
  <c r="F18" i="3"/>
  <c r="D27" i="3" l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</calcChain>
</file>

<file path=xl/sharedStrings.xml><?xml version="1.0" encoding="utf-8"?>
<sst xmlns="http://schemas.openxmlformats.org/spreadsheetml/2006/main" count="279" uniqueCount="234">
  <si>
    <t xml:space="preserve">Preliminary Bridge Load Calculation </t>
  </si>
  <si>
    <t>Dimensions</t>
  </si>
  <si>
    <t xml:space="preserve">Cable </t>
  </si>
  <si>
    <t>Cable Design Tension (MT) (kip)</t>
  </si>
  <si>
    <t>EQ load</t>
  </si>
  <si>
    <t>WS</t>
  </si>
  <si>
    <t xml:space="preserve">Steel </t>
  </si>
  <si>
    <t># Lanes</t>
  </si>
  <si>
    <t>width(ft)</t>
  </si>
  <si>
    <t>length (ft)</t>
  </si>
  <si>
    <t>50 psf</t>
  </si>
  <si>
    <t>Reduction factors</t>
  </si>
  <si>
    <t>Analyzed w/t Matlab</t>
  </si>
  <si>
    <t>Data Output</t>
  </si>
  <si>
    <t>Dynamic load allowance</t>
  </si>
  <si>
    <t>Impact Factor</t>
  </si>
  <si>
    <t>Steel section weights</t>
  </si>
  <si>
    <t>Weights (k/ft)</t>
  </si>
  <si>
    <t>Deck Joints-All Limit states</t>
  </si>
  <si>
    <t>W30*261</t>
  </si>
  <si>
    <t>Fatigue and Fracture Limit State</t>
  </si>
  <si>
    <t>W30*391</t>
  </si>
  <si>
    <t>All other limit State</t>
  </si>
  <si>
    <t>W30*200</t>
  </si>
  <si>
    <t xml:space="preserve">Data to be filled in </t>
  </si>
  <si>
    <t>Discarded Data</t>
  </si>
  <si>
    <t>Load Combo</t>
  </si>
  <si>
    <t>1.2D +1.6L</t>
  </si>
  <si>
    <t>1.4D</t>
  </si>
  <si>
    <t>Cable Parameter</t>
  </si>
  <si>
    <t>Cable #</t>
  </si>
  <si>
    <t>Live load reduction factor for all 6 lanes loaded simultaneously</t>
  </si>
  <si>
    <t>Length (ft)</t>
  </si>
  <si>
    <t>DL</t>
  </si>
  <si>
    <t>L8*8*1.125</t>
  </si>
  <si>
    <t>LL(MAX)</t>
  </si>
  <si>
    <t>LL(MIN)</t>
  </si>
  <si>
    <t>Total Tension</t>
  </si>
  <si>
    <t>Material Properties</t>
  </si>
  <si>
    <t># of Strands</t>
  </si>
  <si>
    <t>Cable Diameter(ft)</t>
  </si>
  <si>
    <t xml:space="preserve">Material </t>
  </si>
  <si>
    <t>Rho(pcf)</t>
  </si>
  <si>
    <t>Concrete</t>
  </si>
  <si>
    <t xml:space="preserve">Tandom Point Load </t>
  </si>
  <si>
    <t>Live Load Impact Factor</t>
  </si>
  <si>
    <t>2 x 25 kip @ 4 ft per lane</t>
  </si>
  <si>
    <t>one 25 kip must be distributed to each edge girder</t>
  </si>
  <si>
    <t>for &gt; = 3 lines</t>
  </si>
  <si>
    <t>Dead loads</t>
  </si>
  <si>
    <t>I</t>
  </si>
  <si>
    <t>Dimension</t>
  </si>
  <si>
    <t>Material</t>
  </si>
  <si>
    <t>Section</t>
  </si>
  <si>
    <t>Structural Element</t>
  </si>
  <si>
    <t>#/deck</t>
  </si>
  <si>
    <t>total #</t>
  </si>
  <si>
    <t>Width (ft) /* Tributary Width</t>
  </si>
  <si>
    <t>Length(ft)</t>
  </si>
  <si>
    <t>Volume(cu. ft)</t>
  </si>
  <si>
    <t>Self Weight(kip)</t>
  </si>
  <si>
    <t>Spacing (ft)</t>
  </si>
  <si>
    <t>Tributary Area/ element(sq. ft)</t>
  </si>
  <si>
    <t>Total Dead Load(kip)</t>
  </si>
  <si>
    <t>Live Load(kip)</t>
  </si>
  <si>
    <t>Total Load(kip)</t>
  </si>
  <si>
    <t>Distributed Load(klp)</t>
  </si>
  <si>
    <t xml:space="preserve">Deck </t>
  </si>
  <si>
    <t>8" Slab</t>
  </si>
  <si>
    <t>-</t>
  </si>
  <si>
    <t xml:space="preserve">Calculation sheet correction </t>
  </si>
  <si>
    <t>Design Load</t>
  </si>
  <si>
    <t xml:space="preserve">Section </t>
  </si>
  <si>
    <t xml:space="preserve">Structural Element </t>
  </si>
  <si>
    <t>Tributary Area</t>
  </si>
  <si>
    <t>Distributed Load</t>
  </si>
  <si>
    <t xml:space="preserve">deflection </t>
  </si>
  <si>
    <t>12 ft / joist</t>
  </si>
  <si>
    <t>Service Load</t>
  </si>
  <si>
    <t>Moment</t>
  </si>
  <si>
    <t>Shear</t>
  </si>
  <si>
    <t xml:space="preserve">Axial </t>
  </si>
  <si>
    <t>Tributary Width(ft)</t>
  </si>
  <si>
    <t>Tributary Length(ft)</t>
  </si>
  <si>
    <t>Tributary Area(sq. ft)</t>
  </si>
  <si>
    <t>Depth (ft)</t>
  </si>
  <si>
    <t>Material Unit Weight (plf except concrete(pcf))</t>
  </si>
  <si>
    <t>Self Weight /Tribuary Area(kip)</t>
  </si>
  <si>
    <t>Dead Load (ksf)</t>
  </si>
  <si>
    <t>Live Load (ksf)</t>
  </si>
  <si>
    <t>Total Service Load (ksf)</t>
  </si>
  <si>
    <t>Tandom Load (kip)</t>
  </si>
  <si>
    <t>Tandom Load Location</t>
  </si>
  <si>
    <t>Converted Distributed Load (klf)</t>
  </si>
  <si>
    <t>Length Multiplication Factor</t>
  </si>
  <si>
    <t xml:space="preserve">Width Multiplication Factor </t>
  </si>
  <si>
    <t>Total Self Weight(kip)</t>
  </si>
  <si>
    <t>Maximum Moment (k-ft)</t>
  </si>
  <si>
    <t>Maximum Shear (kip)</t>
  </si>
  <si>
    <t>Compression (kip)</t>
  </si>
  <si>
    <t>LTB Moment Capacity (k-ft)</t>
  </si>
  <si>
    <t>Reinforcement (Note 1)</t>
  </si>
  <si>
    <t>Local Buckling Moment Capacity (k-ft)</t>
  </si>
  <si>
    <t>Sufficent?</t>
  </si>
  <si>
    <t>Shear Capacity(kip)</t>
  </si>
  <si>
    <t>Axial Capacity (</t>
  </si>
  <si>
    <t xml:space="preserve">Concrete </t>
  </si>
  <si>
    <t>TBD</t>
  </si>
  <si>
    <t>NA</t>
  </si>
  <si>
    <t>Steel</t>
  </si>
  <si>
    <t>Joists</t>
  </si>
  <si>
    <t>Girders</t>
  </si>
  <si>
    <t>Pavement , needs data</t>
  </si>
  <si>
    <t>Stringers</t>
  </si>
  <si>
    <t>Steel W30x 391</t>
  </si>
  <si>
    <t>Edge element</t>
  </si>
  <si>
    <t>Total</t>
  </si>
  <si>
    <t xml:space="preserve">* Fill in if built-up section is used </t>
  </si>
  <si>
    <t>Live loads</t>
  </si>
  <si>
    <t>Live load (k/f)</t>
  </si>
  <si>
    <t>Load Combinations</t>
  </si>
  <si>
    <t>Kips</t>
  </si>
  <si>
    <t>gider 1</t>
  </si>
  <si>
    <t>1.2D+1.6L</t>
  </si>
  <si>
    <t>For 19' spacing, 5*25 kip at middle of joist for maximum moment; at one end for maximum shear</t>
  </si>
  <si>
    <t>gider 2</t>
  </si>
  <si>
    <t>Axial Force in Deck</t>
  </si>
  <si>
    <t>gider 3</t>
  </si>
  <si>
    <t>Section #</t>
  </si>
  <si>
    <t>x from left end (ft)</t>
  </si>
  <si>
    <t>Cable Tension (kip)</t>
  </si>
  <si>
    <t>Axial Compression (kip)</t>
  </si>
  <si>
    <t>gider 4</t>
  </si>
  <si>
    <t>gider 5</t>
  </si>
  <si>
    <t>factor</t>
  </si>
  <si>
    <t>reduction factor</t>
  </si>
  <si>
    <t>gider 6</t>
  </si>
  <si>
    <t>Note A on dwg</t>
  </si>
  <si>
    <t>Girder Type 1</t>
  </si>
  <si>
    <t>Built-up: 12 x 2 flange, 6 x 48 web</t>
  </si>
  <si>
    <t>W14*159</t>
  </si>
  <si>
    <t>Joist</t>
  </si>
  <si>
    <t>Dead</t>
  </si>
  <si>
    <t>gider 7</t>
  </si>
  <si>
    <t>Live</t>
  </si>
  <si>
    <t>Earthquake</t>
  </si>
  <si>
    <t>(75,100,75)*0.65</t>
  </si>
  <si>
    <t>@ 19', 3*25 = 75, @ 38', 4*25 = 100, @ 57' 3*25 = 75 for maximum moment; @19' 4*25 = 100, @38' 3*25 = 75', @57' 3*25 =75, for maximum shear</t>
  </si>
  <si>
    <t>toal</t>
  </si>
  <si>
    <t>klf</t>
  </si>
  <si>
    <t>only dead</t>
  </si>
  <si>
    <t>girder</t>
  </si>
  <si>
    <t>self dead</t>
  </si>
  <si>
    <t>2.12 klf</t>
  </si>
  <si>
    <t>from joist (max)</t>
  </si>
  <si>
    <t>3 point load, one in middle</t>
  </si>
  <si>
    <t>h</t>
  </si>
  <si>
    <t>w</t>
  </si>
  <si>
    <t>tf</t>
  </si>
  <si>
    <t>tw</t>
  </si>
  <si>
    <t>A</t>
  </si>
  <si>
    <t>inches</t>
  </si>
  <si>
    <t>Vmax</t>
  </si>
  <si>
    <t>kips-ft</t>
  </si>
  <si>
    <t>Mmax</t>
  </si>
  <si>
    <t>joist</t>
  </si>
  <si>
    <t>Note B on dwg</t>
  </si>
  <si>
    <t>Girder Type 2 (Not Used)</t>
  </si>
  <si>
    <t>Steel W30x261</t>
  </si>
  <si>
    <t xml:space="preserve">* Add tandom load at first cable </t>
  </si>
  <si>
    <t>height</t>
  </si>
  <si>
    <t>axial</t>
  </si>
  <si>
    <t>moment</t>
  </si>
  <si>
    <t>number</t>
  </si>
  <si>
    <t>DL Joist</t>
  </si>
  <si>
    <t>DL Girder</t>
  </si>
  <si>
    <t xml:space="preserve"># Joist </t>
  </si>
  <si>
    <t>DL(Total)Joist</t>
  </si>
  <si>
    <t>DL(total) Girder</t>
  </si>
  <si>
    <t>Bottom Deck (Not Used)</t>
  </si>
  <si>
    <t xml:space="preserve">Steel 40 in x 40 in x 2.5 in </t>
  </si>
  <si>
    <t>Total DL</t>
  </si>
  <si>
    <t>Cable DL</t>
  </si>
  <si>
    <t>Section DL</t>
  </si>
  <si>
    <t># cables (each side)</t>
  </si>
  <si>
    <t xml:space="preserve">Cable seperatio on the twoer </t>
  </si>
  <si>
    <t>after 15%</t>
  </si>
  <si>
    <t>Note 1</t>
  </si>
  <si>
    <t>Assume 2% reinforcment of total volume of slab</t>
  </si>
  <si>
    <t xml:space="preserve">The number of lane to number of girder ratio </t>
  </si>
  <si>
    <t>0.5-1.5 (</t>
  </si>
  <si>
    <t>Joist Spacing = joist tributary width</t>
  </si>
  <si>
    <t>Joist tributary length = adjacent girder spacing</t>
  </si>
  <si>
    <t>From center to side, number girder type 1 and type 2</t>
  </si>
  <si>
    <t>Note C on dwg</t>
  </si>
  <si>
    <t>Edge Girder</t>
  </si>
  <si>
    <t>Box Steel HSS 5 x 4.5 x 0.75 in</t>
  </si>
  <si>
    <t>50*0.65</t>
  </si>
  <si>
    <t>2*25 = 50 at middle for maximum moment, and at one end for maximum shear</t>
  </si>
  <si>
    <t xml:space="preserve">new moment </t>
  </si>
  <si>
    <t>Allowable Deflection(in)</t>
  </si>
  <si>
    <t>Total Loading</t>
  </si>
  <si>
    <t>Dead Weight  (kip)</t>
  </si>
  <si>
    <t>Dead Load (in kip)</t>
  </si>
  <si>
    <t>Dead Load (ksf) = 10415/525/85</t>
  </si>
  <si>
    <t>P1</t>
  </si>
  <si>
    <t>not used</t>
  </si>
  <si>
    <t>Live Load</t>
  </si>
  <si>
    <t>Live Load(ksf) =L20</t>
  </si>
  <si>
    <t>P2</t>
  </si>
  <si>
    <t>Total Load (kip)</t>
  </si>
  <si>
    <t>Total Load Combo</t>
  </si>
  <si>
    <t>Total Load Combo (ksf) = Total Load/525/85</t>
  </si>
  <si>
    <t xml:space="preserve">Reaction Force </t>
  </si>
  <si>
    <t>*HSS 40inx40in 2.5 in wall thickness works Mu=19800 k-ft, Code has been Uploaded -Sam</t>
  </si>
  <si>
    <t>Tandom Load per Cable(Reducted )</t>
  </si>
  <si>
    <t>Weight of Cable</t>
  </si>
  <si>
    <t>kips</t>
  </si>
  <si>
    <t>Moment of Reducted Tandom on Tower</t>
  </si>
  <si>
    <t>Tower Size (Diameter)</t>
  </si>
  <si>
    <t>18 ft (bottom)</t>
  </si>
  <si>
    <t>3 ft (top)</t>
  </si>
  <si>
    <t>Weight of Tower</t>
  </si>
  <si>
    <t>Steel Ratio</t>
  </si>
  <si>
    <t>x228/</t>
  </si>
  <si>
    <t xml:space="preserve">Concrete Material </t>
  </si>
  <si>
    <t>6 ksi</t>
  </si>
  <si>
    <t>Calc for Cable</t>
  </si>
  <si>
    <t>Plus Tandom Load</t>
  </si>
  <si>
    <t>cable</t>
  </si>
  <si>
    <t xml:space="preserve">cable </t>
  </si>
  <si>
    <t xml:space="preserve">Data to Plot Axial Compression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</si>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</sst>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0" xfId="0" applyFont="1" applyFill="1"/>
    <xf numFmtId="0" fontId="1" fillId="0" borderId="0" xfId="0" applyFont="1" applyAlignment="1"/>
    <xf numFmtId="0" fontId="1" fillId="3" borderId="0" xfId="0" applyFont="1" applyFill="1"/>
    <xf numFmtId="0" fontId="2" fillId="0" borderId="0" xfId="0" applyFont="1" applyAlignment="1"/>
    <xf numFmtId="0" fontId="1" fillId="3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>
      <alignment horizontal="left"/>
    </xf>
    <xf numFmtId="9" fontId="1" fillId="0" borderId="0" xfId="0" applyNumberFormat="1" applyFont="1" applyAlignment="1"/>
    <xf numFmtId="0" fontId="1" fillId="4" borderId="0" xfId="0" applyFont="1" applyFill="1"/>
    <xf numFmtId="0" fontId="3" fillId="0" borderId="0" xfId="0" applyFont="1" applyAlignment="1"/>
    <xf numFmtId="0" fontId="1" fillId="5" borderId="0" xfId="0" applyFont="1" applyFill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/>
    <xf numFmtId="0" fontId="4" fillId="9" borderId="0" xfId="0" applyFont="1" applyFill="1"/>
    <xf numFmtId="0" fontId="1" fillId="7" borderId="0" xfId="0" applyFont="1" applyFill="1"/>
    <xf numFmtId="0" fontId="3" fillId="0" borderId="0" xfId="0" applyFont="1" applyAlignment="1">
      <alignment horizontal="center"/>
    </xf>
    <xf numFmtId="0" fontId="1" fillId="10" borderId="0" xfId="0" applyFont="1" applyFill="1"/>
    <xf numFmtId="0" fontId="3" fillId="0" borderId="3" xfId="0" applyFont="1" applyBorder="1" applyAlignment="1">
      <alignment horizontal="center"/>
    </xf>
    <xf numFmtId="0" fontId="1" fillId="10" borderId="0" xfId="0" applyFont="1" applyFill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1" borderId="0" xfId="0" applyFont="1" applyFill="1" applyAlignment="1"/>
    <xf numFmtId="0" fontId="4" fillId="0" borderId="0" xfId="0" applyFont="1" applyAlignment="1"/>
    <xf numFmtId="0" fontId="3" fillId="12" borderId="0" xfId="0" applyFont="1" applyFill="1" applyAlignment="1"/>
    <xf numFmtId="0" fontId="3" fillId="12" borderId="6" xfId="0" applyFont="1" applyFill="1" applyBorder="1" applyAlignment="1"/>
    <xf numFmtId="0" fontId="3" fillId="12" borderId="7" xfId="0" applyFont="1" applyFill="1" applyBorder="1" applyAlignment="1"/>
    <xf numFmtId="1" fontId="1" fillId="0" borderId="0" xfId="0" applyNumberFormat="1" applyFont="1"/>
    <xf numFmtId="0" fontId="3" fillId="12" borderId="1" xfId="0" applyFont="1" applyFill="1" applyBorder="1" applyAlignment="1"/>
    <xf numFmtId="0" fontId="1" fillId="12" borderId="2" xfId="0" applyFont="1" applyFill="1" applyBorder="1" applyAlignment="1"/>
    <xf numFmtId="0" fontId="3" fillId="0" borderId="0" xfId="0" applyFont="1"/>
    <xf numFmtId="1" fontId="1" fillId="0" borderId="1" xfId="0" applyNumberFormat="1" applyFont="1" applyBorder="1"/>
    <xf numFmtId="0" fontId="5" fillId="0" borderId="0" xfId="0" applyFont="1" applyAlignment="1"/>
    <xf numFmtId="0" fontId="3" fillId="12" borderId="4" xfId="0" applyFont="1" applyFill="1" applyBorder="1" applyAlignment="1"/>
    <xf numFmtId="0" fontId="1" fillId="12" borderId="5" xfId="0" applyFont="1" applyFill="1" applyBorder="1" applyAlignment="1"/>
    <xf numFmtId="0" fontId="3" fillId="10" borderId="0" xfId="0" applyFont="1" applyFill="1" applyAlignment="1"/>
    <xf numFmtId="0" fontId="3" fillId="10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4" fontId="1" fillId="0" borderId="2" xfId="0" applyNumberFormat="1" applyFont="1" applyBorder="1"/>
    <xf numFmtId="0" fontId="1" fillId="10" borderId="0" xfId="0" applyFont="1" applyFill="1" applyAlignment="1">
      <alignment horizontal="center"/>
    </xf>
    <xf numFmtId="0" fontId="3" fillId="8" borderId="0" xfId="0" applyFont="1" applyFill="1" applyAlignment="1"/>
    <xf numFmtId="0" fontId="3" fillId="8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1" fillId="0" borderId="0" xfId="0" applyNumberFormat="1" applyFont="1"/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1" fillId="8" borderId="0" xfId="0" applyFont="1" applyFill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/>
    <xf numFmtId="0" fontId="4" fillId="10" borderId="0" xfId="0" applyFont="1" applyFill="1" applyAlignment="1"/>
    <xf numFmtId="165" fontId="1" fillId="0" borderId="0" xfId="0" applyNumberFormat="1" applyFont="1" applyAlignment="1"/>
    <xf numFmtId="2" fontId="1" fillId="0" borderId="0" xfId="0" applyNumberFormat="1" applyFont="1"/>
    <xf numFmtId="0" fontId="6" fillId="0" borderId="0" xfId="0" applyFont="1" applyAlignment="1"/>
    <xf numFmtId="0" fontId="6" fillId="8" borderId="0" xfId="0" applyFont="1" applyFill="1" applyAlignment="1"/>
    <xf numFmtId="0" fontId="6" fillId="0" borderId="0" xfId="0" applyFont="1"/>
    <xf numFmtId="0" fontId="6" fillId="0" borderId="0" xfId="0" applyFont="1" applyAlignment="1">
      <alignment wrapText="1"/>
    </xf>
    <xf numFmtId="165" fontId="6" fillId="0" borderId="0" xfId="0" applyNumberFormat="1" applyFont="1"/>
    <xf numFmtId="0" fontId="3" fillId="13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8" borderId="0" xfId="0" applyFont="1" applyFill="1" applyAlignment="1"/>
    <xf numFmtId="0" fontId="4" fillId="0" borderId="0" xfId="0" applyFont="1"/>
    <xf numFmtId="0" fontId="4" fillId="0" borderId="0" xfId="0" applyFont="1" applyAlignment="1">
      <alignment wrapText="1"/>
    </xf>
    <xf numFmtId="165" fontId="4" fillId="0" borderId="0" xfId="0" applyNumberFormat="1" applyFont="1"/>
    <xf numFmtId="165" fontId="4" fillId="0" borderId="0" xfId="0" applyNumberFormat="1" applyFont="1" applyAlignment="1"/>
    <xf numFmtId="2" fontId="4" fillId="0" borderId="0" xfId="0" applyNumberFormat="1" applyFont="1"/>
    <xf numFmtId="0" fontId="4" fillId="0" borderId="0" xfId="0" applyFont="1" applyAlignment="1">
      <alignment horizontal="center"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/>
    <xf numFmtId="2" fontId="4" fillId="0" borderId="0" xfId="0" applyNumberFormat="1" applyFont="1" applyAlignment="1"/>
    <xf numFmtId="1" fontId="1" fillId="8" borderId="0" xfId="0" applyNumberFormat="1" applyFont="1" applyFill="1" applyAlignment="1"/>
    <xf numFmtId="2" fontId="6" fillId="0" borderId="0" xfId="0" applyNumberFormat="1" applyFont="1"/>
    <xf numFmtId="0" fontId="1" fillId="14" borderId="0" xfId="0" applyFont="1" applyFill="1" applyAlignment="1"/>
    <xf numFmtId="0" fontId="1" fillId="14" borderId="0" xfId="0" applyFont="1" applyFill="1"/>
    <xf numFmtId="0" fontId="3" fillId="0" borderId="6" xfId="0" applyFont="1" applyBorder="1" applyAlignment="1">
      <alignment wrapText="1"/>
    </xf>
    <xf numFmtId="0" fontId="1" fillId="0" borderId="7" xfId="0" applyFont="1" applyBorder="1" applyAlignment="1"/>
    <xf numFmtId="0" fontId="1" fillId="3" borderId="8" xfId="0" applyFont="1" applyFill="1" applyBorder="1"/>
    <xf numFmtId="0" fontId="1" fillId="0" borderId="8" xfId="0" applyFont="1" applyBorder="1" applyAlignment="1">
      <alignment wrapText="1"/>
    </xf>
    <xf numFmtId="165" fontId="3" fillId="8" borderId="8" xfId="0" applyNumberFormat="1" applyFont="1" applyFill="1" applyBorder="1"/>
    <xf numFmtId="0" fontId="1" fillId="0" borderId="7" xfId="0" applyFont="1" applyBorder="1" applyAlignment="1">
      <alignment wrapText="1"/>
    </xf>
    <xf numFmtId="0" fontId="7" fillId="0" borderId="0" xfId="0" applyFont="1" applyAlignment="1"/>
    <xf numFmtId="164" fontId="1" fillId="0" borderId="1" xfId="0" applyNumberFormat="1" applyFont="1" applyBorder="1"/>
    <xf numFmtId="0" fontId="3" fillId="0" borderId="2" xfId="0" applyFont="1" applyBorder="1" applyAlignment="1"/>
    <xf numFmtId="0" fontId="3" fillId="0" borderId="1" xfId="0" applyFont="1" applyBorder="1" applyAlignment="1">
      <alignment wrapText="1"/>
    </xf>
    <xf numFmtId="165" fontId="3" fillId="8" borderId="0" xfId="0" applyNumberFormat="1" applyFont="1" applyFill="1"/>
    <xf numFmtId="0" fontId="1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2" fontId="1" fillId="0" borderId="3" xfId="0" applyNumberFormat="1" applyFont="1" applyBorder="1"/>
    <xf numFmtId="0" fontId="1" fillId="0" borderId="3" xfId="0" applyFont="1" applyBorder="1" applyAlignment="1"/>
    <xf numFmtId="165" fontId="3" fillId="8" borderId="3" xfId="0" applyNumberFormat="1" applyFont="1" applyFill="1" applyBorder="1"/>
    <xf numFmtId="0" fontId="1" fillId="0" borderId="5" xfId="0" applyFont="1" applyBorder="1" applyAlignment="1">
      <alignment wrapText="1"/>
    </xf>
    <xf numFmtId="164" fontId="1" fillId="0" borderId="4" xfId="0" applyNumberFormat="1" applyFont="1" applyBorder="1"/>
    <xf numFmtId="0" fontId="3" fillId="0" borderId="5" xfId="0" applyFont="1" applyBorder="1" applyAlignment="1"/>
    <xf numFmtId="0" fontId="6" fillId="5" borderId="0" xfId="0" applyFont="1" applyFill="1" applyAlignment="1"/>
    <xf numFmtId="0" fontId="3" fillId="0" borderId="6" xfId="0" applyFont="1" applyBorder="1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vs. Axial Compression (kip)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Force Diagram'!$D$24</c:f>
              <c:strCache>
                <c:ptCount val="1"/>
                <c:pt idx="0">
                  <c:v>Axial Compression (kip)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'Axial Force Diagram'!$A$46:$A$79</c:f>
              <c:numCache>
                <c:formatCode>General</c:formatCode>
                <c:ptCount val="34"/>
                <c:pt idx="0">
                  <c:v>15</c:v>
                </c:pt>
                <c:pt idx="1">
                  <c:v>45</c:v>
                </c:pt>
                <c:pt idx="2">
                  <c:v>45</c:v>
                </c:pt>
                <c:pt idx="3">
                  <c:v>75</c:v>
                </c:pt>
                <c:pt idx="4">
                  <c:v>75</c:v>
                </c:pt>
                <c:pt idx="5">
                  <c:v>105</c:v>
                </c:pt>
                <c:pt idx="6">
                  <c:v>105</c:v>
                </c:pt>
                <c:pt idx="7">
                  <c:v>135</c:v>
                </c:pt>
                <c:pt idx="8">
                  <c:v>135</c:v>
                </c:pt>
                <c:pt idx="9">
                  <c:v>165</c:v>
                </c:pt>
                <c:pt idx="10">
                  <c:v>165</c:v>
                </c:pt>
                <c:pt idx="11">
                  <c:v>195</c:v>
                </c:pt>
                <c:pt idx="12">
                  <c:v>195</c:v>
                </c:pt>
                <c:pt idx="13">
                  <c:v>225</c:v>
                </c:pt>
                <c:pt idx="14">
                  <c:v>225</c:v>
                </c:pt>
                <c:pt idx="15">
                  <c:v>255</c:v>
                </c:pt>
                <c:pt idx="16">
                  <c:v>255</c:v>
                </c:pt>
                <c:pt idx="17">
                  <c:v>285</c:v>
                </c:pt>
                <c:pt idx="18">
                  <c:v>285</c:v>
                </c:pt>
                <c:pt idx="19">
                  <c:v>315</c:v>
                </c:pt>
                <c:pt idx="20">
                  <c:v>315</c:v>
                </c:pt>
                <c:pt idx="21">
                  <c:v>345</c:v>
                </c:pt>
                <c:pt idx="22">
                  <c:v>345</c:v>
                </c:pt>
                <c:pt idx="23">
                  <c:v>375</c:v>
                </c:pt>
                <c:pt idx="24">
                  <c:v>375</c:v>
                </c:pt>
                <c:pt idx="25">
                  <c:v>405</c:v>
                </c:pt>
                <c:pt idx="26">
                  <c:v>405</c:v>
                </c:pt>
                <c:pt idx="27">
                  <c:v>435</c:v>
                </c:pt>
                <c:pt idx="28">
                  <c:v>435</c:v>
                </c:pt>
                <c:pt idx="29">
                  <c:v>465</c:v>
                </c:pt>
                <c:pt idx="30">
                  <c:v>465</c:v>
                </c:pt>
                <c:pt idx="31">
                  <c:v>495</c:v>
                </c:pt>
                <c:pt idx="32">
                  <c:v>495</c:v>
                </c:pt>
                <c:pt idx="33">
                  <c:v>525</c:v>
                </c:pt>
              </c:numCache>
            </c:numRef>
          </c:cat>
          <c:val>
            <c:numRef>
              <c:f>'Axial Force Diagram'!$B$46:$B$79</c:f>
              <c:numCache>
                <c:formatCode>0</c:formatCode>
                <c:ptCount val="34"/>
                <c:pt idx="0">
                  <c:v>1606.5185707689059</c:v>
                </c:pt>
                <c:pt idx="1">
                  <c:v>1606.5185707689059</c:v>
                </c:pt>
                <c:pt idx="2">
                  <c:v>3145.8579457689061</c:v>
                </c:pt>
                <c:pt idx="3">
                  <c:v>3145.8579457689061</c:v>
                </c:pt>
                <c:pt idx="4">
                  <c:v>3915.5276332689064</c:v>
                </c:pt>
                <c:pt idx="5">
                  <c:v>3915.5276332689064</c:v>
                </c:pt>
                <c:pt idx="6">
                  <c:v>4685.1973207689061</c:v>
                </c:pt>
                <c:pt idx="7">
                  <c:v>4685.1973207689061</c:v>
                </c:pt>
                <c:pt idx="8">
                  <c:v>5454.8670082689059</c:v>
                </c:pt>
                <c:pt idx="9">
                  <c:v>5454.8670082689059</c:v>
                </c:pt>
                <c:pt idx="10">
                  <c:v>6224.5366957689057</c:v>
                </c:pt>
                <c:pt idx="11">
                  <c:v>6224.5366957689057</c:v>
                </c:pt>
                <c:pt idx="12">
                  <c:v>6994.2063832689055</c:v>
                </c:pt>
                <c:pt idx="13">
                  <c:v>6994.2063832689055</c:v>
                </c:pt>
                <c:pt idx="14">
                  <c:v>7763.8760707689053</c:v>
                </c:pt>
                <c:pt idx="15">
                  <c:v>7763.8760707689053</c:v>
                </c:pt>
                <c:pt idx="16">
                  <c:v>8533.545758268905</c:v>
                </c:pt>
                <c:pt idx="17">
                  <c:v>8533.545758268905</c:v>
                </c:pt>
                <c:pt idx="18">
                  <c:v>9303.2154457689048</c:v>
                </c:pt>
                <c:pt idx="19">
                  <c:v>9303.2154457689048</c:v>
                </c:pt>
                <c:pt idx="20">
                  <c:v>10072.885133268905</c:v>
                </c:pt>
                <c:pt idx="21">
                  <c:v>10072.885133268905</c:v>
                </c:pt>
                <c:pt idx="22">
                  <c:v>10842.554820768904</c:v>
                </c:pt>
                <c:pt idx="23">
                  <c:v>10842.554820768904</c:v>
                </c:pt>
                <c:pt idx="24">
                  <c:v>11612.224508268904</c:v>
                </c:pt>
                <c:pt idx="25">
                  <c:v>11612.224508268904</c:v>
                </c:pt>
                <c:pt idx="26">
                  <c:v>12381.894195768904</c:v>
                </c:pt>
                <c:pt idx="27">
                  <c:v>12381.894195768904</c:v>
                </c:pt>
                <c:pt idx="28">
                  <c:v>13151.563883268904</c:v>
                </c:pt>
                <c:pt idx="29">
                  <c:v>13151.563883268904</c:v>
                </c:pt>
                <c:pt idx="30">
                  <c:v>13921.233570768904</c:v>
                </c:pt>
                <c:pt idx="31">
                  <c:v>13921.233570768904</c:v>
                </c:pt>
                <c:pt idx="32">
                  <c:v>14690.903258268903</c:v>
                </c:pt>
                <c:pt idx="33">
                  <c:v>14690.903258268903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2-4B77-BC01-9ED05E1B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76744"/>
        <c:axId val="236780024"/>
      </c:lineChart>
      <c:catAx>
        <c:axId val="23677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from left end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80024"/>
        <c:crosses val="autoZero"/>
        <c:auto val="1"/>
        <c:lblAlgn val="ctr"/>
        <c:lblOffset val="100"/>
        <c:noMultiLvlLbl val="0"/>
      </c:catAx>
      <c:valAx>
        <c:axId val="2367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Compression(kip)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7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15</xdr:row>
      <xdr:rowOff>114300</xdr:rowOff>
    </xdr:from>
    <xdr:to>
      <xdr:col>13</xdr:col>
      <xdr:colOff>666750</xdr:colOff>
      <xdr:row>31</xdr:row>
      <xdr:rowOff>152400</xdr:rowOff>
    </xdr:to>
    <xdr:pic>
      <xdr:nvPicPr>
        <xdr:cNvPr id="2" name="image00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324350" cy="3238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403860</xdr:colOff>
      <xdr:row>79</xdr:row>
      <xdr:rowOff>110490</xdr:rowOff>
    </xdr:from>
    <xdr:to>
      <xdr:col>6</xdr:col>
      <xdr:colOff>777240</xdr:colOff>
      <xdr:row>101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C7E36-676B-49B7-A3BE-4065297B1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opLeftCell="A16" workbookViewId="0"/>
  </sheetViews>
  <sheetFormatPr defaultColWidth="14.44140625" defaultRowHeight="15.75" customHeight="1" x14ac:dyDescent="0.25"/>
  <cols>
    <col min="2" max="2" width="37.5546875" customWidth="1"/>
    <col min="5" max="5" width="17.109375" customWidth="1"/>
    <col min="6" max="6" width="17.5546875" customWidth="1"/>
    <col min="7" max="7" width="21.109375" customWidth="1"/>
    <col min="11" max="11" width="13.33203125" customWidth="1"/>
    <col min="12" max="12" width="12.5546875" customWidth="1"/>
    <col min="15" max="15" width="23.33203125" customWidth="1"/>
  </cols>
  <sheetData>
    <row r="1" spans="1:17" ht="15.75" customHeight="1" x14ac:dyDescent="0.25">
      <c r="A1" s="2" t="s">
        <v>0</v>
      </c>
    </row>
    <row r="2" spans="1:17" ht="15.75" customHeight="1" x14ac:dyDescent="0.25">
      <c r="A2" s="3"/>
      <c r="B2" s="3"/>
      <c r="C2" s="3"/>
    </row>
    <row r="3" spans="1:17" ht="15.75" customHeight="1" x14ac:dyDescent="0.25">
      <c r="A3" s="5"/>
      <c r="B3" s="7"/>
      <c r="C3" s="5"/>
    </row>
    <row r="4" spans="1:17" ht="15.75" customHeight="1" x14ac:dyDescent="0.25">
      <c r="A4" s="3"/>
      <c r="B4" s="5"/>
      <c r="C4" s="5"/>
    </row>
    <row r="5" spans="1:17" ht="15.75" customHeight="1" x14ac:dyDescent="0.25">
      <c r="A5" s="9"/>
      <c r="B5" s="2" t="s">
        <v>12</v>
      </c>
      <c r="C5" s="5"/>
    </row>
    <row r="6" spans="1:17" ht="15.75" customHeight="1" x14ac:dyDescent="0.25">
      <c r="A6" s="11"/>
      <c r="B6" s="2" t="s">
        <v>13</v>
      </c>
      <c r="C6" s="5"/>
    </row>
    <row r="7" spans="1:17" ht="15.75" customHeight="1" x14ac:dyDescent="0.25">
      <c r="A7" s="14"/>
      <c r="B7" s="2" t="s">
        <v>24</v>
      </c>
      <c r="C7" s="2"/>
    </row>
    <row r="8" spans="1:17" ht="15.75" customHeight="1" x14ac:dyDescent="0.25">
      <c r="A8" s="15"/>
      <c r="B8" s="2" t="s">
        <v>25</v>
      </c>
      <c r="C8" s="2"/>
      <c r="E8" s="10"/>
      <c r="F8" s="10"/>
      <c r="G8" s="10"/>
    </row>
    <row r="9" spans="1:17" ht="15.75" customHeight="1" x14ac:dyDescent="0.25">
      <c r="E9" s="2"/>
      <c r="F9" s="2"/>
      <c r="G9" s="2"/>
    </row>
    <row r="10" spans="1:17" ht="15.75" customHeight="1" x14ac:dyDescent="0.25">
      <c r="E10" s="2"/>
      <c r="F10" s="2"/>
      <c r="G10" s="2"/>
    </row>
    <row r="11" spans="1:17" ht="15.75" customHeight="1" x14ac:dyDescent="0.25">
      <c r="A11" s="10" t="s">
        <v>26</v>
      </c>
      <c r="B11" s="2" t="s">
        <v>27</v>
      </c>
    </row>
    <row r="12" spans="1:17" ht="15.75" customHeight="1" x14ac:dyDescent="0.25">
      <c r="B12" s="2" t="s">
        <v>28</v>
      </c>
    </row>
    <row r="14" spans="1:17" ht="15.75" customHeight="1" x14ac:dyDescent="0.25">
      <c r="H14" s="2"/>
      <c r="I14" s="24"/>
    </row>
    <row r="15" spans="1:17" ht="15.75" customHeight="1" x14ac:dyDescent="0.25">
      <c r="A15" s="10"/>
      <c r="B15" s="31"/>
      <c r="C15" s="10" t="s">
        <v>44</v>
      </c>
      <c r="H15" s="10" t="s">
        <v>45</v>
      </c>
    </row>
    <row r="16" spans="1:17" ht="15.75" customHeight="1" x14ac:dyDescent="0.25">
      <c r="A16" s="10"/>
      <c r="B16" s="10"/>
      <c r="C16" s="2" t="s">
        <v>46</v>
      </c>
      <c r="E16" s="2" t="s">
        <v>47</v>
      </c>
      <c r="H16" s="2">
        <v>0.65</v>
      </c>
      <c r="I16" s="33" t="s">
        <v>48</v>
      </c>
      <c r="M16">
        <f>L20*85</f>
        <v>2.496</v>
      </c>
      <c r="O16" s="2" t="s">
        <v>50</v>
      </c>
      <c r="P16">
        <f>12*(8/12)^3*30</f>
        <v>106.66666666666666</v>
      </c>
      <c r="Q16">
        <f>525/30</f>
        <v>17.5</v>
      </c>
    </row>
    <row r="17" spans="1:34" ht="15.75" customHeight="1" x14ac:dyDescent="0.25">
      <c r="A17" s="2" t="s">
        <v>70</v>
      </c>
      <c r="F17">
        <f>525/2.5</f>
        <v>210</v>
      </c>
      <c r="W17" s="10" t="s">
        <v>71</v>
      </c>
    </row>
    <row r="18" spans="1:34" ht="15.75" customHeight="1" x14ac:dyDescent="0.25">
      <c r="A18" s="10" t="s">
        <v>72</v>
      </c>
      <c r="B18" s="10" t="s">
        <v>73</v>
      </c>
      <c r="E18" s="10" t="s">
        <v>74</v>
      </c>
      <c r="K18" s="10" t="s">
        <v>75</v>
      </c>
      <c r="O18" s="38" t="s">
        <v>76</v>
      </c>
      <c r="P18">
        <f>5/384/(36000*144)/107*P20*19^4*12</f>
        <v>5.2104858542099345E-4</v>
      </c>
      <c r="Q18">
        <f>30*12/20</f>
        <v>18</v>
      </c>
      <c r="T18" s="10" t="s">
        <v>78</v>
      </c>
      <c r="W18" s="10" t="s">
        <v>79</v>
      </c>
      <c r="Y18" s="10"/>
      <c r="Z18" s="10" t="s">
        <v>80</v>
      </c>
      <c r="AB18" s="2" t="s">
        <v>81</v>
      </c>
    </row>
    <row r="19" spans="1:34" ht="15.75" customHeight="1" x14ac:dyDescent="0.25">
      <c r="D19" s="41" t="s">
        <v>61</v>
      </c>
      <c r="E19" s="10" t="s">
        <v>82</v>
      </c>
      <c r="F19" s="41" t="s">
        <v>83</v>
      </c>
      <c r="G19" s="10" t="s">
        <v>84</v>
      </c>
      <c r="H19" s="10" t="s">
        <v>85</v>
      </c>
      <c r="I19" s="42" t="s">
        <v>86</v>
      </c>
      <c r="J19" s="43" t="s">
        <v>87</v>
      </c>
      <c r="K19" s="43" t="s">
        <v>88</v>
      </c>
      <c r="L19" s="43" t="s">
        <v>89</v>
      </c>
      <c r="M19" s="43" t="s">
        <v>90</v>
      </c>
      <c r="N19" s="43" t="s">
        <v>91</v>
      </c>
      <c r="O19" s="43" t="s">
        <v>92</v>
      </c>
      <c r="P19" s="43" t="s">
        <v>93</v>
      </c>
      <c r="Q19" s="43" t="s">
        <v>94</v>
      </c>
      <c r="R19" s="42" t="s">
        <v>95</v>
      </c>
      <c r="S19" s="43" t="s">
        <v>96</v>
      </c>
      <c r="T19" s="43" t="s">
        <v>97</v>
      </c>
      <c r="U19" s="43" t="s">
        <v>98</v>
      </c>
      <c r="V19" s="43" t="s">
        <v>99</v>
      </c>
      <c r="W19" s="45" t="s">
        <v>100</v>
      </c>
      <c r="X19" s="45" t="s">
        <v>102</v>
      </c>
      <c r="Y19" s="46" t="s">
        <v>103</v>
      </c>
      <c r="Z19" s="45" t="s">
        <v>104</v>
      </c>
      <c r="AA19" s="47" t="s">
        <v>103</v>
      </c>
      <c r="AB19" s="2" t="s">
        <v>105</v>
      </c>
    </row>
    <row r="20" spans="1:34" ht="15.75" customHeight="1" x14ac:dyDescent="0.25">
      <c r="A20" s="2" t="s">
        <v>67</v>
      </c>
      <c r="B20" s="2" t="s">
        <v>68</v>
      </c>
      <c r="C20" s="2" t="s">
        <v>106</v>
      </c>
      <c r="D20" s="48" t="s">
        <v>69</v>
      </c>
      <c r="E20" s="2">
        <v>85</v>
      </c>
      <c r="F20" s="48">
        <v>525</v>
      </c>
      <c r="G20">
        <f>E20*F20</f>
        <v>44625</v>
      </c>
      <c r="H20">
        <f>8/12</f>
        <v>0.66666666666666663</v>
      </c>
      <c r="I20" s="48">
        <v>150</v>
      </c>
      <c r="J20">
        <f>G20*H20*I20/1000</f>
        <v>4462.5</v>
      </c>
      <c r="K20" s="51">
        <f>J20/G20</f>
        <v>0.1</v>
      </c>
      <c r="L20" s="53">
        <f>0.64*6/85*0.65</f>
        <v>2.9364705882352939E-2</v>
      </c>
      <c r="M20" s="51">
        <f>MAX(1.2*K20+1.6*L20,1.4*K20)</f>
        <v>0.1669835294117647</v>
      </c>
      <c r="N20" s="2" t="s">
        <v>69</v>
      </c>
      <c r="O20" s="2"/>
      <c r="P20" s="2">
        <f>M20*E20</f>
        <v>14.1936</v>
      </c>
      <c r="Q20" s="2">
        <f>525/F20</f>
        <v>1</v>
      </c>
      <c r="R20" s="48">
        <f>85/E20</f>
        <v>1</v>
      </c>
      <c r="S20">
        <f>J20*Q20*R20</f>
        <v>4462.5</v>
      </c>
      <c r="W20" s="9"/>
      <c r="X20" s="9"/>
      <c r="Y20" s="11"/>
      <c r="Z20" s="9"/>
      <c r="AA20" s="11"/>
    </row>
    <row r="21" spans="1:34" ht="15.75" customHeight="1" x14ac:dyDescent="0.25">
      <c r="A21" s="2" t="s">
        <v>67</v>
      </c>
      <c r="B21" s="2" t="s">
        <v>112</v>
      </c>
      <c r="D21" s="14"/>
      <c r="F21" s="14"/>
      <c r="I21" s="14"/>
      <c r="K21" s="51"/>
      <c r="L21" s="53"/>
      <c r="M21" s="51"/>
      <c r="N21" s="2"/>
      <c r="O21" s="2"/>
      <c r="P21" s="2"/>
      <c r="Q21" s="2"/>
      <c r="R21" s="48"/>
      <c r="W21" s="9"/>
      <c r="X21" s="9"/>
      <c r="Y21" s="11"/>
      <c r="Z21" s="9"/>
      <c r="AA21" s="11"/>
    </row>
    <row r="22" spans="1:34" ht="15.75" customHeight="1" x14ac:dyDescent="0.25">
      <c r="A22" s="55" t="s">
        <v>67</v>
      </c>
      <c r="B22" s="55" t="s">
        <v>113</v>
      </c>
      <c r="C22" s="2" t="s">
        <v>114</v>
      </c>
      <c r="D22" s="56">
        <v>14</v>
      </c>
      <c r="E22" s="55">
        <f>D22</f>
        <v>14</v>
      </c>
      <c r="F22" s="56">
        <v>25</v>
      </c>
      <c r="G22" s="57">
        <f t="shared" ref="G22:G26" si="0">E22*F22</f>
        <v>350</v>
      </c>
      <c r="H22" s="58" t="s">
        <v>117</v>
      </c>
      <c r="I22" s="56">
        <v>391</v>
      </c>
      <c r="J22" s="57">
        <f t="shared" ref="J22:J26" si="1">I22*F22/1000</f>
        <v>9.7750000000000004</v>
      </c>
      <c r="K22" s="59">
        <f>J22/G22+K20</f>
        <v>0.12792857142857145</v>
      </c>
      <c r="L22" s="53">
        <f t="shared" ref="L22:L26" si="2">0.64*6/85*0.65</f>
        <v>2.9364705882352939E-2</v>
      </c>
      <c r="M22" s="59">
        <f t="shared" ref="M22:M26" si="3">MAX(1.2*K22+1.6*L22,1.4*K22)</f>
        <v>0.20049781512605044</v>
      </c>
      <c r="N22" s="55">
        <f>25*5*0.65</f>
        <v>81.25</v>
      </c>
      <c r="O22" s="58" t="s">
        <v>124</v>
      </c>
      <c r="P22" s="55">
        <f t="shared" ref="P22:P26" si="4">M22*E22</f>
        <v>2.8069694117647064</v>
      </c>
      <c r="Q22" s="55">
        <v>21</v>
      </c>
      <c r="R22" s="56">
        <v>5</v>
      </c>
      <c r="S22" s="57">
        <f t="shared" ref="S22:S23" si="5">J22*Q22*R22</f>
        <v>1026.375</v>
      </c>
      <c r="T22" s="54">
        <f>1/8*P22*F22^2+N22*F22/2</f>
        <v>1234.9194852941177</v>
      </c>
      <c r="U22" s="54">
        <f>1/2*P22*F22+N22</f>
        <v>116.33711764705883</v>
      </c>
      <c r="V22" s="57"/>
      <c r="W22" s="63">
        <v>5026.3</v>
      </c>
      <c r="X22" s="63">
        <v>6041.7</v>
      </c>
      <c r="Y22" s="64" t="str">
        <f t="shared" ref="Y22:Y26" si="6">IF(MIN(W22,X22)&gt;T22,"Yes", "No")</f>
        <v>Yes</v>
      </c>
      <c r="Z22" s="63">
        <v>1280.3</v>
      </c>
      <c r="AA22" s="11" t="str">
        <f t="shared" ref="AA22:AA26" si="7">IF(Z22&gt;U22,"Yes","No")</f>
        <v>Yes</v>
      </c>
      <c r="AB22" s="57"/>
      <c r="AC22" s="57"/>
      <c r="AD22" s="57"/>
    </row>
    <row r="23" spans="1:34" ht="15.75" customHeight="1" x14ac:dyDescent="0.25">
      <c r="A23" s="2" t="s">
        <v>137</v>
      </c>
      <c r="B23" s="2" t="s">
        <v>138</v>
      </c>
      <c r="C23" s="58" t="s">
        <v>139</v>
      </c>
      <c r="D23" s="48">
        <v>30</v>
      </c>
      <c r="E23" s="2">
        <v>30</v>
      </c>
      <c r="F23" s="48">
        <f>85-9</f>
        <v>76</v>
      </c>
      <c r="G23">
        <f t="shared" si="0"/>
        <v>2280</v>
      </c>
      <c r="H23" s="65" t="s">
        <v>117</v>
      </c>
      <c r="I23" s="48">
        <v>857.5</v>
      </c>
      <c r="J23">
        <f t="shared" si="1"/>
        <v>65.17</v>
      </c>
      <c r="K23" s="51">
        <f>J23/G23+K20</f>
        <v>0.12858333333333333</v>
      </c>
      <c r="L23" s="53">
        <f t="shared" si="2"/>
        <v>2.9364705882352939E-2</v>
      </c>
      <c r="M23" s="51">
        <f t="shared" si="3"/>
        <v>0.20128352941176469</v>
      </c>
      <c r="N23" s="2" t="s">
        <v>146</v>
      </c>
      <c r="O23" s="65" t="s">
        <v>147</v>
      </c>
      <c r="P23" s="2">
        <f t="shared" si="4"/>
        <v>6.0385058823529407</v>
      </c>
      <c r="Q23" s="2">
        <f>1</f>
        <v>1</v>
      </c>
      <c r="R23" s="48">
        <f>525/E23</f>
        <v>17.5</v>
      </c>
      <c r="S23" s="57">
        <f t="shared" si="5"/>
        <v>1140.4750000000001</v>
      </c>
      <c r="T23" s="54">
        <f>1/8*P23*F23^2+(25*10*0.65)/2*19+((25*0.65*10)/2-75*0.65)*38</f>
        <v>7138.5512470588228</v>
      </c>
      <c r="U23" s="54">
        <f>1/2*P23*F23+1/76*(4*25*19*3+3*25*19*2+3*25*19)*0.65</f>
        <v>314.77572352941172</v>
      </c>
      <c r="V23" s="66" t="s">
        <v>69</v>
      </c>
      <c r="W23" s="63">
        <v>8700</v>
      </c>
      <c r="X23" s="63">
        <v>20000</v>
      </c>
      <c r="Y23" s="64" t="str">
        <f t="shared" si="6"/>
        <v>Yes</v>
      </c>
      <c r="Z23" s="63">
        <v>1280.3</v>
      </c>
      <c r="AA23" s="11" t="str">
        <f t="shared" si="7"/>
        <v>Yes</v>
      </c>
    </row>
    <row r="24" spans="1:34" ht="39.6" x14ac:dyDescent="0.25">
      <c r="A24" s="24" t="s">
        <v>166</v>
      </c>
      <c r="B24" s="24" t="s">
        <v>167</v>
      </c>
      <c r="C24" s="24" t="s">
        <v>168</v>
      </c>
      <c r="D24" s="67">
        <v>19</v>
      </c>
      <c r="E24" s="68">
        <f t="shared" ref="E24:E26" si="8">D24</f>
        <v>19</v>
      </c>
      <c r="F24" s="67">
        <v>25</v>
      </c>
      <c r="G24" s="68">
        <f t="shared" si="0"/>
        <v>475</v>
      </c>
      <c r="H24" s="69" t="s">
        <v>117</v>
      </c>
      <c r="I24" s="67">
        <v>261</v>
      </c>
      <c r="J24" s="68">
        <f t="shared" si="1"/>
        <v>6.5250000000000004</v>
      </c>
      <c r="K24" s="70">
        <f>J24/G24+K20</f>
        <v>0.11373684210526316</v>
      </c>
      <c r="L24" s="71">
        <f t="shared" si="2"/>
        <v>2.9364705882352939E-2</v>
      </c>
      <c r="M24" s="70">
        <f t="shared" si="3"/>
        <v>0.18346773993808049</v>
      </c>
      <c r="N24" s="24"/>
      <c r="O24" s="24"/>
      <c r="P24" s="24">
        <f t="shared" si="4"/>
        <v>3.4858870588235296</v>
      </c>
      <c r="Q24" s="24">
        <f>525/F24</f>
        <v>21</v>
      </c>
      <c r="R24" s="67">
        <v>2</v>
      </c>
      <c r="S24" s="24">
        <v>0</v>
      </c>
      <c r="T24" s="72">
        <f>1/8*P24*F24^2</f>
        <v>272.33492647058824</v>
      </c>
      <c r="U24" s="72">
        <f>1/2*P24*F24</f>
        <v>43.573588235294118</v>
      </c>
      <c r="V24" s="73" t="s">
        <v>69</v>
      </c>
      <c r="W24" s="74">
        <v>3184</v>
      </c>
      <c r="X24" s="74">
        <v>3929</v>
      </c>
      <c r="Y24" s="75" t="str">
        <f t="shared" si="6"/>
        <v>Yes</v>
      </c>
      <c r="Z24" s="74">
        <v>831</v>
      </c>
      <c r="AA24" s="76" t="str">
        <f t="shared" si="7"/>
        <v>Yes</v>
      </c>
      <c r="AB24" s="68"/>
      <c r="AC24" s="68"/>
      <c r="AD24" s="68"/>
      <c r="AE24" s="68"/>
      <c r="AF24" s="68"/>
      <c r="AG24" s="68"/>
      <c r="AH24" s="68"/>
    </row>
    <row r="25" spans="1:34" ht="39.6" x14ac:dyDescent="0.25">
      <c r="A25" s="24" t="s">
        <v>67</v>
      </c>
      <c r="B25" s="24" t="s">
        <v>179</v>
      </c>
      <c r="C25" s="69" t="s">
        <v>180</v>
      </c>
      <c r="D25" s="67">
        <v>12.5</v>
      </c>
      <c r="E25" s="68">
        <f t="shared" si="8"/>
        <v>12.5</v>
      </c>
      <c r="F25" s="67">
        <v>85</v>
      </c>
      <c r="G25" s="68">
        <f t="shared" si="0"/>
        <v>1062.5</v>
      </c>
      <c r="H25" s="69" t="s">
        <v>117</v>
      </c>
      <c r="I25" s="67">
        <f>490*(40/12*40/12-(40-2*2.5)/12*(40-2*2.5)/12)</f>
        <v>1276.0416666666672</v>
      </c>
      <c r="J25" s="68">
        <f t="shared" si="1"/>
        <v>108.46354166666671</v>
      </c>
      <c r="K25" s="70">
        <f>J25/G25+J23/G23+2*J24/G24+K20</f>
        <v>0.258140350877193</v>
      </c>
      <c r="L25" s="71">
        <f t="shared" si="2"/>
        <v>2.9364705882352939E-2</v>
      </c>
      <c r="M25" s="70">
        <f t="shared" si="3"/>
        <v>0.36139649122807016</v>
      </c>
      <c r="N25" s="24"/>
      <c r="O25" s="24"/>
      <c r="P25" s="24">
        <f t="shared" si="4"/>
        <v>4.5174561403508768</v>
      </c>
      <c r="Q25" s="24">
        <f>85/F25</f>
        <v>1</v>
      </c>
      <c r="R25" s="67">
        <f>525/D25</f>
        <v>42</v>
      </c>
      <c r="S25" s="77">
        <v>0</v>
      </c>
      <c r="T25" s="72">
        <f>(85/2-D24)*(0.5)*(P23*D25+2*P24*D25)+0.5*P23*D25*D23</f>
        <v>3043.104727941176</v>
      </c>
      <c r="U25" s="72">
        <f>1/2*(P23+2*P24)*D25</f>
        <v>81.314250000000001</v>
      </c>
      <c r="V25" s="73" t="s">
        <v>69</v>
      </c>
      <c r="W25" s="74" t="s">
        <v>69</v>
      </c>
      <c r="X25" s="74">
        <f>19804</f>
        <v>19804</v>
      </c>
      <c r="Y25" s="75" t="str">
        <f t="shared" si="6"/>
        <v>Yes</v>
      </c>
      <c r="Z25" s="74" t="s">
        <v>69</v>
      </c>
      <c r="AA25" s="76" t="str">
        <f t="shared" si="7"/>
        <v>Yes</v>
      </c>
      <c r="AB25" s="68"/>
      <c r="AC25" s="68"/>
      <c r="AD25" s="68"/>
      <c r="AE25" s="68"/>
      <c r="AF25" s="68"/>
      <c r="AG25" s="68"/>
      <c r="AH25" s="68"/>
    </row>
    <row r="26" spans="1:34" ht="52.8" x14ac:dyDescent="0.25">
      <c r="A26" s="2" t="s">
        <v>194</v>
      </c>
      <c r="B26" s="2" t="s">
        <v>195</v>
      </c>
      <c r="C26" s="65" t="s">
        <v>196</v>
      </c>
      <c r="D26" s="14">
        <f>D24/2</f>
        <v>9.5</v>
      </c>
      <c r="E26">
        <f t="shared" si="8"/>
        <v>9.5</v>
      </c>
      <c r="F26" s="48">
        <v>30</v>
      </c>
      <c r="G26">
        <f t="shared" si="0"/>
        <v>285</v>
      </c>
      <c r="I26" s="78">
        <f>490*(5*4.5-(5-0.75/6)*(4.5-0.75/6))</f>
        <v>574.21875</v>
      </c>
      <c r="J26">
        <f t="shared" si="1"/>
        <v>17.2265625</v>
      </c>
      <c r="K26" s="51">
        <f>J26/G26+K20</f>
        <v>0.16044407894736842</v>
      </c>
      <c r="L26" s="53">
        <f t="shared" si="2"/>
        <v>2.9364705882352939E-2</v>
      </c>
      <c r="M26" s="51">
        <f t="shared" si="3"/>
        <v>0.2395164241486068</v>
      </c>
      <c r="N26" s="2" t="s">
        <v>197</v>
      </c>
      <c r="O26" s="65" t="s">
        <v>198</v>
      </c>
      <c r="P26" s="2">
        <f t="shared" si="4"/>
        <v>2.2754060294117644</v>
      </c>
      <c r="Q26" s="2">
        <f>525/F26</f>
        <v>17.5</v>
      </c>
      <c r="R26" s="48">
        <v>2</v>
      </c>
      <c r="S26" s="79">
        <f>J26*Q26*R26</f>
        <v>602.9296875</v>
      </c>
      <c r="T26" s="54">
        <f>0.5*(2*X30-P26*30/(30/D25))*D25</f>
        <v>1872.0913564644609</v>
      </c>
      <c r="U26" s="54">
        <f>1/2*P26*F26+(U23+50)</f>
        <v>398.90681397058819</v>
      </c>
      <c r="V26">
        <f>S30*3/2</f>
        <v>16163.063437499997</v>
      </c>
      <c r="W26" s="9"/>
      <c r="X26" s="63">
        <v>11907</v>
      </c>
      <c r="Y26" s="64" t="str">
        <f t="shared" si="6"/>
        <v>Yes</v>
      </c>
      <c r="Z26" s="63" t="s">
        <v>69</v>
      </c>
      <c r="AA26" s="11" t="str">
        <f t="shared" si="7"/>
        <v>Yes</v>
      </c>
      <c r="AB26" s="2">
        <v>263300</v>
      </c>
      <c r="AC26" t="str">
        <f>IF(AB26&gt;V26,"Yes","No")</f>
        <v>Yes</v>
      </c>
    </row>
    <row r="27" spans="1:34" ht="26.4" x14ac:dyDescent="0.25">
      <c r="L27" s="53"/>
      <c r="S27" s="80" t="s">
        <v>199</v>
      </c>
      <c r="T27" s="81">
        <f>1/8*P26*F26^2</f>
        <v>255.98317830882348</v>
      </c>
      <c r="Z27" s="82" t="s">
        <v>200</v>
      </c>
      <c r="AA27" s="83"/>
    </row>
    <row r="28" spans="1:34" ht="26.4" x14ac:dyDescent="0.25">
      <c r="B28" s="24"/>
      <c r="M28">
        <f>M26*85</f>
        <v>20.358896052631579</v>
      </c>
      <c r="N28">
        <f>M28*30</f>
        <v>610.76688157894739</v>
      </c>
      <c r="Q28" s="102" t="s">
        <v>201</v>
      </c>
      <c r="R28" s="82" t="s">
        <v>202</v>
      </c>
      <c r="S28" s="84">
        <f>SUM(S20:S26)</f>
        <v>7232.2796875000004</v>
      </c>
      <c r="T28" s="85" t="s">
        <v>203</v>
      </c>
      <c r="U28" s="86">
        <f>S28/525/85</f>
        <v>0.16206789215686276</v>
      </c>
      <c r="V28" s="87" t="s">
        <v>204</v>
      </c>
      <c r="W28" s="88" t="s">
        <v>205</v>
      </c>
      <c r="X28" s="68">
        <f>P23*D25</f>
        <v>75.481323529411753</v>
      </c>
      <c r="Y28" s="2" t="s">
        <v>206</v>
      </c>
      <c r="Z28" s="89">
        <f>Z30*S28/(S28+S29)</f>
        <v>26.668073542497552</v>
      </c>
      <c r="AA28" s="90" t="s">
        <v>142</v>
      </c>
    </row>
    <row r="29" spans="1:34" ht="26.4" x14ac:dyDescent="0.25">
      <c r="B29" s="24"/>
      <c r="Q29" s="103"/>
      <c r="R29" s="91" t="s">
        <v>64</v>
      </c>
      <c r="S29">
        <f>L20*525*85</f>
        <v>1310.3999999999999</v>
      </c>
      <c r="T29" s="2" t="s">
        <v>207</v>
      </c>
      <c r="U29" s="92">
        <f>L20</f>
        <v>2.9364705882352939E-2</v>
      </c>
      <c r="V29" s="93" t="s">
        <v>208</v>
      </c>
      <c r="W29" s="88" t="s">
        <v>209</v>
      </c>
      <c r="X29" s="68">
        <f>P24*D25</f>
        <v>43.573588235294118</v>
      </c>
      <c r="Y29" s="2" t="s">
        <v>206</v>
      </c>
      <c r="Z29" s="89">
        <f>Z30*S29/(S29+S28)</f>
        <v>4.8319264575024485</v>
      </c>
      <c r="AA29" s="90" t="s">
        <v>144</v>
      </c>
    </row>
    <row r="30" spans="1:34" ht="52.8" x14ac:dyDescent="0.25">
      <c r="B30" s="24"/>
      <c r="N30">
        <f>S30/17</f>
        <v>633.84562499999993</v>
      </c>
      <c r="Q30" s="104"/>
      <c r="R30" s="94" t="s">
        <v>210</v>
      </c>
      <c r="S30" s="95">
        <f>MAX(1.2*S28+1.6*S29,1.4*S28)</f>
        <v>10775.375624999999</v>
      </c>
      <c r="T30" s="96" t="s">
        <v>211</v>
      </c>
      <c r="U30" s="97">
        <f>S30/525/85</f>
        <v>0.24146499999999996</v>
      </c>
      <c r="V30" s="98" t="s">
        <v>212</v>
      </c>
      <c r="W30" s="88" t="s">
        <v>213</v>
      </c>
      <c r="X30" s="68">
        <f>0.5*(2*X29+X28+25*P26+J25)</f>
        <v>163.9885962009804</v>
      </c>
      <c r="Y30" s="2" t="s">
        <v>206</v>
      </c>
      <c r="Z30" s="99">
        <f>525/200*12</f>
        <v>31.5</v>
      </c>
      <c r="AA30" s="100" t="s">
        <v>116</v>
      </c>
    </row>
    <row r="31" spans="1:34" ht="13.2" x14ac:dyDescent="0.25">
      <c r="B31" s="24"/>
      <c r="S31">
        <f>S30/17</f>
        <v>633.84562499999993</v>
      </c>
    </row>
    <row r="32" spans="1:34" ht="13.2" x14ac:dyDescent="0.25">
      <c r="S32">
        <f>S30/85</f>
        <v>126.76912499999999</v>
      </c>
      <c r="U32">
        <f>U30*85*30/2*SQRT(1+2.5^2)</f>
        <v>828.9596228486422</v>
      </c>
    </row>
    <row r="33" spans="2:27" ht="13.2" x14ac:dyDescent="0.25">
      <c r="B33" s="2" t="s">
        <v>214</v>
      </c>
      <c r="S33">
        <f>20.1*25*SQRT(1+2.5^2)</f>
        <v>1353.0226577925441</v>
      </c>
      <c r="Y33" s="10" t="s">
        <v>215</v>
      </c>
    </row>
    <row r="34" spans="2:27" ht="13.2" x14ac:dyDescent="0.25">
      <c r="U34" s="64" t="s">
        <v>216</v>
      </c>
      <c r="V34" s="64">
        <v>136.59</v>
      </c>
      <c r="W34" s="101" t="s">
        <v>217</v>
      </c>
      <c r="X34" s="24"/>
      <c r="Y34">
        <f>150*0.65</f>
        <v>97.5</v>
      </c>
      <c r="Z34">
        <f>Y34/30*2.5</f>
        <v>8.125</v>
      </c>
      <c r="AA34" s="10" t="s">
        <v>218</v>
      </c>
    </row>
    <row r="35" spans="2:27" ht="13.2" x14ac:dyDescent="0.25">
      <c r="B35" s="2" t="s">
        <v>219</v>
      </c>
      <c r="C35" s="2" t="s">
        <v>220</v>
      </c>
      <c r="D35" s="2"/>
      <c r="E35" s="2" t="s">
        <v>221</v>
      </c>
      <c r="U35" s="64" t="s">
        <v>222</v>
      </c>
      <c r="V35" s="64">
        <v>2086.65</v>
      </c>
      <c r="W35" s="101" t="s">
        <v>217</v>
      </c>
    </row>
    <row r="36" spans="2:27" ht="13.2" x14ac:dyDescent="0.25">
      <c r="B36" s="2" t="s">
        <v>223</v>
      </c>
      <c r="C36" s="2">
        <v>0.02</v>
      </c>
      <c r="W36" s="2" t="s">
        <v>224</v>
      </c>
    </row>
    <row r="37" spans="2:27" ht="13.2" x14ac:dyDescent="0.25">
      <c r="B37" s="2" t="s">
        <v>225</v>
      </c>
      <c r="C37" s="2" t="s">
        <v>226</v>
      </c>
      <c r="T37" s="2" t="s">
        <v>227</v>
      </c>
      <c r="U37">
        <f>U30*85/2</f>
        <v>10.262262499999999</v>
      </c>
      <c r="V37">
        <f>U37*2.5</f>
        <v>25.655656249999996</v>
      </c>
      <c r="W37">
        <f>V37*228/8</f>
        <v>731.18620312499991</v>
      </c>
    </row>
    <row r="38" spans="2:27" ht="13.2" x14ac:dyDescent="0.25">
      <c r="Q38" s="2" t="s">
        <v>228</v>
      </c>
    </row>
    <row r="39" spans="2:27" ht="13.2" x14ac:dyDescent="0.25">
      <c r="O39" s="2" t="s">
        <v>229</v>
      </c>
      <c r="P39">
        <f>S30/525*30/2</f>
        <v>307.86787499999997</v>
      </c>
      <c r="Q39">
        <f>P39+0.65*3*25</f>
        <v>356.61787499999997</v>
      </c>
      <c r="T39" s="2" t="s">
        <v>230</v>
      </c>
      <c r="U39" s="2">
        <v>7972</v>
      </c>
    </row>
  </sheetData>
  <mergeCells count="1">
    <mergeCell ref="Q28:Q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/>
  </sheetViews>
  <sheetFormatPr defaultColWidth="14.44140625" defaultRowHeight="15.75" customHeight="1" x14ac:dyDescent="0.25"/>
  <cols>
    <col min="1" max="1" width="18" customWidth="1"/>
    <col min="2" max="2" width="52.5546875" customWidth="1"/>
    <col min="3" max="3" width="20.109375" customWidth="1"/>
    <col min="4" max="5" width="22.88671875" customWidth="1"/>
    <col min="6" max="6" width="26.5546875" customWidth="1"/>
    <col min="7" max="7" width="18.6640625" customWidth="1"/>
    <col min="9" max="9" width="21.109375" customWidth="1"/>
    <col min="10" max="10" width="21.5546875" customWidth="1"/>
    <col min="11" max="11" width="27.44140625" customWidth="1"/>
    <col min="12" max="12" width="20" customWidth="1"/>
    <col min="13" max="13" width="19.88671875" customWidth="1"/>
  </cols>
  <sheetData>
    <row r="1" spans="1:10" ht="15.75" customHeight="1" x14ac:dyDescent="0.25">
      <c r="A1" s="1"/>
      <c r="B1" s="6" t="s">
        <v>1</v>
      </c>
      <c r="C1" s="6"/>
      <c r="G1" s="2" t="s">
        <v>4</v>
      </c>
      <c r="H1" s="2" t="s">
        <v>5</v>
      </c>
      <c r="I1" s="2"/>
      <c r="J1" s="2" t="s">
        <v>6</v>
      </c>
    </row>
    <row r="2" spans="1:10" ht="15.75" customHeight="1" x14ac:dyDescent="0.25">
      <c r="A2" s="6" t="s">
        <v>7</v>
      </c>
      <c r="B2" s="6" t="s">
        <v>8</v>
      </c>
      <c r="C2" s="6" t="s">
        <v>9</v>
      </c>
      <c r="G2" s="8">
        <v>0.15</v>
      </c>
      <c r="H2" s="2" t="s">
        <v>10</v>
      </c>
    </row>
    <row r="3" spans="1:10" ht="15.75" customHeight="1" x14ac:dyDescent="0.25">
      <c r="A3" s="6">
        <v>6</v>
      </c>
      <c r="B3" s="6">
        <v>85</v>
      </c>
      <c r="C3" s="6">
        <v>525</v>
      </c>
    </row>
    <row r="4" spans="1:10" ht="15.75" customHeight="1" x14ac:dyDescent="0.25">
      <c r="A4" s="1"/>
      <c r="B4" s="6"/>
      <c r="C4" s="6"/>
    </row>
    <row r="5" spans="1:10" ht="15.75" customHeight="1" x14ac:dyDescent="0.25">
      <c r="A5" s="10" t="s">
        <v>11</v>
      </c>
      <c r="B5" s="2"/>
    </row>
    <row r="6" spans="1:10" ht="15.75" customHeight="1" x14ac:dyDescent="0.25">
      <c r="A6" s="12"/>
      <c r="B6" s="12" t="s">
        <v>14</v>
      </c>
      <c r="C6" s="12" t="s">
        <v>15</v>
      </c>
      <c r="G6" s="13" t="s">
        <v>16</v>
      </c>
      <c r="H6" s="13" t="s">
        <v>17</v>
      </c>
    </row>
    <row r="7" spans="1:10" ht="15.75" customHeight="1" x14ac:dyDescent="0.25">
      <c r="A7" s="12"/>
      <c r="B7" s="12" t="s">
        <v>18</v>
      </c>
      <c r="C7" s="12">
        <v>0.75</v>
      </c>
      <c r="G7" s="13" t="s">
        <v>19</v>
      </c>
      <c r="H7" s="13">
        <v>0.26100000000000001</v>
      </c>
    </row>
    <row r="8" spans="1:10" ht="15.75" customHeight="1" x14ac:dyDescent="0.25">
      <c r="A8" s="12"/>
      <c r="B8" s="12" t="s">
        <v>20</v>
      </c>
      <c r="C8" s="12">
        <v>0.15</v>
      </c>
      <c r="G8" s="13" t="s">
        <v>21</v>
      </c>
      <c r="H8" s="13">
        <v>0.39100000000000001</v>
      </c>
    </row>
    <row r="9" spans="1:10" ht="15.75" customHeight="1" x14ac:dyDescent="0.25">
      <c r="A9" s="12"/>
      <c r="B9" s="12" t="s">
        <v>22</v>
      </c>
      <c r="C9" s="12">
        <v>0.33</v>
      </c>
      <c r="G9" s="13" t="s">
        <v>23</v>
      </c>
      <c r="H9" s="16">
        <f>200/1000</f>
        <v>0.2</v>
      </c>
    </row>
    <row r="10" spans="1:10" ht="15.75" customHeight="1" x14ac:dyDescent="0.25">
      <c r="A10" s="18"/>
      <c r="B10" s="20" t="s">
        <v>31</v>
      </c>
      <c r="C10" s="20">
        <v>0.65</v>
      </c>
      <c r="G10" s="13" t="s">
        <v>34</v>
      </c>
      <c r="H10" s="13">
        <f>56.9/1000</f>
        <v>5.6899999999999999E-2</v>
      </c>
    </row>
    <row r="11" spans="1:10" ht="15.75" customHeight="1" x14ac:dyDescent="0.25">
      <c r="A11" s="23" t="s">
        <v>38</v>
      </c>
      <c r="C11" s="23"/>
      <c r="I11" s="2"/>
    </row>
    <row r="12" spans="1:10" ht="15.75" customHeight="1" x14ac:dyDescent="0.25">
      <c r="A12" s="25"/>
      <c r="B12" s="26" t="s">
        <v>41</v>
      </c>
      <c r="C12" s="27" t="s">
        <v>42</v>
      </c>
      <c r="I12" s="2"/>
    </row>
    <row r="13" spans="1:10" ht="15.75" customHeight="1" x14ac:dyDescent="0.25">
      <c r="A13" s="25"/>
      <c r="B13" s="29" t="s">
        <v>43</v>
      </c>
      <c r="C13" s="30">
        <v>150</v>
      </c>
      <c r="I13" s="2"/>
      <c r="J13">
        <f>525/16</f>
        <v>32.8125</v>
      </c>
    </row>
    <row r="14" spans="1:10" ht="15.75" customHeight="1" x14ac:dyDescent="0.25">
      <c r="A14" s="25"/>
      <c r="B14" s="34" t="s">
        <v>6</v>
      </c>
      <c r="C14" s="35">
        <v>490</v>
      </c>
    </row>
    <row r="17" spans="1:15" ht="15.75" customHeight="1" x14ac:dyDescent="0.25">
      <c r="A17" s="36" t="s">
        <v>49</v>
      </c>
      <c r="B17" s="18"/>
      <c r="C17" s="36" t="s">
        <v>51</v>
      </c>
      <c r="D17" s="18"/>
      <c r="E17" s="18"/>
      <c r="F17" s="18"/>
      <c r="G17" s="18"/>
      <c r="H17" s="18"/>
      <c r="I17" s="18"/>
      <c r="J17" s="20"/>
    </row>
    <row r="18" spans="1:15" ht="15.75" customHeight="1" x14ac:dyDescent="0.25">
      <c r="A18" s="36" t="s">
        <v>52</v>
      </c>
      <c r="B18" s="36" t="s">
        <v>53</v>
      </c>
      <c r="C18" s="36" t="s">
        <v>54</v>
      </c>
      <c r="D18" s="36" t="s">
        <v>55</v>
      </c>
      <c r="E18" s="36" t="s">
        <v>56</v>
      </c>
      <c r="F18" s="36" t="s">
        <v>57</v>
      </c>
      <c r="G18" s="36" t="s">
        <v>58</v>
      </c>
      <c r="H18" s="36" t="s">
        <v>59</v>
      </c>
      <c r="I18" s="36" t="s">
        <v>60</v>
      </c>
      <c r="J18" s="37" t="s">
        <v>61</v>
      </c>
      <c r="K18" s="10" t="s">
        <v>62</v>
      </c>
      <c r="L18" s="10" t="s">
        <v>63</v>
      </c>
      <c r="M18" s="10" t="s">
        <v>64</v>
      </c>
      <c r="N18" s="10" t="s">
        <v>65</v>
      </c>
      <c r="O18" s="10" t="s">
        <v>66</v>
      </c>
    </row>
    <row r="19" spans="1:15" ht="15.75" customHeight="1" x14ac:dyDescent="0.25">
      <c r="A19" s="36" t="s">
        <v>43</v>
      </c>
      <c r="B19" s="20" t="s">
        <v>67</v>
      </c>
      <c r="C19" s="20" t="s">
        <v>68</v>
      </c>
      <c r="D19" s="20" t="s">
        <v>69</v>
      </c>
      <c r="E19" s="20" t="s">
        <v>69</v>
      </c>
      <c r="F19" s="20">
        <v>85</v>
      </c>
      <c r="G19" s="20">
        <v>525</v>
      </c>
      <c r="H19" s="18">
        <f>8/12*F19*G19</f>
        <v>29750</v>
      </c>
      <c r="I19" s="20">
        <f>H19*C13/1000</f>
        <v>4462.5</v>
      </c>
      <c r="J19" s="40" t="s">
        <v>69</v>
      </c>
      <c r="K19" s="2" t="s">
        <v>77</v>
      </c>
      <c r="L19">
        <f>I19</f>
        <v>4462.5</v>
      </c>
      <c r="M19">
        <f>0.67*6*G19</f>
        <v>2110.5000000000005</v>
      </c>
      <c r="N19">
        <f>L19+M19</f>
        <v>6573</v>
      </c>
      <c r="O19" s="44">
        <f t="shared" ref="O19:O20" si="0">N19/G19</f>
        <v>12.52</v>
      </c>
    </row>
    <row r="20" spans="1:15" ht="15.75" customHeight="1" x14ac:dyDescent="0.25">
      <c r="A20" s="18"/>
      <c r="B20" s="18"/>
      <c r="C20" s="20" t="s">
        <v>101</v>
      </c>
      <c r="D20" s="20" t="s">
        <v>69</v>
      </c>
      <c r="E20" s="20" t="s">
        <v>69</v>
      </c>
      <c r="F20" s="20">
        <v>85</v>
      </c>
      <c r="G20" s="20">
        <v>525</v>
      </c>
      <c r="H20" s="18">
        <f>H19*0.02</f>
        <v>595</v>
      </c>
      <c r="I20" s="18">
        <f>C14*H20/1000</f>
        <v>291.55</v>
      </c>
      <c r="J20" s="40" t="s">
        <v>107</v>
      </c>
      <c r="K20" s="49" t="s">
        <v>108</v>
      </c>
      <c r="L20" s="2">
        <f>L19+I20</f>
        <v>4754.05</v>
      </c>
      <c r="M20" s="2" t="s">
        <v>108</v>
      </c>
      <c r="N20" s="2">
        <f>N19+I20</f>
        <v>6864.55</v>
      </c>
      <c r="O20" s="50">
        <f t="shared" si="0"/>
        <v>13.075333333333333</v>
      </c>
    </row>
    <row r="21" spans="1:15" ht="15.75" customHeight="1" x14ac:dyDescent="0.25">
      <c r="A21" s="20" t="s">
        <v>109</v>
      </c>
      <c r="B21" s="20" t="s">
        <v>110</v>
      </c>
      <c r="C21" s="20" t="s">
        <v>19</v>
      </c>
      <c r="D21" s="20">
        <v>8</v>
      </c>
      <c r="E21" s="20">
        <f t="shared" ref="E21:E22" si="1">D21*21</f>
        <v>168</v>
      </c>
      <c r="F21" s="20">
        <v>12</v>
      </c>
      <c r="G21" s="20">
        <v>14</v>
      </c>
      <c r="H21" s="18"/>
      <c r="I21" s="18">
        <f>E21*H7*27.5*2</f>
        <v>2411.64</v>
      </c>
      <c r="J21" s="52">
        <v>12.5</v>
      </c>
      <c r="K21">
        <f>J21*G21</f>
        <v>175</v>
      </c>
      <c r="L21" s="44">
        <f>O20/F20*K21</f>
        <v>26.919803921568629</v>
      </c>
      <c r="M21">
        <f>M19</f>
        <v>2110.5000000000005</v>
      </c>
      <c r="N21" s="54">
        <f>L21*E21</f>
        <v>4522.5270588235298</v>
      </c>
      <c r="O21" s="2"/>
    </row>
    <row r="22" spans="1:15" ht="15.75" customHeight="1" x14ac:dyDescent="0.25">
      <c r="A22" s="18"/>
      <c r="B22" s="20" t="s">
        <v>111</v>
      </c>
      <c r="C22" s="20" t="s">
        <v>21</v>
      </c>
      <c r="D22" s="20">
        <v>3</v>
      </c>
      <c r="E22" s="20">
        <f t="shared" si="1"/>
        <v>63</v>
      </c>
      <c r="F22" s="20"/>
      <c r="G22" s="20">
        <f t="shared" ref="G22:G25" si="2">25</f>
        <v>25</v>
      </c>
      <c r="H22" s="18"/>
      <c r="I22" s="18">
        <f t="shared" ref="I22:I24" si="3">E22*H8*25</f>
        <v>615.82500000000005</v>
      </c>
      <c r="J22" s="18"/>
      <c r="M22">
        <f t="shared" ref="M22:M24" si="4">M21</f>
        <v>2110.5000000000005</v>
      </c>
    </row>
    <row r="23" spans="1:15" ht="15.75" customHeight="1" x14ac:dyDescent="0.25">
      <c r="A23" s="20"/>
      <c r="B23" s="20" t="s">
        <v>111</v>
      </c>
      <c r="C23" s="20" t="s">
        <v>23</v>
      </c>
      <c r="D23" s="20">
        <v>2</v>
      </c>
      <c r="E23" s="20">
        <f>21*D23</f>
        <v>42</v>
      </c>
      <c r="F23" s="20"/>
      <c r="G23" s="20">
        <f t="shared" si="2"/>
        <v>25</v>
      </c>
      <c r="H23" s="18"/>
      <c r="I23" s="18">
        <f t="shared" si="3"/>
        <v>210</v>
      </c>
      <c r="J23" s="18"/>
      <c r="M23">
        <f t="shared" si="4"/>
        <v>2110.5000000000005</v>
      </c>
    </row>
    <row r="24" spans="1:15" ht="13.2" x14ac:dyDescent="0.25">
      <c r="A24" s="20"/>
      <c r="B24" s="20" t="s">
        <v>115</v>
      </c>
      <c r="C24" s="20" t="s">
        <v>34</v>
      </c>
      <c r="D24" s="20">
        <v>2</v>
      </c>
      <c r="E24" s="20">
        <v>42</v>
      </c>
      <c r="F24" s="18"/>
      <c r="G24" s="20">
        <f t="shared" si="2"/>
        <v>25</v>
      </c>
      <c r="H24" s="18"/>
      <c r="I24" s="18">
        <f t="shared" si="3"/>
        <v>59.745000000000005</v>
      </c>
      <c r="J24" s="18"/>
      <c r="M24">
        <f t="shared" si="4"/>
        <v>2110.5000000000005</v>
      </c>
    </row>
    <row r="25" spans="1:15" ht="13.2" x14ac:dyDescent="0.25">
      <c r="A25" s="20"/>
      <c r="B25" s="20" t="s">
        <v>116</v>
      </c>
      <c r="C25" s="20"/>
      <c r="D25" s="18"/>
      <c r="E25" s="18"/>
      <c r="F25" s="18"/>
      <c r="G25" s="20">
        <f t="shared" si="2"/>
        <v>25</v>
      </c>
      <c r="H25" s="18"/>
      <c r="I25" s="36">
        <f>SUM(I19:I24)</f>
        <v>8051.26</v>
      </c>
      <c r="J25" s="18"/>
    </row>
    <row r="27" spans="1:15" ht="13.2" x14ac:dyDescent="0.25">
      <c r="A27" s="48" t="s">
        <v>118</v>
      </c>
      <c r="B27" s="48">
        <v>0</v>
      </c>
    </row>
    <row r="28" spans="1:15" ht="13.2" x14ac:dyDescent="0.25">
      <c r="A28" s="48" t="s">
        <v>119</v>
      </c>
      <c r="B28" s="48">
        <f>A3*0.65</f>
        <v>3.9000000000000004</v>
      </c>
    </row>
    <row r="31" spans="1:15" ht="13.2" x14ac:dyDescent="0.25">
      <c r="A31" s="10" t="s">
        <v>120</v>
      </c>
      <c r="B31" s="38" t="s">
        <v>121</v>
      </c>
      <c r="K31" s="2" t="s">
        <v>122</v>
      </c>
      <c r="L31">
        <f>6864.55/85*15.5/2+44*0.261*15.5/2+0.0569*525</f>
        <v>744.75894117647056</v>
      </c>
    </row>
    <row r="32" spans="1:15" ht="13.2" x14ac:dyDescent="0.25">
      <c r="A32" s="10" t="s">
        <v>123</v>
      </c>
      <c r="B32" s="60">
        <f>1.2*I25+1.6*B28*525</f>
        <v>12937.512000000001</v>
      </c>
      <c r="K32" s="2" t="s">
        <v>125</v>
      </c>
      <c r="L32">
        <f>6864.55/85*(15.5/2+6)+44*0.261*(15.5/2+6)+0.2*525</f>
        <v>1373.346911764706</v>
      </c>
    </row>
    <row r="33" spans="1:12" ht="13.2" x14ac:dyDescent="0.25">
      <c r="A33" s="10" t="s">
        <v>28</v>
      </c>
      <c r="B33">
        <f>1.4*I25</f>
        <v>11271.763999999999</v>
      </c>
      <c r="K33" s="2" t="s">
        <v>127</v>
      </c>
      <c r="L33">
        <f>6864.55/85*(6+7.5)+44*0.261*6+0.391*525</f>
        <v>1364.4310588235296</v>
      </c>
    </row>
    <row r="34" spans="1:12" ht="13.2" x14ac:dyDescent="0.25">
      <c r="K34" s="2" t="s">
        <v>132</v>
      </c>
      <c r="L34">
        <f>6864.55/85*15+0.391*525</f>
        <v>1416.6661764705884</v>
      </c>
    </row>
    <row r="35" spans="1:12" ht="13.2" x14ac:dyDescent="0.25">
      <c r="K35" s="2" t="s">
        <v>133</v>
      </c>
      <c r="L35">
        <f>6864.55/85*15.5/2+44*0.261*15.5/2+0.0569*525</f>
        <v>744.75894117647056</v>
      </c>
    </row>
    <row r="36" spans="1:12" ht="13.2" x14ac:dyDescent="0.25">
      <c r="E36" s="2" t="s">
        <v>134</v>
      </c>
      <c r="F36" s="2" t="s">
        <v>135</v>
      </c>
      <c r="K36" s="2" t="s">
        <v>136</v>
      </c>
      <c r="L36">
        <f>6864.55/85*(15.5/2+6)+44*0.261*(15.5/2+6)+0.2*525</f>
        <v>1373.346911764706</v>
      </c>
    </row>
    <row r="37" spans="1:12" ht="13.2" x14ac:dyDescent="0.25">
      <c r="A37" s="2" t="s">
        <v>140</v>
      </c>
      <c r="B37" s="2" t="s">
        <v>141</v>
      </c>
      <c r="C37" s="2" t="s">
        <v>142</v>
      </c>
      <c r="D37" s="2">
        <v>1.159</v>
      </c>
      <c r="E37" s="2">
        <v>1.2</v>
      </c>
      <c r="F37" s="2">
        <v>0.65</v>
      </c>
      <c r="K37" s="2" t="s">
        <v>143</v>
      </c>
      <c r="L37">
        <f>6864.55/85*(6+7.5)+44*0.261*6+0.391*525</f>
        <v>1364.4310588235296</v>
      </c>
    </row>
    <row r="38" spans="1:12" ht="13.2" x14ac:dyDescent="0.25">
      <c r="C38" s="2" t="s">
        <v>144</v>
      </c>
      <c r="D38" s="2">
        <v>5.43</v>
      </c>
      <c r="E38" s="2">
        <v>1.6</v>
      </c>
      <c r="K38" s="2"/>
    </row>
    <row r="39" spans="1:12" ht="13.2" x14ac:dyDescent="0.25">
      <c r="C39" s="2" t="s">
        <v>145</v>
      </c>
      <c r="D39" s="2">
        <v>0.98799999999999999</v>
      </c>
      <c r="E39" s="2">
        <v>1</v>
      </c>
      <c r="K39" s="2"/>
    </row>
    <row r="40" spans="1:12" ht="13.2" x14ac:dyDescent="0.25">
      <c r="C40" s="2" t="s">
        <v>148</v>
      </c>
      <c r="D40" s="2">
        <v>8.0299999999999994</v>
      </c>
      <c r="E40" s="2" t="s">
        <v>149</v>
      </c>
      <c r="F40">
        <f>D37*E37+D39*E39</f>
        <v>2.3788</v>
      </c>
      <c r="G40" s="2" t="s">
        <v>150</v>
      </c>
    </row>
    <row r="42" spans="1:12" ht="13.2" x14ac:dyDescent="0.25">
      <c r="B42" s="2" t="s">
        <v>151</v>
      </c>
      <c r="C42" s="2" t="s">
        <v>152</v>
      </c>
      <c r="D42" s="2" t="s">
        <v>153</v>
      </c>
    </row>
    <row r="43" spans="1:12" ht="13.2" x14ac:dyDescent="0.25">
      <c r="C43" s="2" t="s">
        <v>154</v>
      </c>
      <c r="D43" s="2">
        <f>8.03*15*3</f>
        <v>361.34999999999997</v>
      </c>
      <c r="E43" s="2" t="s">
        <v>155</v>
      </c>
    </row>
    <row r="45" spans="1:12" ht="13.2" x14ac:dyDescent="0.25">
      <c r="C45" s="2" t="s">
        <v>156</v>
      </c>
      <c r="D45" s="2" t="s">
        <v>157</v>
      </c>
      <c r="E45" s="2" t="s">
        <v>158</v>
      </c>
      <c r="F45" s="2" t="s">
        <v>159</v>
      </c>
      <c r="H45" s="2" t="s">
        <v>160</v>
      </c>
    </row>
    <row r="46" spans="1:12" ht="13.2" x14ac:dyDescent="0.25">
      <c r="C46" s="2">
        <v>96</v>
      </c>
      <c r="D46" s="2">
        <v>48.7</v>
      </c>
      <c r="E46" s="2">
        <v>4.2</v>
      </c>
      <c r="F46" s="2">
        <v>2.5</v>
      </c>
      <c r="G46" s="2" t="s">
        <v>161</v>
      </c>
      <c r="H46" s="2">
        <v>623.70000000000005</v>
      </c>
    </row>
    <row r="48" spans="1:12" ht="13.2" x14ac:dyDescent="0.25">
      <c r="A48" s="2" t="s">
        <v>151</v>
      </c>
      <c r="B48" s="2" t="s">
        <v>162</v>
      </c>
      <c r="C48" s="2">
        <v>211.8</v>
      </c>
      <c r="D48" s="2" t="s">
        <v>163</v>
      </c>
    </row>
    <row r="49" spans="1:4" ht="13.2" x14ac:dyDescent="0.25">
      <c r="B49" s="2" t="s">
        <v>164</v>
      </c>
      <c r="C49" s="2">
        <v>2448</v>
      </c>
      <c r="D49" s="2" t="s">
        <v>163</v>
      </c>
    </row>
    <row r="50" spans="1:4" ht="13.2" x14ac:dyDescent="0.25">
      <c r="D50" s="2"/>
    </row>
    <row r="51" spans="1:4" ht="13.2" x14ac:dyDescent="0.25">
      <c r="A51" s="2" t="s">
        <v>165</v>
      </c>
      <c r="B51" s="2" t="s">
        <v>162</v>
      </c>
      <c r="C51">
        <f>8.03*7.5</f>
        <v>60.224999999999994</v>
      </c>
      <c r="D51" s="2" t="s">
        <v>163</v>
      </c>
    </row>
    <row r="52" spans="1:4" ht="13.2" x14ac:dyDescent="0.25">
      <c r="B52" s="2" t="s">
        <v>164</v>
      </c>
      <c r="C52">
        <f>8.03*15^2/8</f>
        <v>225.84374999999997</v>
      </c>
      <c r="D52" s="2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72" workbookViewId="0">
      <selection activeCell="H104" sqref="H104"/>
    </sheetView>
  </sheetViews>
  <sheetFormatPr defaultColWidth="14.44140625" defaultRowHeight="15.75" customHeight="1" x14ac:dyDescent="0.25"/>
  <cols>
    <col min="2" max="2" width="14.6640625" bestFit="1" customWidth="1"/>
    <col min="7" max="7" width="13.44140625" customWidth="1"/>
    <col min="8" max="8" width="17.88671875" customWidth="1"/>
  </cols>
  <sheetData>
    <row r="1" spans="1:8" ht="15.75" customHeight="1" x14ac:dyDescent="0.5">
      <c r="A1" s="4" t="s">
        <v>2</v>
      </c>
    </row>
    <row r="2" spans="1:8" ht="15.75" customHeight="1" x14ac:dyDescent="0.25">
      <c r="C2" s="107" t="s">
        <v>3</v>
      </c>
      <c r="D2" s="106"/>
      <c r="E2" s="106"/>
      <c r="F2" s="108"/>
      <c r="G2" s="105" t="s">
        <v>29</v>
      </c>
      <c r="H2" s="106"/>
    </row>
    <row r="3" spans="1:8" ht="15.75" customHeight="1" x14ac:dyDescent="0.25">
      <c r="A3" s="19" t="s">
        <v>30</v>
      </c>
      <c r="B3" s="19" t="s">
        <v>32</v>
      </c>
      <c r="C3" s="21" t="s">
        <v>33</v>
      </c>
      <c r="D3" s="19" t="s">
        <v>35</v>
      </c>
      <c r="E3" s="19" t="s">
        <v>36</v>
      </c>
      <c r="F3" s="22" t="s">
        <v>37</v>
      </c>
      <c r="G3" s="17" t="s">
        <v>39</v>
      </c>
      <c r="H3" s="17" t="s">
        <v>40</v>
      </c>
    </row>
    <row r="4" spans="1:8" ht="15.75" customHeight="1" x14ac:dyDescent="0.25">
      <c r="A4" s="2">
        <v>1</v>
      </c>
      <c r="B4" s="28">
        <f t="shared" ref="B4:B20" si="0">SQRT((220-12*A4)^2+(540-30*A4+(220-12*A4)*TAN(15/180*PI()))^2)</f>
        <v>602.75892039151722</v>
      </c>
      <c r="C4" s="32">
        <f>'Calculation Main'!$U$28*(15+7.5)*85/2</f>
        <v>154.97742187500003</v>
      </c>
      <c r="D4">
        <f t="shared" ref="D4:D20" si="1">E4+25*2*6/2*0.65</f>
        <v>125.58</v>
      </c>
      <c r="E4">
        <f>0.64*6*(15+7.5)*0.65/2</f>
        <v>28.08</v>
      </c>
      <c r="F4" s="39">
        <f>MAX(1.2*C4+1.6*D4,1.4*C4)*SQRT(1+2^2)</f>
        <v>865.13672693127342</v>
      </c>
      <c r="G4" s="2">
        <v>37</v>
      </c>
    </row>
    <row r="5" spans="1:8" ht="15.75" customHeight="1" x14ac:dyDescent="0.25">
      <c r="A5" s="2">
        <v>2</v>
      </c>
      <c r="B5" s="28">
        <f t="shared" si="0"/>
        <v>567.44291761689669</v>
      </c>
      <c r="C5" s="32">
        <f>'Calculation Main'!$U$28*30*85/2</f>
        <v>206.63656250000005</v>
      </c>
      <c r="D5">
        <f t="shared" si="1"/>
        <v>134.94</v>
      </c>
      <c r="E5">
        <f t="shared" ref="E5:E20" si="2">0.64*6*30*0.65/2</f>
        <v>37.44</v>
      </c>
      <c r="F5" s="39">
        <f t="shared" ref="F5:F20" si="3">MAX(1.2*C5+1.6*D5,1.4*C5)*SQRT(1+2.5^2)</f>
        <v>1249.0024778051336</v>
      </c>
      <c r="G5" s="2">
        <v>37</v>
      </c>
    </row>
    <row r="6" spans="1:8" ht="15.75" customHeight="1" x14ac:dyDescent="0.25">
      <c r="A6" s="2">
        <v>3</v>
      </c>
      <c r="B6" s="28">
        <f t="shared" si="0"/>
        <v>532.12699396139101</v>
      </c>
      <c r="C6" s="32">
        <f>'Calculation Main'!$U$28*30*85/2</f>
        <v>206.63656250000005</v>
      </c>
      <c r="D6">
        <f t="shared" si="1"/>
        <v>134.94</v>
      </c>
      <c r="E6">
        <f t="shared" si="2"/>
        <v>37.44</v>
      </c>
      <c r="F6" s="39">
        <f t="shared" si="3"/>
        <v>1249.0024778051336</v>
      </c>
      <c r="G6" s="2">
        <v>37</v>
      </c>
    </row>
    <row r="7" spans="1:8" ht="15.75" customHeight="1" x14ac:dyDescent="0.25">
      <c r="A7" s="2">
        <v>4</v>
      </c>
      <c r="B7" s="28">
        <f t="shared" si="0"/>
        <v>496.8111662975964</v>
      </c>
      <c r="C7" s="32">
        <f>'Calculation Main'!$U$28*30*85/2</f>
        <v>206.63656250000005</v>
      </c>
      <c r="D7">
        <f t="shared" si="1"/>
        <v>134.94</v>
      </c>
      <c r="E7">
        <f t="shared" si="2"/>
        <v>37.44</v>
      </c>
      <c r="F7" s="39">
        <f t="shared" si="3"/>
        <v>1249.0024778051336</v>
      </c>
      <c r="G7" s="2">
        <v>37</v>
      </c>
    </row>
    <row r="8" spans="1:8" ht="15.75" customHeight="1" x14ac:dyDescent="0.25">
      <c r="A8" s="2">
        <v>5</v>
      </c>
      <c r="B8" s="28">
        <f t="shared" si="0"/>
        <v>461.4954566627402</v>
      </c>
      <c r="C8" s="32">
        <f>'Calculation Main'!$U$28*30*85/2</f>
        <v>206.63656250000005</v>
      </c>
      <c r="D8">
        <f t="shared" si="1"/>
        <v>134.94</v>
      </c>
      <c r="E8">
        <f t="shared" si="2"/>
        <v>37.44</v>
      </c>
      <c r="F8" s="39">
        <f t="shared" si="3"/>
        <v>1249.0024778051336</v>
      </c>
      <c r="G8" s="2">
        <v>37</v>
      </c>
    </row>
    <row r="9" spans="1:8" ht="15.75" customHeight="1" x14ac:dyDescent="0.25">
      <c r="A9" s="2">
        <v>6</v>
      </c>
      <c r="B9" s="28">
        <f t="shared" si="0"/>
        <v>426.17989439848714</v>
      </c>
      <c r="C9" s="32">
        <f>'Calculation Main'!$U$28*30*85/2</f>
        <v>206.63656250000005</v>
      </c>
      <c r="D9">
        <f t="shared" si="1"/>
        <v>134.94</v>
      </c>
      <c r="E9">
        <f t="shared" si="2"/>
        <v>37.44</v>
      </c>
      <c r="F9" s="39">
        <f t="shared" si="3"/>
        <v>1249.0024778051336</v>
      </c>
      <c r="G9" s="2">
        <v>37</v>
      </c>
    </row>
    <row r="10" spans="1:8" ht="15.75" customHeight="1" x14ac:dyDescent="0.25">
      <c r="A10" s="2">
        <v>7</v>
      </c>
      <c r="B10" s="28">
        <f t="shared" si="0"/>
        <v>390.86451945071934</v>
      </c>
      <c r="C10" s="32">
        <f>'Calculation Main'!$U$28*30*85/2</f>
        <v>206.63656250000005</v>
      </c>
      <c r="D10">
        <f t="shared" si="1"/>
        <v>134.94</v>
      </c>
      <c r="E10">
        <f t="shared" si="2"/>
        <v>37.44</v>
      </c>
      <c r="F10" s="39">
        <f t="shared" si="3"/>
        <v>1249.0024778051336</v>
      </c>
      <c r="G10" s="2">
        <v>37</v>
      </c>
    </row>
    <row r="11" spans="1:8" ht="15.75" customHeight="1" x14ac:dyDescent="0.25">
      <c r="A11" s="2">
        <v>8</v>
      </c>
      <c r="B11" s="28">
        <f t="shared" si="0"/>
        <v>355.54938763575348</v>
      </c>
      <c r="C11" s="32">
        <f>'Calculation Main'!$U$28*30*85/2</f>
        <v>206.63656250000005</v>
      </c>
      <c r="D11">
        <f t="shared" si="1"/>
        <v>134.94</v>
      </c>
      <c r="E11">
        <f t="shared" si="2"/>
        <v>37.44</v>
      </c>
      <c r="F11" s="39">
        <f t="shared" si="3"/>
        <v>1249.0024778051336</v>
      </c>
      <c r="G11" s="2">
        <v>37</v>
      </c>
    </row>
    <row r="12" spans="1:8" ht="15.75" customHeight="1" x14ac:dyDescent="0.25">
      <c r="A12" s="2">
        <v>9</v>
      </c>
      <c r="B12" s="28">
        <f t="shared" si="0"/>
        <v>320.23457939088701</v>
      </c>
      <c r="C12" s="32">
        <f>'Calculation Main'!$U$28*30*85/2</f>
        <v>206.63656250000005</v>
      </c>
      <c r="D12">
        <f t="shared" si="1"/>
        <v>134.94</v>
      </c>
      <c r="E12">
        <f t="shared" si="2"/>
        <v>37.44</v>
      </c>
      <c r="F12" s="39">
        <f t="shared" si="3"/>
        <v>1249.0024778051336</v>
      </c>
      <c r="G12" s="2">
        <v>37</v>
      </c>
    </row>
    <row r="13" spans="1:8" ht="15.75" customHeight="1" x14ac:dyDescent="0.25">
      <c r="A13" s="2">
        <v>10</v>
      </c>
      <c r="B13" s="28">
        <f t="shared" si="0"/>
        <v>284.92021503210117</v>
      </c>
      <c r="C13" s="32">
        <f>'Calculation Main'!$U$28*30*85/2</f>
        <v>206.63656250000005</v>
      </c>
      <c r="D13">
        <f t="shared" si="1"/>
        <v>134.94</v>
      </c>
      <c r="E13">
        <f t="shared" si="2"/>
        <v>37.44</v>
      </c>
      <c r="F13" s="39">
        <f t="shared" si="3"/>
        <v>1249.0024778051336</v>
      </c>
      <c r="G13" s="2">
        <v>37</v>
      </c>
    </row>
    <row r="14" spans="1:8" ht="15.75" customHeight="1" x14ac:dyDescent="0.25">
      <c r="A14" s="2">
        <v>11</v>
      </c>
      <c r="B14" s="28">
        <f t="shared" si="0"/>
        <v>249.6064829626842</v>
      </c>
      <c r="C14" s="32">
        <f>'Calculation Main'!$U$28*30*85/2</f>
        <v>206.63656250000005</v>
      </c>
      <c r="D14">
        <f t="shared" si="1"/>
        <v>134.94</v>
      </c>
      <c r="E14">
        <f t="shared" si="2"/>
        <v>37.44</v>
      </c>
      <c r="F14" s="39">
        <f t="shared" si="3"/>
        <v>1249.0024778051336</v>
      </c>
      <c r="G14" s="2">
        <v>37</v>
      </c>
    </row>
    <row r="15" spans="1:8" ht="15.75" customHeight="1" x14ac:dyDescent="0.25">
      <c r="A15" s="2">
        <v>12</v>
      </c>
      <c r="B15" s="28">
        <f t="shared" si="0"/>
        <v>214.293695770184</v>
      </c>
      <c r="C15" s="32">
        <f>'Calculation Main'!$U$28*30*85/2</f>
        <v>206.63656250000005</v>
      </c>
      <c r="D15">
        <f t="shared" si="1"/>
        <v>134.94</v>
      </c>
      <c r="E15">
        <f t="shared" si="2"/>
        <v>37.44</v>
      </c>
      <c r="F15" s="39">
        <f t="shared" si="3"/>
        <v>1249.0024778051336</v>
      </c>
      <c r="G15" s="2">
        <v>37</v>
      </c>
    </row>
    <row r="16" spans="1:8" ht="15.75" customHeight="1" x14ac:dyDescent="0.25">
      <c r="A16" s="2">
        <v>13</v>
      </c>
      <c r="B16" s="28">
        <f t="shared" si="0"/>
        <v>178.98241272110809</v>
      </c>
      <c r="C16" s="32">
        <f>'Calculation Main'!$U$28*30*85/2</f>
        <v>206.63656250000005</v>
      </c>
      <c r="D16">
        <f t="shared" si="1"/>
        <v>134.94</v>
      </c>
      <c r="E16">
        <f t="shared" si="2"/>
        <v>37.44</v>
      </c>
      <c r="F16" s="39">
        <f t="shared" si="3"/>
        <v>1249.0024778051336</v>
      </c>
      <c r="G16" s="2">
        <v>37</v>
      </c>
    </row>
    <row r="17" spans="1:7" ht="15.75" customHeight="1" x14ac:dyDescent="0.25">
      <c r="A17" s="2">
        <v>14</v>
      </c>
      <c r="B17" s="28">
        <f t="shared" si="0"/>
        <v>143.67374285816959</v>
      </c>
      <c r="C17" s="32">
        <f>'Calculation Main'!$U$28*30*85/2</f>
        <v>206.63656250000005</v>
      </c>
      <c r="D17">
        <f t="shared" si="1"/>
        <v>134.94</v>
      </c>
      <c r="E17">
        <f t="shared" si="2"/>
        <v>37.44</v>
      </c>
      <c r="F17" s="39">
        <f t="shared" si="3"/>
        <v>1249.0024778051336</v>
      </c>
      <c r="G17" s="2">
        <v>37</v>
      </c>
    </row>
    <row r="18" spans="1:7" ht="15.75" customHeight="1" x14ac:dyDescent="0.25">
      <c r="A18" s="2">
        <v>15</v>
      </c>
      <c r="B18" s="28">
        <f t="shared" si="0"/>
        <v>108.37024045863916</v>
      </c>
      <c r="C18" s="32">
        <f>'Calculation Main'!$U$28*30*85/2</f>
        <v>206.63656250000005</v>
      </c>
      <c r="D18">
        <f t="shared" si="1"/>
        <v>134.94</v>
      </c>
      <c r="E18">
        <f t="shared" si="2"/>
        <v>37.44</v>
      </c>
      <c r="F18" s="39">
        <f t="shared" si="3"/>
        <v>1249.0024778051336</v>
      </c>
      <c r="G18" s="2">
        <v>37</v>
      </c>
    </row>
    <row r="19" spans="1:7" ht="15.75" customHeight="1" x14ac:dyDescent="0.25">
      <c r="A19" s="2">
        <v>16</v>
      </c>
      <c r="B19" s="28">
        <f t="shared" si="0"/>
        <v>73.079394866354576</v>
      </c>
      <c r="C19" s="32">
        <f>'Calculation Main'!$U$28*30*85/2</f>
        <v>206.63656250000005</v>
      </c>
      <c r="D19">
        <f t="shared" si="1"/>
        <v>134.94</v>
      </c>
      <c r="E19">
        <f t="shared" si="2"/>
        <v>37.44</v>
      </c>
      <c r="F19" s="39">
        <f t="shared" si="3"/>
        <v>1249.0024778051336</v>
      </c>
      <c r="G19" s="2">
        <v>37</v>
      </c>
    </row>
    <row r="20" spans="1:7" ht="15.75" customHeight="1" x14ac:dyDescent="0.25">
      <c r="A20" s="2">
        <v>17</v>
      </c>
      <c r="B20" s="28">
        <f t="shared" si="0"/>
        <v>37.836638299184926</v>
      </c>
      <c r="C20" s="32">
        <f>'Calculation Main'!$U$28*30*85/2</f>
        <v>206.63656250000005</v>
      </c>
      <c r="D20">
        <f t="shared" si="1"/>
        <v>134.94</v>
      </c>
      <c r="E20">
        <f t="shared" si="2"/>
        <v>37.44</v>
      </c>
      <c r="F20" s="39">
        <f t="shared" si="3"/>
        <v>1249.0024778051336</v>
      </c>
      <c r="G20" s="2">
        <v>37</v>
      </c>
    </row>
    <row r="21" spans="1:7" ht="15.75" customHeight="1" x14ac:dyDescent="0.25">
      <c r="A21" s="2"/>
    </row>
    <row r="22" spans="1:7" ht="15.75" customHeight="1" x14ac:dyDescent="0.25">
      <c r="A22" s="2"/>
    </row>
    <row r="23" spans="1:7" ht="15.75" customHeight="1" x14ac:dyDescent="0.5">
      <c r="A23" s="4" t="s">
        <v>126</v>
      </c>
      <c r="B23" s="61"/>
      <c r="C23" s="61"/>
    </row>
    <row r="24" spans="1:7" ht="39.6" x14ac:dyDescent="0.25">
      <c r="A24" s="17" t="s">
        <v>128</v>
      </c>
      <c r="B24" s="62" t="s">
        <v>129</v>
      </c>
      <c r="C24" s="62" t="s">
        <v>130</v>
      </c>
      <c r="D24" s="62" t="s">
        <v>131</v>
      </c>
    </row>
    <row r="25" spans="1:7" ht="13.2" x14ac:dyDescent="0.25">
      <c r="A25" s="2">
        <v>1</v>
      </c>
      <c r="B25" s="2">
        <v>15</v>
      </c>
      <c r="C25" s="28">
        <f>F4</f>
        <v>865.13672693127342</v>
      </c>
      <c r="D25" s="28">
        <f>C25*5/SQRT(1+2.5^2)</f>
        <v>1606.5185707689059</v>
      </c>
    </row>
    <row r="26" spans="1:7" ht="13.2" x14ac:dyDescent="0.25">
      <c r="A26" s="2">
        <v>2</v>
      </c>
      <c r="B26">
        <f t="shared" ref="B26:B41" si="4">15+30*(A26-1)</f>
        <v>45</v>
      </c>
      <c r="C26" s="28">
        <f t="shared" ref="C26:C41" si="5">MAX(1.4*C5,1.2*C5+1.6*E5)*SQRT(1+2.5^2)</f>
        <v>828.95962284864231</v>
      </c>
      <c r="D26" s="28">
        <f>C26*5/SQRT(1+2.5^2)+D25</f>
        <v>3145.8579457689061</v>
      </c>
    </row>
    <row r="27" spans="1:7" ht="13.2" x14ac:dyDescent="0.25">
      <c r="A27" s="2">
        <v>3</v>
      </c>
      <c r="B27">
        <f t="shared" si="4"/>
        <v>75</v>
      </c>
      <c r="C27" s="28">
        <f t="shared" si="5"/>
        <v>828.95962284864231</v>
      </c>
      <c r="D27" s="28">
        <f t="shared" ref="D27:D41" si="6">C27*2.5/SQRT(1+2.5^2)+D26</f>
        <v>3915.5276332689064</v>
      </c>
    </row>
    <row r="28" spans="1:7" ht="13.2" x14ac:dyDescent="0.25">
      <c r="A28" s="2">
        <v>4</v>
      </c>
      <c r="B28">
        <f t="shared" si="4"/>
        <v>105</v>
      </c>
      <c r="C28" s="28">
        <f t="shared" si="5"/>
        <v>828.95962284864231</v>
      </c>
      <c r="D28" s="28">
        <f t="shared" si="6"/>
        <v>4685.1973207689061</v>
      </c>
    </row>
    <row r="29" spans="1:7" ht="13.2" x14ac:dyDescent="0.25">
      <c r="A29" s="2">
        <v>5</v>
      </c>
      <c r="B29">
        <f t="shared" si="4"/>
        <v>135</v>
      </c>
      <c r="C29" s="28">
        <f t="shared" si="5"/>
        <v>828.95962284864231</v>
      </c>
      <c r="D29" s="28">
        <f t="shared" si="6"/>
        <v>5454.8670082689059</v>
      </c>
    </row>
    <row r="30" spans="1:7" ht="13.2" x14ac:dyDescent="0.25">
      <c r="A30" s="2">
        <v>6</v>
      </c>
      <c r="B30">
        <f t="shared" si="4"/>
        <v>165</v>
      </c>
      <c r="C30" s="28">
        <f t="shared" si="5"/>
        <v>828.95962284864231</v>
      </c>
      <c r="D30" s="28">
        <f t="shared" si="6"/>
        <v>6224.5366957689057</v>
      </c>
    </row>
    <row r="31" spans="1:7" ht="13.2" x14ac:dyDescent="0.25">
      <c r="A31" s="2">
        <v>7</v>
      </c>
      <c r="B31">
        <f t="shared" si="4"/>
        <v>195</v>
      </c>
      <c r="C31" s="28">
        <f t="shared" si="5"/>
        <v>828.95962284864231</v>
      </c>
      <c r="D31" s="28">
        <f t="shared" si="6"/>
        <v>6994.2063832689055</v>
      </c>
    </row>
    <row r="32" spans="1:7" ht="13.2" x14ac:dyDescent="0.25">
      <c r="A32" s="2">
        <v>8</v>
      </c>
      <c r="B32">
        <f t="shared" si="4"/>
        <v>225</v>
      </c>
      <c r="C32" s="28">
        <f t="shared" si="5"/>
        <v>828.95962284864231</v>
      </c>
      <c r="D32" s="28">
        <f t="shared" si="6"/>
        <v>7763.8760707689053</v>
      </c>
    </row>
    <row r="33" spans="1:4" ht="13.2" x14ac:dyDescent="0.25">
      <c r="A33" s="2">
        <v>9</v>
      </c>
      <c r="B33">
        <f t="shared" si="4"/>
        <v>255</v>
      </c>
      <c r="C33" s="28">
        <f t="shared" si="5"/>
        <v>828.95962284864231</v>
      </c>
      <c r="D33" s="28">
        <f t="shared" si="6"/>
        <v>8533.545758268905</v>
      </c>
    </row>
    <row r="34" spans="1:4" ht="13.2" x14ac:dyDescent="0.25">
      <c r="A34" s="2">
        <v>10</v>
      </c>
      <c r="B34">
        <f t="shared" si="4"/>
        <v>285</v>
      </c>
      <c r="C34" s="28">
        <f t="shared" si="5"/>
        <v>828.95962284864231</v>
      </c>
      <c r="D34" s="28">
        <f t="shared" si="6"/>
        <v>9303.2154457689048</v>
      </c>
    </row>
    <row r="35" spans="1:4" ht="13.2" x14ac:dyDescent="0.25">
      <c r="A35" s="2">
        <v>11</v>
      </c>
      <c r="B35">
        <f t="shared" si="4"/>
        <v>315</v>
      </c>
      <c r="C35" s="28">
        <f t="shared" si="5"/>
        <v>828.95962284864231</v>
      </c>
      <c r="D35" s="28">
        <f t="shared" si="6"/>
        <v>10072.885133268905</v>
      </c>
    </row>
    <row r="36" spans="1:4" ht="13.2" x14ac:dyDescent="0.25">
      <c r="A36" s="2">
        <v>12</v>
      </c>
      <c r="B36">
        <f t="shared" si="4"/>
        <v>345</v>
      </c>
      <c r="C36" s="28">
        <f t="shared" si="5"/>
        <v>828.95962284864231</v>
      </c>
      <c r="D36" s="28">
        <f t="shared" si="6"/>
        <v>10842.554820768904</v>
      </c>
    </row>
    <row r="37" spans="1:4" ht="13.2" x14ac:dyDescent="0.25">
      <c r="A37" s="2">
        <v>13</v>
      </c>
      <c r="B37">
        <f t="shared" si="4"/>
        <v>375</v>
      </c>
      <c r="C37" s="28">
        <f t="shared" si="5"/>
        <v>828.95962284864231</v>
      </c>
      <c r="D37" s="28">
        <f t="shared" si="6"/>
        <v>11612.224508268904</v>
      </c>
    </row>
    <row r="38" spans="1:4" ht="13.2" x14ac:dyDescent="0.25">
      <c r="A38" s="2">
        <v>14</v>
      </c>
      <c r="B38">
        <f t="shared" si="4"/>
        <v>405</v>
      </c>
      <c r="C38" s="28">
        <f t="shared" si="5"/>
        <v>828.95962284864231</v>
      </c>
      <c r="D38" s="28">
        <f t="shared" si="6"/>
        <v>12381.894195768904</v>
      </c>
    </row>
    <row r="39" spans="1:4" ht="13.2" x14ac:dyDescent="0.25">
      <c r="A39" s="2">
        <v>15</v>
      </c>
      <c r="B39">
        <f t="shared" si="4"/>
        <v>435</v>
      </c>
      <c r="C39" s="28">
        <f t="shared" si="5"/>
        <v>828.95962284864231</v>
      </c>
      <c r="D39" s="28">
        <f t="shared" si="6"/>
        <v>13151.563883268904</v>
      </c>
    </row>
    <row r="40" spans="1:4" ht="13.2" x14ac:dyDescent="0.25">
      <c r="A40" s="2">
        <v>16</v>
      </c>
      <c r="B40">
        <f t="shared" si="4"/>
        <v>465</v>
      </c>
      <c r="C40" s="28">
        <f t="shared" si="5"/>
        <v>828.95962284864231</v>
      </c>
      <c r="D40" s="28">
        <f t="shared" si="6"/>
        <v>13921.233570768904</v>
      </c>
    </row>
    <row r="41" spans="1:4" ht="13.2" x14ac:dyDescent="0.25">
      <c r="A41" s="2">
        <v>17</v>
      </c>
      <c r="B41">
        <f t="shared" si="4"/>
        <v>495</v>
      </c>
      <c r="C41" s="28">
        <f t="shared" si="5"/>
        <v>828.95962284864231</v>
      </c>
      <c r="D41" s="28">
        <f t="shared" si="6"/>
        <v>14690.903258268903</v>
      </c>
    </row>
    <row r="42" spans="1:4" ht="13.2" x14ac:dyDescent="0.25">
      <c r="C42" s="2" t="s">
        <v>169</v>
      </c>
    </row>
    <row r="44" spans="1:4" ht="15.75" customHeight="1" x14ac:dyDescent="0.25">
      <c r="A44" s="55" t="s">
        <v>231</v>
      </c>
    </row>
    <row r="45" spans="1:4" ht="15.75" customHeight="1" x14ac:dyDescent="0.25">
      <c r="A45" s="55" t="s">
        <v>232</v>
      </c>
      <c r="B45" s="55" t="s">
        <v>233</v>
      </c>
    </row>
    <row r="46" spans="1:4" ht="15.75" customHeight="1" x14ac:dyDescent="0.25">
      <c r="A46">
        <v>15</v>
      </c>
      <c r="B46" s="109">
        <v>1606.5185707689059</v>
      </c>
    </row>
    <row r="47" spans="1:4" ht="15.75" customHeight="1" x14ac:dyDescent="0.25">
      <c r="A47">
        <v>45</v>
      </c>
      <c r="B47" s="109">
        <v>1606.5185707689059</v>
      </c>
    </row>
    <row r="48" spans="1:4" ht="15.75" customHeight="1" x14ac:dyDescent="0.25">
      <c r="A48">
        <v>45</v>
      </c>
      <c r="B48" s="109">
        <v>3145.8579457689061</v>
      </c>
    </row>
    <row r="49" spans="1:2" ht="15.75" customHeight="1" x14ac:dyDescent="0.25">
      <c r="A49">
        <v>75</v>
      </c>
      <c r="B49" s="109">
        <v>3145.8579457689061</v>
      </c>
    </row>
    <row r="50" spans="1:2" ht="15.75" customHeight="1" x14ac:dyDescent="0.25">
      <c r="A50">
        <v>75</v>
      </c>
      <c r="B50" s="109">
        <v>3915.5276332689064</v>
      </c>
    </row>
    <row r="51" spans="1:2" ht="15.75" customHeight="1" x14ac:dyDescent="0.25">
      <c r="A51">
        <v>105</v>
      </c>
      <c r="B51" s="109">
        <v>3915.5276332689064</v>
      </c>
    </row>
    <row r="52" spans="1:2" ht="15.75" customHeight="1" x14ac:dyDescent="0.25">
      <c r="A52">
        <v>105</v>
      </c>
      <c r="B52" s="109">
        <v>4685.1973207689061</v>
      </c>
    </row>
    <row r="53" spans="1:2" ht="15.75" customHeight="1" x14ac:dyDescent="0.25">
      <c r="A53">
        <v>135</v>
      </c>
      <c r="B53" s="109">
        <v>4685.1973207689061</v>
      </c>
    </row>
    <row r="54" spans="1:2" ht="15.75" customHeight="1" x14ac:dyDescent="0.25">
      <c r="A54">
        <v>135</v>
      </c>
      <c r="B54" s="109">
        <v>5454.8670082689059</v>
      </c>
    </row>
    <row r="55" spans="1:2" ht="15.75" customHeight="1" x14ac:dyDescent="0.25">
      <c r="A55">
        <v>165</v>
      </c>
      <c r="B55" s="109">
        <v>5454.8670082689059</v>
      </c>
    </row>
    <row r="56" spans="1:2" ht="15.75" customHeight="1" x14ac:dyDescent="0.25">
      <c r="A56">
        <v>165</v>
      </c>
      <c r="B56" s="109">
        <v>6224.5366957689057</v>
      </c>
    </row>
    <row r="57" spans="1:2" ht="15.75" customHeight="1" x14ac:dyDescent="0.25">
      <c r="A57">
        <v>195</v>
      </c>
      <c r="B57" s="109">
        <v>6224.5366957689057</v>
      </c>
    </row>
    <row r="58" spans="1:2" ht="15.75" customHeight="1" x14ac:dyDescent="0.25">
      <c r="A58">
        <v>195</v>
      </c>
      <c r="B58" s="109">
        <v>6994.2063832689055</v>
      </c>
    </row>
    <row r="59" spans="1:2" ht="15.75" customHeight="1" x14ac:dyDescent="0.25">
      <c r="A59">
        <v>225</v>
      </c>
      <c r="B59" s="109">
        <v>6994.2063832689055</v>
      </c>
    </row>
    <row r="60" spans="1:2" ht="15.75" customHeight="1" x14ac:dyDescent="0.25">
      <c r="A60">
        <v>225</v>
      </c>
      <c r="B60" s="109">
        <v>7763.8760707689053</v>
      </c>
    </row>
    <row r="61" spans="1:2" ht="15.75" customHeight="1" x14ac:dyDescent="0.25">
      <c r="A61">
        <v>255</v>
      </c>
      <c r="B61" s="109">
        <v>7763.8760707689053</v>
      </c>
    </row>
    <row r="62" spans="1:2" ht="15.75" customHeight="1" x14ac:dyDescent="0.25">
      <c r="A62">
        <v>255</v>
      </c>
      <c r="B62" s="109">
        <v>8533.545758268905</v>
      </c>
    </row>
    <row r="63" spans="1:2" ht="15.75" customHeight="1" x14ac:dyDescent="0.25">
      <c r="A63">
        <v>285</v>
      </c>
      <c r="B63" s="109">
        <v>8533.545758268905</v>
      </c>
    </row>
    <row r="64" spans="1:2" ht="15.75" customHeight="1" x14ac:dyDescent="0.25">
      <c r="A64">
        <v>285</v>
      </c>
      <c r="B64" s="109">
        <v>9303.2154457689048</v>
      </c>
    </row>
    <row r="65" spans="1:2" ht="15.75" customHeight="1" x14ac:dyDescent="0.25">
      <c r="A65">
        <v>315</v>
      </c>
      <c r="B65" s="109">
        <v>9303.2154457689048</v>
      </c>
    </row>
    <row r="66" spans="1:2" ht="15.75" customHeight="1" x14ac:dyDescent="0.25">
      <c r="A66">
        <v>315</v>
      </c>
      <c r="B66" s="109">
        <v>10072.885133268905</v>
      </c>
    </row>
    <row r="67" spans="1:2" ht="15.75" customHeight="1" x14ac:dyDescent="0.25">
      <c r="A67">
        <v>345</v>
      </c>
      <c r="B67" s="109">
        <v>10072.885133268905</v>
      </c>
    </row>
    <row r="68" spans="1:2" ht="15.75" customHeight="1" x14ac:dyDescent="0.25">
      <c r="A68">
        <v>345</v>
      </c>
      <c r="B68" s="109">
        <v>10842.554820768904</v>
      </c>
    </row>
    <row r="69" spans="1:2" ht="15.75" customHeight="1" x14ac:dyDescent="0.25">
      <c r="A69">
        <v>375</v>
      </c>
      <c r="B69" s="109">
        <v>10842.554820768904</v>
      </c>
    </row>
    <row r="70" spans="1:2" ht="15.75" customHeight="1" x14ac:dyDescent="0.25">
      <c r="A70">
        <v>375</v>
      </c>
      <c r="B70" s="109">
        <v>11612.224508268904</v>
      </c>
    </row>
    <row r="71" spans="1:2" ht="15.75" customHeight="1" x14ac:dyDescent="0.25">
      <c r="A71">
        <v>405</v>
      </c>
      <c r="B71" s="109">
        <v>11612.224508268904</v>
      </c>
    </row>
    <row r="72" spans="1:2" ht="15.75" customHeight="1" x14ac:dyDescent="0.25">
      <c r="A72">
        <v>405</v>
      </c>
      <c r="B72" s="109">
        <v>12381.894195768904</v>
      </c>
    </row>
    <row r="73" spans="1:2" ht="15.75" customHeight="1" x14ac:dyDescent="0.25">
      <c r="A73">
        <v>435</v>
      </c>
      <c r="B73" s="109">
        <v>12381.894195768904</v>
      </c>
    </row>
    <row r="74" spans="1:2" ht="15.75" customHeight="1" x14ac:dyDescent="0.25">
      <c r="A74">
        <v>435</v>
      </c>
      <c r="B74" s="109">
        <v>13151.563883268904</v>
      </c>
    </row>
    <row r="75" spans="1:2" ht="15.75" customHeight="1" x14ac:dyDescent="0.25">
      <c r="A75">
        <v>465</v>
      </c>
      <c r="B75" s="109">
        <v>13151.563883268904</v>
      </c>
    </row>
    <row r="76" spans="1:2" ht="15.75" customHeight="1" x14ac:dyDescent="0.25">
      <c r="A76">
        <v>465</v>
      </c>
      <c r="B76" s="109">
        <v>13921.233570768904</v>
      </c>
    </row>
    <row r="77" spans="1:2" ht="15.75" customHeight="1" x14ac:dyDescent="0.25">
      <c r="A77">
        <v>495</v>
      </c>
      <c r="B77" s="109">
        <v>13921.233570768904</v>
      </c>
    </row>
    <row r="78" spans="1:2" ht="15.75" customHeight="1" x14ac:dyDescent="0.25">
      <c r="A78">
        <v>495</v>
      </c>
      <c r="B78" s="109">
        <v>14690.903258268903</v>
      </c>
    </row>
    <row r="79" spans="1:2" ht="15.75" customHeight="1" x14ac:dyDescent="0.25">
      <c r="A79">
        <v>525</v>
      </c>
      <c r="B79" s="109">
        <v>14690.903258268903</v>
      </c>
    </row>
  </sheetData>
  <mergeCells count="2">
    <mergeCell ref="G2:H2"/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2" t="s">
        <v>170</v>
      </c>
      <c r="B1" s="2" t="s">
        <v>171</v>
      </c>
      <c r="C1" s="2" t="s">
        <v>172</v>
      </c>
      <c r="D1" s="2" t="s">
        <v>80</v>
      </c>
      <c r="E1" s="2" t="s">
        <v>173</v>
      </c>
    </row>
    <row r="2" spans="1:7" ht="15.75" customHeight="1" x14ac:dyDescent="0.25">
      <c r="A2" s="2">
        <f t="shared" ref="A2:A21" si="0">190-8.33*E2</f>
        <v>190</v>
      </c>
      <c r="B2" s="2">
        <v>2865</v>
      </c>
      <c r="C2">
        <f t="shared" ref="C2:C21" si="1">A2*B2</f>
        <v>544350</v>
      </c>
      <c r="E2" s="2">
        <v>0</v>
      </c>
    </row>
    <row r="3" spans="1:7" ht="15.75" customHeight="1" x14ac:dyDescent="0.25">
      <c r="A3" s="2">
        <f t="shared" si="0"/>
        <v>181.67</v>
      </c>
      <c r="B3" s="2">
        <v>2865</v>
      </c>
      <c r="C3">
        <f t="shared" si="1"/>
        <v>520484.55</v>
      </c>
      <c r="E3" s="2">
        <v>1</v>
      </c>
      <c r="G3" s="2">
        <f>955*3</f>
        <v>2865</v>
      </c>
    </row>
    <row r="4" spans="1:7" ht="15.75" customHeight="1" x14ac:dyDescent="0.25">
      <c r="A4" s="2">
        <f t="shared" si="0"/>
        <v>173.34</v>
      </c>
      <c r="B4" s="2">
        <v>2865</v>
      </c>
      <c r="C4">
        <f t="shared" si="1"/>
        <v>496619.10000000003</v>
      </c>
      <c r="E4" s="2">
        <v>2</v>
      </c>
    </row>
    <row r="5" spans="1:7" ht="15.75" customHeight="1" x14ac:dyDescent="0.25">
      <c r="A5" s="2">
        <f t="shared" si="0"/>
        <v>165.01</v>
      </c>
      <c r="B5" s="2">
        <v>2865</v>
      </c>
      <c r="C5">
        <f t="shared" si="1"/>
        <v>472753.64999999997</v>
      </c>
      <c r="E5" s="2">
        <v>3</v>
      </c>
    </row>
    <row r="6" spans="1:7" ht="15.75" customHeight="1" x14ac:dyDescent="0.25">
      <c r="A6" s="2">
        <f t="shared" si="0"/>
        <v>156.68</v>
      </c>
      <c r="B6" s="2">
        <v>2865</v>
      </c>
      <c r="C6">
        <f t="shared" si="1"/>
        <v>448888.2</v>
      </c>
      <c r="E6" s="2">
        <v>4</v>
      </c>
    </row>
    <row r="7" spans="1:7" ht="15.75" customHeight="1" x14ac:dyDescent="0.25">
      <c r="A7" s="2">
        <f t="shared" si="0"/>
        <v>148.35</v>
      </c>
      <c r="B7" s="2">
        <v>2865</v>
      </c>
      <c r="C7">
        <f t="shared" si="1"/>
        <v>425022.75</v>
      </c>
      <c r="E7" s="2">
        <v>5</v>
      </c>
    </row>
    <row r="8" spans="1:7" ht="15.75" customHeight="1" x14ac:dyDescent="0.25">
      <c r="A8" s="2">
        <f t="shared" si="0"/>
        <v>140.01999999999998</v>
      </c>
      <c r="B8" s="2">
        <v>2865</v>
      </c>
      <c r="C8">
        <f t="shared" si="1"/>
        <v>401157.29999999993</v>
      </c>
      <c r="E8" s="2">
        <v>6</v>
      </c>
    </row>
    <row r="9" spans="1:7" ht="15.75" customHeight="1" x14ac:dyDescent="0.25">
      <c r="A9" s="2">
        <f t="shared" si="0"/>
        <v>131.69</v>
      </c>
      <c r="B9" s="2">
        <v>2865</v>
      </c>
      <c r="C9">
        <f t="shared" si="1"/>
        <v>377291.85</v>
      </c>
      <c r="E9" s="2">
        <v>7</v>
      </c>
    </row>
    <row r="10" spans="1:7" ht="15.75" customHeight="1" x14ac:dyDescent="0.25">
      <c r="A10" s="2">
        <f t="shared" si="0"/>
        <v>123.36</v>
      </c>
      <c r="B10" s="2">
        <v>2865</v>
      </c>
      <c r="C10">
        <f t="shared" si="1"/>
        <v>353426.4</v>
      </c>
      <c r="E10" s="2">
        <v>8</v>
      </c>
    </row>
    <row r="11" spans="1:7" ht="15.75" customHeight="1" x14ac:dyDescent="0.25">
      <c r="A11" s="2">
        <f t="shared" si="0"/>
        <v>115.03</v>
      </c>
      <c r="B11" s="2">
        <v>2865</v>
      </c>
      <c r="C11">
        <f t="shared" si="1"/>
        <v>329560.95</v>
      </c>
      <c r="E11" s="2">
        <v>9</v>
      </c>
    </row>
    <row r="12" spans="1:7" ht="15.75" customHeight="1" x14ac:dyDescent="0.25">
      <c r="A12" s="2">
        <f t="shared" si="0"/>
        <v>106.7</v>
      </c>
      <c r="B12" s="2">
        <v>2865</v>
      </c>
      <c r="C12">
        <f t="shared" si="1"/>
        <v>305695.5</v>
      </c>
      <c r="E12" s="2">
        <v>10</v>
      </c>
    </row>
    <row r="13" spans="1:7" ht="15.75" customHeight="1" x14ac:dyDescent="0.25">
      <c r="A13" s="2">
        <f t="shared" si="0"/>
        <v>98.37</v>
      </c>
      <c r="B13" s="2">
        <v>2865</v>
      </c>
      <c r="C13">
        <f t="shared" si="1"/>
        <v>281830.05</v>
      </c>
      <c r="E13" s="2">
        <v>11</v>
      </c>
    </row>
    <row r="14" spans="1:7" ht="15.75" customHeight="1" x14ac:dyDescent="0.25">
      <c r="A14" s="2">
        <f t="shared" si="0"/>
        <v>90.039999999999992</v>
      </c>
      <c r="B14" s="2">
        <v>2865</v>
      </c>
      <c r="C14">
        <f t="shared" si="1"/>
        <v>257964.59999999998</v>
      </c>
      <c r="E14" s="2">
        <v>12</v>
      </c>
    </row>
    <row r="15" spans="1:7" ht="15.75" customHeight="1" x14ac:dyDescent="0.25">
      <c r="A15" s="2">
        <f t="shared" si="0"/>
        <v>81.709999999999994</v>
      </c>
      <c r="B15" s="2">
        <v>2865</v>
      </c>
      <c r="C15">
        <f t="shared" si="1"/>
        <v>234099.15</v>
      </c>
      <c r="E15" s="2">
        <v>13</v>
      </c>
    </row>
    <row r="16" spans="1:7" ht="15.75" customHeight="1" x14ac:dyDescent="0.25">
      <c r="A16" s="2">
        <f t="shared" si="0"/>
        <v>73.38</v>
      </c>
      <c r="B16" s="2">
        <v>2865</v>
      </c>
      <c r="C16">
        <f t="shared" si="1"/>
        <v>210233.69999999998</v>
      </c>
      <c r="E16" s="2">
        <v>14</v>
      </c>
    </row>
    <row r="17" spans="1:5" ht="15.75" customHeight="1" x14ac:dyDescent="0.25">
      <c r="A17" s="2">
        <f t="shared" si="0"/>
        <v>65.05</v>
      </c>
      <c r="B17" s="2">
        <v>2865</v>
      </c>
      <c r="C17">
        <f t="shared" si="1"/>
        <v>186368.25</v>
      </c>
      <c r="E17" s="2">
        <v>15</v>
      </c>
    </row>
    <row r="18" spans="1:5" ht="15.75" customHeight="1" x14ac:dyDescent="0.25">
      <c r="A18" s="2">
        <f t="shared" si="0"/>
        <v>56.72</v>
      </c>
      <c r="B18" s="2">
        <v>2865</v>
      </c>
      <c r="C18">
        <f t="shared" si="1"/>
        <v>162502.79999999999</v>
      </c>
      <c r="E18" s="2">
        <v>16</v>
      </c>
    </row>
    <row r="19" spans="1:5" ht="15.75" customHeight="1" x14ac:dyDescent="0.25">
      <c r="A19" s="2">
        <f t="shared" si="0"/>
        <v>48.389999999999986</v>
      </c>
      <c r="B19" s="2">
        <v>2865</v>
      </c>
      <c r="C19">
        <f t="shared" si="1"/>
        <v>138637.34999999995</v>
      </c>
      <c r="E19" s="2">
        <v>17</v>
      </c>
    </row>
    <row r="20" spans="1:5" ht="15.75" customHeight="1" x14ac:dyDescent="0.25">
      <c r="A20" s="2">
        <f t="shared" si="0"/>
        <v>40.06</v>
      </c>
      <c r="B20" s="2">
        <v>2865</v>
      </c>
      <c r="C20">
        <f t="shared" si="1"/>
        <v>114771.90000000001</v>
      </c>
      <c r="E20" s="2">
        <v>18</v>
      </c>
    </row>
    <row r="21" spans="1:5" ht="15.75" customHeight="1" x14ac:dyDescent="0.25">
      <c r="A21" s="2">
        <f t="shared" si="0"/>
        <v>31.72999999999999</v>
      </c>
      <c r="B21" s="2">
        <v>2865</v>
      </c>
      <c r="C21">
        <f t="shared" si="1"/>
        <v>90906.449999999968</v>
      </c>
      <c r="E21" s="2">
        <v>19</v>
      </c>
    </row>
    <row r="24" spans="1:5" ht="13.2" x14ac:dyDescent="0.25">
      <c r="C24">
        <f>SUM(C2:C21)</f>
        <v>6352564.5</v>
      </c>
    </row>
    <row r="26" spans="1:5" ht="13.2" x14ac:dyDescent="0.25">
      <c r="C26" s="2" t="s">
        <v>186</v>
      </c>
      <c r="D26">
        <f>C24*1.15</f>
        <v>7305449.1749999998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2" t="s">
        <v>174</v>
      </c>
      <c r="B1" s="2">
        <v>2.38</v>
      </c>
    </row>
    <row r="2" spans="1:2" ht="15.75" customHeight="1" x14ac:dyDescent="0.25">
      <c r="A2" s="2" t="s">
        <v>175</v>
      </c>
      <c r="B2" s="2">
        <v>2.12</v>
      </c>
    </row>
    <row r="3" spans="1:2" ht="15.75" customHeight="1" x14ac:dyDescent="0.25">
      <c r="A3" s="2" t="s">
        <v>176</v>
      </c>
      <c r="B3">
        <f>53*6</f>
        <v>318</v>
      </c>
    </row>
    <row r="4" spans="1:2" ht="15.75" customHeight="1" x14ac:dyDescent="0.25">
      <c r="A4" s="2" t="s">
        <v>177</v>
      </c>
      <c r="B4">
        <f>B1*B3*15</f>
        <v>11352.599999999999</v>
      </c>
    </row>
    <row r="5" spans="1:2" ht="15.75" customHeight="1" x14ac:dyDescent="0.25">
      <c r="A5" s="2" t="s">
        <v>178</v>
      </c>
      <c r="B5">
        <f>B2*7*525</f>
        <v>7791</v>
      </c>
    </row>
    <row r="6" spans="1:2" ht="15.75" customHeight="1" x14ac:dyDescent="0.25">
      <c r="A6" s="2" t="s">
        <v>181</v>
      </c>
      <c r="B6">
        <f>B5+B4</f>
        <v>19143.599999999999</v>
      </c>
    </row>
    <row r="7" spans="1:2" ht="15.75" customHeight="1" x14ac:dyDescent="0.25">
      <c r="A7" s="2" t="s">
        <v>182</v>
      </c>
      <c r="B7" s="2">
        <v>0</v>
      </c>
    </row>
    <row r="8" spans="1:2" ht="15.75" customHeight="1" x14ac:dyDescent="0.25">
      <c r="A8" s="2" t="s">
        <v>183</v>
      </c>
      <c r="B8">
        <f>B6/20</f>
        <v>957.18</v>
      </c>
    </row>
    <row r="9" spans="1:2" ht="15.75" customHeight="1" x14ac:dyDescent="0.25">
      <c r="A9" s="2" t="s">
        <v>184</v>
      </c>
      <c r="B9" s="2">
        <v>20</v>
      </c>
    </row>
    <row r="10" spans="1:2" ht="15.75" customHeight="1" x14ac:dyDescent="0.25">
      <c r="A10" s="2" t="s">
        <v>185</v>
      </c>
      <c r="B10">
        <f>25/3</f>
        <v>8.3333333333333339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4.44140625" defaultRowHeight="15.75" customHeight="1" x14ac:dyDescent="0.25"/>
  <sheetData>
    <row r="1" spans="1:4" ht="15.75" customHeight="1" x14ac:dyDescent="0.25">
      <c r="A1" s="2" t="s">
        <v>187</v>
      </c>
    </row>
    <row r="2" spans="1:4" ht="15.75" customHeight="1" x14ac:dyDescent="0.25">
      <c r="A2" s="2" t="s">
        <v>188</v>
      </c>
    </row>
    <row r="3" spans="1:4" ht="15.75" customHeight="1" x14ac:dyDescent="0.25">
      <c r="A3" s="2" t="s">
        <v>189</v>
      </c>
      <c r="D3" s="2" t="s">
        <v>190</v>
      </c>
    </row>
    <row r="5" spans="1:4" ht="15.75" customHeight="1" x14ac:dyDescent="0.25">
      <c r="A5" s="2" t="s">
        <v>191</v>
      </c>
    </row>
    <row r="6" spans="1:4" ht="15.75" customHeight="1" x14ac:dyDescent="0.25">
      <c r="A6" s="2" t="s">
        <v>192</v>
      </c>
    </row>
    <row r="7" spans="1:4" ht="15.75" customHeight="1" x14ac:dyDescent="0.25">
      <c r="A7" s="2"/>
    </row>
    <row r="8" spans="1:4" ht="15.75" customHeight="1" x14ac:dyDescent="0.25">
      <c r="A8" s="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 Main</vt:lpstr>
      <vt:lpstr>Factors</vt:lpstr>
      <vt:lpstr>Axial Force Diagram</vt:lpstr>
      <vt:lpstr>Tower Moment &amp; shear</vt:lpstr>
      <vt:lpstr>Total Dead load </vt:lpstr>
      <vt:lpstr>Notes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Yiqiu Zhang</cp:lastModifiedBy>
  <dcterms:created xsi:type="dcterms:W3CDTF">2017-04-21T02:23:35Z</dcterms:created>
  <dcterms:modified xsi:type="dcterms:W3CDTF">2017-04-21T02:37:12Z</dcterms:modified>
</cp:coreProperties>
</file>