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 Main" sheetId="1" r:id="rId3"/>
    <sheet state="visible" name="Enbankment " sheetId="2" r:id="rId4"/>
    <sheet state="visible" name="Factors" sheetId="3" r:id="rId5"/>
    <sheet state="visible" name="Axial Force Diagram" sheetId="4" r:id="rId6"/>
    <sheet state="visible" name="Tower Moment &amp; shear" sheetId="5" r:id="rId7"/>
    <sheet state="visible" name="Total Dead load " sheetId="6" r:id="rId8"/>
    <sheet state="visible" name="Notes " sheetId="7" r:id="rId9"/>
  </sheets>
  <definedNames/>
  <calcPr/>
</workbook>
</file>

<file path=xl/sharedStrings.xml><?xml version="1.0" encoding="utf-8"?>
<sst xmlns="http://schemas.openxmlformats.org/spreadsheetml/2006/main" count="284" uniqueCount="234">
  <si>
    <t xml:space="preserve">Preliminary Bridge Load Calculation </t>
  </si>
  <si>
    <t>Analyzed w/t Matlab</t>
  </si>
  <si>
    <t>Data Output</t>
  </si>
  <si>
    <t xml:space="preserve">Data to be filled in </t>
  </si>
  <si>
    <t>Discarded Data</t>
  </si>
  <si>
    <t>Load Combo</t>
  </si>
  <si>
    <t>1.2D +1.6L</t>
  </si>
  <si>
    <t>1.4D</t>
  </si>
  <si>
    <t xml:space="preserve">Tandom Point Load </t>
  </si>
  <si>
    <t>Live Load Impact Factor</t>
  </si>
  <si>
    <t>2 x 25 kip @ 4 ft per lane</t>
  </si>
  <si>
    <t>one 25 kip must be distributed to each edge girder</t>
  </si>
  <si>
    <t>for &gt; = 3 lines</t>
  </si>
  <si>
    <t>I</t>
  </si>
  <si>
    <t xml:space="preserve">Calculation sheet correction </t>
  </si>
  <si>
    <t>Design Load</t>
  </si>
  <si>
    <t xml:space="preserve">Section </t>
  </si>
  <si>
    <t xml:space="preserve">Structural Element </t>
  </si>
  <si>
    <t>Tributary Area</t>
  </si>
  <si>
    <t>Distributed Load</t>
  </si>
  <si>
    <t xml:space="preserve">deflection </t>
  </si>
  <si>
    <t>Service Load</t>
  </si>
  <si>
    <t>Moment</t>
  </si>
  <si>
    <t>Shear</t>
  </si>
  <si>
    <t xml:space="preserve">Axial </t>
  </si>
  <si>
    <t>Spacing (ft)</t>
  </si>
  <si>
    <t>Tributary Width(ft)</t>
  </si>
  <si>
    <t>Tributary Length(ft)</t>
  </si>
  <si>
    <t>Tributary Area(sq. ft)</t>
  </si>
  <si>
    <t>Depth (ft)</t>
  </si>
  <si>
    <t>Material Unit Weight (plf except concrete(pcf))</t>
  </si>
  <si>
    <t>Self Weight /Tribuary Area(kip)</t>
  </si>
  <si>
    <t>Dead Load (ksf)</t>
  </si>
  <si>
    <t>Live Load (ksf)</t>
  </si>
  <si>
    <t>Total Service Load (ksf)</t>
  </si>
  <si>
    <t>Tandom Load (kip)</t>
  </si>
  <si>
    <t>Tandom Load Location</t>
  </si>
  <si>
    <t>Converted Distributed Load (klf)</t>
  </si>
  <si>
    <t>Length Multiplication Factor</t>
  </si>
  <si>
    <t xml:space="preserve">Width Multiplication Factor </t>
  </si>
  <si>
    <t>Total Self Weight(kip)</t>
  </si>
  <si>
    <t>Maximum Moment (k-ft)</t>
  </si>
  <si>
    <t>Maximum Shear (kip)</t>
  </si>
  <si>
    <t>Compression (kip)</t>
  </si>
  <si>
    <t>LTB Moment Capacity (k-ft)</t>
  </si>
  <si>
    <t>Local Buckling Moment Capacity (k-ft)</t>
  </si>
  <si>
    <t>Sufficent?</t>
  </si>
  <si>
    <t>Shear Capacity(kip)</t>
  </si>
  <si>
    <t>Axial Capacity (</t>
  </si>
  <si>
    <t xml:space="preserve">Deck </t>
  </si>
  <si>
    <t>8" Slab</t>
  </si>
  <si>
    <t xml:space="preserve">Concrete </t>
  </si>
  <si>
    <t>-</t>
  </si>
  <si>
    <t>Pavement , needs data</t>
  </si>
  <si>
    <t>Stringers</t>
  </si>
  <si>
    <t>Steel W30x 391</t>
  </si>
  <si>
    <t xml:space="preserve">* Fill in if built-up section is used </t>
  </si>
  <si>
    <t>For 19' spacing, 5*25 kip at middle of joist for maximum moment; at one end for maximum shear</t>
  </si>
  <si>
    <t>Note A on dwg</t>
  </si>
  <si>
    <t>Girder Type 1</t>
  </si>
  <si>
    <t>Built-up: 22x4 flange, 4 x 22 web</t>
  </si>
  <si>
    <t>(75,100,75)*0.65</t>
  </si>
  <si>
    <t>@ 19', 3*25 = 75, @ 38', 4*25 = 100, @ 57' 3*25 = 75 for maximum moment; @19' 4*25 = 100, @38' 3*25 = 75', @57' 3*25 =75, for maximum shear</t>
  </si>
  <si>
    <t>Note B on dwg</t>
  </si>
  <si>
    <t>Girder Type 2 (Not Used)</t>
  </si>
  <si>
    <t>Steel W30x261</t>
  </si>
  <si>
    <t>Bottom Deck (Not Used)</t>
  </si>
  <si>
    <t xml:space="preserve">Steel 40 in x 40 in x 2.5 in </t>
  </si>
  <si>
    <t>Note C on dwg</t>
  </si>
  <si>
    <t>Edge Girder</t>
  </si>
  <si>
    <t>Box Steel HSS 5 x 4.5 x 0.75 in</t>
  </si>
  <si>
    <t>50*0.65</t>
  </si>
  <si>
    <t>2*25 = 50 at middle for maximum moment, and at one end for maximum shear</t>
  </si>
  <si>
    <t xml:space="preserve">new moment </t>
  </si>
  <si>
    <t>Allowable Deflection(in)</t>
  </si>
  <si>
    <t>Total Loading</t>
  </si>
  <si>
    <t>Dead Weight  (kip)</t>
  </si>
  <si>
    <t>Dead Load (in kip)</t>
  </si>
  <si>
    <t>Dead Load (ksf) = 10415/525/85</t>
  </si>
  <si>
    <t>P1</t>
  </si>
  <si>
    <t>not used</t>
  </si>
  <si>
    <t>Dead</t>
  </si>
  <si>
    <t>Live Load(kip)</t>
  </si>
  <si>
    <t>Live Load</t>
  </si>
  <si>
    <t>Live Load(ksf) =L20</t>
  </si>
  <si>
    <t>P2</t>
  </si>
  <si>
    <t>Live</t>
  </si>
  <si>
    <t>Total Load (kip)</t>
  </si>
  <si>
    <t>Total Load Combo</t>
  </si>
  <si>
    <t>Total Load Combo (ksf) = Total Load/525/85</t>
  </si>
  <si>
    <t xml:space="preserve">Reaction Force </t>
  </si>
  <si>
    <t>Total</t>
  </si>
  <si>
    <t>*HSS 40inx40in 2.5 in wall thickness works Mu=19800 k-ft, Code has been Uploaded -Sam</t>
  </si>
  <si>
    <t>Tandom Load per Cable(Reducted )</t>
  </si>
  <si>
    <t>Weight of Cable</t>
  </si>
  <si>
    <t>kips</t>
  </si>
  <si>
    <t>Moment of Reducted Tandom on Tower</t>
  </si>
  <si>
    <t>Tower Size (Diameter)</t>
  </si>
  <si>
    <t>18 ft (bottom)</t>
  </si>
  <si>
    <t>3 ft (top)</t>
  </si>
  <si>
    <t>Weight of Tower</t>
  </si>
  <si>
    <t>Steel Ratio</t>
  </si>
  <si>
    <t>x228/</t>
  </si>
  <si>
    <t xml:space="preserve">Concrete Material </t>
  </si>
  <si>
    <t>8 ksi</t>
  </si>
  <si>
    <t>Calc for Cable</t>
  </si>
  <si>
    <t>Plus Tandom Load</t>
  </si>
  <si>
    <t>cable</t>
  </si>
  <si>
    <t xml:space="preserve">cable </t>
  </si>
  <si>
    <t>Dimensions</t>
  </si>
  <si>
    <t>EQ load</t>
  </si>
  <si>
    <t>WS</t>
  </si>
  <si>
    <t xml:space="preserve">Steel </t>
  </si>
  <si>
    <t># Lanes</t>
  </si>
  <si>
    <t>width(ft)</t>
  </si>
  <si>
    <t>length (ft)</t>
  </si>
  <si>
    <t>50 psf</t>
  </si>
  <si>
    <t>Reduction factors</t>
  </si>
  <si>
    <t>Dynamic load allowance</t>
  </si>
  <si>
    <t>Impact Factor</t>
  </si>
  <si>
    <t>Steel section weights</t>
  </si>
  <si>
    <t>Weights (k/ft)</t>
  </si>
  <si>
    <t>Deck Joints-All Limit states</t>
  </si>
  <si>
    <t>W30*261</t>
  </si>
  <si>
    <t>Fatigue and Fracture Limit State</t>
  </si>
  <si>
    <t>W30*391</t>
  </si>
  <si>
    <t>All other limit State</t>
  </si>
  <si>
    <t>W30*200</t>
  </si>
  <si>
    <t>Live load reduction factor for all 6 lanes loaded simultaneously</t>
  </si>
  <si>
    <t>L8*8*1.125</t>
  </si>
  <si>
    <t>Material Properties</t>
  </si>
  <si>
    <t xml:space="preserve">Material </t>
  </si>
  <si>
    <t>Rho(pcf)</t>
  </si>
  <si>
    <t>Concrete</t>
  </si>
  <si>
    <t>Dead loads</t>
  </si>
  <si>
    <t>Dimension</t>
  </si>
  <si>
    <t>Material</t>
  </si>
  <si>
    <t>Section</t>
  </si>
  <si>
    <t>Structural Element</t>
  </si>
  <si>
    <t>#/deck</t>
  </si>
  <si>
    <t>total #</t>
  </si>
  <si>
    <t>Width (ft) /* Tributary Width</t>
  </si>
  <si>
    <t>Length(ft)</t>
  </si>
  <si>
    <t>Volume(cu. ft)</t>
  </si>
  <si>
    <t>Self Weight(kip)</t>
  </si>
  <si>
    <t>Tributary Area/ element(sq. ft)</t>
  </si>
  <si>
    <t>Total Dead Load(kip)</t>
  </si>
  <si>
    <t>Total Load(kip)</t>
  </si>
  <si>
    <t>Distributed Load(klp)</t>
  </si>
  <si>
    <t>12 ft / joist</t>
  </si>
  <si>
    <t>Reinforcement (Note 1)</t>
  </si>
  <si>
    <t>TBD</t>
  </si>
  <si>
    <t>NA</t>
  </si>
  <si>
    <t>Steel</t>
  </si>
  <si>
    <t>Joists</t>
  </si>
  <si>
    <t>Girders</t>
  </si>
  <si>
    <t>Edge element</t>
  </si>
  <si>
    <t>Live loads</t>
  </si>
  <si>
    <t>Live load (k/f)</t>
  </si>
  <si>
    <t>Load Combinations</t>
  </si>
  <si>
    <t>Kips</t>
  </si>
  <si>
    <t>gider 1</t>
  </si>
  <si>
    <t>1.2D+1.6L</t>
  </si>
  <si>
    <t>gider 2</t>
  </si>
  <si>
    <t>gider 3</t>
  </si>
  <si>
    <t>gider 4</t>
  </si>
  <si>
    <t>gider 5</t>
  </si>
  <si>
    <t>factor</t>
  </si>
  <si>
    <t>reduction factor</t>
  </si>
  <si>
    <t>gider 6</t>
  </si>
  <si>
    <t>W14*159</t>
  </si>
  <si>
    <t>Joist</t>
  </si>
  <si>
    <t>gider 7</t>
  </si>
  <si>
    <t>Earthquake</t>
  </si>
  <si>
    <t>toal</t>
  </si>
  <si>
    <t>klf</t>
  </si>
  <si>
    <t>only dead</t>
  </si>
  <si>
    <t>girder</t>
  </si>
  <si>
    <t>self dead</t>
  </si>
  <si>
    <t>2.12 klf</t>
  </si>
  <si>
    <t>from joist (max)</t>
  </si>
  <si>
    <t>3 point load, one in middle</t>
  </si>
  <si>
    <t>h</t>
  </si>
  <si>
    <t>w</t>
  </si>
  <si>
    <t>tf</t>
  </si>
  <si>
    <t>tw</t>
  </si>
  <si>
    <t>A</t>
  </si>
  <si>
    <t>inches</t>
  </si>
  <si>
    <t>Vmax</t>
  </si>
  <si>
    <t>kips-ft</t>
  </si>
  <si>
    <t>Mmax</t>
  </si>
  <si>
    <t>joist</t>
  </si>
  <si>
    <t xml:space="preserve">Cable </t>
  </si>
  <si>
    <t>Cable Design Tension (MT) (kip)</t>
  </si>
  <si>
    <t>Cable Parameter</t>
  </si>
  <si>
    <t>Cable #</t>
  </si>
  <si>
    <t>Length (ft)</t>
  </si>
  <si>
    <t>DL</t>
  </si>
  <si>
    <t>LL(MAX)</t>
  </si>
  <si>
    <t>LL(MIN)</t>
  </si>
  <si>
    <t>Total Tension</t>
  </si>
  <si>
    <t># of Strands</t>
  </si>
  <si>
    <t>Cable Diameter(mm)</t>
  </si>
  <si>
    <t>Axial Force in Deck</t>
  </si>
  <si>
    <t>Section #</t>
  </si>
  <si>
    <t>x from left end (ft)</t>
  </si>
  <si>
    <t>Cable Tension (kip)</t>
  </si>
  <si>
    <t>Axial Compression (kip)</t>
  </si>
  <si>
    <t>Edge Girder Size (top x side x thickness, in x in x in)</t>
  </si>
  <si>
    <t>12" x 78" x 2"</t>
  </si>
  <si>
    <t>24" x 78"x 2"</t>
  </si>
  <si>
    <t xml:space="preserve">* Add tandom load at first cable </t>
  </si>
  <si>
    <t>height</t>
  </si>
  <si>
    <t>axial</t>
  </si>
  <si>
    <t>moment</t>
  </si>
  <si>
    <t>number</t>
  </si>
  <si>
    <t>after 15%</t>
  </si>
  <si>
    <t>DL Joist</t>
  </si>
  <si>
    <t>DL Girder</t>
  </si>
  <si>
    <t xml:space="preserve"># Joist </t>
  </si>
  <si>
    <t>DL(Total)Joist</t>
  </si>
  <si>
    <t>DL(total) Girder</t>
  </si>
  <si>
    <t>Total DL</t>
  </si>
  <si>
    <t>Cable DL</t>
  </si>
  <si>
    <t>Section DL</t>
  </si>
  <si>
    <t># cables (each side)</t>
  </si>
  <si>
    <t xml:space="preserve">Cable seperatio on the twoer </t>
  </si>
  <si>
    <t>Note 1</t>
  </si>
  <si>
    <t>Assume 2% reinforcment of total volume of slab</t>
  </si>
  <si>
    <t xml:space="preserve">The number of lane to number of girder ratio </t>
  </si>
  <si>
    <t>0.5-1.5 (</t>
  </si>
  <si>
    <t>Joist Spacing = joist tributary width</t>
  </si>
  <si>
    <t>Joist tributary length = adjacent girder spacing</t>
  </si>
  <si>
    <t>From center to side, number girder type 1 and type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</si>
</sst>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8">
    <font>
      <sz val="10.0"/>
      <color rgb="FF000000"/>
      <name val="Arial"/>
    </font>
    <font/>
    <font>
      <color rgb="FFFF0000"/>
    </font>
    <font>
      <b/>
    </font>
    <font>
      <i/>
    </font>
    <font>
      <color rgb="FF000000"/>
    </font>
    <font>
      <b/>
      <color rgb="FFFF0000"/>
    </font>
    <font>
      <b/>
      <sz val="24.0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2" numFmtId="0" xfId="0" applyFill="1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5" fontId="3" numFmtId="0" xfId="0" applyAlignment="1" applyFont="1">
      <alignment readingOrder="0"/>
    </xf>
    <xf borderId="0" fillId="5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3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 shrinkToFit="0" wrapText="1"/>
    </xf>
    <xf borderId="0" fillId="0" fontId="5" numFmtId="164" xfId="0" applyFont="1" applyNumberFormat="1"/>
    <xf borderId="0" fillId="0" fontId="1" numFmtId="2" xfId="0" applyFont="1" applyNumberFormat="1"/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5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2" xfId="0" applyFont="1" applyNumberFormat="1"/>
    <xf borderId="0" fillId="0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0" fontId="2" numFmtId="2" xfId="0" applyAlignment="1" applyFont="1" applyNumberFormat="1">
      <alignment readingOrder="0"/>
    </xf>
    <xf borderId="0" fillId="5" fontId="1" numFmtId="1" xfId="0" applyAlignment="1" applyFont="1" applyNumberFormat="1">
      <alignment readingOrder="0"/>
    </xf>
    <xf borderId="0" fillId="0" fontId="5" numFmtId="2" xfId="0" applyFont="1" applyNumberFormat="1"/>
    <xf borderId="0" fillId="7" fontId="1" numFmtId="0" xfId="0" applyAlignment="1" applyFill="1" applyFont="1">
      <alignment readingOrder="0"/>
    </xf>
    <xf borderId="0" fillId="7" fontId="1" numFmtId="0" xfId="0" applyFont="1"/>
    <xf borderId="1" fillId="0" fontId="3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3" fillId="2" fontId="1" numFmtId="0" xfId="0" applyBorder="1" applyFont="1"/>
    <xf borderId="3" fillId="0" fontId="1" numFmtId="0" xfId="0" applyAlignment="1" applyBorder="1" applyFont="1">
      <alignment readingOrder="0" shrinkToFit="0" wrapText="1"/>
    </xf>
    <xf borderId="3" fillId="5" fontId="3" numFmtId="164" xfId="0" applyBorder="1" applyFont="1" applyNumberFormat="1"/>
    <xf borderId="2" fillId="0" fontId="1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4" fillId="0" fontId="1" numFmtId="165" xfId="0" applyBorder="1" applyFont="1" applyNumberFormat="1"/>
    <xf borderId="5" fillId="0" fontId="3" numFmtId="0" xfId="0" applyAlignment="1" applyBorder="1" applyFont="1">
      <alignment readingOrder="0"/>
    </xf>
    <xf borderId="4" fillId="0" fontId="1" numFmtId="0" xfId="0" applyBorder="1" applyFont="1"/>
    <xf borderId="4" fillId="0" fontId="3" numFmtId="0" xfId="0" applyAlignment="1" applyBorder="1" applyFont="1">
      <alignment readingOrder="0" shrinkToFit="0" wrapText="1"/>
    </xf>
    <xf borderId="0" fillId="5" fontId="3" numFmtId="164" xfId="0" applyFont="1" applyNumberFormat="1"/>
    <xf borderId="5" fillId="0" fontId="1" numFmtId="0" xfId="0" applyAlignment="1" applyBorder="1" applyFont="1">
      <alignment readingOrder="0" shrinkToFit="0" wrapText="1"/>
    </xf>
    <xf borderId="6" fillId="0" fontId="1" numFmtId="0" xfId="0" applyBorder="1" applyFont="1"/>
    <xf borderId="6" fillId="0" fontId="3" numFmtId="0" xfId="0" applyAlignment="1" applyBorder="1" applyFont="1">
      <alignment readingOrder="0" shrinkToFit="0" wrapText="1"/>
    </xf>
    <xf borderId="7" fillId="0" fontId="1" numFmtId="2" xfId="0" applyBorder="1" applyFont="1" applyNumberFormat="1"/>
    <xf borderId="7" fillId="0" fontId="1" numFmtId="0" xfId="0" applyAlignment="1" applyBorder="1" applyFont="1">
      <alignment readingOrder="0"/>
    </xf>
    <xf borderId="7" fillId="5" fontId="3" numFmtId="164" xfId="0" applyBorder="1" applyFont="1" applyNumberFormat="1"/>
    <xf borderId="8" fillId="0" fontId="1" numFmtId="0" xfId="0" applyAlignment="1" applyBorder="1" applyFont="1">
      <alignment readingOrder="0" shrinkToFit="0" wrapText="1"/>
    </xf>
    <xf borderId="6" fillId="0" fontId="1" numFmtId="165" xfId="0" applyBorder="1" applyFont="1" applyNumberFormat="1"/>
    <xf borderId="8" fillId="0" fontId="3" numFmtId="0" xfId="0" applyAlignment="1" applyBorder="1" applyFont="1">
      <alignment readingOrder="0"/>
    </xf>
    <xf borderId="0" fillId="4" fontId="5" numFmtId="0" xfId="0" applyAlignment="1" applyFont="1">
      <alignment readingOrder="0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1" fillId="13" fontId="3" numFmtId="0" xfId="0" applyAlignment="1" applyBorder="1" applyFont="1">
      <alignment readingOrder="0"/>
    </xf>
    <xf borderId="2" fillId="13" fontId="3" numFmtId="0" xfId="0" applyAlignment="1" applyBorder="1" applyFont="1">
      <alignment readingOrder="0"/>
    </xf>
    <xf borderId="4" fillId="13" fontId="3" numFmtId="0" xfId="0" applyAlignment="1" applyBorder="1" applyFont="1">
      <alignment readingOrder="0"/>
    </xf>
    <xf borderId="5" fillId="13" fontId="1" numFmtId="0" xfId="0" applyAlignment="1" applyBorder="1" applyFont="1">
      <alignment readingOrder="0"/>
    </xf>
    <xf borderId="6" fillId="13" fontId="3" numFmtId="0" xfId="0" applyAlignment="1" applyBorder="1" applyFont="1">
      <alignment readingOrder="0"/>
    </xf>
    <xf borderId="8" fillId="13" fontId="1" numFmtId="0" xfId="0" applyAlignment="1" applyBorder="1" applyFont="1">
      <alignment readingOrder="0"/>
    </xf>
    <xf borderId="0" fillId="11" fontId="3" numFmtId="0" xfId="0" applyAlignment="1" applyFont="1">
      <alignment readingOrder="0"/>
    </xf>
    <xf borderId="0" fillId="11" fontId="3" numFmtId="0" xfId="0" applyAlignment="1" applyFont="1">
      <alignment horizontal="center" readingOrder="0"/>
    </xf>
    <xf borderId="0" fillId="11" fontId="1" numFmtId="0" xfId="0" applyAlignment="1" applyFont="1">
      <alignment horizontal="center" readingOrder="0"/>
    </xf>
    <xf borderId="0" fillId="0" fontId="1" numFmtId="165" xfId="0" applyFont="1" applyNumberFormat="1"/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11" fontId="2" numFmtId="0" xfId="0" applyAlignment="1" applyFont="1">
      <alignment readingOrder="0"/>
    </xf>
    <xf borderId="0" fillId="14" fontId="3" numFmtId="0" xfId="0" applyFill="1" applyFont="1"/>
    <xf borderId="0" fillId="0" fontId="7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5" fillId="0" fontId="1" numFmtId="0" xfId="0" applyBorder="1" applyFont="1"/>
    <xf borderId="0" fillId="0" fontId="3" numFmtId="0" xfId="0" applyAlignment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0" fillId="0" fontId="1" numFmtId="1" xfId="0" applyFont="1" applyNumberFormat="1"/>
    <xf borderId="4" fillId="0" fontId="1" numFmtId="1" xfId="0" applyBorder="1" applyFont="1" applyNumberFormat="1"/>
    <xf borderId="5" fillId="0" fontId="1" numFmtId="165" xfId="0" applyBorder="1" applyFont="1" applyNumberForma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15</xdr:row>
      <xdr:rowOff>114300</xdr:rowOff>
    </xdr:from>
    <xdr:ext cx="4324350" cy="32385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57"/>
    <col customWidth="1" min="5" max="5" width="17.14"/>
    <col customWidth="1" min="6" max="6" width="17.57"/>
    <col customWidth="1" min="7" max="7" width="21.14"/>
    <col customWidth="1" min="11" max="11" width="13.29"/>
    <col customWidth="1" min="12" max="12" width="12.57"/>
    <col customWidth="1" min="15" max="15" width="23.29"/>
  </cols>
  <sheetData>
    <row r="1">
      <c r="A1" s="1" t="s">
        <v>0</v>
      </c>
    </row>
    <row r="2">
      <c r="A2" s="2"/>
      <c r="B2" s="2"/>
      <c r="C2" s="2"/>
    </row>
    <row r="3">
      <c r="A3" s="3"/>
      <c r="B3" s="4"/>
      <c r="C3" s="3"/>
    </row>
    <row r="4">
      <c r="A4" s="2"/>
      <c r="B4" s="3"/>
      <c r="C4" s="3"/>
    </row>
    <row r="5">
      <c r="A5" s="5"/>
      <c r="B5" s="1" t="s">
        <v>1</v>
      </c>
      <c r="C5" s="3"/>
    </row>
    <row r="6">
      <c r="A6" s="6"/>
      <c r="B6" s="1" t="s">
        <v>2</v>
      </c>
      <c r="C6" s="3"/>
    </row>
    <row r="7">
      <c r="A7" s="7"/>
      <c r="B7" s="1" t="s">
        <v>3</v>
      </c>
      <c r="C7" s="1"/>
    </row>
    <row r="8">
      <c r="A8" s="8"/>
      <c r="B8" s="1" t="s">
        <v>4</v>
      </c>
      <c r="C8" s="1"/>
      <c r="E8" s="9"/>
      <c r="F8" s="9"/>
      <c r="G8" s="9"/>
    </row>
    <row r="9">
      <c r="E9" s="1"/>
      <c r="F9" s="1"/>
      <c r="G9" s="1"/>
    </row>
    <row r="10">
      <c r="E10" s="1"/>
      <c r="F10" s="1"/>
      <c r="G10" s="1"/>
    </row>
    <row r="11">
      <c r="A11" s="9" t="s">
        <v>5</v>
      </c>
      <c r="B11" s="1" t="s">
        <v>6</v>
      </c>
    </row>
    <row r="12">
      <c r="B12" s="1" t="s">
        <v>7</v>
      </c>
    </row>
    <row r="14">
      <c r="H14" s="1"/>
      <c r="I14" s="10"/>
    </row>
    <row r="15">
      <c r="A15" s="9"/>
      <c r="B15" s="11"/>
      <c r="C15" s="9" t="s">
        <v>8</v>
      </c>
      <c r="H15" s="9" t="s">
        <v>9</v>
      </c>
    </row>
    <row r="16">
      <c r="A16" s="9"/>
      <c r="B16" s="9"/>
      <c r="C16" s="1" t="s">
        <v>10</v>
      </c>
      <c r="E16" s="1" t="s">
        <v>11</v>
      </c>
      <c r="H16" s="1">
        <v>0.65</v>
      </c>
      <c r="I16" s="12" t="s">
        <v>12</v>
      </c>
      <c r="M16">
        <f>L20*85</f>
        <v>2.496</v>
      </c>
      <c r="O16" s="1" t="s">
        <v>13</v>
      </c>
      <c r="P16">
        <f>12*(8/12)^3*30</f>
        <v>106.6666667</v>
      </c>
      <c r="Q16">
        <f>525/30</f>
        <v>17.5</v>
      </c>
    </row>
    <row r="17">
      <c r="A17" s="1" t="s">
        <v>14</v>
      </c>
      <c r="F17">
        <f>525/2.5</f>
        <v>210</v>
      </c>
      <c r="W17" s="9" t="s">
        <v>15</v>
      </c>
    </row>
    <row r="18">
      <c r="A18" s="9" t="s">
        <v>16</v>
      </c>
      <c r="B18" s="9" t="s">
        <v>17</v>
      </c>
      <c r="E18" s="9" t="s">
        <v>18</v>
      </c>
      <c r="K18" s="9" t="s">
        <v>19</v>
      </c>
      <c r="O18" s="13" t="s">
        <v>20</v>
      </c>
      <c r="P18">
        <f>5/384/(36000*144)/107*P20*19^4*12</f>
        <v>0.0005210485854</v>
      </c>
      <c r="Q18">
        <f>30*12/20</f>
        <v>18</v>
      </c>
      <c r="T18" s="9" t="s">
        <v>21</v>
      </c>
      <c r="W18" s="9" t="s">
        <v>22</v>
      </c>
      <c r="Y18" s="9"/>
      <c r="Z18" s="9" t="s">
        <v>23</v>
      </c>
      <c r="AB18" s="1" t="s">
        <v>24</v>
      </c>
    </row>
    <row r="19">
      <c r="D19" s="14" t="s">
        <v>25</v>
      </c>
      <c r="E19" s="9" t="s">
        <v>26</v>
      </c>
      <c r="F19" s="14" t="s">
        <v>27</v>
      </c>
      <c r="G19" s="9" t="s">
        <v>28</v>
      </c>
      <c r="H19" s="9" t="s">
        <v>29</v>
      </c>
      <c r="I19" s="15" t="s">
        <v>30</v>
      </c>
      <c r="J19" s="16" t="s">
        <v>31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36</v>
      </c>
      <c r="P19" s="16" t="s">
        <v>37</v>
      </c>
      <c r="Q19" s="16" t="s">
        <v>38</v>
      </c>
      <c r="R19" s="15" t="s">
        <v>39</v>
      </c>
      <c r="S19" s="16" t="s">
        <v>40</v>
      </c>
      <c r="T19" s="16" t="s">
        <v>41</v>
      </c>
      <c r="U19" s="16" t="s">
        <v>42</v>
      </c>
      <c r="V19" s="16" t="s">
        <v>43</v>
      </c>
      <c r="W19" s="17" t="s">
        <v>44</v>
      </c>
      <c r="X19" s="17" t="s">
        <v>45</v>
      </c>
      <c r="Y19" s="18" t="s">
        <v>46</v>
      </c>
      <c r="Z19" s="17" t="s">
        <v>47</v>
      </c>
      <c r="AA19" s="19" t="s">
        <v>46</v>
      </c>
      <c r="AB19" s="1" t="s">
        <v>48</v>
      </c>
    </row>
    <row r="20">
      <c r="A20" s="1" t="s">
        <v>49</v>
      </c>
      <c r="B20" s="1" t="s">
        <v>50</v>
      </c>
      <c r="C20" s="1" t="s">
        <v>51</v>
      </c>
      <c r="D20" s="20" t="s">
        <v>52</v>
      </c>
      <c r="E20" s="1">
        <v>85.0</v>
      </c>
      <c r="F20" s="20">
        <v>525.0</v>
      </c>
      <c r="G20">
        <f>E20*F20</f>
        <v>44625</v>
      </c>
      <c r="H20">
        <f>8/12</f>
        <v>0.6666666667</v>
      </c>
      <c r="I20" s="20">
        <v>150.0</v>
      </c>
      <c r="J20">
        <f>G20*H20*I20/1000</f>
        <v>4462.5</v>
      </c>
      <c r="K20" s="21">
        <f>J20/G20</f>
        <v>0.1</v>
      </c>
      <c r="L20" s="22">
        <f>0.64*6/85*0.65</f>
        <v>0.02936470588</v>
      </c>
      <c r="M20" s="21">
        <f> MAX(1.2*K20+1.6*L20,1.4*K20)</f>
        <v>0.1669835294</v>
      </c>
      <c r="N20" s="1" t="s">
        <v>52</v>
      </c>
      <c r="O20" s="1"/>
      <c r="P20" s="1">
        <f>M20*E20</f>
        <v>14.1936</v>
      </c>
      <c r="Q20" s="1">
        <f> 525/F20</f>
        <v>1</v>
      </c>
      <c r="R20" s="20">
        <f>85/E20</f>
        <v>1</v>
      </c>
      <c r="S20">
        <f>J20*Q20*R20</f>
        <v>4462.5</v>
      </c>
      <c r="W20" s="5"/>
      <c r="X20" s="5"/>
      <c r="Y20" s="6"/>
      <c r="Z20" s="5"/>
      <c r="AA20" s="6"/>
    </row>
    <row r="21">
      <c r="A21" s="1" t="s">
        <v>49</v>
      </c>
      <c r="B21" s="1" t="s">
        <v>53</v>
      </c>
      <c r="D21" s="7"/>
      <c r="F21" s="7"/>
      <c r="I21" s="7"/>
      <c r="K21" s="21"/>
      <c r="L21" s="22"/>
      <c r="M21" s="21"/>
      <c r="N21" s="1"/>
      <c r="O21" s="1"/>
      <c r="P21" s="1"/>
      <c r="Q21" s="1"/>
      <c r="R21" s="20"/>
      <c r="W21" s="5"/>
      <c r="X21" s="5"/>
      <c r="Y21" s="6"/>
      <c r="Z21" s="5"/>
      <c r="AA21" s="6"/>
    </row>
    <row r="22">
      <c r="A22" s="23" t="s">
        <v>49</v>
      </c>
      <c r="B22" s="23" t="s">
        <v>54</v>
      </c>
      <c r="C22" s="1" t="s">
        <v>55</v>
      </c>
      <c r="D22" s="24">
        <v>14.0</v>
      </c>
      <c r="E22" s="23">
        <f>D22</f>
        <v>14</v>
      </c>
      <c r="F22" s="24">
        <v>30.0</v>
      </c>
      <c r="G22" s="25">
        <f t="shared" ref="G22:G26" si="1">E22*F22</f>
        <v>420</v>
      </c>
      <c r="H22" s="26" t="s">
        <v>56</v>
      </c>
      <c r="I22" s="24">
        <v>391.0</v>
      </c>
      <c r="J22" s="25">
        <f t="shared" ref="J22:J26" si="2">I22*F22/1000</f>
        <v>11.73</v>
      </c>
      <c r="K22" s="27">
        <f>J22/G22+K20</f>
        <v>0.1279285714</v>
      </c>
      <c r="L22" s="22">
        <f t="shared" ref="L22:L26" si="3">0.64*6/85*0.65</f>
        <v>0.02936470588</v>
      </c>
      <c r="M22" s="27">
        <f t="shared" ref="M22:M26" si="4"> MAX(1.2*K22+1.6*L22,1.4*K22)</f>
        <v>0.2004978151</v>
      </c>
      <c r="N22" s="23">
        <f>25*5*0.65</f>
        <v>81.25</v>
      </c>
      <c r="O22" s="26" t="s">
        <v>57</v>
      </c>
      <c r="P22" s="23">
        <f t="shared" ref="P22:P26" si="5">M22*E22</f>
        <v>2.806969412</v>
      </c>
      <c r="Q22" s="23">
        <f> round(525/F22,0)</f>
        <v>18</v>
      </c>
      <c r="R22" s="24">
        <v>5.0</v>
      </c>
      <c r="S22" s="25">
        <f t="shared" ref="S22:S23" si="6">J22*Q22*R22</f>
        <v>1055.7</v>
      </c>
      <c r="T22" s="28">
        <f>1/8*P22*F22^2+N22*F22/2</f>
        <v>1534.534059</v>
      </c>
      <c r="U22" s="28">
        <f>1/2*P22*F22+N22</f>
        <v>123.3545412</v>
      </c>
      <c r="V22" s="25"/>
      <c r="W22" s="29">
        <v>5026.3</v>
      </c>
      <c r="X22" s="29">
        <v>6041.7</v>
      </c>
      <c r="Y22" s="30" t="str">
        <f t="shared" ref="Y22:Y26" si="7">if(min(W22,X22)&gt;T22,"Yes", "No")</f>
        <v>Yes</v>
      </c>
      <c r="Z22" s="29">
        <v>1280.3</v>
      </c>
      <c r="AA22" s="6" t="str">
        <f t="shared" ref="AA22:AA26" si="8">if(Z22&gt;U22,"Yes","No")</f>
        <v>Yes</v>
      </c>
      <c r="AB22" s="25"/>
      <c r="AC22" s="25"/>
    </row>
    <row r="23">
      <c r="A23" s="1" t="s">
        <v>58</v>
      </c>
      <c r="B23" s="1" t="s">
        <v>59</v>
      </c>
      <c r="C23" s="26" t="s">
        <v>60</v>
      </c>
      <c r="D23" s="20">
        <v>30.0</v>
      </c>
      <c r="E23" s="1">
        <v>30.0</v>
      </c>
      <c r="F23" s="20">
        <v>85.0</v>
      </c>
      <c r="G23">
        <f t="shared" si="1"/>
        <v>2550</v>
      </c>
      <c r="H23" s="31" t="s">
        <v>56</v>
      </c>
      <c r="I23" s="20">
        <v>898.33</v>
      </c>
      <c r="J23">
        <f t="shared" si="2"/>
        <v>76.35805</v>
      </c>
      <c r="K23" s="21">
        <f>J23/G23+K22</f>
        <v>0.1578729048</v>
      </c>
      <c r="L23" s="22">
        <f t="shared" si="3"/>
        <v>0.02936470588</v>
      </c>
      <c r="M23" s="21">
        <f t="shared" si="4"/>
        <v>0.2364310151</v>
      </c>
      <c r="N23" s="1" t="s">
        <v>61</v>
      </c>
      <c r="O23" s="31" t="s">
        <v>62</v>
      </c>
      <c r="P23" s="1">
        <f t="shared" si="5"/>
        <v>7.092930454</v>
      </c>
      <c r="Q23" s="1">
        <f> 1</f>
        <v>1</v>
      </c>
      <c r="R23" s="20">
        <v>17.0</v>
      </c>
      <c r="S23" s="25">
        <f t="shared" si="6"/>
        <v>1298.08685</v>
      </c>
      <c r="T23" s="28">
        <f>1/8*P23*F23^2+0.65*25*(1.5+8+1.5+12+1.5+12+8+1.5+12+12+1.5+12+12+8+1.5+12+12+12)</f>
        <v>8697.052816</v>
      </c>
      <c r="U23" s="28">
        <f>1/2*P23*F23+1/76*(4*25*19*3+3*25*19*2+3*25*19)*0.65</f>
        <v>386.7620443</v>
      </c>
      <c r="V23" s="32" t="s">
        <v>52</v>
      </c>
      <c r="W23" s="29">
        <v>8736.0</v>
      </c>
      <c r="X23" s="29">
        <v>20000.0</v>
      </c>
      <c r="Y23" s="30" t="str">
        <f t="shared" si="7"/>
        <v>Yes</v>
      </c>
      <c r="Z23" s="29">
        <v>1280.3</v>
      </c>
      <c r="AA23" s="6" t="str">
        <f t="shared" si="8"/>
        <v>Yes</v>
      </c>
    </row>
    <row r="24">
      <c r="A24" s="10" t="s">
        <v>63</v>
      </c>
      <c r="B24" s="10" t="s">
        <v>64</v>
      </c>
      <c r="C24" s="10" t="s">
        <v>65</v>
      </c>
      <c r="D24" s="33">
        <v>19.0</v>
      </c>
      <c r="E24" s="34">
        <f t="shared" ref="E24:E25" si="9">D24</f>
        <v>19</v>
      </c>
      <c r="F24" s="33">
        <v>25.0</v>
      </c>
      <c r="G24" s="34">
        <f t="shared" si="1"/>
        <v>475</v>
      </c>
      <c r="H24" s="35" t="s">
        <v>56</v>
      </c>
      <c r="I24" s="33">
        <v>261.0</v>
      </c>
      <c r="J24" s="34">
        <f t="shared" si="2"/>
        <v>6.525</v>
      </c>
      <c r="K24" s="36">
        <f>J24/G24+K20</f>
        <v>0.1137368421</v>
      </c>
      <c r="L24" s="37">
        <f t="shared" si="3"/>
        <v>0.02936470588</v>
      </c>
      <c r="M24" s="36">
        <f t="shared" si="4"/>
        <v>0.1834677399</v>
      </c>
      <c r="N24" s="10"/>
      <c r="O24" s="10"/>
      <c r="P24" s="10">
        <f t="shared" si="5"/>
        <v>3.485887059</v>
      </c>
      <c r="Q24" s="10">
        <f> 525/F24</f>
        <v>21</v>
      </c>
      <c r="R24" s="33">
        <v>2.0</v>
      </c>
      <c r="S24" s="10">
        <v>0.0</v>
      </c>
      <c r="T24" s="38">
        <f>1/8*P24*F24^2</f>
        <v>272.3349265</v>
      </c>
      <c r="U24" s="38">
        <f>1/2*P24*F24</f>
        <v>43.57358824</v>
      </c>
      <c r="V24" s="39" t="s">
        <v>52</v>
      </c>
      <c r="W24" s="40">
        <v>3184.0</v>
      </c>
      <c r="X24" s="40">
        <v>3929.0</v>
      </c>
      <c r="Y24" s="41" t="str">
        <f t="shared" si="7"/>
        <v>Yes</v>
      </c>
      <c r="Z24" s="40">
        <v>831.0</v>
      </c>
      <c r="AA24" s="42" t="str">
        <f t="shared" si="8"/>
        <v>Yes</v>
      </c>
      <c r="AB24" s="34"/>
      <c r="AC24" s="34"/>
      <c r="AE24" s="34"/>
      <c r="AF24" s="34"/>
      <c r="AG24" s="34"/>
      <c r="AH24" s="34"/>
    </row>
    <row r="25">
      <c r="A25" s="10" t="s">
        <v>49</v>
      </c>
      <c r="B25" s="10" t="s">
        <v>66</v>
      </c>
      <c r="C25" s="35" t="s">
        <v>67</v>
      </c>
      <c r="D25" s="33">
        <v>12.5</v>
      </c>
      <c r="E25" s="34">
        <f t="shared" si="9"/>
        <v>12.5</v>
      </c>
      <c r="F25" s="33">
        <v>85.0</v>
      </c>
      <c r="G25" s="34">
        <f t="shared" si="1"/>
        <v>1062.5</v>
      </c>
      <c r="H25" s="35" t="s">
        <v>56</v>
      </c>
      <c r="I25" s="33">
        <f>490*(40/12*40/12-(40-2*2.5)/12*(40-2*2.5)/12)</f>
        <v>1276.041667</v>
      </c>
      <c r="J25" s="34">
        <f t="shared" si="2"/>
        <v>108.4635417</v>
      </c>
      <c r="K25" s="36">
        <f>J25/G25+J23/G23+2*J24/G24+K20</f>
        <v>0.2595013509</v>
      </c>
      <c r="L25" s="37">
        <f t="shared" si="3"/>
        <v>0.02936470588</v>
      </c>
      <c r="M25" s="36">
        <f t="shared" si="4"/>
        <v>0.3633018912</v>
      </c>
      <c r="N25" s="10"/>
      <c r="O25" s="10"/>
      <c r="P25" s="10">
        <f t="shared" si="5"/>
        <v>4.54127364</v>
      </c>
      <c r="Q25" s="10">
        <f> 85/F25</f>
        <v>1</v>
      </c>
      <c r="R25" s="33">
        <f>525/D25</f>
        <v>42</v>
      </c>
      <c r="S25" s="43">
        <v>0.0</v>
      </c>
      <c r="T25" s="38">
        <f>(85/2-D24)*(0.5)*(P23*D25+2*P24*D25)+0.5*P23*D25*D23</f>
        <v>3395.677944</v>
      </c>
      <c r="U25" s="38">
        <f>1/2*(P23+2*P24)*D25</f>
        <v>87.90440357</v>
      </c>
      <c r="V25" s="39" t="s">
        <v>52</v>
      </c>
      <c r="W25" s="40" t="s">
        <v>52</v>
      </c>
      <c r="X25" s="40">
        <f>19804</f>
        <v>19804</v>
      </c>
      <c r="Y25" s="41" t="str">
        <f t="shared" si="7"/>
        <v>Yes</v>
      </c>
      <c r="Z25" s="40" t="s">
        <v>52</v>
      </c>
      <c r="AA25" s="42" t="str">
        <f t="shared" si="8"/>
        <v>Yes</v>
      </c>
      <c r="AB25" s="34"/>
      <c r="AC25" s="34"/>
      <c r="AE25" s="34"/>
      <c r="AF25" s="34"/>
      <c r="AG25" s="34"/>
      <c r="AH25" s="34"/>
    </row>
    <row r="26">
      <c r="A26" s="1" t="s">
        <v>68</v>
      </c>
      <c r="B26" s="1" t="s">
        <v>69</v>
      </c>
      <c r="C26" s="31" t="s">
        <v>70</v>
      </c>
      <c r="D26" s="20" t="s">
        <v>52</v>
      </c>
      <c r="E26">
        <f>85/2</f>
        <v>42.5</v>
      </c>
      <c r="F26" s="20">
        <v>30.0</v>
      </c>
      <c r="G26">
        <f t="shared" si="1"/>
        <v>1275</v>
      </c>
      <c r="I26" s="44">
        <v>1134.0</v>
      </c>
      <c r="J26">
        <f t="shared" si="2"/>
        <v>34.02</v>
      </c>
      <c r="K26" s="21">
        <f>J26/G26+K23</f>
        <v>0.1845552577</v>
      </c>
      <c r="L26" s="22">
        <f t="shared" si="3"/>
        <v>0.02936470588</v>
      </c>
      <c r="M26" s="21">
        <f t="shared" si="4"/>
        <v>0.2684498387</v>
      </c>
      <c r="N26" s="1" t="s">
        <v>71</v>
      </c>
      <c r="O26" s="31" t="s">
        <v>72</v>
      </c>
      <c r="P26" s="1">
        <f t="shared" si="5"/>
        <v>11.40911814</v>
      </c>
      <c r="Q26" s="1">
        <f> 525/F26</f>
        <v>17.5</v>
      </c>
      <c r="R26" s="20">
        <v>2.0</v>
      </c>
      <c r="S26" s="45">
        <f>J26*Q26*R26</f>
        <v>1190.7</v>
      </c>
      <c r="T26" s="28">
        <f>0.5*(2*X30-P26*30/(30/D25))*D25</f>
        <v>2668.039535</v>
      </c>
      <c r="U26" s="28">
        <f>1/2*P26*F26+(U23+50)</f>
        <v>607.8988164</v>
      </c>
      <c r="V26">
        <f>S30*3/2</f>
        <v>17557.53633</v>
      </c>
      <c r="W26" s="5"/>
      <c r="X26" s="29">
        <v>11907.0</v>
      </c>
      <c r="Y26" s="30" t="str">
        <f t="shared" si="7"/>
        <v>Yes</v>
      </c>
      <c r="Z26" s="29" t="s">
        <v>52</v>
      </c>
      <c r="AA26" s="6" t="str">
        <f t="shared" si="8"/>
        <v>Yes</v>
      </c>
      <c r="AB26" s="1">
        <v>263300.0</v>
      </c>
      <c r="AC26" t="str">
        <f>if(AB26&gt;V26,"Yes","No")</f>
        <v>Yes</v>
      </c>
    </row>
    <row r="27">
      <c r="L27" s="22"/>
      <c r="S27" s="46" t="s">
        <v>73</v>
      </c>
      <c r="T27" s="47">
        <f>1/8*P26*F26^2</f>
        <v>1283.525791</v>
      </c>
      <c r="Z27" s="48" t="s">
        <v>74</v>
      </c>
      <c r="AA27" s="49"/>
    </row>
    <row r="28">
      <c r="B28" s="10"/>
      <c r="G28">
        <f>G26*M26</f>
        <v>342.2735443</v>
      </c>
      <c r="M28">
        <f>M26*85</f>
        <v>22.81823629</v>
      </c>
      <c r="N28">
        <f>M28*30</f>
        <v>684.5470886</v>
      </c>
      <c r="Q28" s="50" t="s">
        <v>75</v>
      </c>
      <c r="R28" s="48" t="s">
        <v>76</v>
      </c>
      <c r="S28" s="51">
        <f>sum(S20:S26)</f>
        <v>8006.98685</v>
      </c>
      <c r="T28" s="52" t="s">
        <v>77</v>
      </c>
      <c r="U28" s="53">
        <f>S28/525/85</f>
        <v>0.1794282768</v>
      </c>
      <c r="V28" s="54" t="s">
        <v>78</v>
      </c>
      <c r="W28" s="55" t="s">
        <v>79</v>
      </c>
      <c r="X28" s="34">
        <f>P23*D25</f>
        <v>88.66163067</v>
      </c>
      <c r="Y28" s="1" t="s">
        <v>80</v>
      </c>
      <c r="Z28" s="56">
        <f>Z30*S28/(S28+S29)</f>
        <v>27.06983083</v>
      </c>
      <c r="AA28" s="57" t="s">
        <v>81</v>
      </c>
    </row>
    <row r="29">
      <c r="B29" s="10"/>
      <c r="Q29" s="58"/>
      <c r="R29" s="59" t="s">
        <v>82</v>
      </c>
      <c r="S29">
        <f>L20*525*85</f>
        <v>1310.4</v>
      </c>
      <c r="T29" s="1" t="s">
        <v>83</v>
      </c>
      <c r="U29" s="60">
        <f>L20</f>
        <v>0.02936470588</v>
      </c>
      <c r="V29" s="61" t="s">
        <v>84</v>
      </c>
      <c r="W29" s="55" t="s">
        <v>85</v>
      </c>
      <c r="X29" s="34">
        <f>P24*D25</f>
        <v>43.57358824</v>
      </c>
      <c r="Y29" s="1" t="s">
        <v>80</v>
      </c>
      <c r="Z29" s="56">
        <f>Z30*S29/(S29+S28)</f>
        <v>4.430169173</v>
      </c>
      <c r="AA29" s="57" t="s">
        <v>86</v>
      </c>
    </row>
    <row r="30">
      <c r="B30" s="10"/>
      <c r="N30">
        <f>S30/17</f>
        <v>688.5308365</v>
      </c>
      <c r="Q30" s="62"/>
      <c r="R30" s="63" t="s">
        <v>87</v>
      </c>
      <c r="S30" s="64">
        <f>max(1.2*S28+1.6*S29,1.4*S28)</f>
        <v>11705.02422</v>
      </c>
      <c r="T30" s="65" t="s">
        <v>88</v>
      </c>
      <c r="U30" s="66">
        <f>S30/525/85</f>
        <v>0.2622974615</v>
      </c>
      <c r="V30" s="67" t="s">
        <v>89</v>
      </c>
      <c r="W30" s="55" t="s">
        <v>90</v>
      </c>
      <c r="X30" s="34">
        <f>0.5*(2*X29+X28+25*P26+J25)</f>
        <v>284.7501512</v>
      </c>
      <c r="Y30" s="1" t="s">
        <v>80</v>
      </c>
      <c r="Z30" s="68">
        <f>525/200*12</f>
        <v>31.5</v>
      </c>
      <c r="AA30" s="69" t="s">
        <v>91</v>
      </c>
    </row>
    <row r="31">
      <c r="B31" s="10"/>
      <c r="S31">
        <f>S30/17</f>
        <v>688.5308365</v>
      </c>
    </row>
    <row r="32">
      <c r="S32">
        <f>S30/85</f>
        <v>137.7061673</v>
      </c>
      <c r="U32">
        <f>U30*85*30/2*sqrt(1+2.5^2)</f>
        <v>900.4783499</v>
      </c>
    </row>
    <row r="33">
      <c r="B33" s="1" t="s">
        <v>92</v>
      </c>
      <c r="S33">
        <f>20.1*25*sqrt(1+2.5^2)</f>
        <v>1353.022658</v>
      </c>
      <c r="Y33" s="9" t="s">
        <v>93</v>
      </c>
    </row>
    <row r="34">
      <c r="U34" s="30" t="s">
        <v>94</v>
      </c>
      <c r="V34" s="30">
        <v>136.59</v>
      </c>
      <c r="W34" s="70" t="s">
        <v>95</v>
      </c>
      <c r="X34" s="10"/>
      <c r="Y34">
        <f>150*0.65</f>
        <v>97.5</v>
      </c>
      <c r="Z34">
        <f>Y34/30*2.5</f>
        <v>8.125</v>
      </c>
      <c r="AA34" s="9" t="s">
        <v>96</v>
      </c>
    </row>
    <row r="35">
      <c r="B35" s="1" t="s">
        <v>97</v>
      </c>
      <c r="C35" s="1" t="s">
        <v>98</v>
      </c>
      <c r="D35" s="1"/>
      <c r="E35" s="1" t="s">
        <v>99</v>
      </c>
      <c r="U35" s="30" t="s">
        <v>100</v>
      </c>
      <c r="V35" s="30">
        <v>2086.65</v>
      </c>
      <c r="W35" s="70" t="s">
        <v>95</v>
      </c>
    </row>
    <row r="36">
      <c r="B36" s="1" t="s">
        <v>101</v>
      </c>
      <c r="C36" s="1">
        <v>0.02</v>
      </c>
      <c r="W36" s="1" t="s">
        <v>102</v>
      </c>
    </row>
    <row r="37">
      <c r="B37" s="1" t="s">
        <v>103</v>
      </c>
      <c r="C37" s="1" t="s">
        <v>104</v>
      </c>
      <c r="T37" s="1" t="s">
        <v>105</v>
      </c>
      <c r="U37">
        <f>U30*85/2</f>
        <v>11.14764211</v>
      </c>
      <c r="V37">
        <f>U37*2.5</f>
        <v>27.86910529</v>
      </c>
      <c r="W37">
        <f>V37*228/8</f>
        <v>794.2695006</v>
      </c>
    </row>
    <row r="38">
      <c r="Q38" s="1" t="s">
        <v>106</v>
      </c>
    </row>
    <row r="39">
      <c r="O39" s="1" t="s">
        <v>107</v>
      </c>
      <c r="P39">
        <f>S30/525*30/2</f>
        <v>334.4292634</v>
      </c>
      <c r="Q39">
        <f>P39+0.65*3*25</f>
        <v>383.1792634</v>
      </c>
      <c r="T39" s="1" t="s">
        <v>108</v>
      </c>
      <c r="U39" s="1">
        <v>7972.0</v>
      </c>
    </row>
  </sheetData>
  <mergeCells count="1">
    <mergeCell ref="Q28:Q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52.57"/>
    <col customWidth="1" min="3" max="3" width="20.14"/>
    <col customWidth="1" min="4" max="5" width="22.86"/>
    <col customWidth="1" min="6" max="6" width="26.57"/>
    <col customWidth="1" min="7" max="7" width="18.71"/>
    <col customWidth="1" min="9" max="9" width="21.14"/>
    <col customWidth="1" min="10" max="10" width="21.57"/>
    <col customWidth="1" min="11" max="11" width="27.43"/>
    <col customWidth="1" min="12" max="12" width="20.0"/>
    <col customWidth="1" min="13" max="13" width="19.86"/>
  </cols>
  <sheetData>
    <row r="1">
      <c r="A1" s="71"/>
      <c r="B1" s="72" t="s">
        <v>109</v>
      </c>
      <c r="C1" s="72"/>
      <c r="G1" s="1" t="s">
        <v>110</v>
      </c>
      <c r="H1" s="1" t="s">
        <v>111</v>
      </c>
      <c r="I1" s="1"/>
      <c r="J1" s="1" t="s">
        <v>112</v>
      </c>
    </row>
    <row r="2">
      <c r="A2" s="72" t="s">
        <v>113</v>
      </c>
      <c r="B2" s="72" t="s">
        <v>114</v>
      </c>
      <c r="C2" s="72" t="s">
        <v>115</v>
      </c>
      <c r="G2" s="73">
        <v>0.15</v>
      </c>
      <c r="H2" s="1" t="s">
        <v>116</v>
      </c>
    </row>
    <row r="3">
      <c r="A3" s="72">
        <v>6.0</v>
      </c>
      <c r="B3" s="72">
        <v>85.0</v>
      </c>
      <c r="C3" s="72">
        <v>525.0</v>
      </c>
    </row>
    <row r="4">
      <c r="A4" s="71"/>
      <c r="B4" s="72"/>
      <c r="C4" s="72"/>
    </row>
    <row r="5">
      <c r="A5" s="9" t="s">
        <v>117</v>
      </c>
      <c r="B5" s="1"/>
    </row>
    <row r="6">
      <c r="A6" s="74"/>
      <c r="B6" s="74" t="s">
        <v>118</v>
      </c>
      <c r="C6" s="74" t="s">
        <v>119</v>
      </c>
      <c r="G6" s="75" t="s">
        <v>120</v>
      </c>
      <c r="H6" s="75" t="s">
        <v>121</v>
      </c>
    </row>
    <row r="7">
      <c r="A7" s="74"/>
      <c r="B7" s="74" t="s">
        <v>122</v>
      </c>
      <c r="C7" s="74">
        <v>0.75</v>
      </c>
      <c r="G7" s="75" t="s">
        <v>123</v>
      </c>
      <c r="H7" s="75">
        <v>0.261</v>
      </c>
    </row>
    <row r="8">
      <c r="A8" s="74"/>
      <c r="B8" s="74" t="s">
        <v>124</v>
      </c>
      <c r="C8" s="74">
        <v>0.15</v>
      </c>
      <c r="G8" s="75" t="s">
        <v>125</v>
      </c>
      <c r="H8" s="75">
        <v>0.391</v>
      </c>
    </row>
    <row r="9">
      <c r="A9" s="74"/>
      <c r="B9" s="74" t="s">
        <v>126</v>
      </c>
      <c r="C9" s="74">
        <v>0.33</v>
      </c>
      <c r="G9" s="75" t="s">
        <v>127</v>
      </c>
      <c r="H9" s="76">
        <f>200/1000</f>
        <v>0.2</v>
      </c>
    </row>
    <row r="10">
      <c r="A10" s="77"/>
      <c r="B10" s="78" t="s">
        <v>128</v>
      </c>
      <c r="C10" s="78">
        <v>0.65</v>
      </c>
      <c r="G10" s="75" t="s">
        <v>129</v>
      </c>
      <c r="H10" s="75">
        <f>56.9/1000</f>
        <v>0.0569</v>
      </c>
    </row>
    <row r="11">
      <c r="A11" s="79" t="s">
        <v>130</v>
      </c>
      <c r="C11" s="79"/>
      <c r="I11" s="1"/>
    </row>
    <row r="12">
      <c r="A12" s="80"/>
      <c r="B12" s="81" t="s">
        <v>131</v>
      </c>
      <c r="C12" s="82" t="s">
        <v>132</v>
      </c>
      <c r="I12" s="1"/>
    </row>
    <row r="13">
      <c r="A13" s="80"/>
      <c r="B13" s="83" t="s">
        <v>133</v>
      </c>
      <c r="C13" s="84">
        <v>150.0</v>
      </c>
      <c r="I13" s="1"/>
      <c r="J13">
        <f>525/16</f>
        <v>32.8125</v>
      </c>
    </row>
    <row r="14">
      <c r="A14" s="80"/>
      <c r="B14" s="85" t="s">
        <v>112</v>
      </c>
      <c r="C14" s="86">
        <v>490.0</v>
      </c>
    </row>
    <row r="17">
      <c r="A17" s="87" t="s">
        <v>134</v>
      </c>
      <c r="B17" s="77"/>
      <c r="C17" s="87" t="s">
        <v>135</v>
      </c>
      <c r="D17" s="77"/>
      <c r="E17" s="77"/>
      <c r="F17" s="77"/>
      <c r="G17" s="77"/>
      <c r="H17" s="77"/>
      <c r="I17" s="77"/>
      <c r="J17" s="78"/>
    </row>
    <row r="18">
      <c r="A18" s="87" t="s">
        <v>136</v>
      </c>
      <c r="B18" s="87" t="s">
        <v>137</v>
      </c>
      <c r="C18" s="87" t="s">
        <v>138</v>
      </c>
      <c r="D18" s="87" t="s">
        <v>139</v>
      </c>
      <c r="E18" s="87" t="s">
        <v>140</v>
      </c>
      <c r="F18" s="87" t="s">
        <v>141</v>
      </c>
      <c r="G18" s="87" t="s">
        <v>142</v>
      </c>
      <c r="H18" s="87" t="s">
        <v>143</v>
      </c>
      <c r="I18" s="87" t="s">
        <v>144</v>
      </c>
      <c r="J18" s="88" t="s">
        <v>25</v>
      </c>
      <c r="K18" s="9" t="s">
        <v>145</v>
      </c>
      <c r="L18" s="9" t="s">
        <v>146</v>
      </c>
      <c r="M18" s="9" t="s">
        <v>82</v>
      </c>
      <c r="N18" s="9" t="s">
        <v>147</v>
      </c>
      <c r="O18" s="9" t="s">
        <v>148</v>
      </c>
    </row>
    <row r="19">
      <c r="A19" s="87" t="s">
        <v>133</v>
      </c>
      <c r="B19" s="78" t="s">
        <v>49</v>
      </c>
      <c r="C19" s="78" t="s">
        <v>50</v>
      </c>
      <c r="D19" s="78" t="s">
        <v>52</v>
      </c>
      <c r="E19" s="78" t="s">
        <v>52</v>
      </c>
      <c r="F19" s="78">
        <v>85.0</v>
      </c>
      <c r="G19" s="78">
        <v>525.0</v>
      </c>
      <c r="H19" s="77">
        <f>8/12*F19*G19</f>
        <v>29750</v>
      </c>
      <c r="I19" s="78">
        <f>H19*C13/1000</f>
        <v>4462.5</v>
      </c>
      <c r="J19" s="89" t="s">
        <v>52</v>
      </c>
      <c r="K19" s="1" t="s">
        <v>149</v>
      </c>
      <c r="L19">
        <f>I19</f>
        <v>4462.5</v>
      </c>
      <c r="M19">
        <f> 0.67*6*G19</f>
        <v>2110.5</v>
      </c>
      <c r="N19">
        <f>L19+M19</f>
        <v>6573</v>
      </c>
      <c r="O19" s="90">
        <f t="shared" ref="O19:O20" si="1">N19/G19</f>
        <v>12.52</v>
      </c>
    </row>
    <row r="20">
      <c r="A20" s="77"/>
      <c r="B20" s="77"/>
      <c r="C20" s="78" t="s">
        <v>150</v>
      </c>
      <c r="D20" s="78" t="s">
        <v>52</v>
      </c>
      <c r="E20" s="78" t="s">
        <v>52</v>
      </c>
      <c r="F20" s="78">
        <v>85.0</v>
      </c>
      <c r="G20" s="78">
        <v>525.0</v>
      </c>
      <c r="H20" s="77">
        <f>H19*0.02</f>
        <v>595</v>
      </c>
      <c r="I20" s="77">
        <f>C14*H20/1000</f>
        <v>291.55</v>
      </c>
      <c r="J20" s="89" t="s">
        <v>151</v>
      </c>
      <c r="K20" s="91" t="s">
        <v>152</v>
      </c>
      <c r="L20" s="1">
        <f>L19+I20</f>
        <v>4754.05</v>
      </c>
      <c r="M20" s="1" t="s">
        <v>152</v>
      </c>
      <c r="N20" s="1">
        <f>N19+I20</f>
        <v>6864.55</v>
      </c>
      <c r="O20" s="92">
        <f t="shared" si="1"/>
        <v>13.07533333</v>
      </c>
    </row>
    <row r="21">
      <c r="A21" s="78" t="s">
        <v>153</v>
      </c>
      <c r="B21" s="78" t="s">
        <v>154</v>
      </c>
      <c r="C21" s="78" t="s">
        <v>123</v>
      </c>
      <c r="D21" s="78">
        <v>8.0</v>
      </c>
      <c r="E21" s="78">
        <f t="shared" ref="E21:E22" si="2">D21*21</f>
        <v>168</v>
      </c>
      <c r="F21" s="78">
        <v>12.0</v>
      </c>
      <c r="G21" s="78">
        <v>14.0</v>
      </c>
      <c r="H21" s="77"/>
      <c r="I21" s="77">
        <f>E21*H7*27.5*2</f>
        <v>2411.64</v>
      </c>
      <c r="J21" s="93">
        <v>12.5</v>
      </c>
      <c r="K21">
        <f>J21*G21</f>
        <v>175</v>
      </c>
      <c r="L21" s="90">
        <f>O20/F20*K21</f>
        <v>26.91980392</v>
      </c>
      <c r="M21">
        <f>M19</f>
        <v>2110.5</v>
      </c>
      <c r="N21" s="28">
        <f>L21*E21</f>
        <v>4522.527059</v>
      </c>
      <c r="O21" s="1"/>
    </row>
    <row r="22">
      <c r="A22" s="77"/>
      <c r="B22" s="78" t="s">
        <v>155</v>
      </c>
      <c r="C22" s="78" t="s">
        <v>125</v>
      </c>
      <c r="D22" s="78">
        <v>3.0</v>
      </c>
      <c r="E22" s="78">
        <f t="shared" si="2"/>
        <v>63</v>
      </c>
      <c r="F22" s="78"/>
      <c r="G22" s="78">
        <f t="shared" ref="G22:G25" si="3">25</f>
        <v>25</v>
      </c>
      <c r="H22" s="77"/>
      <c r="I22" s="77">
        <f t="shared" ref="I22:I24" si="4">E22*H8*25</f>
        <v>615.825</v>
      </c>
      <c r="J22" s="77"/>
      <c r="M22">
        <f t="shared" ref="M22:M24" si="5">M21</f>
        <v>2110.5</v>
      </c>
    </row>
    <row r="23">
      <c r="A23" s="78"/>
      <c r="B23" s="78" t="s">
        <v>155</v>
      </c>
      <c r="C23" s="78" t="s">
        <v>127</v>
      </c>
      <c r="D23" s="78">
        <v>2.0</v>
      </c>
      <c r="E23" s="78">
        <f>21*D23</f>
        <v>42</v>
      </c>
      <c r="F23" s="78"/>
      <c r="G23" s="78">
        <f t="shared" si="3"/>
        <v>25</v>
      </c>
      <c r="H23" s="77"/>
      <c r="I23" s="77">
        <f t="shared" si="4"/>
        <v>210</v>
      </c>
      <c r="J23" s="77"/>
      <c r="M23">
        <f t="shared" si="5"/>
        <v>2110.5</v>
      </c>
    </row>
    <row r="24">
      <c r="A24" s="78"/>
      <c r="B24" s="78" t="s">
        <v>156</v>
      </c>
      <c r="C24" s="78" t="s">
        <v>129</v>
      </c>
      <c r="D24" s="78">
        <v>2.0</v>
      </c>
      <c r="E24" s="78">
        <v>42.0</v>
      </c>
      <c r="F24" s="77"/>
      <c r="G24" s="78">
        <f t="shared" si="3"/>
        <v>25</v>
      </c>
      <c r="H24" s="77"/>
      <c r="I24" s="77">
        <f t="shared" si="4"/>
        <v>59.745</v>
      </c>
      <c r="J24" s="77"/>
      <c r="M24">
        <f t="shared" si="5"/>
        <v>2110.5</v>
      </c>
    </row>
    <row r="25">
      <c r="A25" s="78"/>
      <c r="B25" s="78" t="s">
        <v>91</v>
      </c>
      <c r="C25" s="78"/>
      <c r="D25" s="77"/>
      <c r="E25" s="77"/>
      <c r="F25" s="77"/>
      <c r="G25" s="78">
        <f t="shared" si="3"/>
        <v>25</v>
      </c>
      <c r="H25" s="77"/>
      <c r="I25" s="87">
        <f>sum(I19:I24)</f>
        <v>8051.26</v>
      </c>
      <c r="J25" s="77"/>
    </row>
    <row r="27">
      <c r="A27" s="20" t="s">
        <v>157</v>
      </c>
      <c r="B27" s="20">
        <v>0.0</v>
      </c>
    </row>
    <row r="28">
      <c r="A28" s="20" t="s">
        <v>158</v>
      </c>
      <c r="B28" s="20">
        <f>A3*0.65</f>
        <v>3.9</v>
      </c>
    </row>
    <row r="31">
      <c r="A31" s="9" t="s">
        <v>159</v>
      </c>
      <c r="B31" s="13" t="s">
        <v>160</v>
      </c>
      <c r="K31" s="1" t="s">
        <v>161</v>
      </c>
      <c r="L31">
        <f>6864.55/85*15.5/2+44*0.261*15.5/2+0.0569*525</f>
        <v>744.7589412</v>
      </c>
    </row>
    <row r="32">
      <c r="A32" s="9" t="s">
        <v>162</v>
      </c>
      <c r="B32" s="94">
        <f>1.2*I25+1.6*B28*525</f>
        <v>12937.512</v>
      </c>
      <c r="K32" s="1" t="s">
        <v>163</v>
      </c>
      <c r="L32">
        <f>6864.55/85*(15.5/2+6)+44*0.261*(15.5/2+6)+0.2*525</f>
        <v>1373.346912</v>
      </c>
    </row>
    <row r="33">
      <c r="A33" s="9" t="s">
        <v>7</v>
      </c>
      <c r="B33">
        <f>1.4*I25</f>
        <v>11271.764</v>
      </c>
      <c r="K33" s="1" t="s">
        <v>164</v>
      </c>
      <c r="L33">
        <f>6864.55/85*(6+7.5)+44*0.261*6+0.391*525</f>
        <v>1364.431059</v>
      </c>
    </row>
    <row r="34">
      <c r="K34" s="1" t="s">
        <v>165</v>
      </c>
      <c r="L34">
        <f>6864.55/85*15+0.391*525</f>
        <v>1416.666176</v>
      </c>
    </row>
    <row r="35">
      <c r="K35" s="1" t="s">
        <v>166</v>
      </c>
      <c r="L35">
        <f>6864.55/85*15.5/2+44*0.261*15.5/2+0.0569*525</f>
        <v>744.7589412</v>
      </c>
    </row>
    <row r="36">
      <c r="E36" s="1" t="s">
        <v>167</v>
      </c>
      <c r="F36" s="1" t="s">
        <v>168</v>
      </c>
      <c r="K36" s="1" t="s">
        <v>169</v>
      </c>
      <c r="L36">
        <f>6864.55/85*(15.5/2+6)+44*0.261*(15.5/2+6)+0.2*525</f>
        <v>1373.346912</v>
      </c>
    </row>
    <row r="37">
      <c r="A37" s="1" t="s">
        <v>170</v>
      </c>
      <c r="B37" s="1" t="s">
        <v>171</v>
      </c>
      <c r="C37" s="1" t="s">
        <v>81</v>
      </c>
      <c r="D37" s="1">
        <v>1.159</v>
      </c>
      <c r="E37" s="1">
        <v>1.2</v>
      </c>
      <c r="F37" s="1">
        <v>0.65</v>
      </c>
      <c r="K37" s="1" t="s">
        <v>172</v>
      </c>
      <c r="L37">
        <f>6864.55/85*(6+7.5)+44*0.261*6+0.391*525</f>
        <v>1364.431059</v>
      </c>
    </row>
    <row r="38">
      <c r="C38" s="1" t="s">
        <v>86</v>
      </c>
      <c r="D38" s="1">
        <v>5.43</v>
      </c>
      <c r="E38" s="1">
        <v>1.6</v>
      </c>
      <c r="K38" s="1"/>
    </row>
    <row r="39">
      <c r="C39" s="1" t="s">
        <v>173</v>
      </c>
      <c r="D39" s="1">
        <v>0.988</v>
      </c>
      <c r="E39" s="1">
        <v>1.0</v>
      </c>
      <c r="K39" s="1"/>
    </row>
    <row r="40">
      <c r="C40" s="1" t="s">
        <v>174</v>
      </c>
      <c r="D40" s="1">
        <v>8.03</v>
      </c>
      <c r="E40" s="1" t="s">
        <v>175</v>
      </c>
      <c r="F40">
        <f>D37*E37+D39*E39</f>
        <v>2.3788</v>
      </c>
      <c r="G40" s="1" t="s">
        <v>176</v>
      </c>
    </row>
    <row r="42">
      <c r="B42" s="1" t="s">
        <v>177</v>
      </c>
      <c r="C42" s="1" t="s">
        <v>178</v>
      </c>
      <c r="D42" s="1" t="s">
        <v>179</v>
      </c>
    </row>
    <row r="43">
      <c r="C43" s="1" t="s">
        <v>180</v>
      </c>
      <c r="D43" s="1">
        <f>8.03*15*3</f>
        <v>361.35</v>
      </c>
      <c r="E43" s="1" t="s">
        <v>181</v>
      </c>
    </row>
    <row r="45">
      <c r="C45" s="1" t="s">
        <v>182</v>
      </c>
      <c r="D45" s="1" t="s">
        <v>183</v>
      </c>
      <c r="E45" s="1" t="s">
        <v>184</v>
      </c>
      <c r="F45" s="1" t="s">
        <v>185</v>
      </c>
      <c r="H45" s="1" t="s">
        <v>186</v>
      </c>
    </row>
    <row r="46">
      <c r="C46" s="1">
        <v>96.0</v>
      </c>
      <c r="D46" s="1">
        <v>48.7</v>
      </c>
      <c r="E46" s="1">
        <v>4.2</v>
      </c>
      <c r="F46" s="1">
        <v>2.5</v>
      </c>
      <c r="G46" s="1" t="s">
        <v>187</v>
      </c>
      <c r="H46" s="1">
        <v>623.7</v>
      </c>
    </row>
    <row r="48">
      <c r="A48" s="1" t="s">
        <v>177</v>
      </c>
      <c r="B48" s="1" t="s">
        <v>188</v>
      </c>
      <c r="C48" s="1">
        <v>211.8</v>
      </c>
      <c r="D48" s="1" t="s">
        <v>189</v>
      </c>
    </row>
    <row r="49">
      <c r="B49" s="1" t="s">
        <v>190</v>
      </c>
      <c r="C49" s="1">
        <v>2448.0</v>
      </c>
      <c r="D49" s="1" t="s">
        <v>189</v>
      </c>
    </row>
    <row r="50">
      <c r="D50" s="1"/>
    </row>
    <row r="51">
      <c r="A51" s="1" t="s">
        <v>191</v>
      </c>
      <c r="B51" s="1" t="s">
        <v>188</v>
      </c>
      <c r="C51">
        <f>8.03*7.5</f>
        <v>60.225</v>
      </c>
      <c r="D51" s="1" t="s">
        <v>189</v>
      </c>
    </row>
    <row r="52">
      <c r="B52" s="1" t="s">
        <v>190</v>
      </c>
      <c r="C52">
        <f>8.03*15^2/8</f>
        <v>225.84375</v>
      </c>
      <c r="D52" s="1" t="s">
        <v>189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3.43"/>
    <col customWidth="1" min="8" max="8" width="20.43"/>
  </cols>
  <sheetData>
    <row r="1">
      <c r="A1" s="95" t="s">
        <v>192</v>
      </c>
    </row>
    <row r="2">
      <c r="C2" s="96" t="s">
        <v>193</v>
      </c>
      <c r="F2" s="97"/>
      <c r="G2" s="98" t="s">
        <v>194</v>
      </c>
    </row>
    <row r="3">
      <c r="A3" s="99" t="s">
        <v>195</v>
      </c>
      <c r="B3" s="99" t="s">
        <v>196</v>
      </c>
      <c r="C3" s="100" t="s">
        <v>197</v>
      </c>
      <c r="D3" s="99" t="s">
        <v>198</v>
      </c>
      <c r="E3" s="99" t="s">
        <v>199</v>
      </c>
      <c r="F3" s="101" t="s">
        <v>200</v>
      </c>
      <c r="G3" s="98" t="s">
        <v>201</v>
      </c>
      <c r="H3" s="98" t="s">
        <v>202</v>
      </c>
    </row>
    <row r="4">
      <c r="A4" s="1">
        <v>1.0</v>
      </c>
      <c r="B4" s="102">
        <f t="shared" ref="B4:B20" si="1">sqrt((220-12*A4)^2+(540-30*A4+(220-12*A4)*tan(15/180*pi()))^2)</f>
        <v>602.7589204</v>
      </c>
      <c r="C4" s="103">
        <f>'Calculation Main'!$U$28*(15+7.5)*85/2</f>
        <v>171.5782896</v>
      </c>
      <c r="D4">
        <f t="shared" ref="D4:D20" si="2">E4+25*2*6/2*0.65</f>
        <v>125.58</v>
      </c>
      <c r="E4">
        <f>0.64*6*(15+7.5)*0.65/2</f>
        <v>28.08</v>
      </c>
      <c r="F4" s="104">
        <f>max(1.2*C4+1.6*D4,1.4*C4)*sqrt(1+2^2)</f>
        <v>909.6815295</v>
      </c>
      <c r="G4" s="1">
        <v>37.0</v>
      </c>
      <c r="H4" s="1">
        <v>109.9</v>
      </c>
    </row>
    <row r="5">
      <c r="A5" s="1">
        <v>2.0</v>
      </c>
      <c r="B5" s="102">
        <f t="shared" si="1"/>
        <v>567.4429176</v>
      </c>
      <c r="C5" s="103">
        <f>'Calculation Main'!$U$28*30*85/2</f>
        <v>228.7710529</v>
      </c>
      <c r="D5">
        <f t="shared" si="2"/>
        <v>134.94</v>
      </c>
      <c r="E5">
        <f t="shared" ref="E5:E20" si="3">0.64*6*30*0.65/2</f>
        <v>37.44</v>
      </c>
      <c r="F5" s="104">
        <f t="shared" ref="F5:F20" si="4">max(1.2*C5+1.6*D5,1.4*C5)*sqrt(1+2.5^2)</f>
        <v>1320.521205</v>
      </c>
      <c r="G5" s="1">
        <v>37.0</v>
      </c>
      <c r="H5" s="1">
        <v>109.9</v>
      </c>
    </row>
    <row r="6">
      <c r="A6" s="1">
        <v>3.0</v>
      </c>
      <c r="B6" s="102">
        <f t="shared" si="1"/>
        <v>532.126994</v>
      </c>
      <c r="C6" s="103">
        <f>'Calculation Main'!$U$28*30*85/2</f>
        <v>228.7710529</v>
      </c>
      <c r="D6">
        <f t="shared" si="2"/>
        <v>134.94</v>
      </c>
      <c r="E6">
        <f t="shared" si="3"/>
        <v>37.44</v>
      </c>
      <c r="F6" s="104">
        <f t="shared" si="4"/>
        <v>1320.521205</v>
      </c>
      <c r="G6" s="1">
        <v>37.0</v>
      </c>
      <c r="H6" s="1">
        <v>109.9</v>
      </c>
    </row>
    <row r="7">
      <c r="A7" s="1">
        <v>4.0</v>
      </c>
      <c r="B7" s="102">
        <f t="shared" si="1"/>
        <v>496.8111663</v>
      </c>
      <c r="C7" s="103">
        <f>'Calculation Main'!$U$28*30*85/2</f>
        <v>228.7710529</v>
      </c>
      <c r="D7">
        <f t="shared" si="2"/>
        <v>134.94</v>
      </c>
      <c r="E7">
        <f t="shared" si="3"/>
        <v>37.44</v>
      </c>
      <c r="F7" s="104">
        <f t="shared" si="4"/>
        <v>1320.521205</v>
      </c>
      <c r="G7" s="1">
        <v>37.0</v>
      </c>
      <c r="H7" s="1">
        <v>109.9</v>
      </c>
    </row>
    <row r="8">
      <c r="A8" s="1">
        <v>5.0</v>
      </c>
      <c r="B8" s="102">
        <f t="shared" si="1"/>
        <v>461.4954567</v>
      </c>
      <c r="C8" s="103">
        <f>'Calculation Main'!$U$28*30*85/2</f>
        <v>228.7710529</v>
      </c>
      <c r="D8">
        <f t="shared" si="2"/>
        <v>134.94</v>
      </c>
      <c r="E8">
        <f t="shared" si="3"/>
        <v>37.44</v>
      </c>
      <c r="F8" s="104">
        <f t="shared" si="4"/>
        <v>1320.521205</v>
      </c>
      <c r="G8" s="1">
        <v>37.0</v>
      </c>
      <c r="H8" s="1">
        <v>109.9</v>
      </c>
    </row>
    <row r="9">
      <c r="A9" s="1">
        <v>6.0</v>
      </c>
      <c r="B9" s="102">
        <f t="shared" si="1"/>
        <v>426.1798944</v>
      </c>
      <c r="C9" s="103">
        <f>'Calculation Main'!$U$28*30*85/2</f>
        <v>228.7710529</v>
      </c>
      <c r="D9">
        <f t="shared" si="2"/>
        <v>134.94</v>
      </c>
      <c r="E9">
        <f t="shared" si="3"/>
        <v>37.44</v>
      </c>
      <c r="F9" s="104">
        <f t="shared" si="4"/>
        <v>1320.521205</v>
      </c>
      <c r="G9" s="1">
        <v>37.0</v>
      </c>
      <c r="H9" s="1">
        <v>109.9</v>
      </c>
    </row>
    <row r="10">
      <c r="A10" s="1">
        <v>7.0</v>
      </c>
      <c r="B10" s="102">
        <f t="shared" si="1"/>
        <v>390.8645195</v>
      </c>
      <c r="C10" s="103">
        <f>'Calculation Main'!$U$28*30*85/2</f>
        <v>228.7710529</v>
      </c>
      <c r="D10">
        <f t="shared" si="2"/>
        <v>134.94</v>
      </c>
      <c r="E10">
        <f t="shared" si="3"/>
        <v>37.44</v>
      </c>
      <c r="F10" s="104">
        <f t="shared" si="4"/>
        <v>1320.521205</v>
      </c>
      <c r="G10" s="1">
        <v>37.0</v>
      </c>
      <c r="H10" s="1">
        <v>109.9</v>
      </c>
    </row>
    <row r="11">
      <c r="A11" s="1">
        <v>8.0</v>
      </c>
      <c r="B11" s="102">
        <f t="shared" si="1"/>
        <v>355.5493876</v>
      </c>
      <c r="C11" s="103">
        <f>'Calculation Main'!$U$28*30*85/2</f>
        <v>228.7710529</v>
      </c>
      <c r="D11">
        <f t="shared" si="2"/>
        <v>134.94</v>
      </c>
      <c r="E11">
        <f t="shared" si="3"/>
        <v>37.44</v>
      </c>
      <c r="F11" s="104">
        <f t="shared" si="4"/>
        <v>1320.521205</v>
      </c>
      <c r="G11" s="1">
        <v>37.0</v>
      </c>
      <c r="H11" s="1">
        <v>109.9</v>
      </c>
    </row>
    <row r="12">
      <c r="A12" s="1">
        <v>9.0</v>
      </c>
      <c r="B12" s="102">
        <f t="shared" si="1"/>
        <v>320.2345794</v>
      </c>
      <c r="C12" s="103">
        <f>'Calculation Main'!$U$28*30*85/2</f>
        <v>228.7710529</v>
      </c>
      <c r="D12">
        <f t="shared" si="2"/>
        <v>134.94</v>
      </c>
      <c r="E12">
        <f t="shared" si="3"/>
        <v>37.44</v>
      </c>
      <c r="F12" s="104">
        <f t="shared" si="4"/>
        <v>1320.521205</v>
      </c>
      <c r="G12" s="1">
        <v>37.0</v>
      </c>
      <c r="H12" s="1">
        <v>109.9</v>
      </c>
    </row>
    <row r="13">
      <c r="A13" s="1">
        <v>10.0</v>
      </c>
      <c r="B13" s="102">
        <f t="shared" si="1"/>
        <v>284.920215</v>
      </c>
      <c r="C13" s="103">
        <f>'Calculation Main'!$U$28*30*85/2</f>
        <v>228.7710529</v>
      </c>
      <c r="D13">
        <f t="shared" si="2"/>
        <v>134.94</v>
      </c>
      <c r="E13">
        <f t="shared" si="3"/>
        <v>37.44</v>
      </c>
      <c r="F13" s="104">
        <f t="shared" si="4"/>
        <v>1320.521205</v>
      </c>
      <c r="G13" s="1">
        <v>37.0</v>
      </c>
      <c r="H13" s="1">
        <v>109.9</v>
      </c>
    </row>
    <row r="14">
      <c r="A14" s="1">
        <v>11.0</v>
      </c>
      <c r="B14" s="102">
        <f t="shared" si="1"/>
        <v>249.606483</v>
      </c>
      <c r="C14" s="103">
        <f>'Calculation Main'!$U$28*30*85/2</f>
        <v>228.7710529</v>
      </c>
      <c r="D14">
        <f t="shared" si="2"/>
        <v>134.94</v>
      </c>
      <c r="E14">
        <f t="shared" si="3"/>
        <v>37.44</v>
      </c>
      <c r="F14" s="104">
        <f t="shared" si="4"/>
        <v>1320.521205</v>
      </c>
      <c r="G14" s="1">
        <v>37.0</v>
      </c>
      <c r="H14" s="1">
        <v>109.9</v>
      </c>
    </row>
    <row r="15">
      <c r="A15" s="1">
        <v>12.0</v>
      </c>
      <c r="B15" s="102">
        <f t="shared" si="1"/>
        <v>214.2936958</v>
      </c>
      <c r="C15" s="103">
        <f>'Calculation Main'!$U$28*30*85/2</f>
        <v>228.7710529</v>
      </c>
      <c r="D15">
        <f t="shared" si="2"/>
        <v>134.94</v>
      </c>
      <c r="E15">
        <f t="shared" si="3"/>
        <v>37.44</v>
      </c>
      <c r="F15" s="104">
        <f t="shared" si="4"/>
        <v>1320.521205</v>
      </c>
      <c r="G15" s="1">
        <v>37.0</v>
      </c>
      <c r="H15" s="1">
        <v>109.9</v>
      </c>
    </row>
    <row r="16">
      <c r="A16" s="1">
        <v>13.0</v>
      </c>
      <c r="B16" s="102">
        <f t="shared" si="1"/>
        <v>178.9824127</v>
      </c>
      <c r="C16" s="103">
        <f>'Calculation Main'!$U$28*30*85/2</f>
        <v>228.7710529</v>
      </c>
      <c r="D16">
        <f t="shared" si="2"/>
        <v>134.94</v>
      </c>
      <c r="E16">
        <f t="shared" si="3"/>
        <v>37.44</v>
      </c>
      <c r="F16" s="104">
        <f t="shared" si="4"/>
        <v>1320.521205</v>
      </c>
      <c r="G16" s="1">
        <v>37.0</v>
      </c>
      <c r="H16" s="1">
        <v>109.9</v>
      </c>
    </row>
    <row r="17">
      <c r="A17" s="1">
        <v>14.0</v>
      </c>
      <c r="B17" s="102">
        <f t="shared" si="1"/>
        <v>143.6737429</v>
      </c>
      <c r="C17" s="103">
        <f>'Calculation Main'!$U$28*30*85/2</f>
        <v>228.7710529</v>
      </c>
      <c r="D17">
        <f t="shared" si="2"/>
        <v>134.94</v>
      </c>
      <c r="E17">
        <f t="shared" si="3"/>
        <v>37.44</v>
      </c>
      <c r="F17" s="104">
        <f t="shared" si="4"/>
        <v>1320.521205</v>
      </c>
      <c r="G17" s="1">
        <v>37.0</v>
      </c>
      <c r="H17" s="1">
        <v>109.9</v>
      </c>
    </row>
    <row r="18">
      <c r="A18" s="1">
        <v>15.0</v>
      </c>
      <c r="B18" s="102">
        <f t="shared" si="1"/>
        <v>108.3702405</v>
      </c>
      <c r="C18" s="103">
        <f>'Calculation Main'!$U$28*30*85/2</f>
        <v>228.7710529</v>
      </c>
      <c r="D18">
        <f t="shared" si="2"/>
        <v>134.94</v>
      </c>
      <c r="E18">
        <f t="shared" si="3"/>
        <v>37.44</v>
      </c>
      <c r="F18" s="104">
        <f t="shared" si="4"/>
        <v>1320.521205</v>
      </c>
      <c r="G18" s="1">
        <v>37.0</v>
      </c>
      <c r="H18" s="1">
        <v>109.9</v>
      </c>
    </row>
    <row r="19">
      <c r="A19" s="1">
        <v>16.0</v>
      </c>
      <c r="B19" s="102">
        <f t="shared" si="1"/>
        <v>73.07939487</v>
      </c>
      <c r="C19" s="103">
        <f>'Calculation Main'!$U$28*30*85/2</f>
        <v>228.7710529</v>
      </c>
      <c r="D19">
        <f t="shared" si="2"/>
        <v>134.94</v>
      </c>
      <c r="E19">
        <f t="shared" si="3"/>
        <v>37.44</v>
      </c>
      <c r="F19" s="104">
        <f t="shared" si="4"/>
        <v>1320.521205</v>
      </c>
      <c r="G19" s="1">
        <v>37.0</v>
      </c>
      <c r="H19" s="1">
        <v>109.9</v>
      </c>
    </row>
    <row r="20">
      <c r="A20" s="1">
        <v>17.0</v>
      </c>
      <c r="B20" s="102">
        <f t="shared" si="1"/>
        <v>37.8366383</v>
      </c>
      <c r="C20" s="103">
        <f>'Calculation Main'!$U$28*30*85/2</f>
        <v>228.7710529</v>
      </c>
      <c r="D20">
        <f t="shared" si="2"/>
        <v>134.94</v>
      </c>
      <c r="E20">
        <f t="shared" si="3"/>
        <v>37.44</v>
      </c>
      <c r="F20" s="104">
        <f t="shared" si="4"/>
        <v>1320.521205</v>
      </c>
      <c r="G20" s="1">
        <v>37.0</v>
      </c>
      <c r="H20" s="1">
        <v>109.9</v>
      </c>
    </row>
    <row r="21">
      <c r="A21" s="1"/>
    </row>
    <row r="22">
      <c r="A22" s="1"/>
    </row>
    <row r="23">
      <c r="A23" s="95" t="s">
        <v>203</v>
      </c>
      <c r="B23" s="105"/>
      <c r="C23" s="105"/>
    </row>
    <row r="24">
      <c r="A24" s="98" t="s">
        <v>204</v>
      </c>
      <c r="B24" s="106" t="s">
        <v>205</v>
      </c>
      <c r="C24" s="106" t="s">
        <v>206</v>
      </c>
      <c r="D24" s="106" t="s">
        <v>207</v>
      </c>
      <c r="E24" s="9" t="s">
        <v>208</v>
      </c>
    </row>
    <row r="25">
      <c r="A25" s="1">
        <v>1.0</v>
      </c>
      <c r="B25" s="1">
        <v>15.0</v>
      </c>
      <c r="C25" s="102">
        <f>F4</f>
        <v>909.6815295</v>
      </c>
      <c r="D25" s="102">
        <f>C25*5/sqrt(1+2.5^2)</f>
        <v>1689.236193</v>
      </c>
    </row>
    <row r="26">
      <c r="A26" s="1">
        <v>2.0</v>
      </c>
      <c r="B26">
        <f t="shared" ref="B26:B41" si="5">15+30*(A26-1)</f>
        <v>45</v>
      </c>
      <c r="C26" s="102">
        <f t="shared" ref="C26:C41" si="6">max(1.4*C5,1.2*C5+1.6*E5)*sqrt(1+2.5^2)</f>
        <v>900.4783499</v>
      </c>
      <c r="D26" s="107">
        <f>C26*5/sqrt(1+2.5^2)+D25</f>
        <v>3361.38251</v>
      </c>
      <c r="E26" s="9" t="s">
        <v>209</v>
      </c>
    </row>
    <row r="27">
      <c r="A27" s="1">
        <v>3.0</v>
      </c>
      <c r="B27">
        <f t="shared" si="5"/>
        <v>75</v>
      </c>
      <c r="C27" s="102">
        <f t="shared" si="6"/>
        <v>900.4783499</v>
      </c>
      <c r="D27" s="102">
        <f t="shared" ref="D27:D41" si="7">C27*2.5/sqrt(1+2.5^2)+D26</f>
        <v>4197.455668</v>
      </c>
    </row>
    <row r="28">
      <c r="A28" s="1">
        <v>4.0</v>
      </c>
      <c r="B28">
        <f t="shared" si="5"/>
        <v>105</v>
      </c>
      <c r="C28" s="102">
        <f t="shared" si="6"/>
        <v>900.4783499</v>
      </c>
      <c r="D28" s="102">
        <f t="shared" si="7"/>
        <v>5033.528827</v>
      </c>
    </row>
    <row r="29">
      <c r="A29" s="1">
        <v>5.0</v>
      </c>
      <c r="B29">
        <f t="shared" si="5"/>
        <v>135</v>
      </c>
      <c r="C29" s="102">
        <f t="shared" si="6"/>
        <v>900.4783499</v>
      </c>
      <c r="D29" s="107">
        <f t="shared" si="7"/>
        <v>5869.601985</v>
      </c>
      <c r="E29" s="9" t="s">
        <v>209</v>
      </c>
    </row>
    <row r="30">
      <c r="A30" s="1">
        <v>6.0</v>
      </c>
      <c r="B30">
        <f t="shared" si="5"/>
        <v>165</v>
      </c>
      <c r="C30" s="102">
        <f t="shared" si="6"/>
        <v>900.4783499</v>
      </c>
      <c r="D30" s="102">
        <f t="shared" si="7"/>
        <v>6705.675144</v>
      </c>
    </row>
    <row r="31">
      <c r="A31" s="1">
        <v>7.0</v>
      </c>
      <c r="B31">
        <f t="shared" si="5"/>
        <v>195</v>
      </c>
      <c r="C31" s="102">
        <f t="shared" si="6"/>
        <v>900.4783499</v>
      </c>
      <c r="D31" s="102">
        <f t="shared" si="7"/>
        <v>7541.748303</v>
      </c>
    </row>
    <row r="32">
      <c r="A32" s="1">
        <v>8.0</v>
      </c>
      <c r="B32">
        <f t="shared" si="5"/>
        <v>225</v>
      </c>
      <c r="C32" s="102">
        <f t="shared" si="6"/>
        <v>900.4783499</v>
      </c>
      <c r="D32" s="107">
        <f t="shared" si="7"/>
        <v>8377.821461</v>
      </c>
      <c r="E32" s="9" t="s">
        <v>209</v>
      </c>
    </row>
    <row r="33">
      <c r="A33" s="1">
        <v>9.0</v>
      </c>
      <c r="B33">
        <f t="shared" si="5"/>
        <v>255</v>
      </c>
      <c r="C33" s="102">
        <f t="shared" si="6"/>
        <v>900.4783499</v>
      </c>
      <c r="D33" s="102">
        <f t="shared" si="7"/>
        <v>9213.89462</v>
      </c>
    </row>
    <row r="34">
      <c r="A34" s="1">
        <v>10.0</v>
      </c>
      <c r="B34">
        <f t="shared" si="5"/>
        <v>285</v>
      </c>
      <c r="C34" s="102">
        <f t="shared" si="6"/>
        <v>900.4783499</v>
      </c>
      <c r="D34" s="102">
        <f t="shared" si="7"/>
        <v>10049.96778</v>
      </c>
    </row>
    <row r="35">
      <c r="A35" s="1">
        <v>11.0</v>
      </c>
      <c r="B35">
        <f t="shared" si="5"/>
        <v>315</v>
      </c>
      <c r="C35" s="102">
        <f t="shared" si="6"/>
        <v>900.4783499</v>
      </c>
      <c r="D35" s="107">
        <f t="shared" si="7"/>
        <v>10886.04094</v>
      </c>
      <c r="E35" s="9" t="s">
        <v>210</v>
      </c>
    </row>
    <row r="36">
      <c r="A36" s="1">
        <v>12.0</v>
      </c>
      <c r="B36">
        <f t="shared" si="5"/>
        <v>345</v>
      </c>
      <c r="C36" s="102">
        <f t="shared" si="6"/>
        <v>900.4783499</v>
      </c>
      <c r="D36" s="102">
        <f t="shared" si="7"/>
        <v>11722.1141</v>
      </c>
    </row>
    <row r="37">
      <c r="A37" s="1">
        <v>13.0</v>
      </c>
      <c r="B37">
        <f t="shared" si="5"/>
        <v>375</v>
      </c>
      <c r="C37" s="102">
        <f t="shared" si="6"/>
        <v>900.4783499</v>
      </c>
      <c r="D37" s="102">
        <f t="shared" si="7"/>
        <v>12558.18725</v>
      </c>
    </row>
    <row r="38">
      <c r="A38" s="1">
        <v>14.0</v>
      </c>
      <c r="B38">
        <f t="shared" si="5"/>
        <v>405</v>
      </c>
      <c r="C38" s="102">
        <f t="shared" si="6"/>
        <v>900.4783499</v>
      </c>
      <c r="D38" s="107">
        <f t="shared" si="7"/>
        <v>13394.26041</v>
      </c>
      <c r="E38" s="9" t="s">
        <v>210</v>
      </c>
    </row>
    <row r="39">
      <c r="A39" s="1">
        <v>15.0</v>
      </c>
      <c r="B39">
        <f t="shared" si="5"/>
        <v>435</v>
      </c>
      <c r="C39" s="102">
        <f t="shared" si="6"/>
        <v>900.4783499</v>
      </c>
      <c r="D39" s="102">
        <f t="shared" si="7"/>
        <v>14230.33357</v>
      </c>
    </row>
    <row r="40">
      <c r="A40" s="1">
        <v>16.0</v>
      </c>
      <c r="B40">
        <f t="shared" si="5"/>
        <v>465</v>
      </c>
      <c r="C40" s="102">
        <f t="shared" si="6"/>
        <v>900.4783499</v>
      </c>
      <c r="D40" s="102">
        <f t="shared" si="7"/>
        <v>15066.40673</v>
      </c>
    </row>
    <row r="41">
      <c r="A41" s="1">
        <v>17.0</v>
      </c>
      <c r="B41">
        <f t="shared" si="5"/>
        <v>495</v>
      </c>
      <c r="C41" s="102">
        <f t="shared" si="6"/>
        <v>900.4783499</v>
      </c>
      <c r="D41" s="107">
        <f t="shared" si="7"/>
        <v>15902.47989</v>
      </c>
      <c r="E41" s="9" t="s">
        <v>210</v>
      </c>
    </row>
    <row r="42">
      <c r="C42" s="1" t="s">
        <v>211</v>
      </c>
    </row>
  </sheetData>
  <mergeCells count="2">
    <mergeCell ref="G2:H2"/>
    <mergeCell ref="C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212</v>
      </c>
      <c r="B1" s="1" t="s">
        <v>213</v>
      </c>
      <c r="C1" s="1" t="s">
        <v>214</v>
      </c>
      <c r="D1" s="1" t="s">
        <v>23</v>
      </c>
      <c r="E1" s="1" t="s">
        <v>215</v>
      </c>
    </row>
    <row r="2">
      <c r="A2" s="1">
        <f t="shared" ref="A2:A21" si="1">190-8.33*E2</f>
        <v>190</v>
      </c>
      <c r="B2" s="1">
        <v>2865.0</v>
      </c>
      <c r="C2">
        <f t="shared" ref="C2:C21" si="2">A2*B2</f>
        <v>544350</v>
      </c>
      <c r="E2" s="1">
        <v>0.0</v>
      </c>
    </row>
    <row r="3">
      <c r="A3" s="1">
        <f t="shared" si="1"/>
        <v>181.67</v>
      </c>
      <c r="B3" s="1">
        <v>2865.0</v>
      </c>
      <c r="C3">
        <f t="shared" si="2"/>
        <v>520484.55</v>
      </c>
      <c r="E3" s="1">
        <v>1.0</v>
      </c>
      <c r="G3" s="1">
        <f>955*3</f>
        <v>2865</v>
      </c>
    </row>
    <row r="4">
      <c r="A4" s="1">
        <f t="shared" si="1"/>
        <v>173.34</v>
      </c>
      <c r="B4" s="1">
        <v>2865.0</v>
      </c>
      <c r="C4">
        <f t="shared" si="2"/>
        <v>496619.1</v>
      </c>
      <c r="E4" s="1">
        <v>2.0</v>
      </c>
    </row>
    <row r="5">
      <c r="A5" s="1">
        <f t="shared" si="1"/>
        <v>165.01</v>
      </c>
      <c r="B5" s="1">
        <v>2865.0</v>
      </c>
      <c r="C5">
        <f t="shared" si="2"/>
        <v>472753.65</v>
      </c>
      <c r="E5" s="1">
        <v>3.0</v>
      </c>
    </row>
    <row r="6">
      <c r="A6" s="1">
        <f t="shared" si="1"/>
        <v>156.68</v>
      </c>
      <c r="B6" s="1">
        <v>2865.0</v>
      </c>
      <c r="C6">
        <f t="shared" si="2"/>
        <v>448888.2</v>
      </c>
      <c r="E6" s="1">
        <v>4.0</v>
      </c>
    </row>
    <row r="7">
      <c r="A7" s="1">
        <f t="shared" si="1"/>
        <v>148.35</v>
      </c>
      <c r="B7" s="1">
        <v>2865.0</v>
      </c>
      <c r="C7">
        <f t="shared" si="2"/>
        <v>425022.75</v>
      </c>
      <c r="E7" s="1">
        <v>5.0</v>
      </c>
    </row>
    <row r="8">
      <c r="A8" s="1">
        <f t="shared" si="1"/>
        <v>140.02</v>
      </c>
      <c r="B8" s="1">
        <v>2865.0</v>
      </c>
      <c r="C8">
        <f t="shared" si="2"/>
        <v>401157.3</v>
      </c>
      <c r="E8" s="1">
        <v>6.0</v>
      </c>
    </row>
    <row r="9">
      <c r="A9" s="1">
        <f t="shared" si="1"/>
        <v>131.69</v>
      </c>
      <c r="B9" s="1">
        <v>2865.0</v>
      </c>
      <c r="C9">
        <f t="shared" si="2"/>
        <v>377291.85</v>
      </c>
      <c r="E9" s="1">
        <v>7.0</v>
      </c>
    </row>
    <row r="10">
      <c r="A10" s="1">
        <f t="shared" si="1"/>
        <v>123.36</v>
      </c>
      <c r="B10" s="1">
        <v>2865.0</v>
      </c>
      <c r="C10">
        <f t="shared" si="2"/>
        <v>353426.4</v>
      </c>
      <c r="E10" s="1">
        <v>8.0</v>
      </c>
    </row>
    <row r="11">
      <c r="A11" s="1">
        <f t="shared" si="1"/>
        <v>115.03</v>
      </c>
      <c r="B11" s="1">
        <v>2865.0</v>
      </c>
      <c r="C11">
        <f t="shared" si="2"/>
        <v>329560.95</v>
      </c>
      <c r="E11" s="1">
        <v>9.0</v>
      </c>
    </row>
    <row r="12">
      <c r="A12" s="1">
        <f t="shared" si="1"/>
        <v>106.7</v>
      </c>
      <c r="B12" s="1">
        <v>2865.0</v>
      </c>
      <c r="C12">
        <f t="shared" si="2"/>
        <v>305695.5</v>
      </c>
      <c r="E12" s="1">
        <v>10.0</v>
      </c>
    </row>
    <row r="13">
      <c r="A13" s="1">
        <f t="shared" si="1"/>
        <v>98.37</v>
      </c>
      <c r="B13" s="1">
        <v>2865.0</v>
      </c>
      <c r="C13">
        <f t="shared" si="2"/>
        <v>281830.05</v>
      </c>
      <c r="E13" s="1">
        <v>11.0</v>
      </c>
    </row>
    <row r="14">
      <c r="A14" s="1">
        <f t="shared" si="1"/>
        <v>90.04</v>
      </c>
      <c r="B14" s="1">
        <v>2865.0</v>
      </c>
      <c r="C14">
        <f t="shared" si="2"/>
        <v>257964.6</v>
      </c>
      <c r="E14" s="1">
        <v>12.0</v>
      </c>
    </row>
    <row r="15">
      <c r="A15" s="1">
        <f t="shared" si="1"/>
        <v>81.71</v>
      </c>
      <c r="B15" s="1">
        <v>2865.0</v>
      </c>
      <c r="C15">
        <f t="shared" si="2"/>
        <v>234099.15</v>
      </c>
      <c r="E15" s="1">
        <v>13.0</v>
      </c>
    </row>
    <row r="16">
      <c r="A16" s="1">
        <f t="shared" si="1"/>
        <v>73.38</v>
      </c>
      <c r="B16" s="1">
        <v>2865.0</v>
      </c>
      <c r="C16">
        <f t="shared" si="2"/>
        <v>210233.7</v>
      </c>
      <c r="E16" s="1">
        <v>14.0</v>
      </c>
    </row>
    <row r="17">
      <c r="A17" s="1">
        <f t="shared" si="1"/>
        <v>65.05</v>
      </c>
      <c r="B17" s="1">
        <v>2865.0</v>
      </c>
      <c r="C17">
        <f t="shared" si="2"/>
        <v>186368.25</v>
      </c>
      <c r="E17" s="1">
        <v>15.0</v>
      </c>
    </row>
    <row r="18">
      <c r="A18" s="1">
        <f t="shared" si="1"/>
        <v>56.72</v>
      </c>
      <c r="B18" s="1">
        <v>2865.0</v>
      </c>
      <c r="C18">
        <f t="shared" si="2"/>
        <v>162502.8</v>
      </c>
      <c r="E18" s="1">
        <v>16.0</v>
      </c>
    </row>
    <row r="19">
      <c r="A19" s="1">
        <f t="shared" si="1"/>
        <v>48.39</v>
      </c>
      <c r="B19" s="1">
        <v>2865.0</v>
      </c>
      <c r="C19">
        <f t="shared" si="2"/>
        <v>138637.35</v>
      </c>
      <c r="E19" s="1">
        <v>17.0</v>
      </c>
    </row>
    <row r="20">
      <c r="A20" s="1">
        <f t="shared" si="1"/>
        <v>40.06</v>
      </c>
      <c r="B20" s="1">
        <v>2865.0</v>
      </c>
      <c r="C20">
        <f t="shared" si="2"/>
        <v>114771.9</v>
      </c>
      <c r="E20" s="1">
        <v>18.0</v>
      </c>
    </row>
    <row r="21">
      <c r="A21" s="1">
        <f t="shared" si="1"/>
        <v>31.73</v>
      </c>
      <c r="B21" s="1">
        <v>2865.0</v>
      </c>
      <c r="C21">
        <f t="shared" si="2"/>
        <v>90906.45</v>
      </c>
      <c r="E21" s="1">
        <v>19.0</v>
      </c>
    </row>
    <row r="24">
      <c r="C24">
        <f>sum(C2:C21)</f>
        <v>6352564.5</v>
      </c>
    </row>
    <row r="26">
      <c r="C26" s="1" t="s">
        <v>216</v>
      </c>
      <c r="D26">
        <f>C24*1.15</f>
        <v>7305449.175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217</v>
      </c>
      <c r="B1" s="1">
        <v>2.38</v>
      </c>
    </row>
    <row r="2">
      <c r="A2" s="1" t="s">
        <v>218</v>
      </c>
      <c r="B2" s="1">
        <v>2.12</v>
      </c>
    </row>
    <row r="3">
      <c r="A3" s="1" t="s">
        <v>219</v>
      </c>
      <c r="B3">
        <f>53*6</f>
        <v>318</v>
      </c>
    </row>
    <row r="4">
      <c r="A4" s="1" t="s">
        <v>220</v>
      </c>
      <c r="B4">
        <f>B1*B3*15</f>
        <v>11352.6</v>
      </c>
    </row>
    <row r="5">
      <c r="A5" s="1" t="s">
        <v>221</v>
      </c>
      <c r="B5">
        <f>B2*7*525</f>
        <v>7791</v>
      </c>
    </row>
    <row r="6">
      <c r="A6" s="1" t="s">
        <v>222</v>
      </c>
      <c r="B6">
        <f>B5+B4</f>
        <v>19143.6</v>
      </c>
    </row>
    <row r="7">
      <c r="A7" s="1" t="s">
        <v>223</v>
      </c>
      <c r="B7" s="1">
        <v>0.0</v>
      </c>
    </row>
    <row r="8">
      <c r="A8" s="1" t="s">
        <v>224</v>
      </c>
      <c r="B8">
        <f>B6/20</f>
        <v>957.18</v>
      </c>
    </row>
    <row r="9">
      <c r="A9" s="1" t="s">
        <v>225</v>
      </c>
      <c r="B9" s="1">
        <v>20.0</v>
      </c>
    </row>
    <row r="10">
      <c r="A10" s="1" t="s">
        <v>226</v>
      </c>
      <c r="B10">
        <f>25/3</f>
        <v>8.333333333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227</v>
      </c>
    </row>
    <row r="2">
      <c r="A2" s="1" t="s">
        <v>228</v>
      </c>
    </row>
    <row r="3">
      <c r="A3" s="1" t="s">
        <v>229</v>
      </c>
      <c r="D3" s="1" t="s">
        <v>230</v>
      </c>
    </row>
    <row r="5">
      <c r="A5" s="1" t="s">
        <v>231</v>
      </c>
    </row>
    <row r="6">
      <c r="A6" s="1" t="s">
        <v>232</v>
      </c>
    </row>
    <row r="7">
      <c r="A7" s="1"/>
    </row>
    <row r="8">
      <c r="A8" s="1" t="s">
        <v>233</v>
      </c>
    </row>
  </sheetData>
  <drawing r:id="rId1"/>
</worksheet>
</file>