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3"/>
    <sheet state="visible" name="Sheet1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">
      <text>
        <t xml:space="preserve">ask in lecture because we need 25 feet
	-Shien Sam</t>
      </text>
    </comment>
  </commentList>
</comments>
</file>

<file path=xl/sharedStrings.xml><?xml version="1.0" encoding="utf-8"?>
<sst xmlns="http://schemas.openxmlformats.org/spreadsheetml/2006/main" count="123" uniqueCount="106">
  <si>
    <t>Cost</t>
  </si>
  <si>
    <t xml:space="preserve">Material </t>
  </si>
  <si>
    <t xml:space="preserve">Unit price </t>
  </si>
  <si>
    <t xml:space="preserve">In Units Of </t>
  </si>
  <si>
    <t>Unit (LB or CF)</t>
  </si>
  <si>
    <t>Material Cost</t>
  </si>
  <si>
    <t>Furnish Structural Steel</t>
  </si>
  <si>
    <t>$ / LB</t>
  </si>
  <si>
    <t>Erect Structural Steel</t>
  </si>
  <si>
    <t>Furnish Cable System</t>
  </si>
  <si>
    <t>Erect Cable System</t>
  </si>
  <si>
    <t>Bar Reinforcement Steel</t>
  </si>
  <si>
    <t>Structural Concrete</t>
  </si>
  <si>
    <t>$ / CF</t>
  </si>
  <si>
    <t>Total Cost</t>
  </si>
  <si>
    <t xml:space="preserve">Cable </t>
  </si>
  <si>
    <t>Cable #</t>
  </si>
  <si>
    <t>Length (ft)</t>
  </si>
  <si>
    <t># of Strands</t>
  </si>
  <si>
    <t>Cable Diameter(mm)</t>
  </si>
  <si>
    <t>Cable diameter (ft)</t>
  </si>
  <si>
    <t>Volume of cable (cubic feet)</t>
  </si>
  <si>
    <t>Density (pcf)</t>
  </si>
  <si>
    <t>Weight (LB)</t>
  </si>
  <si>
    <t>Deck Materials</t>
  </si>
  <si>
    <t>Total Self Weight(kip)</t>
  </si>
  <si>
    <t>Concrete in CF</t>
  </si>
  <si>
    <t xml:space="preserve">Deck </t>
  </si>
  <si>
    <t>8" Slab</t>
  </si>
  <si>
    <t xml:space="preserve">Concrete </t>
  </si>
  <si>
    <t>Pavement , needs data</t>
  </si>
  <si>
    <t>Stringers</t>
  </si>
  <si>
    <t>Steel W30x 391</t>
  </si>
  <si>
    <t>.</t>
  </si>
  <si>
    <t>Note A on dwg</t>
  </si>
  <si>
    <t>Girder Type 1</t>
  </si>
  <si>
    <t>Built-up: 18x4 flange, 3 x 32 web</t>
  </si>
  <si>
    <t>Note B on dwg</t>
  </si>
  <si>
    <t>Girder Type 2 (Not Used)</t>
  </si>
  <si>
    <t>Steel W30x261</t>
  </si>
  <si>
    <t>Bottom Deck (Not Used)</t>
  </si>
  <si>
    <t xml:space="preserve">Steel 40 in x 40 in x 2.5 in </t>
  </si>
  <si>
    <t>Note C on dwg</t>
  </si>
  <si>
    <t>Edge Girder</t>
  </si>
  <si>
    <t>Box Steel HSS 5 x 4.5 x 0.75 in</t>
  </si>
  <si>
    <t>Tower Materials</t>
  </si>
  <si>
    <t>Tower diameter 1</t>
  </si>
  <si>
    <t>ft</t>
  </si>
  <si>
    <t>Tower diameter 2</t>
  </si>
  <si>
    <t>Tower Height</t>
  </si>
  <si>
    <t>Tower Volume</t>
  </si>
  <si>
    <t>ft^3</t>
  </si>
  <si>
    <t>Two Towers</t>
  </si>
  <si>
    <t>Tower beam 1</t>
  </si>
  <si>
    <t>Tower beam 2</t>
  </si>
  <si>
    <t>Project Name:</t>
  </si>
  <si>
    <t>Byzantine Steel Bridge</t>
  </si>
  <si>
    <t>Location:</t>
  </si>
  <si>
    <t>Sacramento, Ca</t>
  </si>
  <si>
    <t>Line Number</t>
  </si>
  <si>
    <t>Description</t>
  </si>
  <si>
    <t>Quantity</t>
  </si>
  <si>
    <t>Unit</t>
  </si>
  <si>
    <t>Material Costs($)</t>
  </si>
  <si>
    <t>Labor Costs ($)</t>
  </si>
  <si>
    <t>Equipment Costs ($)</t>
  </si>
  <si>
    <t>Subcontract ($)</t>
  </si>
  <si>
    <t>Estimate Total ($)</t>
  </si>
  <si>
    <t>Framing</t>
  </si>
  <si>
    <t>Built up plate girders</t>
  </si>
  <si>
    <t>Ton</t>
  </si>
  <si>
    <t>Box Girders (35-50')</t>
  </si>
  <si>
    <t>Continuous Fillet Welds, including equipment- 8-11 passes 1" thick, 2.4#/LF</t>
  </si>
  <si>
    <t>Linear foot</t>
  </si>
  <si>
    <t>Weld shear connectors 0.75" diameter, 6-3/16" long</t>
  </si>
  <si>
    <t>Each</t>
  </si>
  <si>
    <t>Bolts</t>
  </si>
  <si>
    <t>Vibration and bearing pads- 1" thick laminated synthetic rubber impregnated cotton duck</t>
  </si>
  <si>
    <t>Square foot</t>
  </si>
  <si>
    <t xml:space="preserve">Compression seals (for expansion joints) </t>
  </si>
  <si>
    <t>Seal galvanization</t>
  </si>
  <si>
    <t>Approach railings</t>
  </si>
  <si>
    <t>Cable</t>
  </si>
  <si>
    <t>Shear stud (Spacing=8in along length of bridge, 6in width)</t>
  </si>
  <si>
    <t>Grout</t>
  </si>
  <si>
    <t>Cubic Feet</t>
  </si>
  <si>
    <t xml:space="preserve">  </t>
  </si>
  <si>
    <t>Asphalt/ Road</t>
  </si>
  <si>
    <t>Graded friction course</t>
  </si>
  <si>
    <t>Base Courses</t>
  </si>
  <si>
    <t>Drainage Layers</t>
  </si>
  <si>
    <t>Road markings</t>
  </si>
  <si>
    <t xml:space="preserve">Griders </t>
  </si>
  <si>
    <t xml:space="preserve">Beams </t>
  </si>
  <si>
    <t xml:space="preserve">Concrete deck </t>
  </si>
  <si>
    <t>Concrete Pylon</t>
  </si>
  <si>
    <t>Do we need these?</t>
  </si>
  <si>
    <t>5% steel weight added for bolts</t>
  </si>
  <si>
    <t>Remove?</t>
  </si>
  <si>
    <t>shear studs</t>
  </si>
  <si>
    <t>2 box girders</t>
  </si>
  <si>
    <t>rebar weights</t>
  </si>
  <si>
    <t>abutment wieght</t>
  </si>
  <si>
    <t>rock anchors</t>
  </si>
  <si>
    <t>cable lengths and weights</t>
  </si>
  <si>
    <t>barriers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</si>
</sst>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</font>
    <font>
      <b/>
    </font>
    <font/>
    <font>
      <b/>
      <name val="Arial"/>
    </font>
    <font>
      <name val="Arial"/>
    </font>
    <font>
      <color rgb="FF000000"/>
      <name val="Arial"/>
    </font>
    <font>
      <color rgb="FFFF0000"/>
      <name val="Arial"/>
    </font>
    <font>
      <b/>
      <sz val="10.0"/>
      <color rgb="FF000000"/>
      <name val="Arial"/>
    </font>
    <font>
      <color rgb="FF000000"/>
    </font>
    <font>
      <color rgb="FFFF0000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4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3" fontId="1" numFmtId="164" xfId="0" applyFill="1" applyFont="1" applyNumberFormat="1"/>
    <xf borderId="0" fillId="3" fontId="1" numFmtId="0" xfId="0" applyAlignment="1" applyFont="1">
      <alignment readingOrder="0"/>
    </xf>
    <xf borderId="1" fillId="0" fontId="3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3" fillId="0" fontId="4" numFmtId="1" xfId="0" applyAlignment="1" applyBorder="1" applyFont="1" applyNumberFormat="1">
      <alignment horizontal="right" vertical="bottom"/>
    </xf>
    <xf borderId="0" fillId="3" fontId="1" numFmtId="0" xfId="0" applyFont="1"/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3" fontId="2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3" fontId="0" numFmtId="0" xfId="0" applyAlignment="1" applyFont="1">
      <alignment horizontal="left" readingOrder="0"/>
    </xf>
    <xf borderId="0" fillId="4" fontId="0" numFmtId="0" xfId="0" applyAlignment="1" applyFill="1" applyFont="1">
      <alignment horizontal="right" readingOrder="0"/>
    </xf>
    <xf borderId="0" fillId="3" fontId="1" numFmtId="0" xfId="0" applyAlignment="1" applyFont="1">
      <alignment horizontal="left" readingOrder="0"/>
    </xf>
    <xf borderId="0" fillId="0" fontId="1" numFmtId="0" xfId="0" applyAlignment="1" applyFont="1">
      <alignment horizontal="right"/>
    </xf>
    <xf borderId="0" fillId="4" fontId="7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2" numFmtId="0" xfId="0" applyFont="1"/>
    <xf borderId="0" fillId="3" fontId="8" numFmtId="0" xfId="0" applyAlignment="1" applyFont="1">
      <alignment readingOrder="0"/>
    </xf>
    <xf borderId="0" fillId="3" fontId="8" numFmtId="0" xfId="0" applyFont="1"/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21.0"/>
    <col customWidth="1" min="3" max="3" width="18.29"/>
    <col customWidth="1" min="4" max="4" width="20.29"/>
    <col customWidth="1" min="5" max="5" width="17.71"/>
    <col customWidth="1" min="6" max="6" width="26.14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H2" s="2"/>
      <c r="I2" s="2"/>
    </row>
    <row r="3">
      <c r="A3" s="2" t="s">
        <v>6</v>
      </c>
      <c r="B3" s="2">
        <v>4.0</v>
      </c>
      <c r="C3" s="2" t="s">
        <v>7</v>
      </c>
      <c r="D3">
        <f>sum(D42:D46)*1000</f>
        <v>3544486.85</v>
      </c>
      <c r="E3" s="3">
        <f t="shared" ref="E3:E8" si="1">B3*D3</f>
        <v>14177947.4</v>
      </c>
      <c r="H3" s="2"/>
    </row>
    <row r="4">
      <c r="A4" s="2" t="s">
        <v>8</v>
      </c>
      <c r="B4" s="2">
        <v>5.0</v>
      </c>
      <c r="C4" s="2" t="s">
        <v>7</v>
      </c>
      <c r="D4">
        <f>sum(D42:D46)*1000</f>
        <v>3544486.85</v>
      </c>
      <c r="E4" s="3">
        <f t="shared" si="1"/>
        <v>17722434.25</v>
      </c>
    </row>
    <row r="5">
      <c r="A5" s="2" t="s">
        <v>9</v>
      </c>
      <c r="B5" s="2">
        <v>4.5</v>
      </c>
      <c r="C5" s="2" t="s">
        <v>7</v>
      </c>
      <c r="D5">
        <f>H35</f>
        <v>309188.5828</v>
      </c>
      <c r="E5" s="3">
        <f t="shared" si="1"/>
        <v>1391348.623</v>
      </c>
    </row>
    <row r="6">
      <c r="A6" s="2" t="s">
        <v>10</v>
      </c>
      <c r="B6" s="2">
        <v>6.0</v>
      </c>
      <c r="C6" s="2" t="s">
        <v>7</v>
      </c>
      <c r="D6">
        <f>H35</f>
        <v>309188.5828</v>
      </c>
      <c r="E6" s="3">
        <f t="shared" si="1"/>
        <v>1855131.497</v>
      </c>
    </row>
    <row r="7">
      <c r="A7" s="2" t="s">
        <v>11</v>
      </c>
      <c r="B7" s="2">
        <v>6.0</v>
      </c>
      <c r="C7" s="2" t="s">
        <v>7</v>
      </c>
      <c r="D7">
        <f>D8*0.02*490</f>
        <v>2115725.779</v>
      </c>
      <c r="E7" s="3">
        <f t="shared" si="1"/>
        <v>12694354.67</v>
      </c>
    </row>
    <row r="8">
      <c r="A8" s="2" t="s">
        <v>12</v>
      </c>
      <c r="B8" s="2">
        <v>30.0</v>
      </c>
      <c r="C8" s="2" t="s">
        <v>13</v>
      </c>
      <c r="D8" s="2">
        <f>E40+B53+B54+B55</f>
        <v>215890.3856</v>
      </c>
      <c r="E8" s="3">
        <f t="shared" si="1"/>
        <v>6476711.568</v>
      </c>
    </row>
    <row r="9">
      <c r="E9" s="4">
        <f>Sum(E3:E8)</f>
        <v>54317928.01</v>
      </c>
    </row>
    <row r="10">
      <c r="E10" s="5" t="s">
        <v>14</v>
      </c>
    </row>
    <row r="11">
      <c r="A11" s="1" t="s">
        <v>15</v>
      </c>
    </row>
    <row r="12">
      <c r="A12" s="6" t="s">
        <v>16</v>
      </c>
      <c r="B12" s="7" t="s">
        <v>17</v>
      </c>
      <c r="C12" s="8" t="s">
        <v>18</v>
      </c>
      <c r="D12" s="8" t="s">
        <v>19</v>
      </c>
      <c r="E12" s="9" t="s">
        <v>20</v>
      </c>
      <c r="F12" s="9" t="s">
        <v>21</v>
      </c>
      <c r="G12" s="9" t="s">
        <v>22</v>
      </c>
      <c r="H12" s="9" t="s">
        <v>23</v>
      </c>
    </row>
    <row r="13">
      <c r="A13" s="10">
        <v>1.0</v>
      </c>
      <c r="B13" s="11">
        <f t="shared" ref="B13:B29" si="2">sqrt((220-12*A13)^2+(540-30*A13+(220-12*A13)*tan(15/180*pi()))^2)</f>
        <v>602.7589204</v>
      </c>
      <c r="C13" s="10">
        <v>37.0</v>
      </c>
      <c r="D13" s="10">
        <v>109.9</v>
      </c>
      <c r="E13" s="2">
        <v>0.3605643</v>
      </c>
      <c r="F13">
        <f t="shared" ref="F13:F34" si="3">(3.14159*(E13/2)^2)*B13</f>
        <v>61.5458267</v>
      </c>
      <c r="G13" s="2">
        <v>374.0</v>
      </c>
      <c r="H13">
        <f t="shared" ref="H13:H34" si="4">F13*G13</f>
        <v>23018.13919</v>
      </c>
    </row>
    <row r="14">
      <c r="A14" s="10">
        <v>2.0</v>
      </c>
      <c r="B14" s="11">
        <f t="shared" si="2"/>
        <v>567.4429176</v>
      </c>
      <c r="C14" s="10">
        <v>37.0</v>
      </c>
      <c r="D14" s="10">
        <v>109.9</v>
      </c>
      <c r="E14" s="2">
        <v>0.3605643</v>
      </c>
      <c r="F14">
        <f t="shared" si="3"/>
        <v>57.9398202</v>
      </c>
      <c r="G14" s="2">
        <v>374.0</v>
      </c>
      <c r="H14">
        <f t="shared" si="4"/>
        <v>21669.49275</v>
      </c>
    </row>
    <row r="15">
      <c r="A15" s="10">
        <v>3.0</v>
      </c>
      <c r="B15" s="11">
        <f t="shared" si="2"/>
        <v>532.126994</v>
      </c>
      <c r="C15" s="10">
        <v>37.0</v>
      </c>
      <c r="D15" s="10">
        <v>109.9</v>
      </c>
      <c r="E15" s="2">
        <v>0.3605643</v>
      </c>
      <c r="F15">
        <f t="shared" si="3"/>
        <v>54.33382177</v>
      </c>
      <c r="G15" s="2">
        <v>374.0</v>
      </c>
      <c r="H15">
        <f t="shared" si="4"/>
        <v>20320.84934</v>
      </c>
    </row>
    <row r="16">
      <c r="A16" s="10">
        <v>4.0</v>
      </c>
      <c r="B16" s="11">
        <f t="shared" si="2"/>
        <v>496.8111663</v>
      </c>
      <c r="C16" s="10">
        <v>37.0</v>
      </c>
      <c r="D16" s="10">
        <v>109.9</v>
      </c>
      <c r="E16" s="2">
        <v>0.3605643</v>
      </c>
      <c r="F16">
        <f t="shared" si="3"/>
        <v>50.72783315</v>
      </c>
      <c r="G16" s="2">
        <v>374.0</v>
      </c>
      <c r="H16">
        <f t="shared" si="4"/>
        <v>18972.2096</v>
      </c>
    </row>
    <row r="17">
      <c r="A17" s="10">
        <v>5.0</v>
      </c>
      <c r="B17" s="11">
        <f t="shared" si="2"/>
        <v>461.4954567</v>
      </c>
      <c r="C17" s="10">
        <v>37.0</v>
      </c>
      <c r="D17" s="10">
        <v>109.9</v>
      </c>
      <c r="E17" s="2">
        <v>0.3605643</v>
      </c>
      <c r="F17">
        <f t="shared" si="3"/>
        <v>47.12185658</v>
      </c>
      <c r="G17" s="2">
        <v>374.0</v>
      </c>
      <c r="H17">
        <f t="shared" si="4"/>
        <v>17623.57436</v>
      </c>
    </row>
    <row r="18">
      <c r="A18" s="10">
        <v>6.0</v>
      </c>
      <c r="B18" s="11">
        <f t="shared" si="2"/>
        <v>426.1798944</v>
      </c>
      <c r="C18" s="10">
        <v>37.0</v>
      </c>
      <c r="D18" s="10">
        <v>109.9</v>
      </c>
      <c r="E18" s="2">
        <v>0.3605643</v>
      </c>
      <c r="F18">
        <f t="shared" si="3"/>
        <v>43.51589506</v>
      </c>
      <c r="G18" s="2">
        <v>374.0</v>
      </c>
      <c r="H18">
        <f t="shared" si="4"/>
        <v>16274.94475</v>
      </c>
    </row>
    <row r="19">
      <c r="A19" s="10">
        <v>7.0</v>
      </c>
      <c r="B19" s="11">
        <f t="shared" si="2"/>
        <v>390.8645195</v>
      </c>
      <c r="C19" s="10">
        <v>37.0</v>
      </c>
      <c r="D19" s="10">
        <v>109.9</v>
      </c>
      <c r="E19" s="2">
        <v>0.3605643</v>
      </c>
      <c r="F19">
        <f t="shared" si="3"/>
        <v>39.90995266</v>
      </c>
      <c r="G19" s="2">
        <v>374.0</v>
      </c>
      <c r="H19">
        <f t="shared" si="4"/>
        <v>14926.32229</v>
      </c>
    </row>
    <row r="20">
      <c r="A20" s="10">
        <v>8.0</v>
      </c>
      <c r="B20" s="11">
        <f t="shared" si="2"/>
        <v>355.5493876</v>
      </c>
      <c r="C20" s="10">
        <v>37.0</v>
      </c>
      <c r="D20" s="10">
        <v>109.9</v>
      </c>
      <c r="E20" s="2">
        <v>0.3605643</v>
      </c>
      <c r="F20">
        <f t="shared" si="3"/>
        <v>36.30403509</v>
      </c>
      <c r="G20" s="2">
        <v>374.0</v>
      </c>
      <c r="H20">
        <f t="shared" si="4"/>
        <v>13577.70912</v>
      </c>
    </row>
    <row r="21">
      <c r="A21" s="10">
        <v>9.0</v>
      </c>
      <c r="B21" s="11">
        <f t="shared" si="2"/>
        <v>320.2345794</v>
      </c>
      <c r="C21" s="10">
        <v>37.0</v>
      </c>
      <c r="D21" s="10">
        <v>109.9</v>
      </c>
      <c r="E21" s="2">
        <v>0.3605643</v>
      </c>
      <c r="F21">
        <f t="shared" si="3"/>
        <v>32.69815055</v>
      </c>
      <c r="G21" s="2">
        <v>374.0</v>
      </c>
      <c r="H21">
        <f t="shared" si="4"/>
        <v>12229.10831</v>
      </c>
    </row>
    <row r="22">
      <c r="A22" s="10">
        <v>10.0</v>
      </c>
      <c r="B22" s="11">
        <f t="shared" si="2"/>
        <v>284.920215</v>
      </c>
      <c r="C22" s="10">
        <v>37.0</v>
      </c>
      <c r="D22" s="10">
        <v>109.9</v>
      </c>
      <c r="E22" s="2">
        <v>0.3605643</v>
      </c>
      <c r="F22">
        <f t="shared" si="3"/>
        <v>29.09231135</v>
      </c>
      <c r="G22" s="2">
        <v>374.0</v>
      </c>
      <c r="H22">
        <f t="shared" si="4"/>
        <v>10880.52444</v>
      </c>
    </row>
    <row r="23">
      <c r="A23" s="10">
        <v>11.0</v>
      </c>
      <c r="B23" s="11">
        <f t="shared" si="2"/>
        <v>249.606483</v>
      </c>
      <c r="C23" s="10">
        <v>37.0</v>
      </c>
      <c r="D23" s="10">
        <v>109.9</v>
      </c>
      <c r="E23" s="2">
        <v>0.3605643</v>
      </c>
      <c r="F23">
        <f t="shared" si="3"/>
        <v>25.4865367</v>
      </c>
      <c r="G23" s="2">
        <v>374.0</v>
      </c>
      <c r="H23">
        <f t="shared" si="4"/>
        <v>9531.964725</v>
      </c>
    </row>
    <row r="24">
      <c r="A24" s="10">
        <v>12.0</v>
      </c>
      <c r="B24" s="11">
        <f t="shared" si="2"/>
        <v>214.2936958</v>
      </c>
      <c r="C24" s="10">
        <v>37.0</v>
      </c>
      <c r="D24" s="10">
        <v>109.9</v>
      </c>
      <c r="E24" s="2">
        <v>0.3605643</v>
      </c>
      <c r="F24">
        <f t="shared" si="3"/>
        <v>21.88085853</v>
      </c>
      <c r="G24" s="2">
        <v>374.0</v>
      </c>
      <c r="H24">
        <f t="shared" si="4"/>
        <v>8183.441089</v>
      </c>
    </row>
    <row r="25">
      <c r="A25" s="10">
        <v>13.0</v>
      </c>
      <c r="B25" s="11">
        <f t="shared" si="2"/>
        <v>178.9824127</v>
      </c>
      <c r="C25" s="10">
        <v>37.0</v>
      </c>
      <c r="D25" s="10">
        <v>109.9</v>
      </c>
      <c r="E25" s="2">
        <v>0.3605643</v>
      </c>
      <c r="F25">
        <f t="shared" si="3"/>
        <v>18.27533394</v>
      </c>
      <c r="G25" s="2">
        <v>374.0</v>
      </c>
      <c r="H25">
        <f t="shared" si="4"/>
        <v>6834.974894</v>
      </c>
    </row>
    <row r="26">
      <c r="A26" s="10">
        <v>14.0</v>
      </c>
      <c r="B26" s="11">
        <f t="shared" si="2"/>
        <v>143.6737429</v>
      </c>
      <c r="C26" s="10">
        <v>37.0</v>
      </c>
      <c r="D26" s="10">
        <v>109.9</v>
      </c>
      <c r="E26" s="2">
        <v>0.3605643</v>
      </c>
      <c r="F26">
        <f t="shared" si="3"/>
        <v>14.67007618</v>
      </c>
      <c r="G26" s="2">
        <v>374.0</v>
      </c>
      <c r="H26">
        <f t="shared" si="4"/>
        <v>5486.608491</v>
      </c>
    </row>
    <row r="27">
      <c r="A27" s="10">
        <v>15.0</v>
      </c>
      <c r="B27" s="11">
        <f t="shared" si="2"/>
        <v>108.3702405</v>
      </c>
      <c r="C27" s="10">
        <v>37.0</v>
      </c>
      <c r="D27" s="10">
        <v>109.9</v>
      </c>
      <c r="E27" s="2">
        <v>0.3605643</v>
      </c>
      <c r="F27">
        <f t="shared" si="3"/>
        <v>11.06534605</v>
      </c>
      <c r="G27" s="2">
        <v>374.0</v>
      </c>
      <c r="H27">
        <f t="shared" si="4"/>
        <v>4138.439423</v>
      </c>
    </row>
    <row r="28">
      <c r="A28" s="10">
        <v>16.0</v>
      </c>
      <c r="B28" s="11">
        <f t="shared" si="2"/>
        <v>73.07939487</v>
      </c>
      <c r="C28" s="10">
        <v>37.0</v>
      </c>
      <c r="D28" s="10">
        <v>109.9</v>
      </c>
      <c r="E28" s="2">
        <v>0.3605643</v>
      </c>
      <c r="F28">
        <f t="shared" si="3"/>
        <v>7.461908268</v>
      </c>
      <c r="G28" s="2">
        <v>374.0</v>
      </c>
      <c r="H28">
        <f t="shared" si="4"/>
        <v>2790.753692</v>
      </c>
    </row>
    <row r="29">
      <c r="A29" s="10">
        <v>17.0</v>
      </c>
      <c r="B29" s="11">
        <f t="shared" si="2"/>
        <v>37.8366383</v>
      </c>
      <c r="C29" s="10">
        <v>37.0</v>
      </c>
      <c r="D29" s="10">
        <v>109.9</v>
      </c>
      <c r="E29" s="2">
        <v>0.3605643</v>
      </c>
      <c r="F29">
        <f t="shared" si="3"/>
        <v>3.863380707</v>
      </c>
      <c r="G29" s="2">
        <v>374.0</v>
      </c>
      <c r="H29">
        <f t="shared" si="4"/>
        <v>1444.904384</v>
      </c>
    </row>
    <row r="30">
      <c r="A30" s="2">
        <v>18.0</v>
      </c>
      <c r="B30" s="2">
        <v>235.0</v>
      </c>
      <c r="C30" s="2">
        <v>127.0</v>
      </c>
      <c r="D30" s="2">
        <v>204.1</v>
      </c>
      <c r="E30" s="2">
        <v>0.6696194</v>
      </c>
      <c r="F30">
        <f t="shared" si="3"/>
        <v>82.75865648</v>
      </c>
      <c r="G30" s="2">
        <v>374.0</v>
      </c>
      <c r="H30">
        <f t="shared" si="4"/>
        <v>30951.73752</v>
      </c>
    </row>
    <row r="31">
      <c r="A31" s="10">
        <v>19.0</v>
      </c>
      <c r="B31" s="2">
        <v>194.5</v>
      </c>
      <c r="C31" s="2">
        <v>127.0</v>
      </c>
      <c r="D31" s="2">
        <v>204.1</v>
      </c>
      <c r="E31" s="2">
        <v>0.6696194</v>
      </c>
      <c r="F31">
        <f t="shared" si="3"/>
        <v>68.4959944</v>
      </c>
      <c r="G31" s="2">
        <v>374.0</v>
      </c>
      <c r="H31">
        <f t="shared" si="4"/>
        <v>25617.50191</v>
      </c>
    </row>
    <row r="32">
      <c r="A32" s="10">
        <v>20.0</v>
      </c>
      <c r="B32" s="2">
        <v>154.0</v>
      </c>
      <c r="C32" s="2">
        <v>127.0</v>
      </c>
      <c r="D32" s="2">
        <v>204.1</v>
      </c>
      <c r="E32" s="2">
        <v>0.6696194</v>
      </c>
      <c r="F32">
        <f t="shared" si="3"/>
        <v>54.23333233</v>
      </c>
      <c r="G32" s="2">
        <v>374.0</v>
      </c>
      <c r="H32">
        <f t="shared" si="4"/>
        <v>20283.26629</v>
      </c>
    </row>
    <row r="33">
      <c r="A33" s="2">
        <v>21.0</v>
      </c>
      <c r="B33" s="2">
        <v>113.0</v>
      </c>
      <c r="C33" s="2">
        <v>127.0</v>
      </c>
      <c r="D33" s="2">
        <v>204.1</v>
      </c>
      <c r="E33" s="2">
        <v>0.6696194</v>
      </c>
      <c r="F33">
        <f t="shared" si="3"/>
        <v>39.79458801</v>
      </c>
      <c r="G33" s="2">
        <v>374.0</v>
      </c>
      <c r="H33">
        <f t="shared" si="4"/>
        <v>14883.17592</v>
      </c>
    </row>
    <row r="34">
      <c r="A34" s="10">
        <v>22.0</v>
      </c>
      <c r="B34" s="2">
        <v>72.5</v>
      </c>
      <c r="C34" s="2">
        <v>127.0</v>
      </c>
      <c r="D34" s="2">
        <v>204.1</v>
      </c>
      <c r="E34" s="2">
        <v>0.6696194</v>
      </c>
      <c r="F34">
        <f t="shared" si="3"/>
        <v>25.53192593</v>
      </c>
      <c r="G34" s="2">
        <v>374.0</v>
      </c>
      <c r="H34">
        <f t="shared" si="4"/>
        <v>9548.9403</v>
      </c>
    </row>
    <row r="35">
      <c r="H35" s="12">
        <f>sum(H13:H34)</f>
        <v>309188.5828</v>
      </c>
    </row>
    <row r="36">
      <c r="H36" s="5" t="s">
        <v>14</v>
      </c>
    </row>
    <row r="38">
      <c r="A38" s="1" t="s">
        <v>24</v>
      </c>
    </row>
    <row r="39">
      <c r="A39" s="13"/>
      <c r="B39" s="13"/>
      <c r="C39" s="13"/>
      <c r="D39" s="9" t="s">
        <v>25</v>
      </c>
      <c r="E39" s="9" t="s">
        <v>26</v>
      </c>
    </row>
    <row r="40">
      <c r="A40" s="13" t="s">
        <v>27</v>
      </c>
      <c r="B40" s="13" t="s">
        <v>28</v>
      </c>
      <c r="C40" s="13" t="s">
        <v>29</v>
      </c>
      <c r="D40" s="2">
        <v>4462.5</v>
      </c>
      <c r="E40">
        <f>(D40*1000)/150</f>
        <v>29750</v>
      </c>
    </row>
    <row r="41">
      <c r="A41" s="13" t="s">
        <v>27</v>
      </c>
      <c r="B41" s="13" t="s">
        <v>30</v>
      </c>
      <c r="C41" s="13"/>
    </row>
    <row r="42">
      <c r="A42" s="14" t="s">
        <v>27</v>
      </c>
      <c r="B42" s="14" t="s">
        <v>31</v>
      </c>
      <c r="C42" s="13" t="s">
        <v>32</v>
      </c>
      <c r="D42" s="2">
        <v>1055.7</v>
      </c>
      <c r="E42" s="2" t="s">
        <v>33</v>
      </c>
    </row>
    <row r="43">
      <c r="A43" s="13" t="s">
        <v>34</v>
      </c>
      <c r="B43" s="13" t="s">
        <v>35</v>
      </c>
      <c r="C43" s="15" t="s">
        <v>36</v>
      </c>
      <c r="D43" s="2">
        <v>1298.08685</v>
      </c>
    </row>
    <row r="44">
      <c r="A44" s="16" t="s">
        <v>37</v>
      </c>
      <c r="B44" s="16" t="s">
        <v>38</v>
      </c>
      <c r="C44" s="16" t="s">
        <v>39</v>
      </c>
      <c r="D44" s="2">
        <v>0.0</v>
      </c>
    </row>
    <row r="45">
      <c r="A45" s="16" t="s">
        <v>27</v>
      </c>
      <c r="B45" s="16" t="s">
        <v>40</v>
      </c>
      <c r="C45" s="17" t="s">
        <v>41</v>
      </c>
      <c r="D45" s="2">
        <v>0.0</v>
      </c>
    </row>
    <row r="46">
      <c r="A46" s="13" t="s">
        <v>42</v>
      </c>
      <c r="B46" s="13" t="s">
        <v>43</v>
      </c>
      <c r="C46" s="18" t="s">
        <v>44</v>
      </c>
      <c r="D46" s="2">
        <v>1190.7</v>
      </c>
    </row>
    <row r="48">
      <c r="A48" s="1" t="s">
        <v>45</v>
      </c>
    </row>
    <row r="49">
      <c r="A49" s="19" t="s">
        <v>46</v>
      </c>
      <c r="B49" s="20">
        <v>3.0</v>
      </c>
      <c r="C49" s="2" t="s">
        <v>47</v>
      </c>
    </row>
    <row r="50">
      <c r="A50" s="21" t="s">
        <v>48</v>
      </c>
      <c r="B50" s="20">
        <v>18.0</v>
      </c>
      <c r="C50" s="2" t="s">
        <v>47</v>
      </c>
    </row>
    <row r="51">
      <c r="A51" s="19" t="s">
        <v>49</v>
      </c>
      <c r="B51" s="20">
        <v>228.0</v>
      </c>
      <c r="C51" s="2" t="s">
        <v>47</v>
      </c>
    </row>
    <row r="52">
      <c r="A52" s="19" t="s">
        <v>50</v>
      </c>
      <c r="B52" s="22">
        <f>228*3.14159/3 * (18^2 + 18*3 + 3^2)</f>
        <v>92400.44508</v>
      </c>
      <c r="C52" s="2" t="s">
        <v>51</v>
      </c>
    </row>
    <row r="53">
      <c r="A53" s="23" t="s">
        <v>52</v>
      </c>
      <c r="B53" s="24">
        <f>B52*2</f>
        <v>184800.8902</v>
      </c>
      <c r="C53" s="2" t="s">
        <v>51</v>
      </c>
    </row>
    <row r="54">
      <c r="A54" s="5" t="s">
        <v>53</v>
      </c>
      <c r="B54" s="9">
        <f>3.14159*(3/2)^2*97.5</f>
        <v>689.1863063</v>
      </c>
      <c r="C54" s="2" t="s">
        <v>51</v>
      </c>
    </row>
    <row r="55">
      <c r="A55" s="5" t="s">
        <v>54</v>
      </c>
      <c r="B55" s="25">
        <f>3.14159*(3/2)^2*92</f>
        <v>650.30913</v>
      </c>
      <c r="C55" s="2" t="s">
        <v>51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74.0"/>
    <col customWidth="1" min="6" max="6" width="15.29"/>
    <col customWidth="1" min="8" max="8" width="18.14"/>
    <col customWidth="1" min="9" max="9" width="14.71"/>
    <col customWidth="1" min="10" max="10" width="15.86"/>
  </cols>
  <sheetData>
    <row r="1">
      <c r="A1" s="2"/>
      <c r="B1" s="2" t="s">
        <v>55</v>
      </c>
      <c r="C1" s="2" t="s">
        <v>56</v>
      </c>
    </row>
    <row r="2">
      <c r="A2" s="26"/>
      <c r="B2" s="26" t="s">
        <v>57</v>
      </c>
      <c r="C2" s="26" t="s">
        <v>58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>
      <c r="A3" s="2"/>
      <c r="B3" s="2" t="s">
        <v>59</v>
      </c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67</v>
      </c>
    </row>
    <row r="4">
      <c r="A4" s="2" t="s">
        <v>68</v>
      </c>
      <c r="C4" s="2" t="s">
        <v>69</v>
      </c>
      <c r="D4" s="2">
        <v>1.0</v>
      </c>
      <c r="E4" s="2" t="s">
        <v>70</v>
      </c>
      <c r="F4" s="2">
        <f>3125*D4</f>
        <v>3125</v>
      </c>
      <c r="G4" s="2">
        <f>605*D4</f>
        <v>605</v>
      </c>
      <c r="H4" s="2">
        <f>177*D4</f>
        <v>177</v>
      </c>
      <c r="J4">
        <f t="shared" ref="J4:J7" si="1">sum(F4:I4)</f>
        <v>3907</v>
      </c>
    </row>
    <row r="5">
      <c r="A5" s="28"/>
      <c r="B5" s="29"/>
      <c r="C5" s="28" t="s">
        <v>71</v>
      </c>
      <c r="D5" s="28">
        <v>1.0</v>
      </c>
      <c r="E5" s="28"/>
      <c r="F5" s="29"/>
      <c r="G5" s="29"/>
      <c r="H5" s="29"/>
      <c r="I5" s="29"/>
      <c r="J5" s="29">
        <f t="shared" si="1"/>
        <v>0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>
      <c r="A6" s="2"/>
      <c r="C6" s="2" t="s">
        <v>72</v>
      </c>
      <c r="D6" s="2">
        <v>1.0</v>
      </c>
      <c r="E6" s="2" t="s">
        <v>73</v>
      </c>
      <c r="F6">
        <f>5.2*D6</f>
        <v>5.2</v>
      </c>
      <c r="G6">
        <f>69.5*D6</f>
        <v>69.5</v>
      </c>
      <c r="H6">
        <f>24*D6</f>
        <v>24</v>
      </c>
      <c r="J6">
        <f t="shared" si="1"/>
        <v>98.7</v>
      </c>
    </row>
    <row r="7">
      <c r="A7" s="2"/>
      <c r="C7" s="2" t="s">
        <v>74</v>
      </c>
      <c r="D7" s="2">
        <v>1.0</v>
      </c>
      <c r="E7" s="2" t="s">
        <v>75</v>
      </c>
      <c r="F7" s="2">
        <f>0.77*$D$9</f>
        <v>0.77</v>
      </c>
      <c r="G7" s="2">
        <f>0.9*$D$9</f>
        <v>0.9</v>
      </c>
      <c r="H7" s="2">
        <f>0.52*$D$9</f>
        <v>0.52</v>
      </c>
      <c r="J7">
        <f t="shared" si="1"/>
        <v>2.19</v>
      </c>
    </row>
    <row r="8">
      <c r="A8" s="2"/>
      <c r="C8" s="2" t="s">
        <v>76</v>
      </c>
      <c r="D8" s="2"/>
      <c r="E8" s="2" t="s">
        <v>75</v>
      </c>
      <c r="F8" s="2"/>
      <c r="G8" s="2"/>
      <c r="H8" s="2"/>
    </row>
    <row r="9">
      <c r="A9" s="2"/>
      <c r="C9" s="2" t="s">
        <v>77</v>
      </c>
      <c r="D9" s="2">
        <v>1.0</v>
      </c>
      <c r="E9" s="2" t="s">
        <v>78</v>
      </c>
      <c r="F9" s="2">
        <f>130*$D$9</f>
        <v>130</v>
      </c>
      <c r="G9" s="2">
        <f>40*$D$9</f>
        <v>40</v>
      </c>
      <c r="H9" s="2">
        <f>0*$D$9</f>
        <v>0</v>
      </c>
      <c r="J9">
        <f>sum(F9:I9)</f>
        <v>170</v>
      </c>
    </row>
    <row r="10">
      <c r="A10" s="2"/>
      <c r="C10" s="2" t="s">
        <v>79</v>
      </c>
      <c r="D10" s="2"/>
      <c r="E10" s="2"/>
      <c r="G10" s="2"/>
      <c r="H10" s="2"/>
      <c r="J10" s="2"/>
    </row>
    <row r="11">
      <c r="A11" s="2"/>
      <c r="C11" s="2" t="s">
        <v>80</v>
      </c>
      <c r="D11" s="2"/>
      <c r="E11" s="2"/>
      <c r="F11" s="2"/>
      <c r="G11" s="2"/>
      <c r="H11" s="2"/>
      <c r="J11" s="2"/>
    </row>
    <row r="12">
      <c r="A12" s="2"/>
      <c r="C12" s="2" t="s">
        <v>81</v>
      </c>
      <c r="D12" s="2"/>
      <c r="E12" s="2" t="s">
        <v>73</v>
      </c>
      <c r="F12" s="2"/>
      <c r="G12" s="2"/>
      <c r="H12" s="2"/>
      <c r="J12" s="2"/>
    </row>
    <row r="13">
      <c r="A13" s="2"/>
      <c r="C13" s="2" t="s">
        <v>82</v>
      </c>
      <c r="D13" s="2"/>
      <c r="E13" s="2" t="s">
        <v>73</v>
      </c>
      <c r="F13" s="2"/>
      <c r="G13" s="2"/>
      <c r="H13" s="2"/>
      <c r="J13" s="2"/>
    </row>
    <row r="14">
      <c r="A14" s="2"/>
      <c r="C14" s="2" t="s">
        <v>83</v>
      </c>
      <c r="D14" s="2"/>
      <c r="E14" s="2"/>
      <c r="F14" s="2"/>
      <c r="G14" s="2"/>
      <c r="H14" s="2"/>
      <c r="J14" s="2"/>
    </row>
    <row r="15">
      <c r="A15" s="2" t="s">
        <v>29</v>
      </c>
      <c r="C15" s="2" t="s">
        <v>84</v>
      </c>
      <c r="D15" s="2">
        <v>1.0</v>
      </c>
      <c r="E15" s="2" t="s">
        <v>85</v>
      </c>
      <c r="F15" s="2">
        <v>376.0</v>
      </c>
      <c r="G15" s="2">
        <v>245.0</v>
      </c>
      <c r="H15" s="2"/>
      <c r="J15" s="2">
        <f>sum(F15:I15)</f>
        <v>621</v>
      </c>
    </row>
    <row r="16">
      <c r="C16" s="2" t="s">
        <v>86</v>
      </c>
    </row>
    <row r="17">
      <c r="A17" s="2" t="s">
        <v>87</v>
      </c>
      <c r="C17" s="2" t="s">
        <v>88</v>
      </c>
      <c r="D17" s="2"/>
    </row>
    <row r="18">
      <c r="C18" s="2" t="s">
        <v>89</v>
      </c>
      <c r="D18" s="2"/>
    </row>
    <row r="19">
      <c r="C19" s="2" t="s">
        <v>90</v>
      </c>
      <c r="D19" s="2"/>
    </row>
    <row r="20">
      <c r="C20" s="2" t="s">
        <v>91</v>
      </c>
      <c r="D20" s="2"/>
    </row>
    <row r="21">
      <c r="D21" s="2"/>
    </row>
    <row r="22">
      <c r="C22" s="2" t="s">
        <v>92</v>
      </c>
    </row>
    <row r="23">
      <c r="C23" s="2" t="s">
        <v>93</v>
      </c>
    </row>
    <row r="24">
      <c r="C24" s="2" t="s">
        <v>94</v>
      </c>
    </row>
    <row r="25">
      <c r="C25" s="2" t="s">
        <v>95</v>
      </c>
    </row>
    <row r="26">
      <c r="B26" s="2" t="s">
        <v>96</v>
      </c>
      <c r="C26" s="30" t="s">
        <v>97</v>
      </c>
    </row>
    <row r="27">
      <c r="B27" s="2" t="s">
        <v>98</v>
      </c>
      <c r="C27" s="30" t="s">
        <v>99</v>
      </c>
    </row>
    <row r="28">
      <c r="C28" s="30" t="s">
        <v>100</v>
      </c>
    </row>
    <row r="30">
      <c r="C30" s="2" t="s">
        <v>101</v>
      </c>
    </row>
    <row r="31">
      <c r="C31" s="2" t="s">
        <v>102</v>
      </c>
    </row>
    <row r="32">
      <c r="C32" s="2" t="s">
        <v>103</v>
      </c>
    </row>
    <row r="33">
      <c r="C33" s="2" t="s">
        <v>104</v>
      </c>
    </row>
    <row r="34">
      <c r="C34" s="2" t="s">
        <v>105</v>
      </c>
    </row>
  </sheetData>
  <drawing r:id="rId2"/>
  <legacyDrawing r:id="rId3"/>
</worksheet>
</file>