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UHK\STAT2011\Lecture Notes\Ch1\"/>
    </mc:Choice>
  </mc:AlternateContent>
  <xr:revisionPtr revIDLastSave="0" documentId="13_ncr:1_{0DBB3102-2341-425A-A1F9-1F0AF67FCE59}" xr6:coauthVersionLast="47" xr6:coauthVersionMax="47" xr10:uidLastSave="{00000000-0000-0000-0000-000000000000}"/>
  <bookViews>
    <workbookView xWindow="-108" yWindow="-108" windowWidth="23256" windowHeight="13176" xr2:uid="{F242B12C-5574-460A-A3C6-1C275BD42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AD3" i="1"/>
  <c r="Z5" i="1"/>
  <c r="R3" i="1"/>
  <c r="F3" i="1"/>
  <c r="D66" i="1" a="1"/>
  <c r="D66" i="1" s="1"/>
  <c r="D73" i="1" s="1" a="1"/>
  <c r="D73" i="1" s="1"/>
  <c r="D72" i="1" s="1"/>
  <c r="I58" i="1"/>
  <c r="E60" i="1" a="1"/>
  <c r="E60" i="1" s="1"/>
  <c r="E59" i="1" s="1"/>
  <c r="D47" i="1" a="1"/>
  <c r="D47" i="1" s="1"/>
  <c r="J45" i="1"/>
  <c r="E35" i="1"/>
  <c r="A73" i="1" a="1"/>
  <c r="A73" i="1" s="1"/>
  <c r="A72" i="1" s="1"/>
  <c r="C66" i="1" a="1"/>
  <c r="C66" i="1" s="1"/>
  <c r="H58" i="1"/>
  <c r="H57" i="1"/>
  <c r="I57" i="1" s="1"/>
  <c r="E41" i="1"/>
  <c r="H40" i="1" a="1"/>
  <c r="K44" i="1" s="1"/>
  <c r="L44" i="1" s="1"/>
  <c r="E40" i="1"/>
  <c r="C36" i="1" s="1"/>
  <c r="G59" i="1" l="1"/>
  <c r="G58" i="1" s="1" a="1"/>
  <c r="G58" i="1" s="1"/>
  <c r="E58" i="1" a="1"/>
  <c r="E58" i="1" s="1"/>
  <c r="C37" i="1"/>
  <c r="D37" i="1" s="1"/>
  <c r="J44" i="1"/>
  <c r="J42" i="1"/>
  <c r="C39" i="1"/>
  <c r="D39" i="1" s="1"/>
  <c r="C35" i="1"/>
  <c r="D35" i="1" s="1"/>
  <c r="C38" i="1"/>
  <c r="F59" i="1"/>
  <c r="F58" i="1" s="1" a="1"/>
  <c r="F58" i="1" s="1"/>
  <c r="D38" i="1"/>
  <c r="D36" i="1"/>
  <c r="H40" i="1"/>
  <c r="B72" i="1"/>
  <c r="E37" i="1" l="1"/>
  <c r="E36" i="1"/>
  <c r="T25" i="1" l="1"/>
  <c r="B31" i="1"/>
  <c r="A31" i="1"/>
  <c r="A30" i="1"/>
  <c r="E32" i="1"/>
  <c r="Q33" i="1"/>
  <c r="L30" i="1"/>
  <c r="M30" i="1"/>
  <c r="I31" i="1"/>
  <c r="I30" i="1"/>
  <c r="J30" i="1" s="1"/>
  <c r="A27" i="1"/>
  <c r="Z3" i="1"/>
  <c r="P37" i="1"/>
  <c r="C32" i="1" l="1"/>
  <c r="B32" i="1"/>
  <c r="T23" i="1"/>
  <c r="R38" i="1"/>
  <c r="Q37" i="1"/>
  <c r="S37" i="1" s="1"/>
  <c r="R35" i="1"/>
  <c r="R34" i="1"/>
  <c r="R33" i="1"/>
  <c r="C27" i="1"/>
  <c r="A28" i="1"/>
  <c r="L15" i="1"/>
  <c r="L16" i="1"/>
  <c r="G14" i="1"/>
  <c r="R2" i="1"/>
  <c r="Z7" i="1"/>
  <c r="Z2" i="1"/>
  <c r="F19" i="1"/>
  <c r="J17" i="1"/>
  <c r="D14" i="1"/>
  <c r="J15" i="1"/>
  <c r="C14" i="1"/>
  <c r="H2" i="1"/>
  <c r="E11" i="1"/>
  <c r="E12" i="1"/>
  <c r="E13" i="1"/>
  <c r="R9" i="1"/>
  <c r="I4" i="1"/>
  <c r="I10" i="1"/>
  <c r="I12" i="1"/>
  <c r="G2" i="1"/>
  <c r="F8" i="1"/>
  <c r="E10" i="1"/>
  <c r="D8" i="1"/>
  <c r="R37" i="1" l="1"/>
  <c r="T38" i="1" s="1"/>
  <c r="E9" i="1"/>
  <c r="F2" i="1"/>
  <c r="F1" i="1"/>
  <c r="S35" i="1"/>
  <c r="T34" i="1" s="1"/>
  <c r="T35" i="1" s="1"/>
  <c r="K6" i="1"/>
  <c r="K5" i="1"/>
  <c r="K4" i="1"/>
  <c r="K3" i="1"/>
  <c r="K2" i="1"/>
  <c r="K7" i="1"/>
  <c r="H1" i="1"/>
  <c r="E8" i="1"/>
  <c r="Y3" i="1" l="1"/>
  <c r="Y2" i="1"/>
  <c r="I29" i="1"/>
  <c r="I28" i="1"/>
  <c r="I27" i="1"/>
  <c r="I26" i="1"/>
  <c r="I25" i="1"/>
  <c r="I24" i="1"/>
  <c r="I23" i="1"/>
  <c r="I22" i="1"/>
  <c r="I21" i="1"/>
  <c r="N14" i="1"/>
  <c r="N19" i="1"/>
  <c r="N18" i="1"/>
  <c r="N17" i="1"/>
  <c r="N16" i="1"/>
  <c r="N15" i="1"/>
  <c r="N7" i="1"/>
  <c r="K19" i="1"/>
  <c r="J19" i="1"/>
  <c r="K18" i="1"/>
  <c r="J18" i="1"/>
  <c r="K17" i="1"/>
  <c r="K16" i="1"/>
  <c r="J16" i="1"/>
  <c r="K15" i="1"/>
  <c r="K14" i="1"/>
  <c r="J14" i="1"/>
  <c r="C15" i="1"/>
  <c r="AE3" i="1"/>
  <c r="AF3" i="1"/>
  <c r="AG3" i="1"/>
  <c r="Y11" i="1"/>
  <c r="X11" i="1"/>
  <c r="R11" i="1"/>
  <c r="Y10" i="1"/>
  <c r="X10" i="1"/>
  <c r="R10" i="1"/>
  <c r="Y9" i="1"/>
  <c r="X9" i="1"/>
  <c r="Y8" i="1"/>
  <c r="X8" i="1"/>
  <c r="R8" i="1"/>
  <c r="Y7" i="1"/>
  <c r="X7" i="1"/>
  <c r="R7" i="1"/>
  <c r="Y6" i="1"/>
  <c r="X6" i="1"/>
  <c r="R6" i="1"/>
  <c r="Y5" i="1"/>
  <c r="X5" i="1"/>
  <c r="R5" i="1"/>
  <c r="Y4" i="1"/>
  <c r="X4" i="1"/>
  <c r="R4" i="1"/>
  <c r="X3" i="1"/>
  <c r="Z4" i="1"/>
  <c r="X2" i="1"/>
  <c r="K31" i="1" l="1"/>
  <c r="M31" i="1" s="1"/>
  <c r="AH3" i="1"/>
  <c r="C30" i="1"/>
  <c r="C31" i="1"/>
  <c r="L31" i="1" l="1"/>
  <c r="G1" i="1"/>
  <c r="G7" i="1"/>
  <c r="G6" i="1"/>
  <c r="G5" i="1"/>
  <c r="G4" i="1"/>
  <c r="G3" i="1"/>
  <c r="C1" i="1" a="1"/>
  <c r="C10" i="1" l="1"/>
  <c r="C9" i="1"/>
  <c r="C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<sst xmlns="http://schemas.openxmlformats.org/spreadsheetml/2006/main" count="90" uniqueCount="61">
  <si>
    <t>數據</t>
  </si>
  <si>
    <t>數據説明</t>
  </si>
  <si>
    <t>1000</t>
  </si>
  <si>
    <t>TEXT (number)</t>
  </si>
  <si>
    <t>COUNT  (number)</t>
  </si>
  <si>
    <t>TRUE EMPTY</t>
  </si>
  <si>
    <t>COUNTA not blank</t>
  </si>
  <si>
    <t xml:space="preserve">FAKE EMPLTY(="") </t>
  </si>
  <si>
    <t>COUNTBLANK</t>
  </si>
  <si>
    <t>excel</t>
  </si>
  <si>
    <t>TEXT</t>
  </si>
  <si>
    <t>COUNTIF(A2:A12,"*") (TEXT)</t>
  </si>
  <si>
    <t>NUMBER</t>
  </si>
  <si>
    <t>COUNTIF(A2:A12,"&lt;&gt;")</t>
  </si>
  <si>
    <t>DATE</t>
  </si>
  <si>
    <t>School</t>
  </si>
  <si>
    <t>SID</t>
  </si>
  <si>
    <t>Class</t>
  </si>
  <si>
    <t>Chinese</t>
  </si>
  <si>
    <t>Math</t>
  </si>
  <si>
    <t>English</t>
  </si>
  <si>
    <t>Physics</t>
  </si>
  <si>
    <t>Total</t>
  </si>
  <si>
    <t>Summary MEAN</t>
  </si>
  <si>
    <t>Band1</t>
  </si>
  <si>
    <t>123</t>
  </si>
  <si>
    <t>A</t>
  </si>
  <si>
    <t>?</t>
  </si>
  <si>
    <t>421</t>
  </si>
  <si>
    <t>B</t>
  </si>
  <si>
    <t>*</t>
  </si>
  <si>
    <t>252</t>
  </si>
  <si>
    <t>C</t>
  </si>
  <si>
    <t>213</t>
  </si>
  <si>
    <t>577</t>
  </si>
  <si>
    <t>Band2</t>
  </si>
  <si>
    <t>Year</t>
  </si>
  <si>
    <t>Score</t>
  </si>
  <si>
    <t>CI NORM</t>
  </si>
  <si>
    <t>Wrong P-value</t>
  </si>
  <si>
    <t>Two tailed</t>
  </si>
  <si>
    <t>One tailed &lt;</t>
  </si>
  <si>
    <t>P-value</t>
  </si>
  <si>
    <t>Year1</t>
  </si>
  <si>
    <t>Year2</t>
  </si>
  <si>
    <t>Year3</t>
  </si>
  <si>
    <t>Year11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</si>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</sst>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-* #,##0.00_-;\-* #,##0.00_-;_-* &quot;-&quot;??_-;_-@_-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i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/>
    </xf>
    <xf numFmtId="49" fontId="0" fillId="0" borderId="0" xfId="2" applyNumberFormat="1" applyFont="1"/>
    <xf numFmtId="0" fontId="0" fillId="0" borderId="0" xfId="2" applyNumberFormat="1" applyFont="1"/>
    <xf numFmtId="49" fontId="0" fillId="0" borderId="0" xfId="1" applyNumberFormat="1" applyFont="1" applyAlignment="1"/>
    <xf numFmtId="49" fontId="0" fillId="0" borderId="0" xfId="1" applyNumberFormat="1" applyFont="1"/>
    <xf numFmtId="2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3">
    <cellStyle name="一般" xfId="0" builtinId="0"/>
    <cellStyle name="千分位" xfId="1" builtinId="3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BF48-FBDE-4C44-AE02-AE13B4544C38}">
  <sheetPr codeName="Sheet1"/>
  <dimension ref="A1:AH77"/>
  <sheetViews>
    <sheetView tabSelected="1" topLeftCell="A61" workbookViewId="0">
      <selection activeCell="J75" sqref="J75"/>
    </sheetView>
  </sheetViews>
  <sheetFormatPr defaultRowHeight="15" x14ac:dyDescent="0.3"/>
  <cols>
    <col min="3" max="3" width="9.625" bestFit="1" customWidth="1"/>
    <col min="4" max="4" width="17.875" customWidth="1"/>
    <col min="9" max="9" width="11.875" bestFit="1" customWidth="1"/>
    <col min="10" max="10" width="22.625" customWidth="1"/>
    <col min="12" max="12" width="8.75" customWidth="1"/>
    <col min="13" max="13" width="16.125" customWidth="1"/>
    <col min="20" max="20" width="15.5" customWidth="1"/>
  </cols>
  <sheetData>
    <row r="1" spans="1:34" x14ac:dyDescent="0.3">
      <c r="A1">
        <v>20</v>
      </c>
      <c r="C1" cm="1">
        <f t="array" ref="C1:C5">FREQUENCY(A1:A11,B2:B5)</f>
        <v>1</v>
      </c>
      <c r="D1">
        <v>134</v>
      </c>
      <c r="F1">
        <f>AVERAGE(D1:D8)</f>
        <v>127.85714285714286</v>
      </c>
      <c r="G1" t="str">
        <f>IF(D1&gt;120,"good","fail")</f>
        <v>good</v>
      </c>
      <c r="H1">
        <f>COUNTIF(D1:D9,"")</f>
        <v>1</v>
      </c>
      <c r="I1" t="s">
        <v>0</v>
      </c>
      <c r="J1" t="s">
        <v>1</v>
      </c>
      <c r="P1" t="s">
        <v>15</v>
      </c>
      <c r="Q1" s="1" t="s">
        <v>16</v>
      </c>
      <c r="R1" s="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B1" t="s">
        <v>23</v>
      </c>
    </row>
    <row r="2" spans="1:34" x14ac:dyDescent="0.3">
      <c r="A2">
        <v>28</v>
      </c>
      <c r="B2">
        <v>20</v>
      </c>
      <c r="C2">
        <v>0</v>
      </c>
      <c r="D2">
        <v>146</v>
      </c>
      <c r="F2">
        <f>AVERAGEA(D1:D8)</f>
        <v>112</v>
      </c>
      <c r="G2" t="str">
        <f>IF(D2&gt;120,"good","fail")</f>
        <v>good</v>
      </c>
      <c r="H2">
        <f>COUNTIF(D1:D8,"&lt;&gt;")</f>
        <v>8</v>
      </c>
      <c r="I2" s="1" t="s">
        <v>2</v>
      </c>
      <c r="J2" t="s">
        <v>3</v>
      </c>
      <c r="K2">
        <f>COUNT(I2:I12)</f>
        <v>3</v>
      </c>
      <c r="L2" t="s">
        <v>4</v>
      </c>
      <c r="N2">
        <v>-6</v>
      </c>
      <c r="P2" t="s">
        <v>24</v>
      </c>
      <c r="Q2" s="5" t="s">
        <v>25</v>
      </c>
      <c r="R2" s="6" t="str">
        <f>Q2&amp;""</f>
        <v>123</v>
      </c>
      <c r="S2" t="s">
        <v>26</v>
      </c>
      <c r="T2">
        <v>76</v>
      </c>
      <c r="U2">
        <v>20</v>
      </c>
      <c r="V2">
        <v>60</v>
      </c>
      <c r="W2">
        <v>60</v>
      </c>
      <c r="X2">
        <f>SUM(T2:W2)</f>
        <v>216</v>
      </c>
      <c r="Y2" t="str">
        <f>IF(T2&gt;=80,"PASS","FAIL")</f>
        <v>FAIL</v>
      </c>
      <c r="Z2">
        <f>AVERAGEIF(P2:P11,"????1",T2:T11)</f>
        <v>70.400000000000006</v>
      </c>
      <c r="AA2" t="s">
        <v>27</v>
      </c>
      <c r="AB2" t="s">
        <v>15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</row>
    <row r="3" spans="1:34" x14ac:dyDescent="0.3">
      <c r="A3">
        <v>31</v>
      </c>
      <c r="B3">
        <v>25</v>
      </c>
      <c r="C3">
        <v>1</v>
      </c>
      <c r="D3">
        <v>104</v>
      </c>
      <c r="F3">
        <f>AVERAGE(D1:D7)</f>
        <v>127.85714285714286</v>
      </c>
      <c r="G3" t="str">
        <f t="shared" ref="G3:G7" si="0">IF(D3&gt;120,"good","fail")</f>
        <v>fail</v>
      </c>
      <c r="J3" t="s">
        <v>5</v>
      </c>
      <c r="K3">
        <f>COUNTA(I2:I12)</f>
        <v>8</v>
      </c>
      <c r="L3" t="s">
        <v>6</v>
      </c>
      <c r="N3">
        <v>2</v>
      </c>
      <c r="P3" t="s">
        <v>24</v>
      </c>
      <c r="Q3" s="5" t="s">
        <v>28</v>
      </c>
      <c r="R3" s="6" t="str">
        <f>Q3&amp;""</f>
        <v>421</v>
      </c>
      <c r="S3" t="s">
        <v>29</v>
      </c>
      <c r="T3">
        <v>95</v>
      </c>
      <c r="U3">
        <v>78</v>
      </c>
      <c r="V3">
        <v>31</v>
      </c>
      <c r="W3">
        <v>52</v>
      </c>
      <c r="X3">
        <f t="shared" ref="X3:X11" si="1">SUM(T3:W3)</f>
        <v>256</v>
      </c>
      <c r="Y3" t="str">
        <f>IF(T3&gt;=80,"PASS","FAIL")</f>
        <v>PASS</v>
      </c>
      <c r="Z3">
        <f>AVERAGEIF(P2:P11,"B*",T2:T11)</f>
        <v>67.2</v>
      </c>
      <c r="AA3" t="s">
        <v>30</v>
      </c>
      <c r="AB3" t="s">
        <v>24</v>
      </c>
      <c r="AC3" t="s">
        <v>26</v>
      </c>
      <c r="AD3">
        <f>AVERAGEIFS(T2:T11,$P$2:$P$11,$AB$3,$S$2:$S$11,$AC$3)</f>
        <v>64</v>
      </c>
      <c r="AE3">
        <f t="shared" ref="AE3:AH3" si="2">AVERAGEIFS(U2:U11,$P$2:$P$11,$AB$3,$S$2:$S$11,$AC$3)</f>
        <v>45</v>
      </c>
      <c r="AF3">
        <f t="shared" si="2"/>
        <v>79.5</v>
      </c>
      <c r="AG3">
        <f t="shared" si="2"/>
        <v>60.5</v>
      </c>
      <c r="AH3">
        <f t="shared" si="2"/>
        <v>249</v>
      </c>
    </row>
    <row r="4" spans="1:34" x14ac:dyDescent="0.3">
      <c r="A4">
        <v>38</v>
      </c>
      <c r="B4">
        <v>30</v>
      </c>
      <c r="C4">
        <v>1</v>
      </c>
      <c r="D4">
        <v>119</v>
      </c>
      <c r="G4" t="str">
        <f t="shared" si="0"/>
        <v>fail</v>
      </c>
      <c r="I4" t="str">
        <f>""</f>
        <v/>
      </c>
      <c r="J4" t="s">
        <v>7</v>
      </c>
      <c r="K4">
        <f>COUNTBLANK(I2:I12)</f>
        <v>5</v>
      </c>
      <c r="L4" t="s">
        <v>8</v>
      </c>
      <c r="N4">
        <v>3</v>
      </c>
      <c r="P4" t="s">
        <v>24</v>
      </c>
      <c r="Q4" s="7" t="s">
        <v>31</v>
      </c>
      <c r="R4" s="6" t="str">
        <f t="shared" ref="R4:R11" si="3">Q4&amp;""</f>
        <v>252</v>
      </c>
      <c r="S4" t="s">
        <v>32</v>
      </c>
      <c r="T4">
        <v>52</v>
      </c>
      <c r="U4">
        <v>0</v>
      </c>
      <c r="V4">
        <v>54</v>
      </c>
      <c r="W4">
        <v>100</v>
      </c>
      <c r="X4">
        <f t="shared" si="1"/>
        <v>206</v>
      </c>
      <c r="Y4" t="str">
        <f t="shared" ref="Y4:Y11" si="4">IF(T4&gt;=80,"PASS","FAIL")</f>
        <v>FAIL</v>
      </c>
      <c r="Z4">
        <f>AVERAGEIF(R2:R11,"1*",T2:T11)</f>
        <v>81</v>
      </c>
    </row>
    <row r="5" spans="1:34" x14ac:dyDescent="0.3">
      <c r="A5">
        <v>40</v>
      </c>
      <c r="B5">
        <v>35</v>
      </c>
      <c r="C5">
        <v>8</v>
      </c>
      <c r="D5">
        <v>124</v>
      </c>
      <c r="G5" t="str">
        <f t="shared" si="0"/>
        <v>good</v>
      </c>
      <c r="I5" t="s">
        <v>9</v>
      </c>
      <c r="J5" t="s">
        <v>10</v>
      </c>
      <c r="K5">
        <f>COUNTIF(I2:I12,"*")</f>
        <v>4</v>
      </c>
      <c r="L5" t="s">
        <v>11</v>
      </c>
      <c r="N5">
        <v>4</v>
      </c>
      <c r="P5" t="s">
        <v>24</v>
      </c>
      <c r="Q5" s="8" t="s">
        <v>33</v>
      </c>
      <c r="R5" s="6" t="str">
        <f t="shared" si="3"/>
        <v>213</v>
      </c>
      <c r="S5" t="s">
        <v>29</v>
      </c>
      <c r="T5">
        <v>77</v>
      </c>
      <c r="U5">
        <v>68</v>
      </c>
      <c r="V5">
        <v>75</v>
      </c>
      <c r="W5">
        <v>66</v>
      </c>
      <c r="X5">
        <f t="shared" si="1"/>
        <v>286</v>
      </c>
      <c r="Y5" t="str">
        <f t="shared" si="4"/>
        <v>FAIL</v>
      </c>
      <c r="Z5">
        <f>AVERAGEA(Q2:Q11)</f>
        <v>154.30000000000001</v>
      </c>
    </row>
    <row r="6" spans="1:34" x14ac:dyDescent="0.3">
      <c r="A6">
        <v>46.4</v>
      </c>
      <c r="D6">
        <v>161</v>
      </c>
      <c r="G6" t="str">
        <f t="shared" si="0"/>
        <v>good</v>
      </c>
      <c r="I6">
        <v>100</v>
      </c>
      <c r="J6" t="s">
        <v>12</v>
      </c>
      <c r="K6">
        <f>COUNTIF(I2:I12,"&lt;&gt;")</f>
        <v>8</v>
      </c>
      <c r="L6" t="s">
        <v>13</v>
      </c>
      <c r="N6">
        <v>7</v>
      </c>
      <c r="P6" t="s">
        <v>24</v>
      </c>
      <c r="Q6" s="8" t="s">
        <v>34</v>
      </c>
      <c r="R6" s="6" t="str">
        <f t="shared" si="3"/>
        <v>577</v>
      </c>
      <c r="S6" t="s">
        <v>26</v>
      </c>
      <c r="T6">
        <v>52</v>
      </c>
      <c r="U6">
        <v>70</v>
      </c>
      <c r="V6">
        <v>99</v>
      </c>
      <c r="W6">
        <v>61</v>
      </c>
      <c r="X6">
        <f t="shared" si="1"/>
        <v>282</v>
      </c>
      <c r="Y6" t="str">
        <f t="shared" si="4"/>
        <v>FAIL</v>
      </c>
    </row>
    <row r="7" spans="1:34" x14ac:dyDescent="0.3">
      <c r="A7">
        <v>51.4</v>
      </c>
      <c r="D7">
        <v>107</v>
      </c>
      <c r="G7" t="str">
        <f t="shared" si="0"/>
        <v>fail</v>
      </c>
      <c r="J7" t="s">
        <v>5</v>
      </c>
      <c r="K7">
        <f>COUNTIFS(I2:I12,"=100",J2:J12,"=NUMBER")</f>
        <v>1</v>
      </c>
      <c r="N7">
        <f>TRIMMEAN(N2:N6,0.4)</f>
        <v>3</v>
      </c>
      <c r="P7" t="s">
        <v>35</v>
      </c>
      <c r="Q7" s="8">
        <v>568</v>
      </c>
      <c r="R7" s="6" t="str">
        <f t="shared" si="3"/>
        <v>568</v>
      </c>
      <c r="S7" t="s">
        <v>26</v>
      </c>
      <c r="T7">
        <v>65</v>
      </c>
      <c r="U7">
        <v>44</v>
      </c>
      <c r="V7">
        <v>16</v>
      </c>
      <c r="W7">
        <v>86</v>
      </c>
      <c r="X7">
        <f t="shared" si="1"/>
        <v>211</v>
      </c>
      <c r="Y7" t="str">
        <f t="shared" si="4"/>
        <v>FAIL</v>
      </c>
      <c r="Z7">
        <f>_xlfn.RANK.AVG(76,T2:T11)</f>
        <v>5</v>
      </c>
    </row>
    <row r="8" spans="1:34" x14ac:dyDescent="0.3">
      <c r="A8">
        <v>56.4</v>
      </c>
      <c r="C8">
        <f>AVERAGE(B2:C6 A4:C5)</f>
        <v>18.5</v>
      </c>
      <c r="D8" t="b">
        <f>TRUE</f>
        <v>1</v>
      </c>
      <c r="E8" t="str">
        <f>D7&amp;D8</f>
        <v>107TRUE</v>
      </c>
      <c r="F8" t="b">
        <f>"A"&lt;"Z"</f>
        <v>1</v>
      </c>
      <c r="J8" t="s">
        <v>5</v>
      </c>
      <c r="P8" t="s">
        <v>35</v>
      </c>
      <c r="Q8" s="8">
        <v>321</v>
      </c>
      <c r="R8" s="6" t="str">
        <f t="shared" si="3"/>
        <v>321</v>
      </c>
      <c r="S8" t="s">
        <v>29</v>
      </c>
      <c r="T8">
        <v>23</v>
      </c>
      <c r="U8">
        <v>83</v>
      </c>
      <c r="V8">
        <v>88</v>
      </c>
      <c r="W8">
        <v>23</v>
      </c>
      <c r="X8">
        <f t="shared" si="1"/>
        <v>217</v>
      </c>
      <c r="Y8" t="str">
        <f t="shared" si="4"/>
        <v>FAIL</v>
      </c>
    </row>
    <row r="9" spans="1:34" x14ac:dyDescent="0.3">
      <c r="A9">
        <v>61.4</v>
      </c>
      <c r="C9">
        <f>AVERAGE(B2:C6,A4:C5)</f>
        <v>19.428571428571427</v>
      </c>
      <c r="E9" t="str">
        <f>D8&amp;D9</f>
        <v>TRUE</v>
      </c>
      <c r="I9">
        <v>0.5</v>
      </c>
      <c r="J9" t="s">
        <v>12</v>
      </c>
      <c r="P9" t="s">
        <v>35</v>
      </c>
      <c r="Q9" s="8">
        <v>210</v>
      </c>
      <c r="R9" s="6" t="str">
        <f t="shared" si="3"/>
        <v>210</v>
      </c>
      <c r="S9" t="s">
        <v>29</v>
      </c>
      <c r="T9">
        <v>49</v>
      </c>
      <c r="U9">
        <v>46</v>
      </c>
      <c r="V9">
        <v>50</v>
      </c>
      <c r="W9">
        <v>33</v>
      </c>
      <c r="X9">
        <f t="shared" si="1"/>
        <v>178</v>
      </c>
      <c r="Y9" t="str">
        <f t="shared" si="4"/>
        <v>FAIL</v>
      </c>
    </row>
    <row r="10" spans="1:34" x14ac:dyDescent="0.3">
      <c r="A10">
        <v>66.400000000000006</v>
      </c>
      <c r="C10">
        <f>AVERAGE(B2:C5)</f>
        <v>15</v>
      </c>
      <c r="E10" t="str">
        <f t="shared" ref="E10:E13" si="5">D9&amp;D10</f>
        <v/>
      </c>
      <c r="I10" t="str">
        <f>""</f>
        <v/>
      </c>
      <c r="J10" t="s">
        <v>7</v>
      </c>
      <c r="P10" t="s">
        <v>35</v>
      </c>
      <c r="Q10" s="8">
        <v>123</v>
      </c>
      <c r="R10" s="6" t="str">
        <f t="shared" si="3"/>
        <v>123</v>
      </c>
      <c r="S10" t="s">
        <v>26</v>
      </c>
      <c r="T10">
        <v>86</v>
      </c>
      <c r="U10">
        <v>30</v>
      </c>
      <c r="V10">
        <v>60</v>
      </c>
      <c r="W10">
        <v>52</v>
      </c>
      <c r="X10">
        <f t="shared" si="1"/>
        <v>228</v>
      </c>
      <c r="Y10" t="str">
        <f t="shared" si="4"/>
        <v>PASS</v>
      </c>
    </row>
    <row r="11" spans="1:34" x14ac:dyDescent="0.3">
      <c r="A11">
        <v>71.400000000000006</v>
      </c>
      <c r="C11" s="9"/>
      <c r="E11" t="str">
        <f t="shared" si="5"/>
        <v/>
      </c>
      <c r="I11" s="2">
        <v>44247</v>
      </c>
      <c r="J11" t="s">
        <v>14</v>
      </c>
      <c r="P11" t="s">
        <v>35</v>
      </c>
      <c r="Q11" s="8">
        <v>321</v>
      </c>
      <c r="R11" s="6" t="str">
        <f t="shared" si="3"/>
        <v>321</v>
      </c>
      <c r="S11" t="s">
        <v>32</v>
      </c>
      <c r="T11">
        <v>97</v>
      </c>
      <c r="U11">
        <v>71</v>
      </c>
      <c r="V11">
        <v>41</v>
      </c>
      <c r="W11">
        <v>35</v>
      </c>
      <c r="X11">
        <f t="shared" si="1"/>
        <v>244</v>
      </c>
      <c r="Y11" t="str">
        <f t="shared" si="4"/>
        <v>PASS</v>
      </c>
    </row>
    <row r="12" spans="1:34" x14ac:dyDescent="0.3">
      <c r="E12" t="str">
        <f t="shared" si="5"/>
        <v/>
      </c>
      <c r="I12" s="3" t="e">
        <f>2/0</f>
        <v>#DIV/0!</v>
      </c>
      <c r="J12" s="4" t="b">
        <v>0</v>
      </c>
    </row>
    <row r="13" spans="1:34" x14ac:dyDescent="0.3">
      <c r="A13" t="s">
        <v>36</v>
      </c>
      <c r="B13" t="s">
        <v>37</v>
      </c>
      <c r="E13" t="str">
        <f t="shared" si="5"/>
        <v/>
      </c>
    </row>
    <row r="14" spans="1:34" x14ac:dyDescent="0.3">
      <c r="A14" t="s">
        <v>43</v>
      </c>
      <c r="B14">
        <v>11</v>
      </c>
      <c r="C14">
        <f>AVERAGEIF(A14:A17,"?????1",B14:B17)</f>
        <v>12</v>
      </c>
      <c r="D14">
        <f>SMALL(B14:B17,2)</f>
        <v>11</v>
      </c>
      <c r="E14">
        <v>0</v>
      </c>
      <c r="F14">
        <v>0.25</v>
      </c>
      <c r="G14">
        <f>PROB(E14:E16,F14:F16,0,1)</f>
        <v>0.75</v>
      </c>
      <c r="I14">
        <v>0</v>
      </c>
      <c r="J14">
        <f>_xlfn.BINOM.DIST(I14,5,0.5,FALSE)</f>
        <v>3.125E-2</v>
      </c>
      <c r="K14">
        <f t="shared" ref="K14:K19" si="6">_xlfn.BINOM.DIST(I14,5,0.5,TRUE)</f>
        <v>3.125E-2</v>
      </c>
      <c r="N14">
        <f>STANDARDIZE(-6,1,1)</f>
        <v>-7</v>
      </c>
    </row>
    <row r="15" spans="1:34" x14ac:dyDescent="0.3">
      <c r="A15" t="s">
        <v>44</v>
      </c>
      <c r="B15">
        <v>1</v>
      </c>
      <c r="C15">
        <f>AVEDEV(B14:B17)</f>
        <v>5.75</v>
      </c>
      <c r="E15">
        <v>1</v>
      </c>
      <c r="F15">
        <v>0.5</v>
      </c>
      <c r="I15">
        <v>1</v>
      </c>
      <c r="J15">
        <f>_xlfn.BINOM.DIST(I15,5,0.5,FALSE)</f>
        <v>0.15624999999999992</v>
      </c>
      <c r="K15">
        <f t="shared" si="6"/>
        <v>0.18750000000000003</v>
      </c>
      <c r="L15">
        <f>_xlfn.BINOM.INV(5,0.5,0.6)</f>
        <v>3</v>
      </c>
      <c r="N15">
        <f>_xlfn.NORM.S.DIST(0,TRUE)</f>
        <v>0.5</v>
      </c>
    </row>
    <row r="16" spans="1:34" x14ac:dyDescent="0.3">
      <c r="A16" t="s">
        <v>45</v>
      </c>
      <c r="B16">
        <v>23</v>
      </c>
      <c r="C16">
        <f>AVERAGE(B14:B17)</f>
        <v>11.75</v>
      </c>
      <c r="E16">
        <v>2</v>
      </c>
      <c r="F16">
        <v>0.25</v>
      </c>
      <c r="I16">
        <v>2</v>
      </c>
      <c r="J16">
        <f>_xlfn.BINOM.DIST(I16,5,0.5,FALSE)</f>
        <v>0.3125</v>
      </c>
      <c r="K16">
        <f t="shared" si="6"/>
        <v>0.49999999999999989</v>
      </c>
      <c r="L16">
        <f>_xlfn.BINOM.DIST.RANGE(5,0.5,2,5)</f>
        <v>0.8125</v>
      </c>
      <c r="N16">
        <f>_xlfn.PHI(0)</f>
        <v>0.3989422804014327</v>
      </c>
    </row>
    <row r="17" spans="1:23" x14ac:dyDescent="0.3">
      <c r="A17" t="s">
        <v>46</v>
      </c>
      <c r="B17">
        <v>12</v>
      </c>
      <c r="I17">
        <v>3</v>
      </c>
      <c r="J17">
        <f>_xlfn.BINOM.DIST(I17,5,0.5,FALSE)</f>
        <v>0.3125</v>
      </c>
      <c r="K17">
        <f t="shared" si="6"/>
        <v>0.8125</v>
      </c>
      <c r="N17">
        <f>_xlfn.NORM.S.DIST(0,FALSE)</f>
        <v>0.3989422804014327</v>
      </c>
    </row>
    <row r="18" spans="1:23" x14ac:dyDescent="0.3">
      <c r="I18">
        <v>4</v>
      </c>
      <c r="J18">
        <f t="shared" ref="J18:J19" si="7">_xlfn.BINOM.DIST(I18,5,0.5,FALSE)</f>
        <v>0.15624999999999992</v>
      </c>
      <c r="K18">
        <f t="shared" si="6"/>
        <v>0.96875</v>
      </c>
      <c r="N18">
        <f>_xlfn.GAUSS(1.96)</f>
        <v>0.47500210485177952</v>
      </c>
    </row>
    <row r="19" spans="1:23" x14ac:dyDescent="0.3">
      <c r="F19">
        <f>_xlfn.PHI(0)*SQRT(2*PI())</f>
        <v>1</v>
      </c>
      <c r="I19">
        <v>5</v>
      </c>
      <c r="J19">
        <f t="shared" si="7"/>
        <v>3.125E-2</v>
      </c>
      <c r="K19">
        <f t="shared" si="6"/>
        <v>1</v>
      </c>
      <c r="N19">
        <f>_xlfn.NORM.S.DIST(1.96,TRUE)</f>
        <v>0.97500210485177952</v>
      </c>
    </row>
    <row r="20" spans="1:23" x14ac:dyDescent="0.3">
      <c r="A20">
        <v>6</v>
      </c>
      <c r="B20">
        <v>20</v>
      </c>
    </row>
    <row r="21" spans="1:23" x14ac:dyDescent="0.3">
      <c r="A21">
        <v>7</v>
      </c>
      <c r="B21">
        <v>28</v>
      </c>
      <c r="G21">
        <v>19</v>
      </c>
      <c r="H21">
        <v>22</v>
      </c>
      <c r="I21">
        <f>G21-H21</f>
        <v>-3</v>
      </c>
      <c r="O21">
        <v>134</v>
      </c>
      <c r="P21">
        <v>70</v>
      </c>
      <c r="T21">
        <v>12</v>
      </c>
      <c r="U21">
        <v>24</v>
      </c>
      <c r="V21">
        <v>14.4</v>
      </c>
      <c r="W21">
        <v>21.6</v>
      </c>
    </row>
    <row r="22" spans="1:23" x14ac:dyDescent="0.3">
      <c r="A22">
        <v>9</v>
      </c>
      <c r="B22">
        <v>31</v>
      </c>
      <c r="G22">
        <v>11</v>
      </c>
      <c r="H22">
        <v>18</v>
      </c>
      <c r="I22">
        <f t="shared" ref="I22:I29" si="8">G22-H22</f>
        <v>-7</v>
      </c>
      <c r="O22">
        <v>146</v>
      </c>
      <c r="P22">
        <v>118</v>
      </c>
      <c r="T22">
        <v>108</v>
      </c>
      <c r="U22">
        <v>156</v>
      </c>
      <c r="V22">
        <v>105.6</v>
      </c>
      <c r="W22">
        <v>158.4</v>
      </c>
    </row>
    <row r="23" spans="1:23" x14ac:dyDescent="0.3">
      <c r="A23">
        <v>15</v>
      </c>
      <c r="B23">
        <v>38</v>
      </c>
      <c r="G23">
        <v>14</v>
      </c>
      <c r="H23">
        <v>17</v>
      </c>
      <c r="I23">
        <f t="shared" si="8"/>
        <v>-3</v>
      </c>
      <c r="O23">
        <v>104</v>
      </c>
      <c r="P23">
        <v>101</v>
      </c>
      <c r="T23">
        <f>_xlfn.CHISQ.TEST(T21:U22,V21:W22)</f>
        <v>0.38408824947385201</v>
      </c>
      <c r="U23" t="s">
        <v>42</v>
      </c>
    </row>
    <row r="24" spans="1:23" x14ac:dyDescent="0.3">
      <c r="A24">
        <v>21</v>
      </c>
      <c r="B24">
        <v>40</v>
      </c>
      <c r="G24">
        <v>19</v>
      </c>
      <c r="H24">
        <v>19</v>
      </c>
      <c r="I24">
        <f t="shared" si="8"/>
        <v>0</v>
      </c>
      <c r="O24">
        <v>119</v>
      </c>
      <c r="P24">
        <v>85</v>
      </c>
    </row>
    <row r="25" spans="1:23" x14ac:dyDescent="0.3">
      <c r="G25">
        <v>23</v>
      </c>
      <c r="H25">
        <v>22</v>
      </c>
      <c r="I25">
        <f t="shared" si="8"/>
        <v>1</v>
      </c>
      <c r="O25">
        <v>124</v>
      </c>
      <c r="P25">
        <v>107</v>
      </c>
      <c r="T25">
        <f>_xlfn.CHISQ.TEST(T21:T22,V21:V22)</f>
        <v>0.50018425707079417</v>
      </c>
    </row>
    <row r="26" spans="1:23" x14ac:dyDescent="0.3">
      <c r="G26">
        <v>11</v>
      </c>
      <c r="H26">
        <v>12</v>
      </c>
      <c r="I26">
        <f t="shared" si="8"/>
        <v>-1</v>
      </c>
      <c r="O26">
        <v>161</v>
      </c>
      <c r="P26">
        <v>132</v>
      </c>
    </row>
    <row r="27" spans="1:23" x14ac:dyDescent="0.3">
      <c r="A27">
        <f>_xlfn.CONFIDENCE.NORM(0.05,_xlfn.STDEV.S(A20:A24),5)</f>
        <v>5.5297388919120971</v>
      </c>
      <c r="B27" t="s">
        <v>38</v>
      </c>
      <c r="C27">
        <f>AVERAGE(A20:A24)-A27</f>
        <v>6.0702611080879025</v>
      </c>
      <c r="G27">
        <v>15</v>
      </c>
      <c r="H27">
        <v>14</v>
      </c>
      <c r="I27">
        <f t="shared" si="8"/>
        <v>1</v>
      </c>
      <c r="O27">
        <v>107</v>
      </c>
      <c r="P27">
        <v>94</v>
      </c>
    </row>
    <row r="28" spans="1:23" x14ac:dyDescent="0.3">
      <c r="A28">
        <f>1.96*_xlfn.STDEV.S(A20:A24)/(SQRT(5))</f>
        <v>5.5298405040290275</v>
      </c>
      <c r="G28">
        <v>19</v>
      </c>
      <c r="H28">
        <v>11</v>
      </c>
      <c r="I28">
        <f t="shared" si="8"/>
        <v>8</v>
      </c>
      <c r="O28">
        <v>83</v>
      </c>
    </row>
    <row r="29" spans="1:23" x14ac:dyDescent="0.3">
      <c r="G29">
        <v>11</v>
      </c>
      <c r="H29">
        <v>19</v>
      </c>
      <c r="I29">
        <f t="shared" si="8"/>
        <v>-8</v>
      </c>
      <c r="O29">
        <v>113</v>
      </c>
    </row>
    <row r="30" spans="1:23" x14ac:dyDescent="0.3">
      <c r="A30">
        <f>_xlfn.F.TEST(A20:A24,B20:B24)</f>
        <v>0.64831784678617432</v>
      </c>
      <c r="C30">
        <f>(_xlfn.F.DIST.RT((A31/B31)^2,4,4))*2</f>
        <v>1.351682153213825</v>
      </c>
      <c r="D30" t="s">
        <v>39</v>
      </c>
      <c r="I30">
        <f>_xlfn.Z.TEST(G21:G29,12)</f>
        <v>5.0826009459781227E-3</v>
      </c>
      <c r="J30">
        <f>1-I30</f>
        <v>0.99491739905402188</v>
      </c>
      <c r="L30">
        <f>_xlfn.T.TEST(G21:G29,H21:H29,2,1)</f>
        <v>0.42602444842854259</v>
      </c>
      <c r="M30">
        <f>_xlfn.T.TEST(G21:G29,H21:H29,1,1)</f>
        <v>0.2130122242142713</v>
      </c>
      <c r="O30">
        <v>129</v>
      </c>
    </row>
    <row r="31" spans="1:23" x14ac:dyDescent="0.3">
      <c r="A31">
        <f>_xlfn.STDEV.S(A20:A24)</f>
        <v>6.3087241182350029</v>
      </c>
      <c r="B31">
        <f>_xlfn.STDEV.S(B20:B24)</f>
        <v>8.0498447189992408</v>
      </c>
      <c r="C31">
        <f>(_xlfn.F.DIST((A31/B31)^2,4,4,TRUE))*2</f>
        <v>0.64831784678617499</v>
      </c>
      <c r="D31" t="s">
        <v>40</v>
      </c>
      <c r="I31">
        <f>_xlfn.NORM.DIST(AVERAGE(G21:G29),12,_xlfn.STDEV.S(G21:G29)/SQRT(9),TRUE)</f>
        <v>0.99491739905402188</v>
      </c>
      <c r="K31">
        <f>AVERAGE(I21:I29)/(_xlfn.STDEV.S(I21:I29)/SQRT(9))</f>
        <v>-0.83862786937753464</v>
      </c>
      <c r="L31">
        <f>_xlfn.T.DIST.2T(ABS(K31),8)</f>
        <v>0.42602444842854248</v>
      </c>
      <c r="M31">
        <f>_xlfn.T.DIST(K31,8,TRUE)</f>
        <v>0.21301222421427124</v>
      </c>
      <c r="O31">
        <v>97</v>
      </c>
    </row>
    <row r="32" spans="1:23" x14ac:dyDescent="0.3">
      <c r="B32">
        <f>A31/B31</f>
        <v>0.7837075544258828</v>
      </c>
      <c r="C32">
        <f>(_xlfn.F.DIST((A31/B31)^2,4,4,TRUE))</f>
        <v>0.32415892339308749</v>
      </c>
      <c r="D32" t="s">
        <v>41</v>
      </c>
      <c r="E32">
        <f>_xlfn.F.INV(0.05,4,4)</f>
        <v>0.15653781167539577</v>
      </c>
      <c r="O32">
        <v>123</v>
      </c>
    </row>
    <row r="33" spans="1:24" x14ac:dyDescent="0.3">
      <c r="Q33">
        <f>_xlfn.T.TEST(O21:O32,P21:P27,2,2)</f>
        <v>7.5730128956677648E-2</v>
      </c>
      <c r="R33">
        <f>(AVERAGE(O21:O32)-AVERAGE(P21:P27))</f>
        <v>19</v>
      </c>
    </row>
    <row r="34" spans="1:24" x14ac:dyDescent="0.3">
      <c r="R34">
        <f>_xlfn.STDEV.S(O21:O32)^2*11</f>
        <v>5032</v>
      </c>
      <c r="T34">
        <f>R33/(SQRT(S35*(1/12+1/7)))</f>
        <v>1.8914363974423301</v>
      </c>
      <c r="V34" t="s">
        <v>47</v>
      </c>
    </row>
    <row r="35" spans="1:24" ht="15.6" thickBot="1" x14ac:dyDescent="0.35">
      <c r="A35">
        <v>6</v>
      </c>
      <c r="B35">
        <v>20</v>
      </c>
      <c r="C35">
        <f>$E$40*A35+$E$41</f>
        <v>24.934673366834172</v>
      </c>
      <c r="D35">
        <f>(C35-B35)^2</f>
        <v>24.351001237342501</v>
      </c>
      <c r="E35">
        <f>STEYX(B35:B39,A35:A39)</f>
        <v>3.9580611296691299</v>
      </c>
      <c r="R35">
        <f>_xlfn.STDEV.S(P21:P27)^2*6</f>
        <v>2552</v>
      </c>
      <c r="S35">
        <f>(R34+R35)/17</f>
        <v>446.11764705882354</v>
      </c>
      <c r="T35">
        <f>_xlfn.T.DIST.2T(T34,17)</f>
        <v>7.573012895667762E-2</v>
      </c>
    </row>
    <row r="36" spans="1:24" x14ac:dyDescent="0.3">
      <c r="A36">
        <v>7</v>
      </c>
      <c r="B36">
        <v>28</v>
      </c>
      <c r="C36">
        <f t="shared" ref="C36:C39" si="9">$E$40*A36+$E$41</f>
        <v>26.0891959798995</v>
      </c>
      <c r="D36">
        <f>(C36-B36)^2</f>
        <v>3.6511720032322308</v>
      </c>
      <c r="E36">
        <f>SQRT((SUM(D35:D39)/3))</f>
        <v>3.9580611296691273</v>
      </c>
      <c r="V36" s="11"/>
      <c r="W36" s="11" t="s">
        <v>48</v>
      </c>
      <c r="X36" s="11" t="s">
        <v>49</v>
      </c>
    </row>
    <row r="37" spans="1:24" x14ac:dyDescent="0.3">
      <c r="A37">
        <v>9</v>
      </c>
      <c r="B37">
        <v>31</v>
      </c>
      <c r="C37">
        <f t="shared" si="9"/>
        <v>28.39824120603015</v>
      </c>
      <c r="D37">
        <f>(C37-B37)^2</f>
        <v>6.7691488219994493</v>
      </c>
      <c r="E37">
        <f>(SUM(D35:D39))</f>
        <v>46.998743718592948</v>
      </c>
      <c r="P37">
        <f>_xlfn.T.TEST(O21:O32,P21:P27,2,3)</f>
        <v>7.820704092145607E-2</v>
      </c>
      <c r="Q37">
        <f>_xlfn.STDEV.S(O21:O32)^2</f>
        <v>457.4545454545455</v>
      </c>
      <c r="R37">
        <f>R33/SQRT(Q37/12+R38/7)</f>
        <v>1.9107001042454415</v>
      </c>
      <c r="S37">
        <f>(Q37/12+R38/7)^2/((Q37/12)^2/11+(R38/7)^2/6)</f>
        <v>13.081702113268564</v>
      </c>
      <c r="U37" t="s">
        <v>50</v>
      </c>
      <c r="V37">
        <v>120</v>
      </c>
      <c r="W37">
        <v>101</v>
      </c>
    </row>
    <row r="38" spans="1:24" x14ac:dyDescent="0.3">
      <c r="A38">
        <v>15</v>
      </c>
      <c r="B38">
        <v>38</v>
      </c>
      <c r="C38">
        <f t="shared" si="9"/>
        <v>35.325376884422113</v>
      </c>
      <c r="D38">
        <f>(C38-B38)^2</f>
        <v>7.153608810383564</v>
      </c>
      <c r="R38">
        <f>_xlfn.STDEV.S(P21:P27)^2</f>
        <v>425.33333333333331</v>
      </c>
      <c r="T38">
        <f>_xlfn.T.DIST.2T(R37,S37)</f>
        <v>7.8347619281053868E-2</v>
      </c>
      <c r="V38" t="s">
        <v>51</v>
      </c>
      <c r="W38">
        <v>457.45454545454544</v>
      </c>
      <c r="X38">
        <v>425.33333333333331</v>
      </c>
    </row>
    <row r="39" spans="1:24" x14ac:dyDescent="0.3">
      <c r="A39">
        <v>21</v>
      </c>
      <c r="B39">
        <v>40</v>
      </c>
      <c r="C39">
        <f t="shared" si="9"/>
        <v>42.252512562814069</v>
      </c>
      <c r="D39">
        <f>(C39-B39)^2</f>
        <v>5.073812845635203</v>
      </c>
      <c r="V39" t="s">
        <v>52</v>
      </c>
      <c r="W39">
        <v>12</v>
      </c>
      <c r="X39">
        <v>7</v>
      </c>
    </row>
    <row r="40" spans="1:24" x14ac:dyDescent="0.3">
      <c r="E40">
        <f>SLOPE(B35:B39,A35:A39)</f>
        <v>1.1545226130653266</v>
      </c>
      <c r="H40" cm="1">
        <f t="array" ref="H40:I44">LINEST(B35:B39,A35:A39,TRUE,TRUE)</f>
        <v>1.1545226130653263</v>
      </c>
      <c r="I40">
        <v>18.007537688442213</v>
      </c>
      <c r="V40" t="s">
        <v>53</v>
      </c>
      <c r="W40">
        <v>0</v>
      </c>
    </row>
    <row r="41" spans="1:24" x14ac:dyDescent="0.3">
      <c r="E41">
        <f>INTERCEPT(B35:B39,A35:A39)</f>
        <v>18.007537688442213</v>
      </c>
      <c r="H41">
        <v>0.3136974335451268</v>
      </c>
      <c r="I41">
        <v>4.0465753027529079</v>
      </c>
      <c r="V41" t="s">
        <v>54</v>
      </c>
      <c r="W41">
        <v>13</v>
      </c>
    </row>
    <row r="42" spans="1:24" x14ac:dyDescent="0.3">
      <c r="H42">
        <v>0.81867768627086068</v>
      </c>
      <c r="I42">
        <v>3.9580611296691264</v>
      </c>
      <c r="J42">
        <f>SQRT(I44/3)</f>
        <v>3.9580611296691264</v>
      </c>
      <c r="V42" t="s">
        <v>55</v>
      </c>
      <c r="W42">
        <v>1.9107001042454415</v>
      </c>
    </row>
    <row r="43" spans="1:24" x14ac:dyDescent="0.3">
      <c r="H43">
        <v>13.545123092138693</v>
      </c>
      <c r="I43">
        <v>3</v>
      </c>
      <c r="V43" t="s">
        <v>56</v>
      </c>
      <c r="W43">
        <v>3.9173809640526934E-2</v>
      </c>
    </row>
    <row r="44" spans="1:24" x14ac:dyDescent="0.3">
      <c r="H44">
        <v>212.20125628140713</v>
      </c>
      <c r="I44">
        <v>46.998743718592927</v>
      </c>
      <c r="J44">
        <f>H44+I44</f>
        <v>259.20000000000005</v>
      </c>
      <c r="K44">
        <f>H44/1/(I44/3)</f>
        <v>13.545123092138693</v>
      </c>
      <c r="L44">
        <f>_xlfn.F.DIST.RT(K44,1,3)</f>
        <v>3.4748295829249994E-2</v>
      </c>
      <c r="V44" t="s">
        <v>57</v>
      </c>
      <c r="W44">
        <v>1.7709333959868729</v>
      </c>
    </row>
    <row r="45" spans="1:24" x14ac:dyDescent="0.3">
      <c r="J45">
        <f>DEVSQ(B35:B39)</f>
        <v>259.20000000000005</v>
      </c>
      <c r="V45" t="s">
        <v>58</v>
      </c>
      <c r="W45">
        <v>7.8347619281053868E-2</v>
      </c>
    </row>
    <row r="46" spans="1:24" ht="15.6" thickBot="1" x14ac:dyDescent="0.35">
      <c r="V46" s="10" t="s">
        <v>59</v>
      </c>
      <c r="W46" s="10">
        <v>2.1603686564627926</v>
      </c>
      <c r="X46" s="10"/>
    </row>
    <row r="47" spans="1:24" x14ac:dyDescent="0.3">
      <c r="D47" cm="1">
        <f t="array" ref="D47:E51">LINEST(B35:B39,A35:A39,TRUE,TRUE)</f>
        <v>1.1545226130653263</v>
      </c>
      <c r="E47">
        <v>18.007537688442213</v>
      </c>
    </row>
    <row r="48" spans="1:24" x14ac:dyDescent="0.3">
      <c r="D48">
        <v>0.3136974335451268</v>
      </c>
      <c r="E48">
        <v>4.0465753027529079</v>
      </c>
    </row>
    <row r="49" spans="1:9" x14ac:dyDescent="0.3">
      <c r="D49">
        <v>0.81867768627086068</v>
      </c>
      <c r="E49">
        <v>3.9580611296691264</v>
      </c>
    </row>
    <row r="50" spans="1:9" x14ac:dyDescent="0.3">
      <c r="D50">
        <v>13.545123092138693</v>
      </c>
      <c r="E50">
        <v>3</v>
      </c>
    </row>
    <row r="51" spans="1:9" x14ac:dyDescent="0.3">
      <c r="D51">
        <v>212.20125628140713</v>
      </c>
      <c r="E51">
        <v>46.998743718592927</v>
      </c>
    </row>
    <row r="53" spans="1:9" x14ac:dyDescent="0.3">
      <c r="A53">
        <v>6</v>
      </c>
      <c r="B53">
        <v>3</v>
      </c>
      <c r="C53">
        <v>20</v>
      </c>
    </row>
    <row r="54" spans="1:9" x14ac:dyDescent="0.3">
      <c r="A54">
        <v>7</v>
      </c>
      <c r="B54">
        <v>4</v>
      </c>
      <c r="C54">
        <v>28</v>
      </c>
    </row>
    <row r="55" spans="1:9" x14ac:dyDescent="0.3">
      <c r="A55">
        <v>9</v>
      </c>
      <c r="B55">
        <v>6</v>
      </c>
      <c r="C55">
        <v>31</v>
      </c>
    </row>
    <row r="56" spans="1:9" x14ac:dyDescent="0.3">
      <c r="A56">
        <v>15</v>
      </c>
      <c r="B56">
        <v>8</v>
      </c>
      <c r="C56">
        <v>38</v>
      </c>
    </row>
    <row r="57" spans="1:9" x14ac:dyDescent="0.3">
      <c r="A57">
        <v>21</v>
      </c>
      <c r="B57">
        <v>10</v>
      </c>
      <c r="C57">
        <v>40</v>
      </c>
      <c r="E57" t="s">
        <v>60</v>
      </c>
      <c r="H57">
        <f>_xlfn.T.DIST(1,5,TRUE)</f>
        <v>0.81839126617543867</v>
      </c>
      <c r="I57">
        <f>1-H57</f>
        <v>0.18160873382456133</v>
      </c>
    </row>
    <row r="58" spans="1:9" x14ac:dyDescent="0.3">
      <c r="E58" t="str" cm="1">
        <f t="array" ref="E58">_xlfn.IFS(E59&gt;0.1," ",AND(E59&lt;0.1,E59&gt;0.05),".",AND(E59&lt;0.05,E59&gt;0.01),"*",E59&lt;0.01,"**")</f>
        <v xml:space="preserve"> </v>
      </c>
      <c r="F58" t="str" cm="1">
        <f t="array" ref="F58">_xlfn.IFS(F59&gt;0.1," ",AND(F59&lt;0.1,F59&gt;0.05),".",AND(F59&lt;0.05,F59&gt;0.01),"*",F59&lt;0.01,"**")</f>
        <v xml:space="preserve"> </v>
      </c>
      <c r="G58" t="str" cm="1">
        <f t="array" ref="G58">_xlfn.IFS(G59&gt;0.1," ",AND(G59&lt;0.1,G59&gt;0.05),".",AND(G59&lt;0.05,G59&gt;0.01),"*",G59&lt;0.01,"**")</f>
        <v>*</v>
      </c>
      <c r="H58">
        <f>_xlfn.T.DIST.2T(1,5)</f>
        <v>0.36321746764912277</v>
      </c>
      <c r="I58">
        <f>_xlfn.T.DIST.RT(1,5)</f>
        <v>0.18160873382456139</v>
      </c>
    </row>
    <row r="59" spans="1:9" x14ac:dyDescent="0.3">
      <c r="E59">
        <f>_xlfn.T.DIST.2T(ABS(E60/E61),COUNT($A$21:$A$25)-$F$29)</f>
        <v>0.10613956807462221</v>
      </c>
      <c r="F59">
        <f t="shared" ref="F59" si="10">_xlfn.T.DIST.2T(ABS(F60/F61),COUNT($A$21:$A$25)-$F$29)</f>
        <v>0.45801448374419451</v>
      </c>
      <c r="G59">
        <f>_xlfn.T.DIST.2T(ABS(G60/G61),COUNT($A$21:$A$25)-$F$29)</f>
        <v>2.0662732013132425E-2</v>
      </c>
    </row>
    <row r="60" spans="1:9" x14ac:dyDescent="0.3">
      <c r="E60" cm="1">
        <f t="array" ref="E60:G64">LINEST(C53:C57,A53:B57,TRUE,TRUE)</f>
        <v>4.3885542168674689</v>
      </c>
      <c r="F60">
        <v>-0.78614457831325268</v>
      </c>
      <c r="G60">
        <v>13.310240963855417</v>
      </c>
    </row>
    <row r="61" spans="1:9" x14ac:dyDescent="0.3">
      <c r="E61">
        <v>2.1108677860721796</v>
      </c>
      <c r="F61">
        <v>0.95813437654874989</v>
      </c>
      <c r="G61">
        <v>3.5881320401057257</v>
      </c>
    </row>
    <row r="62" spans="1:9" x14ac:dyDescent="0.3">
      <c r="E62">
        <v>0.9426409341067975</v>
      </c>
      <c r="F62">
        <v>2.7264876562638327</v>
      </c>
      <c r="G62" t="e">
        <v>#N/A</v>
      </c>
    </row>
    <row r="63" spans="1:9" x14ac:dyDescent="0.3">
      <c r="E63">
        <v>16.434035656401921</v>
      </c>
      <c r="F63">
        <v>2</v>
      </c>
      <c r="G63" t="e">
        <v>#N/A</v>
      </c>
    </row>
    <row r="64" spans="1:9" x14ac:dyDescent="0.3">
      <c r="E64">
        <v>244.33253012048195</v>
      </c>
      <c r="F64">
        <v>14.867469879518094</v>
      </c>
      <c r="G64" t="e">
        <v>#N/A</v>
      </c>
    </row>
    <row r="66" spans="1:5" x14ac:dyDescent="0.3">
      <c r="A66">
        <v>6</v>
      </c>
      <c r="B66">
        <v>300</v>
      </c>
      <c r="C66" cm="1">
        <f t="array" ref="C66:C70">GROWTH(B66:B70,A66:A70,,TRUE)</f>
        <v>324.6751651591436</v>
      </c>
      <c r="D66" cm="1">
        <f t="array" ref="D66:D70">LOG(B66:B70)</f>
        <v>2.4771212547196626</v>
      </c>
    </row>
    <row r="67" spans="1:5" x14ac:dyDescent="0.3">
      <c r="A67">
        <v>7</v>
      </c>
      <c r="B67">
        <v>900</v>
      </c>
      <c r="C67">
        <v>908.65568330934025</v>
      </c>
      <c r="D67">
        <v>2.9542425094393248</v>
      </c>
    </row>
    <row r="68" spans="1:5" x14ac:dyDescent="0.3">
      <c r="A68">
        <v>9</v>
      </c>
      <c r="B68">
        <v>8095</v>
      </c>
      <c r="C68">
        <v>7117.0481101704972</v>
      </c>
      <c r="D68">
        <v>3.9082168530893924</v>
      </c>
    </row>
    <row r="69" spans="1:5" x14ac:dyDescent="0.3">
      <c r="A69">
        <v>13</v>
      </c>
      <c r="B69">
        <v>440000</v>
      </c>
      <c r="C69">
        <v>436617.37093601446</v>
      </c>
      <c r="D69">
        <v>5.6434526764861879</v>
      </c>
    </row>
    <row r="70" spans="1:5" x14ac:dyDescent="0.3">
      <c r="A70">
        <v>15</v>
      </c>
      <c r="B70">
        <v>3260000</v>
      </c>
      <c r="C70">
        <v>3419806.7450263114</v>
      </c>
      <c r="D70">
        <v>6.5132176000679394</v>
      </c>
    </row>
    <row r="72" spans="1:5" x14ac:dyDescent="0.3">
      <c r="A72">
        <f>LOG(A73)</f>
        <v>0.4469502771585373</v>
      </c>
      <c r="B72">
        <f>LOG(B73)</f>
        <v>-0.17025259282487173</v>
      </c>
      <c r="D72">
        <f>10^D73</f>
        <v>2.7986608796023904</v>
      </c>
    </row>
    <row r="73" spans="1:5" x14ac:dyDescent="0.3">
      <c r="A73" cm="1">
        <f t="array" ref="A73:B77">LOGEST(B66:B70,A66:A70,TRUE,TRUE)</f>
        <v>2.7986608796023895</v>
      </c>
      <c r="B73">
        <v>0.67568986872601755</v>
      </c>
      <c r="D73" cm="1">
        <f t="array" ref="D73:E77">LINEST(D66:D70,A66:A70,TRUE,TRUE)</f>
        <v>0.44695027715853736</v>
      </c>
      <c r="E73">
        <v>-0.17025259282487237</v>
      </c>
    </row>
    <row r="74" spans="1:5" x14ac:dyDescent="0.3">
      <c r="A74">
        <v>1.1847802276564018E-2</v>
      </c>
      <c r="B74">
        <v>0.12538535362581316</v>
      </c>
      <c r="D74">
        <v>5.1454351513925333E-3</v>
      </c>
      <c r="E74">
        <v>5.4454167191178501E-2</v>
      </c>
    </row>
    <row r="75" spans="1:5" x14ac:dyDescent="0.3">
      <c r="A75">
        <v>0.99960255740513693</v>
      </c>
      <c r="B75">
        <v>9.1772681812581525E-2</v>
      </c>
      <c r="D75">
        <v>0.99960255740513693</v>
      </c>
      <c r="E75">
        <v>3.9856369300667049E-2</v>
      </c>
    </row>
    <row r="76" spans="1:5" x14ac:dyDescent="0.3">
      <c r="A76">
        <v>7545.2598965863681</v>
      </c>
      <c r="B76">
        <v>3</v>
      </c>
      <c r="D76">
        <v>7545.2598965863808</v>
      </c>
      <c r="E76">
        <v>3</v>
      </c>
    </row>
    <row r="77" spans="1:5" x14ac:dyDescent="0.3">
      <c r="A77">
        <v>63.54787749132845</v>
      </c>
      <c r="B77">
        <v>2.5266675381219999E-2</v>
      </c>
      <c r="D77">
        <v>11.985873015125604</v>
      </c>
      <c r="E77">
        <v>4.765590521493464E-3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Ouyang (STA)</dc:creator>
  <cp:lastModifiedBy>LAM, Hoi Chun</cp:lastModifiedBy>
  <dcterms:created xsi:type="dcterms:W3CDTF">2024-01-10T10:49:31Z</dcterms:created>
  <dcterms:modified xsi:type="dcterms:W3CDTF">2024-02-11T05:18:13Z</dcterms:modified>
</cp:coreProperties>
</file>