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mcdonald\Downloads\"/>
    </mc:Choice>
  </mc:AlternateContent>
  <xr:revisionPtr revIDLastSave="0" documentId="8_{616FDBDF-6DC5-4310-82D2-AA90FA7A070C}" xr6:coauthVersionLast="45" xr6:coauthVersionMax="45" xr10:uidLastSave="{00000000-0000-0000-0000-000000000000}"/>
  <bookViews>
    <workbookView xWindow="4350" yWindow="-12045" windowWidth="17280" windowHeight="9075" tabRatio="752" xr2:uid="{7E397F55-C6D3-4BB3-8073-584E69282042}"/>
  </bookViews>
  <sheets>
    <sheet name="Read Me" sheetId="1" r:id="rId1"/>
    <sheet name="Step 1-Indicator Overview" sheetId="2" r:id="rId2"/>
    <sheet name="Step 2-Data Entry" sheetId="4" r:id="rId3"/>
    <sheet name="Step 3-Sector Data" sheetId="13" r:id="rId4"/>
    <sheet name="Step 4-Long Data" sheetId="9" r:id="rId5"/>
    <sheet name="Step 5-Severity" sheetId="11" r:id="rId6"/>
    <sheet name="Step 6-PiN" sheetId="12" r:id="rId7"/>
    <sheet name="PiN Overview-Expert Judgement" sheetId="14" r:id="rId8"/>
    <sheet name="Baseline_Popopulation"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0" l="1"/>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 i="10"/>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 i="13"/>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2" i="9"/>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4" i="14"/>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G3" i="12"/>
  <c r="E3" i="12"/>
  <c r="F3" i="12"/>
  <c r="F4" i="11"/>
  <c r="F5" i="11"/>
  <c r="F6" i="11"/>
  <c r="F7" i="11"/>
  <c r="F8" i="11"/>
  <c r="F9" i="11"/>
  <c r="F10" i="11"/>
  <c r="F11" i="11"/>
  <c r="F12" i="11"/>
  <c r="F3" i="11"/>
  <c r="E4" i="11"/>
  <c r="E5" i="11"/>
  <c r="E6" i="11"/>
  <c r="E7" i="11"/>
  <c r="E8" i="11"/>
  <c r="E9" i="11"/>
  <c r="E10" i="11"/>
  <c r="E11" i="11"/>
  <c r="E12" i="11"/>
  <c r="E3" i="11"/>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2" i="9"/>
  <c r="J3" i="9"/>
  <c r="Q3" i="9" s="1"/>
  <c r="J4" i="9"/>
  <c r="Q4" i="9" s="1"/>
  <c r="J5" i="9"/>
  <c r="Q5" i="9" s="1"/>
  <c r="J6" i="9"/>
  <c r="Q6" i="9" s="1"/>
  <c r="J7" i="9"/>
  <c r="Q7" i="9" s="1"/>
  <c r="J8" i="9"/>
  <c r="Q8" i="9" s="1"/>
  <c r="J9" i="9"/>
  <c r="Q9" i="9" s="1"/>
  <c r="J10" i="9"/>
  <c r="Q10" i="9" s="1"/>
  <c r="J11" i="9"/>
  <c r="Q11" i="9" s="1"/>
  <c r="J12" i="9"/>
  <c r="Q12" i="9" s="1"/>
  <c r="J13" i="9"/>
  <c r="Q13" i="9" s="1"/>
  <c r="J14" i="9"/>
  <c r="Q14" i="9" s="1"/>
  <c r="J15" i="9"/>
  <c r="Q15" i="9" s="1"/>
  <c r="J16" i="9"/>
  <c r="Q16" i="9" s="1"/>
  <c r="J17" i="9"/>
  <c r="Q17" i="9" s="1"/>
  <c r="J18" i="9"/>
  <c r="Q18" i="9" s="1"/>
  <c r="J19" i="9"/>
  <c r="Q19" i="9" s="1"/>
  <c r="J20" i="9"/>
  <c r="Q20" i="9" s="1"/>
  <c r="J21" i="9"/>
  <c r="Q21" i="9" s="1"/>
  <c r="J22" i="9"/>
  <c r="Q22" i="9" s="1"/>
  <c r="J23" i="9"/>
  <c r="Q23" i="9" s="1"/>
  <c r="J24" i="9"/>
  <c r="Q24" i="9" s="1"/>
  <c r="J25" i="9"/>
  <c r="Q25" i="9" s="1"/>
  <c r="J26" i="9"/>
  <c r="Q26" i="9" s="1"/>
  <c r="J27" i="9"/>
  <c r="Q27" i="9" s="1"/>
  <c r="J28" i="9"/>
  <c r="Q28" i="9" s="1"/>
  <c r="J29" i="9"/>
  <c r="Q29" i="9" s="1"/>
  <c r="J30" i="9"/>
  <c r="Q30" i="9" s="1"/>
  <c r="J31" i="9"/>
  <c r="Q31" i="9" s="1"/>
  <c r="J32" i="9"/>
  <c r="Q32" i="9" s="1"/>
  <c r="J33" i="9"/>
  <c r="Q33" i="9" s="1"/>
  <c r="J34" i="9"/>
  <c r="Q34" i="9" s="1"/>
  <c r="J35" i="9"/>
  <c r="Q35" i="9" s="1"/>
  <c r="J36" i="9"/>
  <c r="Q36" i="9" s="1"/>
  <c r="J37" i="9"/>
  <c r="Q37" i="9" s="1"/>
  <c r="J38" i="9"/>
  <c r="Q38" i="9" s="1"/>
  <c r="J39" i="9"/>
  <c r="Q39" i="9" s="1"/>
  <c r="J40" i="9"/>
  <c r="Q40" i="9" s="1"/>
  <c r="J41" i="9"/>
  <c r="Q41" i="9" s="1"/>
  <c r="J42" i="9"/>
  <c r="Q42" i="9" s="1"/>
  <c r="J43" i="9"/>
  <c r="Q43" i="9" s="1"/>
  <c r="J44" i="9"/>
  <c r="Q44" i="9" s="1"/>
  <c r="J45" i="9"/>
  <c r="Q45" i="9" s="1"/>
  <c r="J46" i="9"/>
  <c r="Q46" i="9" s="1"/>
  <c r="J47" i="9"/>
  <c r="Q47" i="9" s="1"/>
  <c r="J48" i="9"/>
  <c r="Q48" i="9" s="1"/>
  <c r="J49" i="9"/>
  <c r="Q49" i="9" s="1"/>
  <c r="J50" i="9"/>
  <c r="Q50" i="9" s="1"/>
  <c r="J51" i="9"/>
  <c r="Q51" i="9" s="1"/>
  <c r="J52" i="9"/>
  <c r="Q52" i="9" s="1"/>
  <c r="J53" i="9"/>
  <c r="Q53" i="9" s="1"/>
  <c r="J54" i="9"/>
  <c r="Q54" i="9" s="1"/>
  <c r="J55" i="9"/>
  <c r="Q55" i="9" s="1"/>
  <c r="J56" i="9"/>
  <c r="Q56" i="9" s="1"/>
  <c r="J57" i="9"/>
  <c r="Q57" i="9" s="1"/>
  <c r="J58" i="9"/>
  <c r="Q58" i="9" s="1"/>
  <c r="J59" i="9"/>
  <c r="Q59" i="9" s="1"/>
  <c r="J60" i="9"/>
  <c r="Q60" i="9" s="1"/>
  <c r="J61" i="9"/>
  <c r="Q61" i="9" s="1"/>
  <c r="J62" i="9"/>
  <c r="Q62" i="9" s="1"/>
  <c r="J63" i="9"/>
  <c r="Q63" i="9" s="1"/>
  <c r="J64" i="9"/>
  <c r="Q64" i="9" s="1"/>
  <c r="J65" i="9"/>
  <c r="Q65" i="9" s="1"/>
  <c r="J66" i="9"/>
  <c r="Q66" i="9" s="1"/>
  <c r="J67" i="9"/>
  <c r="Q67" i="9" s="1"/>
  <c r="J68" i="9"/>
  <c r="Q68" i="9" s="1"/>
  <c r="J69" i="9"/>
  <c r="Q69" i="9" s="1"/>
  <c r="J70" i="9"/>
  <c r="Q70" i="9" s="1"/>
  <c r="J71" i="9"/>
  <c r="Q71" i="9" s="1"/>
  <c r="J72" i="9"/>
  <c r="Q72" i="9" s="1"/>
  <c r="J73" i="9"/>
  <c r="Q73" i="9" s="1"/>
  <c r="J74" i="9"/>
  <c r="Q74" i="9" s="1"/>
  <c r="J75" i="9"/>
  <c r="Q75" i="9" s="1"/>
  <c r="J76" i="9"/>
  <c r="Q76" i="9" s="1"/>
  <c r="J77" i="9"/>
  <c r="Q77" i="9" s="1"/>
  <c r="J78" i="9"/>
  <c r="Q78" i="9" s="1"/>
  <c r="J79" i="9"/>
  <c r="Q79" i="9" s="1"/>
  <c r="J80" i="9"/>
  <c r="Q80" i="9" s="1"/>
  <c r="J81" i="9"/>
  <c r="Q81" i="9" s="1"/>
  <c r="J82" i="9"/>
  <c r="Q82" i="9" s="1"/>
  <c r="J83" i="9"/>
  <c r="Q83" i="9" s="1"/>
  <c r="J84" i="9"/>
  <c r="Q84" i="9" s="1"/>
  <c r="J85" i="9"/>
  <c r="Q85" i="9" s="1"/>
  <c r="J86" i="9"/>
  <c r="Q86" i="9" s="1"/>
  <c r="J87" i="9"/>
  <c r="Q87" i="9" s="1"/>
  <c r="J88" i="9"/>
  <c r="Q88" i="9" s="1"/>
  <c r="J89" i="9"/>
  <c r="Q89" i="9" s="1"/>
  <c r="J90" i="9"/>
  <c r="Q90" i="9" s="1"/>
  <c r="J91" i="9"/>
  <c r="Q91" i="9" s="1"/>
  <c r="J92" i="9"/>
  <c r="Q92" i="9" s="1"/>
  <c r="J93" i="9"/>
  <c r="Q93" i="9" s="1"/>
  <c r="J94" i="9"/>
  <c r="Q94" i="9" s="1"/>
  <c r="J95" i="9"/>
  <c r="Q95" i="9" s="1"/>
  <c r="J96" i="9"/>
  <c r="Q96" i="9" s="1"/>
  <c r="J97" i="9"/>
  <c r="Q97" i="9" s="1"/>
  <c r="J98" i="9"/>
  <c r="Q98" i="9" s="1"/>
  <c r="J99" i="9"/>
  <c r="Q99" i="9" s="1"/>
  <c r="J100" i="9"/>
  <c r="Q100" i="9" s="1"/>
  <c r="J101" i="9"/>
  <c r="Q101" i="9" s="1"/>
  <c r="J102" i="9"/>
  <c r="Q102" i="9" s="1"/>
  <c r="J103" i="9"/>
  <c r="Q103" i="9" s="1"/>
  <c r="J104" i="9"/>
  <c r="Q104" i="9" s="1"/>
  <c r="J105" i="9"/>
  <c r="Q105" i="9" s="1"/>
  <c r="J106" i="9"/>
  <c r="Q106" i="9" s="1"/>
  <c r="J107" i="9"/>
  <c r="Q107" i="9" s="1"/>
  <c r="J108" i="9"/>
  <c r="Q108" i="9" s="1"/>
  <c r="J109" i="9"/>
  <c r="Q109" i="9" s="1"/>
  <c r="J110" i="9"/>
  <c r="Q110" i="9" s="1"/>
  <c r="J111" i="9"/>
  <c r="Q111" i="9" s="1"/>
  <c r="J112" i="9"/>
  <c r="Q112" i="9" s="1"/>
  <c r="J113" i="9"/>
  <c r="Q113" i="9" s="1"/>
  <c r="J114" i="9"/>
  <c r="Q114" i="9" s="1"/>
  <c r="J115" i="9"/>
  <c r="Q115" i="9" s="1"/>
  <c r="J116" i="9"/>
  <c r="Q116" i="9" s="1"/>
  <c r="J117" i="9"/>
  <c r="Q117" i="9" s="1"/>
  <c r="J118" i="9"/>
  <c r="Q118" i="9" s="1"/>
  <c r="J119" i="9"/>
  <c r="Q119" i="9" s="1"/>
  <c r="J120" i="9"/>
  <c r="Q120" i="9" s="1"/>
  <c r="J121" i="9"/>
  <c r="Q121" i="9" s="1"/>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Q152" i="9" s="1"/>
  <c r="J153" i="9"/>
  <c r="Q153" i="9" s="1"/>
  <c r="J154" i="9"/>
  <c r="Q154" i="9" s="1"/>
  <c r="J155" i="9"/>
  <c r="Q155" i="9" s="1"/>
  <c r="J156" i="9"/>
  <c r="Q156" i="9" s="1"/>
  <c r="J157" i="9"/>
  <c r="Q157" i="9" s="1"/>
  <c r="J158" i="9"/>
  <c r="Q158" i="9" s="1"/>
  <c r="J159" i="9"/>
  <c r="Q159" i="9" s="1"/>
  <c r="J160" i="9"/>
  <c r="Q160" i="9" s="1"/>
  <c r="J161" i="9"/>
  <c r="Q161" i="9" s="1"/>
  <c r="J162" i="9"/>
  <c r="Q162" i="9" s="1"/>
  <c r="J163" i="9"/>
  <c r="Q163" i="9" s="1"/>
  <c r="J164" i="9"/>
  <c r="Q164" i="9" s="1"/>
  <c r="J165" i="9"/>
  <c r="Q165" i="9" s="1"/>
  <c r="J166" i="9"/>
  <c r="Q166" i="9" s="1"/>
  <c r="J167" i="9"/>
  <c r="Q167" i="9" s="1"/>
  <c r="J168" i="9"/>
  <c r="Q168" i="9" s="1"/>
  <c r="J169" i="9"/>
  <c r="Q169" i="9" s="1"/>
  <c r="J170" i="9"/>
  <c r="Q170" i="9" s="1"/>
  <c r="J171" i="9"/>
  <c r="Q171" i="9" s="1"/>
  <c r="J172" i="9"/>
  <c r="Q172" i="9" s="1"/>
  <c r="J173" i="9"/>
  <c r="Q173" i="9" s="1"/>
  <c r="J174" i="9"/>
  <c r="Q174" i="9" s="1"/>
  <c r="J175" i="9"/>
  <c r="Q175" i="9" s="1"/>
  <c r="J176" i="9"/>
  <c r="Q176" i="9" s="1"/>
  <c r="J177" i="9"/>
  <c r="Q177" i="9" s="1"/>
  <c r="J178" i="9"/>
  <c r="Q178" i="9" s="1"/>
  <c r="J179" i="9"/>
  <c r="Q179" i="9" s="1"/>
  <c r="J180" i="9"/>
  <c r="Q180" i="9" s="1"/>
  <c r="J181" i="9"/>
  <c r="Q181" i="9" s="1"/>
  <c r="J182" i="9"/>
  <c r="Q182" i="9" s="1"/>
  <c r="J183" i="9"/>
  <c r="Q183" i="9" s="1"/>
  <c r="J184" i="9"/>
  <c r="Q184" i="9" s="1"/>
  <c r="J185" i="9"/>
  <c r="Q185" i="9" s="1"/>
  <c r="J186" i="9"/>
  <c r="Q186" i="9" s="1"/>
  <c r="J187" i="9"/>
  <c r="Q187" i="9" s="1"/>
  <c r="J188" i="9"/>
  <c r="Q188" i="9" s="1"/>
  <c r="J189" i="9"/>
  <c r="Q189" i="9" s="1"/>
  <c r="J190" i="9"/>
  <c r="Q190" i="9" s="1"/>
  <c r="J191" i="9"/>
  <c r="Q191" i="9" s="1"/>
  <c r="J192" i="9"/>
  <c r="Q192" i="9" s="1"/>
  <c r="J193" i="9"/>
  <c r="Q193" i="9" s="1"/>
  <c r="J194" i="9"/>
  <c r="Q194" i="9" s="1"/>
  <c r="J195" i="9"/>
  <c r="Q195" i="9" s="1"/>
  <c r="J196" i="9"/>
  <c r="Q196" i="9" s="1"/>
  <c r="J197" i="9"/>
  <c r="Q197" i="9" s="1"/>
  <c r="J198" i="9"/>
  <c r="Q198" i="9" s="1"/>
  <c r="J199" i="9"/>
  <c r="Q199" i="9" s="1"/>
  <c r="J200" i="9"/>
  <c r="Q200" i="9" s="1"/>
  <c r="J201" i="9"/>
  <c r="Q201" i="9" s="1"/>
  <c r="J202" i="9"/>
  <c r="Q202" i="9" s="1"/>
  <c r="J203" i="9"/>
  <c r="Q203" i="9" s="1"/>
  <c r="J204" i="9"/>
  <c r="Q204" i="9" s="1"/>
  <c r="J205" i="9"/>
  <c r="Q205" i="9" s="1"/>
  <c r="J206" i="9"/>
  <c r="Q206" i="9" s="1"/>
  <c r="J207" i="9"/>
  <c r="Q207" i="9" s="1"/>
  <c r="J208" i="9"/>
  <c r="Q208" i="9" s="1"/>
  <c r="J209" i="9"/>
  <c r="Q209" i="9" s="1"/>
  <c r="J210" i="9"/>
  <c r="Q210" i="9" s="1"/>
  <c r="J211" i="9"/>
  <c r="Q211" i="9" s="1"/>
  <c r="J212" i="9"/>
  <c r="Q212" i="9" s="1"/>
  <c r="J213" i="9"/>
  <c r="Q213" i="9" s="1"/>
  <c r="J214" i="9"/>
  <c r="Q214" i="9" s="1"/>
  <c r="J215" i="9"/>
  <c r="Q215" i="9" s="1"/>
  <c r="J216" i="9"/>
  <c r="Q216" i="9" s="1"/>
  <c r="J217" i="9"/>
  <c r="Q217" i="9" s="1"/>
  <c r="J218" i="9"/>
  <c r="Q218" i="9" s="1"/>
  <c r="J219" i="9"/>
  <c r="Q219" i="9" s="1"/>
  <c r="J220" i="9"/>
  <c r="Q220" i="9" s="1"/>
  <c r="J221" i="9"/>
  <c r="Q221" i="9" s="1"/>
  <c r="J222" i="9"/>
  <c r="Q222" i="9" s="1"/>
  <c r="J223" i="9"/>
  <c r="Q223" i="9" s="1"/>
  <c r="J224" i="9"/>
  <c r="Q224" i="9" s="1"/>
  <c r="J225" i="9"/>
  <c r="Q225" i="9" s="1"/>
  <c r="J226" i="9"/>
  <c r="Q226" i="9" s="1"/>
  <c r="J227" i="9"/>
  <c r="Q227" i="9" s="1"/>
  <c r="J228" i="9"/>
  <c r="Q228" i="9" s="1"/>
  <c r="J229" i="9"/>
  <c r="Q229" i="9" s="1"/>
  <c r="J230" i="9"/>
  <c r="Q230" i="9" s="1"/>
  <c r="J231" i="9"/>
  <c r="Q231" i="9" s="1"/>
  <c r="J232" i="9"/>
  <c r="Q232" i="9" s="1"/>
  <c r="J233" i="9"/>
  <c r="Q233" i="9" s="1"/>
  <c r="J234" i="9"/>
  <c r="Q234" i="9" s="1"/>
  <c r="J235" i="9"/>
  <c r="Q235" i="9" s="1"/>
  <c r="J236" i="9"/>
  <c r="Q236" i="9" s="1"/>
  <c r="J237" i="9"/>
  <c r="Q237" i="9" s="1"/>
  <c r="J238" i="9"/>
  <c r="Q238" i="9" s="1"/>
  <c r="J239" i="9"/>
  <c r="Q239" i="9" s="1"/>
  <c r="J240" i="9"/>
  <c r="Q240" i="9" s="1"/>
  <c r="J241" i="9"/>
  <c r="Q241" i="9" s="1"/>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Q272" i="9" s="1"/>
  <c r="J273" i="9"/>
  <c r="Q273" i="9" s="1"/>
  <c r="J274" i="9"/>
  <c r="Q274" i="9" s="1"/>
  <c r="J275" i="9"/>
  <c r="Q275" i="9" s="1"/>
  <c r="J276" i="9"/>
  <c r="Q276" i="9" s="1"/>
  <c r="J277" i="9"/>
  <c r="Q277" i="9" s="1"/>
  <c r="J278" i="9"/>
  <c r="Q278" i="9" s="1"/>
  <c r="J279" i="9"/>
  <c r="Q279" i="9" s="1"/>
  <c r="J280" i="9"/>
  <c r="Q280" i="9" s="1"/>
  <c r="J281" i="9"/>
  <c r="Q281" i="9" s="1"/>
  <c r="J282" i="9"/>
  <c r="Q282" i="9" s="1"/>
  <c r="J283" i="9"/>
  <c r="Q283" i="9" s="1"/>
  <c r="J284" i="9"/>
  <c r="Q284" i="9" s="1"/>
  <c r="J285" i="9"/>
  <c r="Q285" i="9" s="1"/>
  <c r="J286" i="9"/>
  <c r="Q286" i="9" s="1"/>
  <c r="J287" i="9"/>
  <c r="Q287" i="9" s="1"/>
  <c r="J288" i="9"/>
  <c r="Q288" i="9" s="1"/>
  <c r="J289" i="9"/>
  <c r="Q289" i="9" s="1"/>
  <c r="J290" i="9"/>
  <c r="Q290" i="9" s="1"/>
  <c r="J291" i="9"/>
  <c r="Q291" i="9" s="1"/>
  <c r="J292" i="9"/>
  <c r="Q292" i="9" s="1"/>
  <c r="J293" i="9"/>
  <c r="Q293" i="9" s="1"/>
  <c r="J294" i="9"/>
  <c r="Q294" i="9" s="1"/>
  <c r="J295" i="9"/>
  <c r="Q295" i="9" s="1"/>
  <c r="J296" i="9"/>
  <c r="Q296" i="9" s="1"/>
  <c r="J297" i="9"/>
  <c r="Q297" i="9" s="1"/>
  <c r="J298" i="9"/>
  <c r="Q298" i="9" s="1"/>
  <c r="J299" i="9"/>
  <c r="Q299" i="9" s="1"/>
  <c r="J300" i="9"/>
  <c r="Q300" i="9" s="1"/>
  <c r="J301" i="9"/>
  <c r="Q301" i="9" s="1"/>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2" i="9"/>
  <c r="Q2" i="9" s="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2" i="9"/>
  <c r="Q138" i="9"/>
  <c r="Q258" i="9"/>
  <c r="Q322" i="9"/>
  <c r="Q354" i="9"/>
  <c r="Q147" i="9"/>
  <c r="Q267" i="9"/>
  <c r="Q331" i="9"/>
  <c r="Q145" i="9"/>
  <c r="Q148" i="9"/>
  <c r="Q268" i="9"/>
  <c r="Q332" i="9"/>
  <c r="Q129" i="9"/>
  <c r="Q125" i="9"/>
  <c r="Q245" i="9"/>
  <c r="Q309" i="9"/>
  <c r="Q341" i="9"/>
  <c r="Q353" i="9"/>
  <c r="Q150" i="9"/>
  <c r="Q270" i="9"/>
  <c r="Q326" i="9"/>
  <c r="Q358" i="9"/>
  <c r="Q127" i="9"/>
  <c r="Q247" i="9"/>
  <c r="Q303" i="9"/>
  <c r="Q335" i="9"/>
  <c r="Q137" i="9"/>
  <c r="Q144" i="9"/>
  <c r="Q304" i="9"/>
  <c r="Q336" i="9"/>
  <c r="Q249" i="9"/>
  <c r="Q146" i="9"/>
  <c r="Q266" i="9"/>
  <c r="Q330" i="9"/>
  <c r="Q123" i="9"/>
  <c r="Q243" i="9"/>
  <c r="Q307" i="9"/>
  <c r="Q339" i="9"/>
  <c r="Q124" i="9"/>
  <c r="Q244" i="9"/>
  <c r="Q308" i="9"/>
  <c r="Q340" i="9"/>
  <c r="Q257" i="9"/>
  <c r="Q133" i="9"/>
  <c r="Q253" i="9"/>
  <c r="Q317" i="9"/>
  <c r="Q349" i="9"/>
  <c r="Q126" i="9"/>
  <c r="Q246" i="9"/>
  <c r="Q302" i="9"/>
  <c r="Q334" i="9"/>
  <c r="Q265" i="9"/>
  <c r="Q135" i="9"/>
  <c r="Q255" i="9"/>
  <c r="Q311" i="9"/>
  <c r="Q343" i="9"/>
  <c r="Q337" i="9"/>
  <c r="Q248" i="9"/>
  <c r="Q312" i="9"/>
  <c r="Q344" i="9"/>
  <c r="Q329" i="9"/>
  <c r="Q122" i="9"/>
  <c r="Q242" i="9"/>
  <c r="Q306" i="9"/>
  <c r="Q338" i="9"/>
  <c r="Q131" i="9"/>
  <c r="Q251" i="9"/>
  <c r="Q315" i="9"/>
  <c r="Q347" i="9"/>
  <c r="Q132" i="9"/>
  <c r="Q252" i="9"/>
  <c r="Q316" i="9"/>
  <c r="Q348" i="9"/>
  <c r="Q305" i="9"/>
  <c r="Q141" i="9"/>
  <c r="Q261" i="9"/>
  <c r="Q325" i="9"/>
  <c r="Q357" i="9"/>
  <c r="Q134" i="9"/>
  <c r="Q254" i="9"/>
  <c r="Q310" i="9"/>
  <c r="Q342" i="9"/>
  <c r="Q313" i="9"/>
  <c r="Q143" i="9"/>
  <c r="Q263" i="9"/>
  <c r="Q319" i="9"/>
  <c r="Q351" i="9"/>
  <c r="Q256" i="9"/>
  <c r="Q320" i="9"/>
  <c r="Q352" i="9"/>
  <c r="Q130" i="9"/>
  <c r="Q250" i="9"/>
  <c r="Q314" i="9"/>
  <c r="Q346" i="9"/>
  <c r="Q139" i="9"/>
  <c r="Q259" i="9"/>
  <c r="Q323" i="9"/>
  <c r="Q355" i="9"/>
  <c r="Q140" i="9"/>
  <c r="Q260" i="9"/>
  <c r="Q324" i="9"/>
  <c r="Q356" i="9"/>
  <c r="Q345" i="9"/>
  <c r="Q149" i="9"/>
  <c r="Q269" i="9"/>
  <c r="Q333" i="9"/>
  <c r="Q321" i="9"/>
  <c r="Q142" i="9"/>
  <c r="Q262" i="9"/>
  <c r="Q318" i="9"/>
  <c r="Q350" i="9"/>
  <c r="Q361" i="9"/>
  <c r="Q151" i="9"/>
  <c r="Q271" i="9"/>
  <c r="Q327" i="9"/>
  <c r="Q359" i="9"/>
  <c r="Q136" i="9"/>
  <c r="Q264" i="9"/>
  <c r="Q328" i="9"/>
  <c r="Q360" i="9"/>
  <c r="Q128" i="9"/>
  <c r="R329" i="9" l="1"/>
  <c r="R249" i="9"/>
  <c r="O10" i="11" s="1" a="1"/>
  <c r="O10" i="11" s="1"/>
  <c r="R360" i="9"/>
  <c r="R352" i="9"/>
  <c r="R344" i="9"/>
  <c r="R336" i="9"/>
  <c r="R7" i="11" s="1" a="1"/>
  <c r="R7" i="11" s="1"/>
  <c r="R328" i="9"/>
  <c r="R320" i="9"/>
  <c r="R312" i="9"/>
  <c r="R304" i="9"/>
  <c r="Q5" i="11" s="1" a="1"/>
  <c r="Q5" i="11" s="1"/>
  <c r="R264" i="9"/>
  <c r="R256" i="9"/>
  <c r="R248" i="9"/>
  <c r="O9" i="11" s="1" a="1"/>
  <c r="O9" i="11" s="1"/>
  <c r="R144" i="9"/>
  <c r="R136" i="9"/>
  <c r="R128" i="9"/>
  <c r="K9" i="11" s="1" a="1"/>
  <c r="K9" i="11" s="1"/>
  <c r="R337" i="9"/>
  <c r="R8" i="11" s="1" a="1"/>
  <c r="R8" i="11" s="1"/>
  <c r="R137" i="9"/>
  <c r="R359" i="9"/>
  <c r="R351" i="9"/>
  <c r="R343" i="9"/>
  <c r="R335" i="9"/>
  <c r="R6" i="11" s="1" a="1"/>
  <c r="R6" i="11" s="1"/>
  <c r="R327" i="9"/>
  <c r="R319" i="9"/>
  <c r="R311" i="9"/>
  <c r="Q12" i="11" s="1" a="1"/>
  <c r="Q12" i="11" s="1"/>
  <c r="R303" i="9"/>
  <c r="Q4" i="11" s="1" a="1"/>
  <c r="Q4" i="11" s="1"/>
  <c r="R271" i="9"/>
  <c r="R263" i="9"/>
  <c r="R255" i="9"/>
  <c r="R247" i="9"/>
  <c r="O8" i="11" s="1" a="1"/>
  <c r="O8" i="11" s="1"/>
  <c r="R151" i="9"/>
  <c r="R143" i="9"/>
  <c r="R135" i="9"/>
  <c r="R127" i="9"/>
  <c r="K8" i="11" s="1" a="1"/>
  <c r="K8" i="11" s="1"/>
  <c r="R361" i="9"/>
  <c r="R313" i="9"/>
  <c r="R265" i="9"/>
  <c r="R358" i="9"/>
  <c r="R350" i="9"/>
  <c r="R342" i="9"/>
  <c r="R334" i="9"/>
  <c r="R5" i="11" s="1" a="1"/>
  <c r="R5" i="11" s="1"/>
  <c r="R326" i="9"/>
  <c r="R318" i="9"/>
  <c r="R310" i="9"/>
  <c r="Q11" i="11" s="1" a="1"/>
  <c r="Q11" i="11" s="1"/>
  <c r="R302" i="9"/>
  <c r="Q3" i="11" s="1" a="1"/>
  <c r="Q3" i="11" s="1"/>
  <c r="R270" i="9"/>
  <c r="R262" i="9"/>
  <c r="R254" i="9"/>
  <c r="R246" i="9"/>
  <c r="O7" i="11" s="1" a="1"/>
  <c r="O7" i="11" s="1"/>
  <c r="R150" i="9"/>
  <c r="R142" i="9"/>
  <c r="R134" i="9"/>
  <c r="R126" i="9"/>
  <c r="K7" i="11" s="1" a="1"/>
  <c r="K7" i="11" s="1"/>
  <c r="R353" i="9"/>
  <c r="R321" i="9"/>
  <c r="R357" i="9"/>
  <c r="R349" i="9"/>
  <c r="R341" i="9"/>
  <c r="R12" i="11" s="1" a="1"/>
  <c r="R12" i="11" s="1"/>
  <c r="R333" i="9"/>
  <c r="R4" i="11" s="1" a="1"/>
  <c r="R4" i="11" s="1"/>
  <c r="R325" i="9"/>
  <c r="R317" i="9"/>
  <c r="R309" i="9"/>
  <c r="Q10" i="11" s="1" a="1"/>
  <c r="Q10" i="11" s="1"/>
  <c r="R269" i="9"/>
  <c r="R261" i="9"/>
  <c r="R253" i="9"/>
  <c r="R245" i="9"/>
  <c r="R149" i="9"/>
  <c r="R141" i="9"/>
  <c r="R133" i="9"/>
  <c r="R125" i="9"/>
  <c r="K6" i="11" s="1" a="1"/>
  <c r="K6" i="11" s="1"/>
  <c r="R345" i="9"/>
  <c r="R305" i="9"/>
  <c r="Q6" i="11" s="1" a="1"/>
  <c r="Q6" i="11" s="1"/>
  <c r="R257" i="9"/>
  <c r="R129" i="9"/>
  <c r="K10" i="11" s="1" a="1"/>
  <c r="K10" i="11" s="1"/>
  <c r="R356" i="9"/>
  <c r="R348" i="9"/>
  <c r="R340" i="9"/>
  <c r="R11" i="11" s="1" a="1"/>
  <c r="R11" i="11" s="1"/>
  <c r="R332" i="9"/>
  <c r="R3" i="11" s="1" a="1"/>
  <c r="R3" i="11" s="1"/>
  <c r="R324" i="9"/>
  <c r="R316" i="9"/>
  <c r="R308" i="9"/>
  <c r="Q9" i="11" s="1" a="1"/>
  <c r="Q9" i="11" s="1"/>
  <c r="R268" i="9"/>
  <c r="R260" i="9"/>
  <c r="R252" i="9"/>
  <c r="R244" i="9"/>
  <c r="O5" i="11" s="1" a="1"/>
  <c r="O5" i="11" s="1"/>
  <c r="R148" i="9"/>
  <c r="R140" i="9"/>
  <c r="R132" i="9"/>
  <c r="R124" i="9"/>
  <c r="K5" i="11" s="1" a="1"/>
  <c r="K5" i="11" s="1"/>
  <c r="R145" i="9"/>
  <c r="R355" i="9"/>
  <c r="R347" i="9"/>
  <c r="R339" i="9"/>
  <c r="R10" i="11" s="1" a="1"/>
  <c r="R10" i="11" s="1"/>
  <c r="R331" i="9"/>
  <c r="R323" i="9"/>
  <c r="R315" i="9"/>
  <c r="R307" i="9"/>
  <c r="Q8" i="11" s="1" a="1"/>
  <c r="Q8" i="11" s="1"/>
  <c r="R267" i="9"/>
  <c r="R259" i="9"/>
  <c r="R251" i="9"/>
  <c r="O12" i="11" s="1" a="1"/>
  <c r="O12" i="11" s="1"/>
  <c r="R243" i="9"/>
  <c r="O4" i="11" s="1" a="1"/>
  <c r="O4" i="11" s="1"/>
  <c r="R147" i="9"/>
  <c r="R139" i="9"/>
  <c r="R131" i="9"/>
  <c r="K12" i="11" s="1" a="1"/>
  <c r="K12" i="11" s="1"/>
  <c r="R123" i="9"/>
  <c r="K4" i="11" s="1" a="1"/>
  <c r="K4" i="11" s="1"/>
  <c r="R354" i="9"/>
  <c r="R346" i="9"/>
  <c r="R338" i="9"/>
  <c r="R9" i="11" s="1" a="1"/>
  <c r="R9" i="11" s="1"/>
  <c r="R330" i="9"/>
  <c r="R322" i="9"/>
  <c r="R314" i="9"/>
  <c r="R306" i="9"/>
  <c r="Q7" i="11" s="1" a="1"/>
  <c r="Q7" i="11" s="1"/>
  <c r="R266" i="9"/>
  <c r="R258" i="9"/>
  <c r="R250" i="9"/>
  <c r="O11" i="11" s="1" a="1"/>
  <c r="O11" i="11" s="1"/>
  <c r="R242" i="9"/>
  <c r="O3" i="11" s="1" a="1"/>
  <c r="O3" i="11" s="1"/>
  <c r="R146" i="9"/>
  <c r="R138" i="9"/>
  <c r="R130" i="9"/>
  <c r="K11" i="11" s="1" a="1"/>
  <c r="K11" i="11" s="1"/>
  <c r="R122" i="9"/>
  <c r="K3" i="11" s="1" a="1"/>
  <c r="K3" i="11" s="1"/>
  <c r="O6" i="11" l="1" a="1"/>
  <c r="O6" i="11" s="1"/>
  <c r="T6" i="11" a="1"/>
  <c r="T6" i="11" s="1"/>
  <c r="S349" i="9"/>
  <c r="S334" i="9"/>
  <c r="S135" i="9"/>
  <c r="S311" i="9"/>
  <c r="S248" i="9"/>
  <c r="S344" i="9"/>
  <c r="S145" i="9"/>
  <c r="S337" i="9"/>
  <c r="S325" i="9"/>
  <c r="S254" i="9"/>
  <c r="S266" i="9"/>
  <c r="S319" i="9"/>
  <c r="S256" i="9"/>
  <c r="S352" i="9"/>
  <c r="S313" i="9"/>
  <c r="S147" i="9"/>
  <c r="S267" i="9"/>
  <c r="S331" i="9"/>
  <c r="S330" i="9"/>
  <c r="S148" i="9"/>
  <c r="S268" i="9"/>
  <c r="S332" i="9"/>
  <c r="S242" i="9"/>
  <c r="S141" i="9"/>
  <c r="S261" i="9"/>
  <c r="S134" i="9"/>
  <c r="S342" i="9"/>
  <c r="S263" i="9"/>
  <c r="S128" i="9"/>
  <c r="S338" i="9"/>
  <c r="S345" i="9"/>
  <c r="S123" i="9"/>
  <c r="S243" i="9"/>
  <c r="S307" i="9"/>
  <c r="S339" i="9"/>
  <c r="S124" i="9"/>
  <c r="S244" i="9"/>
  <c r="S308" i="9"/>
  <c r="S340" i="9"/>
  <c r="S306" i="9"/>
  <c r="S149" i="9"/>
  <c r="S269" i="9"/>
  <c r="S333" i="9"/>
  <c r="S138" i="9"/>
  <c r="S142" i="9"/>
  <c r="S262" i="9"/>
  <c r="S318" i="9"/>
  <c r="S350" i="9"/>
  <c r="S346" i="9"/>
  <c r="S151" i="9"/>
  <c r="S271" i="9"/>
  <c r="S327" i="9"/>
  <c r="S359" i="9"/>
  <c r="S136" i="9"/>
  <c r="S264" i="9"/>
  <c r="S328" i="9"/>
  <c r="S360" i="9"/>
  <c r="S129" i="9"/>
  <c r="S257" i="9"/>
  <c r="S321" i="9"/>
  <c r="S353" i="9"/>
  <c r="S131" i="9"/>
  <c r="S251" i="9"/>
  <c r="S315" i="9"/>
  <c r="S347" i="9"/>
  <c r="S132" i="9"/>
  <c r="S252" i="9"/>
  <c r="S316" i="9"/>
  <c r="S348" i="9"/>
  <c r="S125" i="9"/>
  <c r="S245" i="9"/>
  <c r="S309" i="9"/>
  <c r="S341" i="9"/>
  <c r="S314" i="9"/>
  <c r="S150" i="9"/>
  <c r="S270" i="9"/>
  <c r="S326" i="9"/>
  <c r="S358" i="9"/>
  <c r="S127" i="9"/>
  <c r="S247" i="9"/>
  <c r="S303" i="9"/>
  <c r="S335" i="9"/>
  <c r="S250" i="9"/>
  <c r="S144" i="9"/>
  <c r="S304" i="9"/>
  <c r="S336" i="9"/>
  <c r="S122" i="9"/>
  <c r="S137" i="9"/>
  <c r="S265" i="9"/>
  <c r="S329" i="9"/>
  <c r="S361" i="9"/>
  <c r="S139" i="9"/>
  <c r="S259" i="9"/>
  <c r="S323" i="9"/>
  <c r="S355" i="9"/>
  <c r="S140" i="9"/>
  <c r="S260" i="9"/>
  <c r="S324" i="9"/>
  <c r="S356" i="9"/>
  <c r="S133" i="9"/>
  <c r="S253" i="9"/>
  <c r="S317" i="9"/>
  <c r="S126" i="9"/>
  <c r="S246" i="9"/>
  <c r="S302" i="9"/>
  <c r="S130" i="9"/>
  <c r="S255" i="9"/>
  <c r="S343" i="9"/>
  <c r="S354" i="9"/>
  <c r="S312" i="9"/>
  <c r="S258" i="9"/>
  <c r="S305" i="9"/>
  <c r="S146" i="9"/>
  <c r="S357" i="9"/>
  <c r="S310" i="9"/>
  <c r="S143" i="9"/>
  <c r="S351" i="9"/>
  <c r="S320" i="9"/>
  <c r="S249" i="9"/>
  <c r="S322" i="9"/>
  <c r="U1" i="12" l="1"/>
  <c r="T1" i="12"/>
  <c r="S1" i="12"/>
  <c r="R1" i="12"/>
  <c r="Q1" i="12"/>
  <c r="P1" i="12"/>
  <c r="O1" i="12"/>
  <c r="U32" i="14" a="1"/>
  <c r="U32" i="14" s="1"/>
  <c r="U33" i="14" a="1"/>
  <c r="U33" i="14" s="1"/>
  <c r="P122" i="9"/>
  <c r="P123" i="9"/>
  <c r="P124" i="9"/>
  <c r="P125" i="9"/>
  <c r="P126" i="9"/>
  <c r="P127" i="9"/>
  <c r="P128" i="9"/>
  <c r="P129" i="9"/>
  <c r="P130" i="9"/>
  <c r="P131" i="9"/>
  <c r="P132" i="9"/>
  <c r="P133" i="9"/>
  <c r="P134" i="9"/>
  <c r="P135" i="9"/>
  <c r="P136" i="9"/>
  <c r="P137" i="9"/>
  <c r="P138" i="9"/>
  <c r="P139" i="9"/>
  <c r="P140" i="9"/>
  <c r="P141" i="9"/>
  <c r="P142" i="9"/>
  <c r="P143" i="9"/>
  <c r="P144" i="9"/>
  <c r="P145" i="9"/>
  <c r="P146" i="9"/>
  <c r="P147" i="9"/>
  <c r="P148" i="9"/>
  <c r="P149" i="9"/>
  <c r="P150" i="9"/>
  <c r="P151" i="9"/>
  <c r="P242" i="9"/>
  <c r="P243" i="9"/>
  <c r="P244" i="9"/>
  <c r="P245" i="9"/>
  <c r="P246" i="9"/>
  <c r="P247" i="9"/>
  <c r="P248" i="9"/>
  <c r="P249" i="9"/>
  <c r="P250" i="9"/>
  <c r="P251" i="9"/>
  <c r="P252" i="9"/>
  <c r="P253" i="9"/>
  <c r="P254" i="9"/>
  <c r="P255" i="9"/>
  <c r="P256" i="9"/>
  <c r="P257" i="9"/>
  <c r="P258" i="9"/>
  <c r="P259" i="9"/>
  <c r="P260" i="9"/>
  <c r="P261" i="9"/>
  <c r="P262" i="9"/>
  <c r="P263" i="9"/>
  <c r="P264" i="9"/>
  <c r="P265" i="9"/>
  <c r="P266" i="9"/>
  <c r="P267" i="9"/>
  <c r="P268" i="9"/>
  <c r="P269" i="9"/>
  <c r="P270" i="9"/>
  <c r="P271" i="9"/>
  <c r="P302" i="9"/>
  <c r="P303" i="9"/>
  <c r="P304" i="9"/>
  <c r="P305" i="9"/>
  <c r="P306" i="9"/>
  <c r="P307" i="9"/>
  <c r="P308" i="9"/>
  <c r="P309" i="9"/>
  <c r="P310" i="9"/>
  <c r="P311" i="9"/>
  <c r="P312" i="9"/>
  <c r="P313" i="9"/>
  <c r="P314" i="9"/>
  <c r="P315" i="9"/>
  <c r="P316" i="9"/>
  <c r="P317" i="9"/>
  <c r="P318" i="9"/>
  <c r="P319" i="9"/>
  <c r="P320" i="9"/>
  <c r="P321" i="9"/>
  <c r="P322" i="9"/>
  <c r="P323" i="9"/>
  <c r="P324" i="9"/>
  <c r="P325" i="9"/>
  <c r="P326" i="9"/>
  <c r="P327" i="9"/>
  <c r="P328" i="9"/>
  <c r="P329" i="9"/>
  <c r="P330" i="9"/>
  <c r="P331" i="9"/>
  <c r="P332" i="9"/>
  <c r="P333" i="9"/>
  <c r="P334" i="9"/>
  <c r="P335" i="9"/>
  <c r="P336" i="9"/>
  <c r="P337" i="9"/>
  <c r="P338" i="9"/>
  <c r="P339" i="9"/>
  <c r="P340" i="9"/>
  <c r="P341" i="9"/>
  <c r="P342" i="9"/>
  <c r="P343" i="9"/>
  <c r="P344" i="9"/>
  <c r="P345" i="9"/>
  <c r="P346" i="9"/>
  <c r="P347" i="9"/>
  <c r="P348" i="9"/>
  <c r="P349" i="9"/>
  <c r="P350" i="9"/>
  <c r="P351" i="9"/>
  <c r="P352" i="9"/>
  <c r="P353" i="9"/>
  <c r="P354" i="9"/>
  <c r="P355" i="9"/>
  <c r="P356" i="9"/>
  <c r="P357" i="9"/>
  <c r="P358" i="9"/>
  <c r="P359" i="9"/>
  <c r="P360" i="9"/>
  <c r="P36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8" i="9"/>
  <c r="O149" i="9"/>
  <c r="O150" i="9"/>
  <c r="O151" i="9"/>
  <c r="O242" i="9"/>
  <c r="O243" i="9"/>
  <c r="O244" i="9"/>
  <c r="O245" i="9"/>
  <c r="O246" i="9"/>
  <c r="O247" i="9"/>
  <c r="O248" i="9"/>
  <c r="O249" i="9"/>
  <c r="O250" i="9"/>
  <c r="O251" i="9"/>
  <c r="O252" i="9"/>
  <c r="O253" i="9"/>
  <c r="O254" i="9"/>
  <c r="O255" i="9"/>
  <c r="O256" i="9"/>
  <c r="O257" i="9"/>
  <c r="O258" i="9"/>
  <c r="O259" i="9"/>
  <c r="O260" i="9"/>
  <c r="O261" i="9"/>
  <c r="O262" i="9"/>
  <c r="O263" i="9"/>
  <c r="O264" i="9"/>
  <c r="O265" i="9"/>
  <c r="O266" i="9"/>
  <c r="O267" i="9"/>
  <c r="O268" i="9"/>
  <c r="O269" i="9"/>
  <c r="O270" i="9"/>
  <c r="O271" i="9"/>
  <c r="O302" i="9"/>
  <c r="O303" i="9"/>
  <c r="O304" i="9"/>
  <c r="O305" i="9"/>
  <c r="O306" i="9"/>
  <c r="O307" i="9"/>
  <c r="O308" i="9"/>
  <c r="O309" i="9"/>
  <c r="O310" i="9"/>
  <c r="O311" i="9"/>
  <c r="O312" i="9"/>
  <c r="O313" i="9"/>
  <c r="O314" i="9"/>
  <c r="O315" i="9"/>
  <c r="O316" i="9"/>
  <c r="O317" i="9"/>
  <c r="O318" i="9"/>
  <c r="O319" i="9"/>
  <c r="O320" i="9"/>
  <c r="O321" i="9"/>
  <c r="O322" i="9"/>
  <c r="O323" i="9"/>
  <c r="O324" i="9"/>
  <c r="O325" i="9"/>
  <c r="O326" i="9"/>
  <c r="O327" i="9"/>
  <c r="O328" i="9"/>
  <c r="O329" i="9"/>
  <c r="O330" i="9"/>
  <c r="O331" i="9"/>
  <c r="O332" i="9"/>
  <c r="O333" i="9"/>
  <c r="O334" i="9"/>
  <c r="O335" i="9"/>
  <c r="O336" i="9"/>
  <c r="O337" i="9"/>
  <c r="O338" i="9"/>
  <c r="O339" i="9"/>
  <c r="O340" i="9"/>
  <c r="O341" i="9"/>
  <c r="O342" i="9"/>
  <c r="O343" i="9"/>
  <c r="O344" i="9"/>
  <c r="O345" i="9"/>
  <c r="O346" i="9"/>
  <c r="O347" i="9"/>
  <c r="O348" i="9"/>
  <c r="O349" i="9"/>
  <c r="O350" i="9"/>
  <c r="O351" i="9"/>
  <c r="O352" i="9"/>
  <c r="O353" i="9"/>
  <c r="O354" i="9"/>
  <c r="O355" i="9"/>
  <c r="O356" i="9"/>
  <c r="O357" i="9"/>
  <c r="O358" i="9"/>
  <c r="O359" i="9"/>
  <c r="O360" i="9"/>
  <c r="O36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302" i="9"/>
  <c r="N303" i="9"/>
  <c r="N304" i="9"/>
  <c r="N305" i="9"/>
  <c r="N306" i="9"/>
  <c r="N307" i="9"/>
  <c r="N308" i="9"/>
  <c r="N309" i="9"/>
  <c r="N310" i="9"/>
  <c r="N311" i="9"/>
  <c r="N312" i="9"/>
  <c r="N313" i="9"/>
  <c r="N314" i="9"/>
  <c r="N315" i="9"/>
  <c r="N316" i="9"/>
  <c r="N317" i="9"/>
  <c r="N318" i="9"/>
  <c r="N319" i="9"/>
  <c r="N320" i="9"/>
  <c r="N321" i="9"/>
  <c r="N322" i="9"/>
  <c r="N323" i="9"/>
  <c r="N324" i="9"/>
  <c r="N325" i="9"/>
  <c r="N326" i="9"/>
  <c r="N327" i="9"/>
  <c r="N328" i="9"/>
  <c r="N329" i="9"/>
  <c r="N330" i="9"/>
  <c r="N331" i="9"/>
  <c r="N332" i="9"/>
  <c r="N333" i="9"/>
  <c r="N334" i="9"/>
  <c r="N335" i="9"/>
  <c r="N336" i="9"/>
  <c r="N337" i="9"/>
  <c r="N338" i="9"/>
  <c r="N339" i="9"/>
  <c r="N340" i="9"/>
  <c r="N341" i="9"/>
  <c r="N342" i="9"/>
  <c r="N343" i="9"/>
  <c r="N344" i="9"/>
  <c r="N345" i="9"/>
  <c r="N346" i="9"/>
  <c r="N347" i="9"/>
  <c r="N348" i="9"/>
  <c r="N349" i="9"/>
  <c r="N350" i="9"/>
  <c r="N351" i="9"/>
  <c r="N352" i="9"/>
  <c r="N353" i="9"/>
  <c r="N354" i="9"/>
  <c r="N355" i="9"/>
  <c r="N356" i="9"/>
  <c r="N357" i="9"/>
  <c r="N358" i="9"/>
  <c r="N359" i="9"/>
  <c r="N360" i="9"/>
  <c r="N36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302" i="9"/>
  <c r="M303" i="9"/>
  <c r="M304" i="9"/>
  <c r="M305" i="9"/>
  <c r="M306" i="9"/>
  <c r="M307" i="9"/>
  <c r="M308" i="9"/>
  <c r="M309" i="9"/>
  <c r="M310" i="9"/>
  <c r="M311" i="9"/>
  <c r="M312" i="9"/>
  <c r="M313" i="9"/>
  <c r="M314" i="9"/>
  <c r="M315" i="9"/>
  <c r="M316" i="9"/>
  <c r="M317" i="9"/>
  <c r="M318" i="9"/>
  <c r="M319" i="9"/>
  <c r="M320" i="9"/>
  <c r="M321" i="9"/>
  <c r="M322" i="9"/>
  <c r="M323" i="9"/>
  <c r="M324" i="9"/>
  <c r="M325" i="9"/>
  <c r="M326" i="9"/>
  <c r="M327" i="9"/>
  <c r="M328" i="9"/>
  <c r="M329" i="9"/>
  <c r="M330" i="9"/>
  <c r="M331" i="9"/>
  <c r="M332" i="9"/>
  <c r="M333" i="9"/>
  <c r="M334" i="9"/>
  <c r="M335" i="9"/>
  <c r="M336" i="9"/>
  <c r="M337" i="9"/>
  <c r="M338" i="9"/>
  <c r="M339" i="9"/>
  <c r="M340" i="9"/>
  <c r="M341" i="9"/>
  <c r="M342" i="9"/>
  <c r="M343" i="9"/>
  <c r="M344" i="9"/>
  <c r="M345" i="9"/>
  <c r="M346" i="9"/>
  <c r="M347" i="9"/>
  <c r="M348" i="9"/>
  <c r="M349" i="9"/>
  <c r="M350" i="9"/>
  <c r="M351" i="9"/>
  <c r="M352" i="9"/>
  <c r="M353" i="9"/>
  <c r="M354" i="9"/>
  <c r="M355" i="9"/>
  <c r="M356" i="9"/>
  <c r="M357" i="9"/>
  <c r="M358" i="9"/>
  <c r="M359" i="9"/>
  <c r="M360" i="9"/>
  <c r="M36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N1" i="12" l="1"/>
  <c r="U24" i="14" l="1" a="1"/>
  <c r="U24" i="14" s="1"/>
  <c r="U18" i="14" a="1"/>
  <c r="U18" i="14" s="1"/>
  <c r="U15" i="14" a="1"/>
  <c r="U15" i="14" s="1"/>
  <c r="U30" i="14" a="1"/>
  <c r="U30" i="14" s="1"/>
  <c r="U29" i="14" a="1"/>
  <c r="U29" i="14" s="1"/>
  <c r="U14" i="14" a="1"/>
  <c r="U14" i="14" s="1"/>
  <c r="U13" i="14" a="1"/>
  <c r="U13" i="14" s="1"/>
  <c r="U20" i="14" a="1"/>
  <c r="U20" i="14" s="1"/>
  <c r="U6" i="14" a="1"/>
  <c r="U6" i="14" s="1"/>
  <c r="U16" i="14" a="1"/>
  <c r="U16" i="14" s="1"/>
  <c r="U31" i="14" a="1"/>
  <c r="U31" i="14" s="1"/>
  <c r="U17" i="14" a="1"/>
  <c r="U17" i="14" s="1"/>
  <c r="U12" i="14" a="1"/>
  <c r="U12" i="14" s="1"/>
  <c r="U7" i="14" a="1"/>
  <c r="U7" i="14" s="1"/>
  <c r="U23" i="14" a="1"/>
  <c r="U23" i="14" s="1"/>
  <c r="U22" i="14" a="1"/>
  <c r="U22" i="14" s="1"/>
  <c r="U27" i="14" a="1"/>
  <c r="U27" i="14" s="1"/>
  <c r="U19" i="14" a="1"/>
  <c r="U19" i="14" s="1"/>
  <c r="U8" i="14" a="1"/>
  <c r="U8" i="14" s="1"/>
  <c r="U26" i="14" a="1"/>
  <c r="U26" i="14" s="1"/>
  <c r="U28" i="14" a="1"/>
  <c r="U28" i="14" s="1"/>
  <c r="U5" i="14" a="1"/>
  <c r="U5" i="14" s="1"/>
  <c r="U10" i="14" a="1"/>
  <c r="U10" i="14" s="1"/>
  <c r="U9" i="14" a="1"/>
  <c r="U9" i="14" s="1"/>
  <c r="U21" i="14" a="1"/>
  <c r="U21" i="14" s="1"/>
  <c r="U25" i="14" a="1"/>
  <c r="U25" i="14" s="1"/>
  <c r="U11" i="14" a="1"/>
  <c r="U11" i="14" s="1"/>
  <c r="T9" i="14" a="1"/>
  <c r="T9" i="14" s="1"/>
  <c r="T18" i="14" a="1"/>
  <c r="T18" i="14" s="1"/>
  <c r="T28" i="14" a="1"/>
  <c r="T28" i="14" s="1"/>
  <c r="T12" i="14" a="1"/>
  <c r="T12" i="14" s="1"/>
  <c r="T26" i="14" a="1"/>
  <c r="T26" i="14" s="1"/>
  <c r="T31" i="14" a="1"/>
  <c r="T31" i="14" s="1"/>
  <c r="T19" i="14" a="1"/>
  <c r="T19" i="14" s="1"/>
  <c r="T15" i="14" a="1"/>
  <c r="T15" i="14" s="1"/>
  <c r="T6" i="14" a="1"/>
  <c r="T6" i="14" s="1"/>
  <c r="T21" i="14" a="1"/>
  <c r="T21" i="14" s="1"/>
  <c r="T30" i="14" a="1"/>
  <c r="T30" i="14" s="1"/>
  <c r="T14" i="14" a="1"/>
  <c r="T14" i="14" s="1"/>
  <c r="T16" i="14" a="1"/>
  <c r="T16" i="14" s="1"/>
  <c r="T27" i="14" a="1"/>
  <c r="T27" i="14" s="1"/>
  <c r="T22" i="14" a="1"/>
  <c r="T22" i="14" s="1"/>
  <c r="T17" i="14" a="1"/>
  <c r="T17" i="14" s="1"/>
  <c r="T10" i="14" a="1"/>
  <c r="T10" i="14" s="1"/>
  <c r="T24" i="14" a="1"/>
  <c r="T24" i="14" s="1"/>
  <c r="T8" i="14" a="1"/>
  <c r="T8" i="14" s="1"/>
  <c r="T5" i="14" a="1"/>
  <c r="T5" i="14" s="1"/>
  <c r="T32" i="14" a="1"/>
  <c r="T32" i="14" s="1"/>
  <c r="T23" i="14" a="1"/>
  <c r="T23" i="14" s="1"/>
  <c r="T25" i="14" a="1"/>
  <c r="T25" i="14" s="1"/>
  <c r="T11" i="14" a="1"/>
  <c r="T11" i="14" s="1"/>
  <c r="T29" i="14" a="1"/>
  <c r="T29" i="14" s="1"/>
  <c r="T20" i="14" a="1"/>
  <c r="T20" i="14" s="1"/>
  <c r="T13" i="14" a="1"/>
  <c r="T13" i="14" s="1"/>
  <c r="T7" i="14" a="1"/>
  <c r="T7" i="14" s="1"/>
  <c r="T33" i="14" a="1"/>
  <c r="T33" i="14" s="1"/>
  <c r="R30" i="14" a="1"/>
  <c r="R30" i="14" s="1"/>
  <c r="R10" i="14" a="1"/>
  <c r="R10" i="14" s="1"/>
  <c r="R5" i="14" a="1"/>
  <c r="R5" i="14" s="1"/>
  <c r="R24" i="14" a="1"/>
  <c r="R24" i="14" s="1"/>
  <c r="R9" i="14" a="1"/>
  <c r="R9" i="14" s="1"/>
  <c r="R19" i="14" a="1"/>
  <c r="R19" i="14" s="1"/>
  <c r="R31" i="14" a="1"/>
  <c r="R31" i="14" s="1"/>
  <c r="R14" i="14" a="1"/>
  <c r="R14" i="14" s="1"/>
  <c r="R28" i="14" a="1"/>
  <c r="R28" i="14" s="1"/>
  <c r="R11" i="14" a="1"/>
  <c r="R11" i="14" s="1"/>
  <c r="R29" i="14" a="1"/>
  <c r="R29" i="14" s="1"/>
  <c r="R26" i="14" a="1"/>
  <c r="R26" i="14" s="1"/>
  <c r="R8" i="14" a="1"/>
  <c r="R8" i="14" s="1"/>
  <c r="R23" i="14" a="1"/>
  <c r="R23" i="14" s="1"/>
  <c r="R13" i="14" a="1"/>
  <c r="R13" i="14" s="1"/>
  <c r="R6" i="14" a="1"/>
  <c r="R6" i="14" s="1"/>
  <c r="R17" i="14" a="1"/>
  <c r="R17" i="14" s="1"/>
  <c r="R18" i="14" a="1"/>
  <c r="R18" i="14" s="1"/>
  <c r="R22" i="14" a="1"/>
  <c r="R22" i="14" s="1"/>
  <c r="R7" i="14" a="1"/>
  <c r="R7" i="14" s="1"/>
  <c r="R12" i="14" a="1"/>
  <c r="R12" i="14" s="1"/>
  <c r="R27" i="14" a="1"/>
  <c r="R27" i="14" s="1"/>
  <c r="R25" i="14" a="1"/>
  <c r="R25" i="14" s="1"/>
  <c r="R15" i="14" a="1"/>
  <c r="R15" i="14" s="1"/>
  <c r="R21" i="14" a="1"/>
  <c r="R21" i="14" s="1"/>
  <c r="R20" i="14" a="1"/>
  <c r="R20" i="14" s="1"/>
  <c r="R16" i="14" a="1"/>
  <c r="R16" i="14" s="1"/>
  <c r="N26" i="14" a="1"/>
  <c r="N26" i="14" s="1"/>
  <c r="N23" i="14" a="1"/>
  <c r="N23" i="14" s="1"/>
  <c r="N8" i="14" a="1"/>
  <c r="N8" i="14" s="1"/>
  <c r="N14" i="14" a="1"/>
  <c r="N14" i="14" s="1"/>
  <c r="N28" i="14" a="1"/>
  <c r="N28" i="14" s="1"/>
  <c r="N27" i="14" a="1"/>
  <c r="N27" i="14" s="1"/>
  <c r="N25" i="14" a="1"/>
  <c r="N25" i="14" s="1"/>
  <c r="N24" i="14" a="1"/>
  <c r="N24" i="14" s="1"/>
  <c r="N16" i="14" a="1"/>
  <c r="N16" i="14" s="1"/>
  <c r="N19" i="14" a="1"/>
  <c r="N19" i="14" s="1"/>
  <c r="N31" i="14" a="1"/>
  <c r="N31" i="14" s="1"/>
  <c r="N29" i="14" a="1"/>
  <c r="N29" i="14" s="1"/>
  <c r="N15" i="14" a="1"/>
  <c r="N15" i="14" s="1"/>
  <c r="N30" i="14" a="1"/>
  <c r="N30" i="14" s="1"/>
  <c r="N21" i="14" a="1"/>
  <c r="N21" i="14" s="1"/>
  <c r="N13" i="14" a="1"/>
  <c r="N13" i="14" s="1"/>
  <c r="N7" i="14" a="1"/>
  <c r="N7" i="14" s="1"/>
  <c r="N11" i="14" a="1"/>
  <c r="N11" i="14" s="1"/>
  <c r="N9" i="14" a="1"/>
  <c r="N9" i="14" s="1"/>
  <c r="N17" i="14" a="1"/>
  <c r="N17" i="14" s="1"/>
  <c r="N22" i="14" a="1"/>
  <c r="N22" i="14" s="1"/>
  <c r="N18" i="14" a="1"/>
  <c r="N18" i="14" s="1"/>
  <c r="N6" i="14" a="1"/>
  <c r="N6" i="14" s="1"/>
  <c r="N10" i="14" a="1"/>
  <c r="N10" i="14" s="1"/>
  <c r="N12" i="14" a="1"/>
  <c r="N12" i="14" s="1"/>
  <c r="N5" i="14" a="1"/>
  <c r="N5" i="14" s="1"/>
  <c r="N20" i="14" a="1"/>
  <c r="N20" i="14" s="1"/>
  <c r="U4" i="14" a="1"/>
  <c r="U4" i="14" s="1"/>
  <c r="T4" i="14" a="1"/>
  <c r="T4" i="14" s="1"/>
  <c r="R4" i="14" a="1"/>
  <c r="R4" i="14" s="1"/>
  <c r="N4" i="14" a="1"/>
  <c r="N4" i="14" s="1"/>
  <c r="N33" i="14" a="1"/>
  <c r="N33" i="14" s="1"/>
  <c r="R33" i="14" a="1"/>
  <c r="R33" i="14" s="1"/>
  <c r="R32" i="14" a="1"/>
  <c r="R32" i="14" s="1"/>
  <c r="N32" i="14" a="1"/>
  <c r="N32" i="14" s="1"/>
  <c r="T10" i="11" a="1"/>
  <c r="T10" i="11" s="1"/>
  <c r="T4" i="11" a="1"/>
  <c r="T4" i="11" s="1"/>
  <c r="T12" i="11" a="1"/>
  <c r="T12" i="11" s="1"/>
  <c r="T5" i="11" a="1"/>
  <c r="T5" i="11" s="1"/>
  <c r="T7" i="11" a="1"/>
  <c r="T7" i="11" s="1"/>
  <c r="T11" i="11" a="1"/>
  <c r="T11" i="11" s="1"/>
  <c r="T9" i="11" a="1"/>
  <c r="T9" i="11" s="1"/>
  <c r="T3" i="11" a="1"/>
  <c r="T3" i="11" s="1"/>
  <c r="T8" i="11" a="1"/>
  <c r="T8" i="11" s="1"/>
  <c r="M75" i="9"/>
  <c r="L116" i="9"/>
  <c r="M210" i="9"/>
  <c r="P177" i="9"/>
  <c r="N115" i="9"/>
  <c r="O102" i="9"/>
  <c r="P292" i="9"/>
  <c r="N181" i="9"/>
  <c r="P295" i="9"/>
  <c r="P178" i="9"/>
  <c r="N17" i="9"/>
  <c r="M228" i="9"/>
  <c r="P28" i="9"/>
  <c r="O181" i="9"/>
  <c r="N44" i="9"/>
  <c r="O239" i="9"/>
  <c r="L56" i="9"/>
  <c r="M157" i="9"/>
  <c r="M32" i="9"/>
  <c r="N53" i="9"/>
  <c r="P3" i="9"/>
  <c r="L67" i="9"/>
  <c r="P288" i="9"/>
  <c r="O234" i="9"/>
  <c r="M114" i="9"/>
  <c r="N195" i="9"/>
  <c r="N114" i="9"/>
  <c r="P215" i="9"/>
  <c r="L213" i="9"/>
  <c r="L197" i="9"/>
  <c r="L117" i="9"/>
  <c r="N174" i="9"/>
  <c r="M71" i="9"/>
  <c r="N68" i="9"/>
  <c r="P30" i="9"/>
  <c r="N85" i="9"/>
  <c r="N280" i="9"/>
  <c r="L121" i="9"/>
  <c r="P283" i="9"/>
  <c r="L57" i="9"/>
  <c r="N4" i="9"/>
  <c r="P222" i="9"/>
  <c r="M198" i="9"/>
  <c r="O112" i="9"/>
  <c r="O103" i="9"/>
  <c r="L120" i="9"/>
  <c r="M197" i="9"/>
  <c r="P208" i="9"/>
  <c r="N282" i="9"/>
  <c r="O87" i="9"/>
  <c r="M115" i="9"/>
  <c r="L240" i="9"/>
  <c r="M288" i="9"/>
  <c r="M199" i="9"/>
  <c r="O75" i="9"/>
  <c r="N228" i="9"/>
  <c r="M216" i="9"/>
  <c r="O60" i="9"/>
  <c r="O205" i="9"/>
  <c r="L29" i="9"/>
  <c r="L110" i="9"/>
  <c r="M31" i="9"/>
  <c r="P68" i="9"/>
  <c r="P88" i="9"/>
  <c r="P60" i="9"/>
  <c r="N81" i="9"/>
  <c r="P241" i="9"/>
  <c r="M25" i="9"/>
  <c r="M285" i="9"/>
  <c r="P217" i="9"/>
  <c r="N171" i="9"/>
  <c r="M11" i="9"/>
  <c r="N90" i="9"/>
  <c r="M160" i="9"/>
  <c r="P84" i="9"/>
  <c r="L100" i="9"/>
  <c r="L188" i="9"/>
  <c r="N294" i="9"/>
  <c r="M58" i="9"/>
  <c r="O19" i="9"/>
  <c r="O22" i="9"/>
  <c r="O167" i="9"/>
  <c r="N107" i="9"/>
  <c r="L168" i="9"/>
  <c r="N286" i="9"/>
  <c r="P280" i="9"/>
  <c r="N113" i="9"/>
  <c r="L208" i="9"/>
  <c r="L160" i="9"/>
  <c r="O76" i="9"/>
  <c r="L119" i="9"/>
  <c r="M276" i="9"/>
  <c r="M82" i="9"/>
  <c r="O187" i="9"/>
  <c r="N220" i="9"/>
  <c r="N199" i="9"/>
  <c r="M28" i="9"/>
  <c r="O73" i="9"/>
  <c r="M183" i="9"/>
  <c r="N155" i="9"/>
  <c r="P176" i="9"/>
  <c r="M61" i="9"/>
  <c r="L105" i="9"/>
  <c r="P41" i="9"/>
  <c r="N89" i="9"/>
  <c r="O198" i="9"/>
  <c r="M213" i="9"/>
  <c r="O50" i="9"/>
  <c r="O216" i="9"/>
  <c r="N230" i="9"/>
  <c r="O176" i="9"/>
  <c r="P179" i="9"/>
  <c r="P301" i="9"/>
  <c r="O94" i="9"/>
  <c r="P109" i="9"/>
  <c r="L65" i="9"/>
  <c r="N231" i="9"/>
  <c r="O96" i="9"/>
  <c r="O32" i="9"/>
  <c r="N210" i="9"/>
  <c r="L95" i="9"/>
  <c r="M186" i="9"/>
  <c r="O17" i="9"/>
  <c r="M36" i="9"/>
  <c r="M218" i="9"/>
  <c r="O191" i="9"/>
  <c r="M51" i="9"/>
  <c r="L112" i="9"/>
  <c r="M67" i="9"/>
  <c r="O64" i="9"/>
  <c r="P6" i="9"/>
  <c r="N211" i="9"/>
  <c r="O7" i="9"/>
  <c r="P298" i="9"/>
  <c r="L21" i="9"/>
  <c r="N87" i="9"/>
  <c r="P23" i="9"/>
  <c r="P195" i="9"/>
  <c r="N232" i="9"/>
  <c r="L62" i="9"/>
  <c r="N59" i="9"/>
  <c r="L187" i="9"/>
  <c r="P91" i="9"/>
  <c r="N299" i="9"/>
  <c r="L287" i="9"/>
  <c r="O193" i="9"/>
  <c r="L176" i="9"/>
  <c r="P203" i="9"/>
  <c r="N238" i="9"/>
  <c r="O185" i="9"/>
  <c r="L85" i="9"/>
  <c r="O15" i="9"/>
  <c r="O174" i="9"/>
  <c r="O47" i="9"/>
  <c r="O83" i="9"/>
  <c r="M12" i="9"/>
  <c r="M235" i="9"/>
  <c r="P209" i="9"/>
  <c r="L51" i="9"/>
  <c r="P89" i="9"/>
  <c r="L113" i="9"/>
  <c r="L275" i="9"/>
  <c r="O14" i="9"/>
  <c r="O229" i="9"/>
  <c r="L279" i="9"/>
  <c r="P85" i="9"/>
  <c r="O217" i="9"/>
  <c r="P287" i="9"/>
  <c r="N116" i="9"/>
  <c r="P294" i="9"/>
  <c r="O74" i="9"/>
  <c r="P19" i="9"/>
  <c r="M221" i="9"/>
  <c r="O92" i="9"/>
  <c r="L93" i="9"/>
  <c r="P213" i="9"/>
  <c r="L31" i="9"/>
  <c r="L154" i="9"/>
  <c r="L211" i="9"/>
  <c r="O291" i="9"/>
  <c r="N296" i="9"/>
  <c r="M236" i="9"/>
  <c r="P212" i="9"/>
  <c r="O5" i="9"/>
  <c r="O77" i="9"/>
  <c r="N6" i="9"/>
  <c r="L6" i="9"/>
  <c r="P238" i="9"/>
  <c r="O24" i="9"/>
  <c r="P223" i="9"/>
  <c r="L234" i="9"/>
  <c r="O6" i="9"/>
  <c r="M94" i="9"/>
  <c r="L210" i="9"/>
  <c r="O168" i="9"/>
  <c r="P39" i="9"/>
  <c r="M296" i="9"/>
  <c r="P236" i="9"/>
  <c r="M83" i="9"/>
  <c r="P154" i="9"/>
  <c r="M287" i="9"/>
  <c r="M76" i="9"/>
  <c r="N272" i="9"/>
  <c r="M230" i="9"/>
  <c r="M215" i="9"/>
  <c r="O177" i="9"/>
  <c r="L290" i="9"/>
  <c r="M38" i="9"/>
  <c r="O273" i="9"/>
  <c r="N156" i="9"/>
  <c r="N169" i="9"/>
  <c r="O118" i="9"/>
  <c r="M10" i="9"/>
  <c r="M70" i="9"/>
  <c r="O277" i="9"/>
  <c r="P115" i="9"/>
  <c r="P234" i="9"/>
  <c r="M201" i="9"/>
  <c r="N100" i="9"/>
  <c r="P163" i="9"/>
  <c r="N163" i="9"/>
  <c r="P119" i="9"/>
  <c r="P167" i="9"/>
  <c r="L9" i="9"/>
  <c r="N184" i="9"/>
  <c r="L40" i="9"/>
  <c r="M105" i="9"/>
  <c r="P204" i="9"/>
  <c r="L230" i="9"/>
  <c r="O86" i="9"/>
  <c r="L2" i="9"/>
  <c r="N15" i="9"/>
  <c r="N162" i="9"/>
  <c r="N80" i="9"/>
  <c r="L214" i="9"/>
  <c r="L71" i="9"/>
  <c r="O183" i="9"/>
  <c r="M86" i="9"/>
  <c r="L3" i="9"/>
  <c r="M108" i="9"/>
  <c r="N56" i="9"/>
  <c r="L226" i="9"/>
  <c r="L108" i="9"/>
  <c r="N158" i="9"/>
  <c r="P220" i="9"/>
  <c r="M49" i="9"/>
  <c r="M156" i="9"/>
  <c r="L32" i="9"/>
  <c r="L107" i="9"/>
  <c r="O197" i="9"/>
  <c r="N45" i="9"/>
  <c r="L114" i="9"/>
  <c r="L159" i="9"/>
  <c r="P231" i="9"/>
  <c r="M202" i="9"/>
  <c r="L223" i="9"/>
  <c r="O207" i="9"/>
  <c r="O219" i="9"/>
  <c r="L228" i="9"/>
  <c r="M189" i="9"/>
  <c r="M171" i="9"/>
  <c r="L235" i="9"/>
  <c r="P291" i="9"/>
  <c r="L277" i="9"/>
  <c r="L204" i="9"/>
  <c r="N224" i="9"/>
  <c r="N191" i="9"/>
  <c r="M72" i="9"/>
  <c r="L236" i="9"/>
  <c r="L227" i="9"/>
  <c r="L39" i="9"/>
  <c r="N200" i="9"/>
  <c r="N214" i="9"/>
  <c r="M299" i="9"/>
  <c r="P118" i="9"/>
  <c r="M274" i="9"/>
  <c r="O166" i="9"/>
  <c r="P111" i="9"/>
  <c r="M169" i="9"/>
  <c r="O119" i="9"/>
  <c r="M159" i="9"/>
  <c r="O26" i="9"/>
  <c r="L280" i="9"/>
  <c r="P58" i="9"/>
  <c r="L13" i="9"/>
  <c r="N233" i="9"/>
  <c r="N93" i="9"/>
  <c r="M273" i="9"/>
  <c r="O289" i="9"/>
  <c r="P227" i="9"/>
  <c r="M40" i="9"/>
  <c r="O41" i="9"/>
  <c r="O215" i="9"/>
  <c r="M64" i="9"/>
  <c r="M27" i="9"/>
  <c r="M110" i="9"/>
  <c r="M294" i="9"/>
  <c r="M102" i="9"/>
  <c r="O85" i="9"/>
  <c r="P50" i="9"/>
  <c r="P235" i="9"/>
  <c r="P36" i="9"/>
  <c r="O233" i="9"/>
  <c r="M166" i="9"/>
  <c r="L182" i="9"/>
  <c r="L99" i="9"/>
  <c r="P276" i="9"/>
  <c r="M176" i="9"/>
  <c r="P181" i="9"/>
  <c r="L64" i="9"/>
  <c r="O295" i="9"/>
  <c r="P33" i="9"/>
  <c r="O211" i="9"/>
  <c r="L233" i="9"/>
  <c r="P77" i="9"/>
  <c r="L237" i="9"/>
  <c r="O27" i="9"/>
  <c r="L74" i="9"/>
  <c r="P180" i="9"/>
  <c r="M109" i="9"/>
  <c r="N193" i="9"/>
  <c r="M90" i="9"/>
  <c r="O100" i="9"/>
  <c r="N190" i="9"/>
  <c r="O13" i="9"/>
  <c r="P83" i="9"/>
  <c r="L231" i="9"/>
  <c r="O110" i="9"/>
  <c r="N7" i="9"/>
  <c r="P152" i="9"/>
  <c r="P300" i="9"/>
  <c r="M240" i="9"/>
  <c r="N202" i="9"/>
  <c r="M34" i="9"/>
  <c r="N218" i="9"/>
  <c r="N298" i="9"/>
  <c r="L89" i="9"/>
  <c r="M69" i="9"/>
  <c r="L47" i="9"/>
  <c r="M233" i="9"/>
  <c r="L45" i="9"/>
  <c r="N46" i="9"/>
  <c r="M223" i="9"/>
  <c r="L11" i="9"/>
  <c r="O284" i="9"/>
  <c r="N221" i="9"/>
  <c r="N186" i="9"/>
  <c r="P284" i="9"/>
  <c r="M153" i="9"/>
  <c r="P99" i="9"/>
  <c r="L209" i="9"/>
  <c r="L109" i="9"/>
  <c r="M239" i="9"/>
  <c r="M165" i="9"/>
  <c r="N39" i="9"/>
  <c r="M30" i="9"/>
  <c r="P42" i="9"/>
  <c r="O192" i="9"/>
  <c r="P94" i="9"/>
  <c r="N57" i="9"/>
  <c r="O218" i="9"/>
  <c r="P104" i="9"/>
  <c r="P155" i="9"/>
  <c r="O274" i="9"/>
  <c r="M168" i="9"/>
  <c r="P18" i="9"/>
  <c r="L25" i="9"/>
  <c r="N37" i="9"/>
  <c r="L180" i="9"/>
  <c r="M7" i="9"/>
  <c r="L15" i="9"/>
  <c r="L225" i="9"/>
  <c r="L38" i="9"/>
  <c r="L272" i="9"/>
  <c r="N105" i="9"/>
  <c r="N204" i="9"/>
  <c r="M182" i="9"/>
  <c r="M188" i="9"/>
  <c r="L198" i="9"/>
  <c r="O66" i="9"/>
  <c r="P62" i="9"/>
  <c r="L75" i="9"/>
  <c r="O293" i="9"/>
  <c r="O98" i="9"/>
  <c r="N281" i="9"/>
  <c r="O160" i="9"/>
  <c r="N288" i="9"/>
  <c r="N226" i="9"/>
  <c r="O164" i="9"/>
  <c r="N26" i="9"/>
  <c r="M62" i="9"/>
  <c r="P43" i="9"/>
  <c r="N208" i="9"/>
  <c r="P81" i="9"/>
  <c r="L63" i="9"/>
  <c r="P59" i="9"/>
  <c r="N88" i="9"/>
  <c r="L90" i="9"/>
  <c r="N94" i="9"/>
  <c r="P101" i="9"/>
  <c r="N159" i="9"/>
  <c r="O2" i="9"/>
  <c r="N241" i="9"/>
  <c r="L79" i="9"/>
  <c r="L23" i="9"/>
  <c r="O12" i="9"/>
  <c r="P44" i="9"/>
  <c r="P239" i="9"/>
  <c r="N42" i="9"/>
  <c r="L106" i="9"/>
  <c r="L285" i="9"/>
  <c r="L220" i="9"/>
  <c r="P105" i="9"/>
  <c r="O275" i="9"/>
  <c r="N95" i="9"/>
  <c r="O116" i="9"/>
  <c r="P230" i="9"/>
  <c r="P197" i="9"/>
  <c r="O152" i="9"/>
  <c r="O292" i="9"/>
  <c r="M14" i="9"/>
  <c r="O236" i="9"/>
  <c r="L158" i="9"/>
  <c r="L73" i="9"/>
  <c r="M152" i="9"/>
  <c r="N98" i="9"/>
  <c r="M295" i="9"/>
  <c r="O109" i="9"/>
  <c r="N284" i="9"/>
  <c r="O56" i="9"/>
  <c r="N76" i="9"/>
  <c r="P175" i="9"/>
  <c r="O51" i="9"/>
  <c r="M20" i="9"/>
  <c r="L289" i="9"/>
  <c r="M286" i="9"/>
  <c r="N20" i="9"/>
  <c r="O95" i="9"/>
  <c r="P192" i="9"/>
  <c r="L161" i="9"/>
  <c r="L72" i="9"/>
  <c r="O58" i="9"/>
  <c r="M111" i="9"/>
  <c r="O81" i="9"/>
  <c r="M45" i="9"/>
  <c r="L292" i="9"/>
  <c r="L282" i="9"/>
  <c r="L115" i="9"/>
  <c r="L41" i="9"/>
  <c r="L69" i="9"/>
  <c r="O224" i="9"/>
  <c r="O226" i="9"/>
  <c r="P157" i="9"/>
  <c r="L301" i="9"/>
  <c r="P47" i="9"/>
  <c r="M93" i="9"/>
  <c r="N223" i="9"/>
  <c r="O43" i="9"/>
  <c r="N287" i="9"/>
  <c r="L68" i="9"/>
  <c r="M289" i="9"/>
  <c r="P171" i="9"/>
  <c r="O200" i="9"/>
  <c r="L30" i="9"/>
  <c r="O278" i="9"/>
  <c r="P74" i="9"/>
  <c r="M192" i="9"/>
  <c r="L61" i="9"/>
  <c r="P100" i="9"/>
  <c r="N187" i="9"/>
  <c r="P87" i="9"/>
  <c r="M191" i="9"/>
  <c r="P274" i="9"/>
  <c r="M117" i="9"/>
  <c r="M66" i="9"/>
  <c r="O227" i="9"/>
  <c r="M22" i="9"/>
  <c r="O105" i="9"/>
  <c r="P15" i="9"/>
  <c r="L33" i="9"/>
  <c r="M120" i="9"/>
  <c r="L92" i="9"/>
  <c r="L118" i="9"/>
  <c r="M179" i="9"/>
  <c r="M284" i="9"/>
  <c r="L80" i="9"/>
  <c r="M57" i="9"/>
  <c r="N277" i="9"/>
  <c r="O235" i="9"/>
  <c r="P46" i="9"/>
  <c r="P86" i="9"/>
  <c r="M29" i="9"/>
  <c r="N72" i="9"/>
  <c r="N240" i="9"/>
  <c r="M46" i="9"/>
  <c r="O155" i="9"/>
  <c r="P229" i="9"/>
  <c r="O213" i="9"/>
  <c r="P32" i="9"/>
  <c r="N83" i="9"/>
  <c r="L172" i="9"/>
  <c r="M41" i="9"/>
  <c r="P38" i="9"/>
  <c r="M33" i="9"/>
  <c r="N33" i="9"/>
  <c r="M5" i="9"/>
  <c r="N27" i="9"/>
  <c r="N182" i="9"/>
  <c r="N217" i="9"/>
  <c r="L81" i="9"/>
  <c r="O180" i="9"/>
  <c r="M205" i="9"/>
  <c r="M100" i="9"/>
  <c r="P24" i="9"/>
  <c r="M300" i="9"/>
  <c r="N71" i="9"/>
  <c r="P273" i="9"/>
  <c r="P165" i="9"/>
  <c r="O279" i="9"/>
  <c r="M73" i="9"/>
  <c r="L101" i="9"/>
  <c r="O282" i="9"/>
  <c r="N236" i="9"/>
  <c r="L212" i="9"/>
  <c r="P102" i="9"/>
  <c r="O296" i="9"/>
  <c r="M42" i="9"/>
  <c r="N275" i="9"/>
  <c r="L286" i="9"/>
  <c r="M184" i="9"/>
  <c r="M54" i="9"/>
  <c r="L4" i="9"/>
  <c r="O62" i="9"/>
  <c r="O30" i="9"/>
  <c r="M48" i="9"/>
  <c r="O71" i="9"/>
  <c r="N14" i="9"/>
  <c r="M227" i="9"/>
  <c r="O48" i="9"/>
  <c r="O59" i="9"/>
  <c r="M275" i="9"/>
  <c r="M101" i="9"/>
  <c r="M167" i="9"/>
  <c r="P285" i="9"/>
  <c r="N62" i="9"/>
  <c r="P173" i="9"/>
  <c r="O106" i="9"/>
  <c r="O68" i="9"/>
  <c r="O11" i="9"/>
  <c r="O49" i="9"/>
  <c r="M81" i="9"/>
  <c r="M107" i="9"/>
  <c r="O208" i="9"/>
  <c r="L171" i="9"/>
  <c r="O290" i="9"/>
  <c r="N274" i="9"/>
  <c r="L183" i="9"/>
  <c r="L55" i="9"/>
  <c r="P277" i="9"/>
  <c r="P103" i="9"/>
  <c r="L203" i="9"/>
  <c r="L205" i="9"/>
  <c r="N21" i="9"/>
  <c r="M18" i="9"/>
  <c r="M79" i="9"/>
  <c r="N196" i="9"/>
  <c r="N289" i="9"/>
  <c r="N82" i="9"/>
  <c r="L53" i="9"/>
  <c r="L297" i="9"/>
  <c r="N180" i="9"/>
  <c r="P70" i="9"/>
  <c r="M222" i="9"/>
  <c r="N92" i="9"/>
  <c r="P189" i="9"/>
  <c r="L174" i="9"/>
  <c r="L181" i="9"/>
  <c r="M190" i="9"/>
  <c r="L232" i="9"/>
  <c r="M297" i="9"/>
  <c r="M35" i="9"/>
  <c r="O20" i="9"/>
  <c r="P51" i="9"/>
  <c r="P108" i="9"/>
  <c r="L37" i="9"/>
  <c r="P56" i="9"/>
  <c r="M84" i="9"/>
  <c r="N165" i="9"/>
  <c r="N64" i="9"/>
  <c r="N61" i="9"/>
  <c r="P9" i="9"/>
  <c r="M21" i="9"/>
  <c r="P31" i="9"/>
  <c r="P186" i="9"/>
  <c r="N99" i="9"/>
  <c r="P293" i="9"/>
  <c r="N24" i="9"/>
  <c r="N292" i="9"/>
  <c r="N290" i="9"/>
  <c r="L195" i="9"/>
  <c r="M89" i="9"/>
  <c r="O179" i="9"/>
  <c r="N43" i="9"/>
  <c r="P289" i="9"/>
  <c r="O210" i="9"/>
  <c r="L17" i="9"/>
  <c r="M118" i="9"/>
  <c r="L295" i="9"/>
  <c r="O156" i="9"/>
  <c r="M195" i="9"/>
  <c r="P296" i="9"/>
  <c r="P224" i="9"/>
  <c r="N164" i="9"/>
  <c r="P106" i="9"/>
  <c r="P2" i="9"/>
  <c r="N279" i="9"/>
  <c r="P11" i="9"/>
  <c r="O240" i="9"/>
  <c r="P53" i="9"/>
  <c r="P63" i="9"/>
  <c r="L87" i="9"/>
  <c r="M92" i="9"/>
  <c r="L288" i="9"/>
  <c r="N225" i="9"/>
  <c r="M229" i="9"/>
  <c r="P95" i="9"/>
  <c r="M37" i="9"/>
  <c r="M280" i="9"/>
  <c r="L170" i="9"/>
  <c r="L300" i="9"/>
  <c r="O25" i="9"/>
  <c r="L50" i="9"/>
  <c r="P27" i="9"/>
  <c r="P187" i="9"/>
  <c r="L175" i="9"/>
  <c r="P4" i="9"/>
  <c r="N32" i="9"/>
  <c r="N154" i="9"/>
  <c r="N276" i="9"/>
  <c r="O170" i="9"/>
  <c r="O188" i="9"/>
  <c r="L173" i="9"/>
  <c r="N77" i="9"/>
  <c r="N12" i="9"/>
  <c r="M55" i="9"/>
  <c r="O120" i="9"/>
  <c r="N65" i="9"/>
  <c r="P20" i="9"/>
  <c r="O159" i="9"/>
  <c r="P45" i="9"/>
  <c r="O18" i="9"/>
  <c r="O232" i="9"/>
  <c r="N153" i="9"/>
  <c r="M219" i="9"/>
  <c r="L284" i="9"/>
  <c r="M155" i="9"/>
  <c r="M24" i="9"/>
  <c r="L274" i="9"/>
  <c r="P169" i="9"/>
  <c r="M193" i="9"/>
  <c r="N63" i="9"/>
  <c r="N234" i="9"/>
  <c r="O196" i="9"/>
  <c r="O54" i="9"/>
  <c r="O34" i="9"/>
  <c r="O300" i="9"/>
  <c r="L206" i="9"/>
  <c r="P182" i="9"/>
  <c r="O272" i="9"/>
  <c r="N166" i="9"/>
  <c r="L238" i="9"/>
  <c r="O97" i="9"/>
  <c r="M50" i="9"/>
  <c r="P10" i="9"/>
  <c r="L281" i="9"/>
  <c r="P113" i="9"/>
  <c r="M162" i="9"/>
  <c r="N102" i="9"/>
  <c r="L54" i="9"/>
  <c r="O38" i="9"/>
  <c r="P201" i="9"/>
  <c r="O281" i="9"/>
  <c r="M3" i="9"/>
  <c r="L98" i="9"/>
  <c r="O228" i="9"/>
  <c r="L193" i="9"/>
  <c r="P17" i="9"/>
  <c r="L22" i="9"/>
  <c r="L239" i="9"/>
  <c r="O52" i="9"/>
  <c r="O88" i="9"/>
  <c r="O238" i="9"/>
  <c r="M16" i="9"/>
  <c r="P34" i="9"/>
  <c r="M220" i="9"/>
  <c r="O206" i="9"/>
  <c r="M231" i="9"/>
  <c r="P170" i="9"/>
  <c r="O190" i="9"/>
  <c r="N198" i="9"/>
  <c r="P282" i="9"/>
  <c r="P190" i="9"/>
  <c r="M2" i="9"/>
  <c r="L199" i="9"/>
  <c r="L156" i="9"/>
  <c r="M163" i="9"/>
  <c r="O288" i="9"/>
  <c r="L229" i="9"/>
  <c r="M272" i="9"/>
  <c r="O45" i="9"/>
  <c r="N178" i="9"/>
  <c r="N67" i="9"/>
  <c r="L273" i="9"/>
  <c r="L10" i="9"/>
  <c r="P49" i="9"/>
  <c r="P228" i="9"/>
  <c r="P90" i="9"/>
  <c r="O175" i="9"/>
  <c r="N66" i="9"/>
  <c r="O36" i="9"/>
  <c r="M237" i="9"/>
  <c r="P162" i="9"/>
  <c r="M47" i="9"/>
  <c r="M9" i="9"/>
  <c r="O101" i="9"/>
  <c r="O222" i="9"/>
  <c r="O67" i="9"/>
  <c r="M158" i="9"/>
  <c r="L165" i="9"/>
  <c r="O163" i="9"/>
  <c r="O203" i="9"/>
  <c r="M170" i="9"/>
  <c r="N58" i="9"/>
  <c r="L221" i="9"/>
  <c r="P97" i="9"/>
  <c r="N179" i="9"/>
  <c r="L82" i="9"/>
  <c r="P172" i="9"/>
  <c r="L48" i="9"/>
  <c r="N188" i="9"/>
  <c r="O90" i="9"/>
  <c r="P185" i="9"/>
  <c r="M292" i="9"/>
  <c r="O189" i="9"/>
  <c r="N212" i="9"/>
  <c r="O184" i="9"/>
  <c r="P93" i="9"/>
  <c r="N86" i="9"/>
  <c r="M164" i="9"/>
  <c r="N194" i="9"/>
  <c r="O3" i="9"/>
  <c r="P193" i="9"/>
  <c r="P112" i="9"/>
  <c r="O21" i="9"/>
  <c r="P299" i="9"/>
  <c r="O28" i="9"/>
  <c r="N118" i="9"/>
  <c r="M8" i="9"/>
  <c r="N23" i="9"/>
  <c r="O33" i="9"/>
  <c r="L70" i="9"/>
  <c r="P211" i="9"/>
  <c r="N10" i="9"/>
  <c r="P286" i="9"/>
  <c r="P225" i="9"/>
  <c r="L202" i="9"/>
  <c r="L299" i="9"/>
  <c r="N3" i="9"/>
  <c r="P110" i="9"/>
  <c r="N47" i="9"/>
  <c r="L200" i="9"/>
  <c r="O63" i="9"/>
  <c r="O57" i="9"/>
  <c r="N9" i="9"/>
  <c r="L36" i="9"/>
  <c r="N295" i="9"/>
  <c r="O162" i="9"/>
  <c r="M19" i="9"/>
  <c r="P198" i="9"/>
  <c r="M209" i="9"/>
  <c r="M277" i="9"/>
  <c r="P278" i="9"/>
  <c r="P55" i="9"/>
  <c r="L153" i="9"/>
  <c r="N52" i="9"/>
  <c r="O121" i="9"/>
  <c r="N91" i="9"/>
  <c r="N183" i="9"/>
  <c r="O287" i="9"/>
  <c r="P73" i="9"/>
  <c r="O161" i="9"/>
  <c r="O165" i="9"/>
  <c r="O220" i="9"/>
  <c r="M224" i="9"/>
  <c r="L177" i="9"/>
  <c r="O230" i="9"/>
  <c r="L218" i="9"/>
  <c r="M282" i="9"/>
  <c r="O283" i="9"/>
  <c r="N229" i="9"/>
  <c r="M119" i="9"/>
  <c r="P79" i="9"/>
  <c r="N16" i="9"/>
  <c r="O82" i="9"/>
  <c r="M301" i="9"/>
  <c r="O84" i="9"/>
  <c r="O237" i="9"/>
  <c r="N48" i="9"/>
  <c r="O111" i="9"/>
  <c r="O93" i="9"/>
  <c r="L179" i="9"/>
  <c r="P71" i="9"/>
  <c r="P7" i="9"/>
  <c r="L184" i="9"/>
  <c r="P13" i="9"/>
  <c r="L46" i="9"/>
  <c r="M80" i="9"/>
  <c r="L16" i="9"/>
  <c r="P114" i="9"/>
  <c r="P116" i="9"/>
  <c r="P96" i="9"/>
  <c r="L196" i="9"/>
  <c r="P48" i="9"/>
  <c r="N19" i="9"/>
  <c r="L241" i="9"/>
  <c r="N97" i="9"/>
  <c r="P14" i="9"/>
  <c r="M232" i="9"/>
  <c r="M217" i="9"/>
  <c r="N22" i="9"/>
  <c r="P214" i="9"/>
  <c r="P160" i="9"/>
  <c r="M17" i="9"/>
  <c r="O39" i="9"/>
  <c r="N29" i="9"/>
  <c r="P5" i="9"/>
  <c r="M194" i="9"/>
  <c r="M225" i="9"/>
  <c r="N55" i="9"/>
  <c r="M180" i="9"/>
  <c r="O202" i="9"/>
  <c r="N160" i="9"/>
  <c r="P40" i="9"/>
  <c r="M68" i="9"/>
  <c r="N173" i="9"/>
  <c r="M23" i="9"/>
  <c r="N215" i="9"/>
  <c r="O201" i="9"/>
  <c r="L104" i="9"/>
  <c r="O42" i="9"/>
  <c r="O194" i="9"/>
  <c r="L293" i="9"/>
  <c r="M291" i="9"/>
  <c r="N201" i="9"/>
  <c r="N112" i="9"/>
  <c r="O37" i="9"/>
  <c r="N293" i="9"/>
  <c r="M63" i="9"/>
  <c r="O286" i="9"/>
  <c r="L60" i="9"/>
  <c r="O169" i="9"/>
  <c r="L278" i="9"/>
  <c r="M293" i="9"/>
  <c r="L216" i="9"/>
  <c r="N54" i="9"/>
  <c r="P161" i="9"/>
  <c r="O108" i="9"/>
  <c r="L58" i="9"/>
  <c r="O72" i="9"/>
  <c r="O178" i="9"/>
  <c r="N216" i="9"/>
  <c r="M173" i="9"/>
  <c r="L190" i="9"/>
  <c r="P65" i="9"/>
  <c r="O172" i="9"/>
  <c r="L294" i="9"/>
  <c r="L217" i="9"/>
  <c r="P219" i="9"/>
  <c r="M44" i="9"/>
  <c r="L222" i="9"/>
  <c r="P194" i="9"/>
  <c r="N119" i="9"/>
  <c r="N209" i="9"/>
  <c r="L215" i="9"/>
  <c r="L194" i="9"/>
  <c r="P184" i="9"/>
  <c r="M290" i="9"/>
  <c r="P183" i="9"/>
  <c r="M203" i="9"/>
  <c r="N192" i="9"/>
  <c r="N189" i="9"/>
  <c r="O153" i="9"/>
  <c r="N235" i="9"/>
  <c r="M172" i="9"/>
  <c r="P290" i="9"/>
  <c r="P233" i="9"/>
  <c r="O79" i="9"/>
  <c r="P120" i="9"/>
  <c r="P202" i="9"/>
  <c r="N167" i="9"/>
  <c r="O280" i="9"/>
  <c r="P206" i="9"/>
  <c r="P232" i="9"/>
  <c r="P218" i="9"/>
  <c r="O225" i="9"/>
  <c r="L77" i="9"/>
  <c r="L111" i="9"/>
  <c r="L35" i="9"/>
  <c r="P191" i="9"/>
  <c r="M298" i="9"/>
  <c r="P12" i="9"/>
  <c r="P75" i="9"/>
  <c r="O186" i="9"/>
  <c r="L18" i="9"/>
  <c r="L27" i="9"/>
  <c r="P64" i="9"/>
  <c r="N73" i="9"/>
  <c r="M121" i="9"/>
  <c r="M174" i="9"/>
  <c r="P279" i="9"/>
  <c r="M65" i="9"/>
  <c r="M178" i="9"/>
  <c r="M281" i="9"/>
  <c r="P174" i="9"/>
  <c r="O199" i="9"/>
  <c r="M6" i="9"/>
  <c r="M13" i="9"/>
  <c r="L166" i="9"/>
  <c r="N70" i="9"/>
  <c r="L42" i="9"/>
  <c r="O107" i="9"/>
  <c r="M187" i="9"/>
  <c r="N176" i="9"/>
  <c r="M56" i="9"/>
  <c r="P121" i="9"/>
  <c r="N213" i="9"/>
  <c r="N40" i="9"/>
  <c r="N51" i="9"/>
  <c r="L76" i="9"/>
  <c r="L20" i="9"/>
  <c r="L83" i="9"/>
  <c r="O61" i="9"/>
  <c r="P92" i="9"/>
  <c r="O285" i="9"/>
  <c r="L34" i="9"/>
  <c r="M106" i="9"/>
  <c r="M78" i="9"/>
  <c r="M207" i="9"/>
  <c r="L178" i="9"/>
  <c r="P196" i="9"/>
  <c r="P8" i="9"/>
  <c r="O99" i="9"/>
  <c r="O294" i="9"/>
  <c r="M87" i="9"/>
  <c r="O31" i="9"/>
  <c r="L283" i="9"/>
  <c r="M278" i="9"/>
  <c r="O44" i="9"/>
  <c r="N101" i="9"/>
  <c r="N203" i="9"/>
  <c r="N161" i="9"/>
  <c r="O114" i="9"/>
  <c r="N297" i="9"/>
  <c r="L169" i="9"/>
  <c r="L186" i="9"/>
  <c r="O4" i="9"/>
  <c r="O157" i="9"/>
  <c r="P281" i="9"/>
  <c r="L28" i="9"/>
  <c r="M96" i="9"/>
  <c r="P237" i="9"/>
  <c r="L24" i="9"/>
  <c r="M196" i="9"/>
  <c r="N152" i="9"/>
  <c r="O241" i="9"/>
  <c r="O55" i="9"/>
  <c r="L102" i="9"/>
  <c r="O171" i="9"/>
  <c r="N110" i="9"/>
  <c r="P76" i="9"/>
  <c r="P216" i="9"/>
  <c r="L224" i="9"/>
  <c r="L91" i="9"/>
  <c r="L152" i="9"/>
  <c r="O301" i="9"/>
  <c r="N207" i="9"/>
  <c r="N170" i="9"/>
  <c r="M208" i="9"/>
  <c r="O69" i="9"/>
  <c r="P35" i="9"/>
  <c r="L219" i="9"/>
  <c r="P199" i="9"/>
  <c r="P57" i="9"/>
  <c r="L49" i="9"/>
  <c r="N36" i="9"/>
  <c r="P80" i="9"/>
  <c r="O299" i="9"/>
  <c r="P78" i="9"/>
  <c r="L201" i="9"/>
  <c r="N30" i="9"/>
  <c r="L14" i="9"/>
  <c r="N157" i="9"/>
  <c r="O223" i="9"/>
  <c r="M214" i="9"/>
  <c r="O89" i="9"/>
  <c r="M4" i="9"/>
  <c r="L52" i="9"/>
  <c r="N205" i="9"/>
  <c r="M161" i="9"/>
  <c r="M181" i="9"/>
  <c r="M60" i="9"/>
  <c r="P200" i="9"/>
  <c r="O212" i="9"/>
  <c r="P207" i="9"/>
  <c r="M15" i="9"/>
  <c r="P54" i="9"/>
  <c r="M283" i="9"/>
  <c r="O78" i="9"/>
  <c r="M26" i="9"/>
  <c r="L26" i="9"/>
  <c r="O221" i="9"/>
  <c r="N28" i="9"/>
  <c r="N222" i="9"/>
  <c r="L78" i="9"/>
  <c r="L162" i="9"/>
  <c r="M175" i="9"/>
  <c r="M91" i="9"/>
  <c r="N18" i="9"/>
  <c r="N197" i="9"/>
  <c r="P240" i="9"/>
  <c r="O204" i="9"/>
  <c r="N25" i="9"/>
  <c r="P272" i="9"/>
  <c r="P153" i="9"/>
  <c r="M39" i="9"/>
  <c r="L43" i="9"/>
  <c r="O91" i="9"/>
  <c r="P166" i="9"/>
  <c r="N237" i="9"/>
  <c r="N49" i="9"/>
  <c r="N239" i="9"/>
  <c r="M53" i="9"/>
  <c r="N11" i="9"/>
  <c r="M104" i="9"/>
  <c r="P156" i="9"/>
  <c r="O9" i="9"/>
  <c r="L155" i="9"/>
  <c r="P26" i="9"/>
  <c r="N50" i="9"/>
  <c r="M211" i="9"/>
  <c r="N219" i="9"/>
  <c r="L97" i="9"/>
  <c r="P158" i="9"/>
  <c r="N177" i="9"/>
  <c r="P210" i="9"/>
  <c r="M234" i="9"/>
  <c r="M206" i="9"/>
  <c r="O23" i="9"/>
  <c r="P29" i="9"/>
  <c r="M241" i="9"/>
  <c r="P297" i="9"/>
  <c r="P16" i="9"/>
  <c r="M212" i="9"/>
  <c r="M226" i="9"/>
  <c r="P107" i="9"/>
  <c r="P82" i="9"/>
  <c r="P226" i="9"/>
  <c r="O10" i="9"/>
  <c r="L96" i="9"/>
  <c r="N108" i="9"/>
  <c r="P221" i="9"/>
  <c r="P164" i="9"/>
  <c r="O65" i="9"/>
  <c r="L192" i="9"/>
  <c r="L167" i="9"/>
  <c r="O297" i="9"/>
  <c r="N84" i="9"/>
  <c r="O115" i="9"/>
  <c r="M95" i="9"/>
  <c r="P159" i="9"/>
  <c r="O70" i="9"/>
  <c r="M88" i="9"/>
  <c r="N121" i="9"/>
  <c r="P52" i="9"/>
  <c r="M204" i="9"/>
  <c r="M99" i="9"/>
  <c r="P21" i="9"/>
  <c r="O231" i="9"/>
  <c r="L86" i="9"/>
  <c r="O104" i="9"/>
  <c r="O53" i="9"/>
  <c r="N79" i="9"/>
  <c r="O40" i="9"/>
  <c r="L291" i="9"/>
  <c r="N5" i="9"/>
  <c r="M52" i="9"/>
  <c r="P188" i="9"/>
  <c r="O113" i="9"/>
  <c r="O154" i="9"/>
  <c r="P61" i="9"/>
  <c r="N31" i="9"/>
  <c r="M103" i="9"/>
  <c r="L163" i="9"/>
  <c r="O195" i="9"/>
  <c r="N78" i="9"/>
  <c r="M238" i="9"/>
  <c r="N13" i="9"/>
  <c r="L276" i="9"/>
  <c r="N185" i="9"/>
  <c r="L66" i="9"/>
  <c r="L164" i="9"/>
  <c r="N8" i="9"/>
  <c r="L84" i="9"/>
  <c r="N104" i="9"/>
  <c r="O29" i="9"/>
  <c r="P275" i="9"/>
  <c r="M113" i="9"/>
  <c r="M200" i="9"/>
  <c r="P67" i="9"/>
  <c r="P72" i="9"/>
  <c r="L59" i="9"/>
  <c r="N74" i="9"/>
  <c r="L94" i="9"/>
  <c r="M74" i="9"/>
  <c r="N175" i="9"/>
  <c r="O35" i="9"/>
  <c r="O276" i="9"/>
  <c r="O173" i="9"/>
  <c r="L88" i="9"/>
  <c r="N273" i="9"/>
  <c r="M59" i="9"/>
  <c r="L8" i="9"/>
  <c r="L189" i="9"/>
  <c r="L298" i="9"/>
  <c r="L7" i="9"/>
  <c r="N285" i="9"/>
  <c r="N120" i="9"/>
  <c r="M97" i="9"/>
  <c r="O298" i="9"/>
  <c r="O214" i="9"/>
  <c r="P168" i="9"/>
  <c r="N35" i="9"/>
  <c r="N69" i="9"/>
  <c r="L296" i="9"/>
  <c r="M177" i="9"/>
  <c r="O16" i="9"/>
  <c r="L185" i="9"/>
  <c r="N301" i="9"/>
  <c r="L44" i="9"/>
  <c r="M279" i="9"/>
  <c r="M43" i="9"/>
  <c r="O80" i="9"/>
  <c r="N41" i="9"/>
  <c r="N75" i="9"/>
  <c r="M98" i="9"/>
  <c r="M85" i="9"/>
  <c r="O8" i="9"/>
  <c r="O46" i="9"/>
  <c r="N109" i="9"/>
  <c r="O117" i="9"/>
  <c r="N111" i="9"/>
  <c r="N206" i="9"/>
  <c r="L191" i="9"/>
  <c r="L12" i="9"/>
  <c r="L207" i="9"/>
  <c r="N38" i="9"/>
  <c r="M185" i="9"/>
  <c r="P37" i="9"/>
  <c r="N300" i="9"/>
  <c r="N96" i="9"/>
  <c r="M77" i="9"/>
  <c r="O158" i="9"/>
  <c r="N227" i="9"/>
  <c r="L5" i="9"/>
  <c r="N34" i="9"/>
  <c r="P66" i="9"/>
  <c r="N2" i="9"/>
  <c r="N278" i="9"/>
  <c r="N172" i="9"/>
  <c r="M112" i="9"/>
  <c r="P98" i="9"/>
  <c r="L103" i="9"/>
  <c r="P25" i="9"/>
  <c r="N117" i="9"/>
  <c r="P22" i="9"/>
  <c r="N283" i="9"/>
  <c r="L19" i="9"/>
  <c r="N106" i="9"/>
  <c r="P69" i="9"/>
  <c r="N60" i="9"/>
  <c r="O182" i="9"/>
  <c r="P205" i="9"/>
  <c r="M154" i="9"/>
  <c r="O209" i="9"/>
  <c r="P117" i="9"/>
  <c r="N291" i="9"/>
  <c r="N103" i="9"/>
  <c r="N168" i="9"/>
  <c r="M116" i="9"/>
  <c r="L157" i="9"/>
  <c r="S168" i="9" l="1"/>
  <c r="O20" i="14" s="1" a="1"/>
  <c r="O20" i="14" s="1"/>
  <c r="S103" i="9"/>
  <c r="M15" i="14" s="1" a="1"/>
  <c r="M15" i="14" s="1"/>
  <c r="S291" i="9"/>
  <c r="S23" i="14" s="1" a="1"/>
  <c r="S23" i="14" s="1"/>
  <c r="R117" i="9"/>
  <c r="R205" i="9"/>
  <c r="S60" i="9"/>
  <c r="K32" i="14" s="1" a="1"/>
  <c r="K32" i="14" s="1"/>
  <c r="R69" i="9"/>
  <c r="I10" i="11" s="1" a="1"/>
  <c r="I10" i="11" s="1"/>
  <c r="S106" i="9"/>
  <c r="M18" i="14" s="1" a="1"/>
  <c r="M18" i="14" s="1"/>
  <c r="S283" i="9"/>
  <c r="S15" i="14" s="1" a="1"/>
  <c r="S15" i="14" s="1"/>
  <c r="R22" i="9"/>
  <c r="S117" i="9"/>
  <c r="M29" i="14" s="1" a="1"/>
  <c r="M29" i="14" s="1"/>
  <c r="R25" i="9"/>
  <c r="R98" i="9"/>
  <c r="J9" i="11" s="1" a="1"/>
  <c r="J9" i="11" s="1"/>
  <c r="S172" i="9"/>
  <c r="O24" i="14" s="1" a="1"/>
  <c r="O24" i="14" s="1"/>
  <c r="S278" i="9"/>
  <c r="S10" i="14" s="1" a="1"/>
  <c r="S10" i="14" s="1"/>
  <c r="S2" i="9"/>
  <c r="J4" i="14" s="1" a="1"/>
  <c r="J4" i="14" s="1"/>
  <c r="R66" i="9"/>
  <c r="I7" i="11" s="1" a="1"/>
  <c r="I7" i="11" s="1"/>
  <c r="S34" i="9"/>
  <c r="K6" i="14" s="1" a="1"/>
  <c r="K6" i="14" s="1"/>
  <c r="S227" i="9"/>
  <c r="Q19" i="14" s="1" a="1"/>
  <c r="Q19" i="14" s="1"/>
  <c r="S96" i="9"/>
  <c r="M8" i="14" s="1" a="1"/>
  <c r="M8" i="14" s="1"/>
  <c r="S300" i="9"/>
  <c r="S32" i="14" s="1" a="1"/>
  <c r="S32" i="14" s="1"/>
  <c r="R37" i="9"/>
  <c r="H8" i="11" s="1" a="1"/>
  <c r="H8" i="11" s="1"/>
  <c r="S38" i="9"/>
  <c r="K10" i="14" s="1" a="1"/>
  <c r="K10" i="14" s="1"/>
  <c r="S206" i="9"/>
  <c r="P28" i="14" s="1" a="1"/>
  <c r="P28" i="14" s="1"/>
  <c r="S111" i="9"/>
  <c r="M23" i="14" s="1" a="1"/>
  <c r="M23" i="14" s="1"/>
  <c r="S109" i="9"/>
  <c r="M21" i="14" s="1" a="1"/>
  <c r="M21" i="14" s="1"/>
  <c r="S75" i="9"/>
  <c r="L17" i="14" s="1" a="1"/>
  <c r="L17" i="14" s="1"/>
  <c r="S41" i="9"/>
  <c r="K13" i="14" s="1" a="1"/>
  <c r="K13" i="14" s="1"/>
  <c r="S301" i="9"/>
  <c r="S33" i="14" s="1" a="1"/>
  <c r="S33" i="14" s="1"/>
  <c r="S69" i="9"/>
  <c r="L11" i="14" s="1" a="1"/>
  <c r="L11" i="14" s="1"/>
  <c r="S35" i="9"/>
  <c r="K7" i="14" s="1" a="1"/>
  <c r="K7" i="14" s="1"/>
  <c r="R168" i="9"/>
  <c r="S120" i="9"/>
  <c r="M32" i="14" s="1" a="1"/>
  <c r="M32" i="14" s="1"/>
  <c r="S285" i="9"/>
  <c r="S17" i="14" s="1" a="1"/>
  <c r="S17" i="14" s="1"/>
  <c r="S273" i="9"/>
  <c r="S5" i="14" s="1" a="1"/>
  <c r="S5" i="14" s="1"/>
  <c r="S175" i="9"/>
  <c r="O27" i="14" s="1" a="1"/>
  <c r="O27" i="14" s="1"/>
  <c r="S74" i="9"/>
  <c r="L16" i="14" s="1" a="1"/>
  <c r="L16" i="14" s="1"/>
  <c r="R72" i="9"/>
  <c r="R67" i="9"/>
  <c r="I8" i="11" s="1" a="1"/>
  <c r="I8" i="11" s="1"/>
  <c r="R275" i="9"/>
  <c r="P6" i="11" s="1" a="1"/>
  <c r="P6" i="11" s="1"/>
  <c r="S104" i="9"/>
  <c r="M16" i="14" s="1" a="1"/>
  <c r="M16" i="14" s="1"/>
  <c r="S8" i="9"/>
  <c r="J10" i="14" s="1" a="1"/>
  <c r="J10" i="14" s="1"/>
  <c r="S185" i="9"/>
  <c r="P7" i="14" s="1" a="1"/>
  <c r="P7" i="14" s="1"/>
  <c r="S13" i="9"/>
  <c r="J15" i="14" s="1" a="1"/>
  <c r="J15" i="14" s="1"/>
  <c r="S78" i="9"/>
  <c r="L20" i="14" s="1" a="1"/>
  <c r="L20" i="14" s="1"/>
  <c r="S31" i="9"/>
  <c r="J33" i="14" s="1" a="1"/>
  <c r="J33" i="14" s="1"/>
  <c r="R61" i="9"/>
  <c r="R188" i="9"/>
  <c r="M9" i="11" s="1" a="1"/>
  <c r="M9" i="11" s="1"/>
  <c r="S5" i="9"/>
  <c r="J7" i="14" s="1" a="1"/>
  <c r="J7" i="14" s="1"/>
  <c r="S79" i="9"/>
  <c r="L21" i="14" s="1" a="1"/>
  <c r="L21" i="14" s="1"/>
  <c r="R21" i="9"/>
  <c r="R52" i="9"/>
  <c r="S121" i="9"/>
  <c r="M33" i="14" s="1" a="1"/>
  <c r="M33" i="14" s="1"/>
  <c r="R159" i="9"/>
  <c r="L10" i="11" s="1" a="1"/>
  <c r="L10" i="11" s="1"/>
  <c r="S84" i="9"/>
  <c r="L26" i="14" s="1" a="1"/>
  <c r="L26" i="14" s="1"/>
  <c r="R164" i="9"/>
  <c r="R221" i="9"/>
  <c r="N12" i="11" s="1" a="1"/>
  <c r="N12" i="11" s="1"/>
  <c r="S108" i="9"/>
  <c r="M20" i="14" s="1" a="1"/>
  <c r="M20" i="14" s="1"/>
  <c r="R226" i="9"/>
  <c r="R82" i="9"/>
  <c r="R107" i="9"/>
  <c r="R16" i="9"/>
  <c r="R297" i="9"/>
  <c r="R29" i="9"/>
  <c r="R210" i="9"/>
  <c r="S177" i="9"/>
  <c r="O29" i="14" s="1" a="1"/>
  <c r="O29" i="14" s="1"/>
  <c r="R158" i="9"/>
  <c r="L9" i="11" s="1" a="1"/>
  <c r="L9" i="11" s="1"/>
  <c r="S219" i="9"/>
  <c r="Q11" i="14" s="1" a="1"/>
  <c r="Q11" i="14" s="1"/>
  <c r="S50" i="9"/>
  <c r="K22" i="14" s="1" a="1"/>
  <c r="K22" i="14" s="1"/>
  <c r="R26" i="9"/>
  <c r="R156" i="9"/>
  <c r="L7" i="11" s="1" a="1"/>
  <c r="L7" i="11" s="1"/>
  <c r="S11" i="9"/>
  <c r="J13" i="14" s="1" a="1"/>
  <c r="J13" i="14" s="1"/>
  <c r="S239" i="9"/>
  <c r="Q31" i="14" s="1" a="1"/>
  <c r="Q31" i="14" s="1"/>
  <c r="S49" i="9"/>
  <c r="K21" i="14" s="1" a="1"/>
  <c r="K21" i="14" s="1"/>
  <c r="S237" i="9"/>
  <c r="Q29" i="14" s="1" a="1"/>
  <c r="Q29" i="14" s="1"/>
  <c r="R166" i="9"/>
  <c r="R153" i="9"/>
  <c r="L4" i="11" s="1" a="1"/>
  <c r="L4" i="11" s="1"/>
  <c r="R272" i="9"/>
  <c r="P3" i="11" s="1" a="1"/>
  <c r="P3" i="11" s="1"/>
  <c r="S25" i="9"/>
  <c r="J27" i="14" s="1" a="1"/>
  <c r="J27" i="14" s="1"/>
  <c r="R240" i="9"/>
  <c r="S197" i="9"/>
  <c r="P19" i="14" s="1" a="1"/>
  <c r="P19" i="14" s="1"/>
  <c r="S18" i="9"/>
  <c r="J20" i="14" s="1" a="1"/>
  <c r="J20" i="14" s="1"/>
  <c r="S222" i="9"/>
  <c r="Q14" i="14" s="1" a="1"/>
  <c r="Q14" i="14" s="1"/>
  <c r="S28" i="9"/>
  <c r="J30" i="14" s="1" a="1"/>
  <c r="J30" i="14" s="1"/>
  <c r="R54" i="9"/>
  <c r="R207" i="9"/>
  <c r="R200" i="9"/>
  <c r="S205" i="9"/>
  <c r="P27" i="14" s="1" a="1"/>
  <c r="P27" i="14" s="1"/>
  <c r="S157" i="9"/>
  <c r="O9" i="14" s="1" a="1"/>
  <c r="O9" i="14" s="1"/>
  <c r="S30" i="9"/>
  <c r="J32" i="14" s="1" a="1"/>
  <c r="J32" i="14" s="1"/>
  <c r="R78" i="9"/>
  <c r="R80" i="9"/>
  <c r="S36" i="9"/>
  <c r="K8" i="14" s="1" a="1"/>
  <c r="K8" i="14" s="1"/>
  <c r="R57" i="9"/>
  <c r="R199" i="9"/>
  <c r="R35" i="9"/>
  <c r="H6" i="11" s="1" a="1"/>
  <c r="H6" i="11" s="1"/>
  <c r="S170" i="9"/>
  <c r="O22" i="14" s="1" a="1"/>
  <c r="O22" i="14" s="1"/>
  <c r="S207" i="9"/>
  <c r="P29" i="14" s="1" a="1"/>
  <c r="P29" i="14" s="1"/>
  <c r="R216" i="9"/>
  <c r="N7" i="11" s="1" a="1"/>
  <c r="N7" i="11" s="1"/>
  <c r="R76" i="9"/>
  <c r="S110" i="9"/>
  <c r="M22" i="14" s="1" a="1"/>
  <c r="M22" i="14" s="1"/>
  <c r="S152" i="9"/>
  <c r="O4" i="14" s="1" a="1"/>
  <c r="O4" i="14" s="1"/>
  <c r="R237" i="9"/>
  <c r="R281" i="9"/>
  <c r="P12" i="11" s="1" a="1"/>
  <c r="P12" i="11" s="1"/>
  <c r="S297" i="9"/>
  <c r="S29" i="14" s="1" a="1"/>
  <c r="S29" i="14" s="1"/>
  <c r="S161" i="9"/>
  <c r="O13" i="14" s="1" a="1"/>
  <c r="O13" i="14" s="1"/>
  <c r="S203" i="9"/>
  <c r="P25" i="14" s="1" a="1"/>
  <c r="P25" i="14" s="1"/>
  <c r="S101" i="9"/>
  <c r="M13" i="14" s="1" a="1"/>
  <c r="M13" i="14" s="1"/>
  <c r="R8" i="9"/>
  <c r="G9" i="11" s="1" a="1"/>
  <c r="G9" i="11" s="1"/>
  <c r="R196" i="9"/>
  <c r="R92" i="9"/>
  <c r="J3" i="11" s="1" a="1"/>
  <c r="J3" i="11" s="1"/>
  <c r="S51" i="9"/>
  <c r="K23" i="14" s="1" a="1"/>
  <c r="K23" i="14" s="1"/>
  <c r="S40" i="9"/>
  <c r="K12" i="14" s="1" a="1"/>
  <c r="K12" i="14" s="1"/>
  <c r="S213" i="9"/>
  <c r="Q5" i="14" s="1" a="1"/>
  <c r="Q5" i="14" s="1"/>
  <c r="R121" i="9"/>
  <c r="S176" i="9"/>
  <c r="O28" i="14" s="1" a="1"/>
  <c r="O28" i="14" s="1"/>
  <c r="S70" i="9"/>
  <c r="L12" i="14" s="1" a="1"/>
  <c r="L12" i="14" s="1"/>
  <c r="R174" i="9"/>
  <c r="R279" i="9"/>
  <c r="P10" i="11" s="1" a="1"/>
  <c r="P10" i="11" s="1"/>
  <c r="S73" i="9"/>
  <c r="L15" i="14" s="1" a="1"/>
  <c r="L15" i="14" s="1"/>
  <c r="R64" i="9"/>
  <c r="I5" i="11" s="1" a="1"/>
  <c r="I5" i="11" s="1"/>
  <c r="R75" i="9"/>
  <c r="R12" i="9"/>
  <c r="R191" i="9"/>
  <c r="M12" i="11" s="1" a="1"/>
  <c r="M12" i="11" s="1"/>
  <c r="R218" i="9"/>
  <c r="N9" i="11" s="1" a="1"/>
  <c r="N9" i="11" s="1"/>
  <c r="R232" i="9"/>
  <c r="R206" i="9"/>
  <c r="S167" i="9"/>
  <c r="O19" i="14" s="1" a="1"/>
  <c r="O19" i="14" s="1"/>
  <c r="R202" i="9"/>
  <c r="R120" i="9"/>
  <c r="R233" i="9"/>
  <c r="R290" i="9"/>
  <c r="S235" i="9"/>
  <c r="Q27" i="14" s="1" a="1"/>
  <c r="Q27" i="14" s="1"/>
  <c r="S189" i="9"/>
  <c r="P11" i="14" s="1" a="1"/>
  <c r="P11" i="14" s="1"/>
  <c r="S192" i="9"/>
  <c r="P14" i="14" s="1" a="1"/>
  <c r="P14" i="14" s="1"/>
  <c r="R183" i="9"/>
  <c r="M4" i="11" s="1" a="1"/>
  <c r="M4" i="11" s="1"/>
  <c r="R184" i="9"/>
  <c r="M5" i="11" s="1" a="1"/>
  <c r="M5" i="11" s="1"/>
  <c r="S209" i="9"/>
  <c r="P31" i="14" s="1" a="1"/>
  <c r="P31" i="14" s="1"/>
  <c r="S119" i="9"/>
  <c r="M31" i="14" s="1" a="1"/>
  <c r="M31" i="14" s="1"/>
  <c r="R194" i="9"/>
  <c r="R219" i="9"/>
  <c r="N10" i="11" s="1" a="1"/>
  <c r="N10" i="11" s="1"/>
  <c r="R65" i="9"/>
  <c r="I6" i="11" s="1" a="1"/>
  <c r="I6" i="11" s="1"/>
  <c r="S216" i="9"/>
  <c r="Q8" i="14" s="1" a="1"/>
  <c r="Q8" i="14" s="1"/>
  <c r="R161" i="9"/>
  <c r="L12" i="11" s="1" a="1"/>
  <c r="L12" i="11" s="1"/>
  <c r="S54" i="9"/>
  <c r="K26" i="14" s="1" a="1"/>
  <c r="K26" i="14" s="1"/>
  <c r="S293" i="9"/>
  <c r="S25" i="14" s="1" a="1"/>
  <c r="S25" i="14" s="1"/>
  <c r="S112" i="9"/>
  <c r="M24" i="14" s="1" a="1"/>
  <c r="M24" i="14" s="1"/>
  <c r="S201" i="9"/>
  <c r="P23" i="14" s="1" a="1"/>
  <c r="P23" i="14" s="1"/>
  <c r="S215" i="9"/>
  <c r="Q7" i="14" s="1" a="1"/>
  <c r="Q7" i="14" s="1"/>
  <c r="S173" i="9"/>
  <c r="O25" i="14" s="1" a="1"/>
  <c r="O25" i="14" s="1"/>
  <c r="R40" i="9"/>
  <c r="H11" i="11" s="1" a="1"/>
  <c r="H11" i="11" s="1"/>
  <c r="S160" i="9"/>
  <c r="O12" i="14" s="1" a="1"/>
  <c r="O12" i="14" s="1"/>
  <c r="S55" i="9"/>
  <c r="K27" i="14" s="1" a="1"/>
  <c r="K27" i="14" s="1"/>
  <c r="R5" i="9"/>
  <c r="G6" i="11" s="1" a="1"/>
  <c r="G6" i="11" s="1"/>
  <c r="S29" i="9"/>
  <c r="J31" i="14" s="1" a="1"/>
  <c r="J31" i="14" s="1"/>
  <c r="R160" i="9"/>
  <c r="L11" i="11" s="1" a="1"/>
  <c r="L11" i="11" s="1"/>
  <c r="R214" i="9"/>
  <c r="N5" i="11" s="1" a="1"/>
  <c r="N5" i="11" s="1"/>
  <c r="S22" i="9"/>
  <c r="J24" i="14" s="1" a="1"/>
  <c r="J24" i="14" s="1"/>
  <c r="R14" i="9"/>
  <c r="S97" i="9"/>
  <c r="M9" i="14" s="1" a="1"/>
  <c r="M9" i="14" s="1"/>
  <c r="S19" i="9"/>
  <c r="J21" i="14" s="1" a="1"/>
  <c r="J21" i="14" s="1"/>
  <c r="R48" i="9"/>
  <c r="R96" i="9"/>
  <c r="J7" i="11" s="1" a="1"/>
  <c r="J7" i="11" s="1"/>
  <c r="R116" i="9"/>
  <c r="R114" i="9"/>
  <c r="R13" i="9"/>
  <c r="R7" i="9"/>
  <c r="G8" i="11" s="1" a="1"/>
  <c r="G8" i="11" s="1"/>
  <c r="R71" i="9"/>
  <c r="I12" i="11" s="1" a="1"/>
  <c r="I12" i="11" s="1"/>
  <c r="S48" i="9"/>
  <c r="K20" i="14" s="1" a="1"/>
  <c r="K20" i="14" s="1"/>
  <c r="S16" i="9"/>
  <c r="J18" i="14" s="1" a="1"/>
  <c r="J18" i="14" s="1"/>
  <c r="R79" i="9"/>
  <c r="S229" i="9"/>
  <c r="Q21" i="14" s="1" a="1"/>
  <c r="Q21" i="14" s="1"/>
  <c r="R73" i="9"/>
  <c r="S183" i="9"/>
  <c r="P5" i="14" s="1" a="1"/>
  <c r="P5" i="14" s="1"/>
  <c r="S91" i="9"/>
  <c r="L33" i="14" s="1" a="1"/>
  <c r="L33" i="14" s="1"/>
  <c r="S52" i="9"/>
  <c r="K24" i="14" s="1" a="1"/>
  <c r="K24" i="14" s="1"/>
  <c r="R55" i="9"/>
  <c r="R278" i="9"/>
  <c r="P9" i="11" s="1" a="1"/>
  <c r="P9" i="11" s="1"/>
  <c r="R198" i="9"/>
  <c r="S295" i="9"/>
  <c r="S27" i="14" s="1" a="1"/>
  <c r="S27" i="14" s="1"/>
  <c r="S9" i="9"/>
  <c r="J11" i="14" s="1" a="1"/>
  <c r="J11" i="14" s="1"/>
  <c r="S47" i="9"/>
  <c r="K19" i="14" s="1" a="1"/>
  <c r="K19" i="14" s="1"/>
  <c r="R110" i="9"/>
  <c r="S3" i="9"/>
  <c r="J5" i="14" s="1" a="1"/>
  <c r="J5" i="14" s="1"/>
  <c r="R225" i="9"/>
  <c r="R286" i="9"/>
  <c r="S10" i="9"/>
  <c r="J12" i="14" s="1" a="1"/>
  <c r="J12" i="14" s="1"/>
  <c r="R211" i="9"/>
  <c r="S23" i="9"/>
  <c r="J25" i="14" s="1" a="1"/>
  <c r="J25" i="14" s="1"/>
  <c r="S118" i="9"/>
  <c r="M30" i="14" s="1" a="1"/>
  <c r="M30" i="14" s="1"/>
  <c r="R299" i="9"/>
  <c r="R112" i="9"/>
  <c r="R193" i="9"/>
  <c r="S194" i="9"/>
  <c r="P16" i="14" s="1" a="1"/>
  <c r="P16" i="14" s="1"/>
  <c r="S86" i="9"/>
  <c r="L28" i="14" s="1" a="1"/>
  <c r="L28" i="14" s="1"/>
  <c r="R93" i="9"/>
  <c r="J4" i="11" s="1" a="1"/>
  <c r="J4" i="11" s="1"/>
  <c r="S212" i="9"/>
  <c r="Q4" i="14" s="1" a="1"/>
  <c r="Q4" i="14" s="1"/>
  <c r="R185" i="9"/>
  <c r="M6" i="11" s="1" a="1"/>
  <c r="M6" i="11" s="1"/>
  <c r="S188" i="9"/>
  <c r="P10" i="14" s="1" a="1"/>
  <c r="P10" i="14" s="1"/>
  <c r="R172" i="9"/>
  <c r="S179" i="9"/>
  <c r="O31" i="14" s="1" a="1"/>
  <c r="O31" i="14" s="1"/>
  <c r="R97" i="9"/>
  <c r="J8" i="11" s="1" a="1"/>
  <c r="J8" i="11" s="1"/>
  <c r="S58" i="9"/>
  <c r="K30" i="14" s="1" a="1"/>
  <c r="K30" i="14" s="1"/>
  <c r="R162" i="9"/>
  <c r="S66" i="9"/>
  <c r="L8" i="14" s="1" a="1"/>
  <c r="L8" i="14" s="1"/>
  <c r="R90" i="9"/>
  <c r="R228" i="9"/>
  <c r="R49" i="9"/>
  <c r="S67" i="9"/>
  <c r="L9" i="14" s="1" a="1"/>
  <c r="L9" i="14" s="1"/>
  <c r="S178" i="9"/>
  <c r="O30" i="14" s="1" a="1"/>
  <c r="O30" i="14" s="1"/>
  <c r="R190" i="9"/>
  <c r="M11" i="11" s="1" a="1"/>
  <c r="M11" i="11" s="1"/>
  <c r="R282" i="9"/>
  <c r="S198" i="9"/>
  <c r="P20" i="14" s="1" a="1"/>
  <c r="P20" i="14" s="1"/>
  <c r="R170" i="9"/>
  <c r="R34" i="9"/>
  <c r="H5" i="11" s="1" a="1"/>
  <c r="H5" i="11" s="1"/>
  <c r="R17" i="9"/>
  <c r="R201" i="9"/>
  <c r="S102" i="9"/>
  <c r="M14" i="14" s="1" a="1"/>
  <c r="M14" i="14" s="1"/>
  <c r="R113" i="9"/>
  <c r="R10" i="9"/>
  <c r="G11" i="11" s="1" a="1"/>
  <c r="G11" i="11" s="1"/>
  <c r="S166" i="9"/>
  <c r="O18" i="14" s="1" a="1"/>
  <c r="O18" i="14" s="1"/>
  <c r="R182" i="9"/>
  <c r="M3" i="11" s="1" a="1"/>
  <c r="M3" i="11" s="1"/>
  <c r="S234" i="9"/>
  <c r="Q26" i="14" s="1" a="1"/>
  <c r="Q26" i="14" s="1"/>
  <c r="S63" i="9"/>
  <c r="L5" i="14" s="1" a="1"/>
  <c r="L5" i="14" s="1"/>
  <c r="R169" i="9"/>
  <c r="S153" i="9"/>
  <c r="O5" i="14" s="1" a="1"/>
  <c r="O5" i="14" s="1"/>
  <c r="R45" i="9"/>
  <c r="R20" i="9"/>
  <c r="S65" i="9"/>
  <c r="L7" i="14" s="1" a="1"/>
  <c r="L7" i="14" s="1"/>
  <c r="S12" i="9"/>
  <c r="J14" i="14" s="1" a="1"/>
  <c r="J14" i="14" s="1"/>
  <c r="S77" i="9"/>
  <c r="L19" i="14" s="1" a="1"/>
  <c r="L19" i="14" s="1"/>
  <c r="S276" i="9"/>
  <c r="S8" i="14" s="1" a="1"/>
  <c r="S8" i="14" s="1"/>
  <c r="S154" i="9"/>
  <c r="O6" i="14" s="1" a="1"/>
  <c r="O6" i="14" s="1"/>
  <c r="S32" i="9"/>
  <c r="K4" i="14" s="1" a="1"/>
  <c r="K4" i="14" s="1"/>
  <c r="R4" i="9"/>
  <c r="G5" i="11" s="1" a="1"/>
  <c r="G5" i="11" s="1"/>
  <c r="R187" i="9"/>
  <c r="M8" i="11" s="1" a="1"/>
  <c r="M8" i="11" s="1"/>
  <c r="R27" i="9"/>
  <c r="R95" i="9"/>
  <c r="J6" i="11" s="1" a="1"/>
  <c r="J6" i="11" s="1"/>
  <c r="S225" i="9"/>
  <c r="Q17" i="14" s="1" a="1"/>
  <c r="Q17" i="14" s="1"/>
  <c r="R63" i="9"/>
  <c r="I4" i="11" s="1" a="1"/>
  <c r="I4" i="11" s="1"/>
  <c r="R53" i="9"/>
  <c r="R11" i="9"/>
  <c r="G12" i="11" s="1" a="1"/>
  <c r="G12" i="11" s="1"/>
  <c r="S279" i="9"/>
  <c r="S11" i="14" s="1" a="1"/>
  <c r="S11" i="14" s="1"/>
  <c r="R2" i="9"/>
  <c r="G3" i="11" s="1" a="1"/>
  <c r="G3" i="11" s="1"/>
  <c r="R106" i="9"/>
  <c r="S164" i="9"/>
  <c r="O16" i="14" s="1" a="1"/>
  <c r="O16" i="14" s="1"/>
  <c r="R224" i="9"/>
  <c r="R296" i="9"/>
  <c r="R289" i="9"/>
  <c r="S43" i="9"/>
  <c r="K15" i="14" s="1" a="1"/>
  <c r="K15" i="14" s="1"/>
  <c r="S290" i="9"/>
  <c r="S22" i="14" s="1" a="1"/>
  <c r="S22" i="14" s="1"/>
  <c r="S292" i="9"/>
  <c r="S24" i="14" s="1" a="1"/>
  <c r="S24" i="14" s="1"/>
  <c r="S24" i="9"/>
  <c r="J26" i="14" s="1" a="1"/>
  <c r="J26" i="14" s="1"/>
  <c r="R293" i="9"/>
  <c r="S99" i="9"/>
  <c r="M11" i="14" s="1" a="1"/>
  <c r="M11" i="14" s="1"/>
  <c r="R186" i="9"/>
  <c r="M7" i="11" s="1" a="1"/>
  <c r="M7" i="11" s="1"/>
  <c r="R31" i="9"/>
  <c r="R9" i="9"/>
  <c r="G10" i="11" s="1" a="1"/>
  <c r="G10" i="11" s="1"/>
  <c r="S61" i="9"/>
  <c r="K33" i="14" s="1" a="1"/>
  <c r="K33" i="14" s="1"/>
  <c r="S64" i="9"/>
  <c r="L6" i="14" s="1" a="1"/>
  <c r="L6" i="14" s="1"/>
  <c r="S165" i="9"/>
  <c r="O17" i="14" s="1" a="1"/>
  <c r="O17" i="14" s="1"/>
  <c r="R56" i="9"/>
  <c r="R108" i="9"/>
  <c r="R51" i="9"/>
  <c r="R189" i="9"/>
  <c r="M10" i="11" s="1" a="1"/>
  <c r="M10" i="11" s="1"/>
  <c r="S92" i="9"/>
  <c r="M4" i="14" s="1" a="1"/>
  <c r="M4" i="14" s="1"/>
  <c r="R70" i="9"/>
  <c r="I11" i="11" s="1" a="1"/>
  <c r="I11" i="11" s="1"/>
  <c r="S180" i="9"/>
  <c r="O32" i="14" s="1" a="1"/>
  <c r="O32" i="14" s="1"/>
  <c r="S82" i="9"/>
  <c r="L24" i="14" s="1" a="1"/>
  <c r="L24" i="14" s="1"/>
  <c r="S289" i="9"/>
  <c r="S21" i="14" s="1" a="1"/>
  <c r="S21" i="14" s="1"/>
  <c r="S196" i="9"/>
  <c r="P18" i="14" s="1" a="1"/>
  <c r="P18" i="14" s="1"/>
  <c r="S21" i="9"/>
  <c r="J23" i="14" s="1" a="1"/>
  <c r="J23" i="14" s="1"/>
  <c r="R103" i="9"/>
  <c r="R277" i="9"/>
  <c r="P8" i="11" s="1" a="1"/>
  <c r="P8" i="11" s="1"/>
  <c r="S274" i="9"/>
  <c r="S6" i="14" s="1" a="1"/>
  <c r="S6" i="14" s="1"/>
  <c r="R173" i="9"/>
  <c r="S62" i="9"/>
  <c r="L4" i="14" s="1" a="1"/>
  <c r="L4" i="14" s="1"/>
  <c r="R285" i="9"/>
  <c r="S14" i="9"/>
  <c r="J16" i="14" s="1" a="1"/>
  <c r="J16" i="14" s="1"/>
  <c r="S275" i="9"/>
  <c r="S7" i="14" s="1" a="1"/>
  <c r="S7" i="14" s="1"/>
  <c r="R102" i="9"/>
  <c r="S236" i="9"/>
  <c r="Q28" i="14" s="1" a="1"/>
  <c r="Q28" i="14" s="1"/>
  <c r="R165" i="9"/>
  <c r="R273" i="9"/>
  <c r="P4" i="11" s="1" a="1"/>
  <c r="P4" i="11" s="1"/>
  <c r="S71" i="9"/>
  <c r="L13" i="14" s="1" a="1"/>
  <c r="L13" i="14" s="1"/>
  <c r="R24" i="9"/>
  <c r="S217" i="9"/>
  <c r="Q9" i="14" s="1" a="1"/>
  <c r="Q9" i="14" s="1"/>
  <c r="S182" i="9"/>
  <c r="P4" i="14" s="1" a="1"/>
  <c r="P4" i="14" s="1"/>
  <c r="S27" i="9"/>
  <c r="J29" i="14" s="1" a="1"/>
  <c r="J29" i="14" s="1"/>
  <c r="S33" i="9"/>
  <c r="K5" i="14" s="1" a="1"/>
  <c r="K5" i="14" s="1"/>
  <c r="R38" i="9"/>
  <c r="H9" i="11" s="1" a="1"/>
  <c r="H9" i="11" s="1"/>
  <c r="S83" i="9"/>
  <c r="L25" i="14" s="1" a="1"/>
  <c r="L25" i="14" s="1"/>
  <c r="R32" i="9"/>
  <c r="H3" i="11" s="1" a="1"/>
  <c r="H3" i="11" s="1"/>
  <c r="R229" i="9"/>
  <c r="S240" i="9"/>
  <c r="Q32" i="14" s="1" a="1"/>
  <c r="Q32" i="14" s="1"/>
  <c r="S72" i="9"/>
  <c r="L14" i="14" s="1" a="1"/>
  <c r="L14" i="14" s="1"/>
  <c r="R86" i="9"/>
  <c r="R46" i="9"/>
  <c r="S277" i="9"/>
  <c r="S9" i="14" s="1" a="1"/>
  <c r="S9" i="14" s="1"/>
  <c r="R15" i="9"/>
  <c r="R274" i="9"/>
  <c r="P5" i="11" s="1" a="1"/>
  <c r="P5" i="11" s="1"/>
  <c r="R87" i="9"/>
  <c r="S187" i="9"/>
  <c r="P9" i="14" s="1" a="1"/>
  <c r="P9" i="14" s="1"/>
  <c r="R100" i="9"/>
  <c r="J11" i="11" s="1" a="1"/>
  <c r="J11" i="11" s="1"/>
  <c r="R74" i="9"/>
  <c r="R171" i="9"/>
  <c r="S287" i="9"/>
  <c r="S19" i="14" s="1" a="1"/>
  <c r="S19" i="14" s="1"/>
  <c r="S223" i="9"/>
  <c r="Q15" i="14" s="1" a="1"/>
  <c r="Q15" i="14" s="1"/>
  <c r="R47" i="9"/>
  <c r="R157" i="9"/>
  <c r="L8" i="11" s="1" a="1"/>
  <c r="L8" i="11" s="1"/>
  <c r="R192" i="9"/>
  <c r="S20" i="9"/>
  <c r="J22" i="14" s="1" a="1"/>
  <c r="J22" i="14" s="1"/>
  <c r="R175" i="9"/>
  <c r="S76" i="9"/>
  <c r="L18" i="14" s="1" a="1"/>
  <c r="L18" i="14" s="1"/>
  <c r="S284" i="9"/>
  <c r="S16" i="14" s="1" a="1"/>
  <c r="S16" i="14" s="1"/>
  <c r="S98" i="9"/>
  <c r="M10" i="14" s="1" a="1"/>
  <c r="M10" i="14" s="1"/>
  <c r="R197" i="9"/>
  <c r="R230" i="9"/>
  <c r="S95" i="9"/>
  <c r="M7" i="14" s="1" a="1"/>
  <c r="M7" i="14" s="1"/>
  <c r="R105" i="9"/>
  <c r="S42" i="9"/>
  <c r="K14" i="14" s="1" a="1"/>
  <c r="K14" i="14" s="1"/>
  <c r="R239" i="9"/>
  <c r="R44" i="9"/>
  <c r="S241" i="9"/>
  <c r="Q33" i="14" s="1" a="1"/>
  <c r="Q33" i="14" s="1"/>
  <c r="S159" i="9"/>
  <c r="O11" i="14" s="1" a="1"/>
  <c r="O11" i="14" s="1"/>
  <c r="R101" i="9"/>
  <c r="J12" i="11" s="1" a="1"/>
  <c r="J12" i="11" s="1"/>
  <c r="S94" i="9"/>
  <c r="M6" i="14" s="1" a="1"/>
  <c r="M6" i="14" s="1"/>
  <c r="S88" i="9"/>
  <c r="L30" i="14" s="1" a="1"/>
  <c r="L30" i="14" s="1"/>
  <c r="R59" i="9"/>
  <c r="R81" i="9"/>
  <c r="S208" i="9"/>
  <c r="P30" i="14" s="1" a="1"/>
  <c r="P30" i="14" s="1"/>
  <c r="R43" i="9"/>
  <c r="S26" i="9"/>
  <c r="J28" i="14" s="1" a="1"/>
  <c r="J28" i="14" s="1"/>
  <c r="S226" i="9"/>
  <c r="Q18" i="14" s="1" a="1"/>
  <c r="Q18" i="14" s="1"/>
  <c r="S288" i="9"/>
  <c r="S20" i="14" s="1" a="1"/>
  <c r="S20" i="14" s="1"/>
  <c r="S281" i="9"/>
  <c r="S13" i="14" s="1" a="1"/>
  <c r="S13" i="14" s="1"/>
  <c r="R62" i="9"/>
  <c r="I3" i="11" s="1" a="1"/>
  <c r="I3" i="11" s="1"/>
  <c r="S204" i="9"/>
  <c r="P26" i="14" s="1" a="1"/>
  <c r="P26" i="14" s="1"/>
  <c r="S105" i="9"/>
  <c r="M17" i="14" s="1" a="1"/>
  <c r="M17" i="14" s="1"/>
  <c r="S37" i="9"/>
  <c r="K9" i="14" s="1" a="1"/>
  <c r="K9" i="14" s="1"/>
  <c r="R18" i="9"/>
  <c r="R155" i="9"/>
  <c r="L6" i="11" s="1" a="1"/>
  <c r="L6" i="11" s="1"/>
  <c r="R104" i="9"/>
  <c r="S57" i="9"/>
  <c r="K29" i="14" s="1" a="1"/>
  <c r="K29" i="14" s="1"/>
  <c r="R94" i="9"/>
  <c r="J5" i="11" s="1" a="1"/>
  <c r="J5" i="11" s="1"/>
  <c r="R42" i="9"/>
  <c r="S39" i="9"/>
  <c r="K11" i="14" s="1" a="1"/>
  <c r="K11" i="14" s="1"/>
  <c r="R99" i="9"/>
  <c r="J10" i="11" s="1" a="1"/>
  <c r="J10" i="11" s="1"/>
  <c r="R284" i="9"/>
  <c r="S186" i="9"/>
  <c r="P8" i="14" s="1" a="1"/>
  <c r="P8" i="14" s="1"/>
  <c r="S221" i="9"/>
  <c r="Q13" i="14" s="1" a="1"/>
  <c r="Q13" i="14" s="1"/>
  <c r="S46" i="9"/>
  <c r="K18" i="14" s="1" a="1"/>
  <c r="K18" i="14" s="1"/>
  <c r="S298" i="9"/>
  <c r="S30" i="14" s="1" a="1"/>
  <c r="S30" i="14" s="1"/>
  <c r="S218" i="9"/>
  <c r="Q10" i="14" s="1" a="1"/>
  <c r="Q10" i="14" s="1"/>
  <c r="S202" i="9"/>
  <c r="P24" i="14" s="1" a="1"/>
  <c r="P24" i="14" s="1"/>
  <c r="R300" i="9"/>
  <c r="R152" i="9"/>
  <c r="L3" i="11" s="1" a="1"/>
  <c r="L3" i="11" s="1"/>
  <c r="S7" i="9"/>
  <c r="J9" i="14" s="1" a="1"/>
  <c r="J9" i="14" s="1"/>
  <c r="R83" i="9"/>
  <c r="S190" i="9"/>
  <c r="P12" i="14" s="1" a="1"/>
  <c r="P12" i="14" s="1"/>
  <c r="S193" i="9"/>
  <c r="P15" i="14" s="1" a="1"/>
  <c r="P15" i="14" s="1"/>
  <c r="R180" i="9"/>
  <c r="R77" i="9"/>
  <c r="R33" i="9"/>
  <c r="H4" i="11" s="1" a="1"/>
  <c r="H4" i="11" s="1"/>
  <c r="R181" i="9"/>
  <c r="R276" i="9"/>
  <c r="P7" i="11" s="1" a="1"/>
  <c r="P7" i="11" s="1"/>
  <c r="R36" i="9"/>
  <c r="H7" i="11" s="1" a="1"/>
  <c r="H7" i="11" s="1"/>
  <c r="R235" i="9"/>
  <c r="R50" i="9"/>
  <c r="R227" i="9"/>
  <c r="S93" i="9"/>
  <c r="M5" i="14" s="1" a="1"/>
  <c r="M5" i="14" s="1"/>
  <c r="S233" i="9"/>
  <c r="Q25" i="14" s="1" a="1"/>
  <c r="Q25" i="14" s="1"/>
  <c r="R58" i="9"/>
  <c r="R111" i="9"/>
  <c r="R118" i="9"/>
  <c r="S214" i="9"/>
  <c r="Q6" i="14" s="1" a="1"/>
  <c r="Q6" i="14" s="1"/>
  <c r="S200" i="9"/>
  <c r="P22" i="14" s="1" a="1"/>
  <c r="P22" i="14" s="1"/>
  <c r="S191" i="9"/>
  <c r="P13" i="14" s="1" a="1"/>
  <c r="P13" i="14" s="1"/>
  <c r="S224" i="9"/>
  <c r="Q16" i="14" s="1" a="1"/>
  <c r="Q16" i="14" s="1"/>
  <c r="R291" i="9"/>
  <c r="R231" i="9"/>
  <c r="S45" i="9"/>
  <c r="K17" i="14" s="1" a="1"/>
  <c r="K17" i="14" s="1"/>
  <c r="R220" i="9"/>
  <c r="N11" i="11" s="1" a="1"/>
  <c r="N11" i="11" s="1"/>
  <c r="S158" i="9"/>
  <c r="O10" i="14" s="1" a="1"/>
  <c r="O10" i="14" s="1"/>
  <c r="S56" i="9"/>
  <c r="K28" i="14" s="1" a="1"/>
  <c r="K28" i="14" s="1"/>
  <c r="S80" i="9"/>
  <c r="L22" i="14" s="1" a="1"/>
  <c r="L22" i="14" s="1"/>
  <c r="S162" i="9"/>
  <c r="O14" i="14" s="1" a="1"/>
  <c r="O14" i="14" s="1"/>
  <c r="S15" i="9"/>
  <c r="J17" i="14" s="1" a="1"/>
  <c r="J17" i="14" s="1"/>
  <c r="R204" i="9"/>
  <c r="S184" i="9"/>
  <c r="P6" i="14" s="1" a="1"/>
  <c r="P6" i="14" s="1"/>
  <c r="R167" i="9"/>
  <c r="R119" i="9"/>
  <c r="S163" i="9"/>
  <c r="O15" i="14" s="1" a="1"/>
  <c r="O15" i="14" s="1"/>
  <c r="R163" i="9"/>
  <c r="S100" i="9"/>
  <c r="M12" i="14" s="1" a="1"/>
  <c r="M12" i="14" s="1"/>
  <c r="R234" i="9"/>
  <c r="R115" i="9"/>
  <c r="S169" i="9"/>
  <c r="O21" i="14" s="1" a="1"/>
  <c r="O21" i="14" s="1"/>
  <c r="S156" i="9"/>
  <c r="O8" i="14" s="1" a="1"/>
  <c r="O8" i="14" s="1"/>
  <c r="S272" i="9"/>
  <c r="S4" i="14" s="1" a="1"/>
  <c r="S4" i="14" s="1"/>
  <c r="R154" i="9"/>
  <c r="L5" i="11" s="1" a="1"/>
  <c r="L5" i="11" s="1"/>
  <c r="R236" i="9"/>
  <c r="R39" i="9"/>
  <c r="H10" i="11" s="1" a="1"/>
  <c r="H10" i="11" s="1"/>
  <c r="R223" i="9"/>
  <c r="R238" i="9"/>
  <c r="S6" i="9"/>
  <c r="J8" i="14" s="1" a="1"/>
  <c r="J8" i="14" s="1"/>
  <c r="R212" i="9"/>
  <c r="N3" i="11" s="1" a="1"/>
  <c r="N3" i="11" s="1"/>
  <c r="S296" i="9"/>
  <c r="S28" i="14" s="1" a="1"/>
  <c r="S28" i="14" s="1"/>
  <c r="R213" i="9"/>
  <c r="N4" i="11" s="1" a="1"/>
  <c r="N4" i="11" s="1"/>
  <c r="R19" i="9"/>
  <c r="R294" i="9"/>
  <c r="S116" i="9"/>
  <c r="M28" i="14" s="1" a="1"/>
  <c r="M28" i="14" s="1"/>
  <c r="R287" i="9"/>
  <c r="R85" i="9"/>
  <c r="R89" i="9"/>
  <c r="R209" i="9"/>
  <c r="S238" i="9"/>
  <c r="Q30" i="14" s="1" a="1"/>
  <c r="Q30" i="14" s="1"/>
  <c r="R203" i="9"/>
  <c r="S299" i="9"/>
  <c r="S31" i="14" s="1" a="1"/>
  <c r="S31" i="14" s="1"/>
  <c r="R91" i="9"/>
  <c r="S59" i="9"/>
  <c r="K31" i="14" s="1" a="1"/>
  <c r="K31" i="14" s="1"/>
  <c r="S232" i="9"/>
  <c r="Q24" i="14" s="1" a="1"/>
  <c r="Q24" i="14" s="1"/>
  <c r="R195" i="9"/>
  <c r="R23" i="9"/>
  <c r="S87" i="9"/>
  <c r="L29" i="14" s="1" a="1"/>
  <c r="L29" i="14" s="1"/>
  <c r="R298" i="9"/>
  <c r="S211" i="9"/>
  <c r="P33" i="14" s="1" a="1"/>
  <c r="P33" i="14" s="1"/>
  <c r="R6" i="9"/>
  <c r="G7" i="11" s="1" a="1"/>
  <c r="G7" i="11" s="1"/>
  <c r="S210" i="9"/>
  <c r="P32" i="14" s="1" a="1"/>
  <c r="P32" i="14" s="1"/>
  <c r="S231" i="9"/>
  <c r="Q23" i="14" s="1" a="1"/>
  <c r="Q23" i="14" s="1"/>
  <c r="R109" i="9"/>
  <c r="R301" i="9"/>
  <c r="R179" i="9"/>
  <c r="S230" i="9"/>
  <c r="Q22" i="14" s="1" a="1"/>
  <c r="Q22" i="14" s="1"/>
  <c r="S89" i="9"/>
  <c r="L31" i="14" s="1" a="1"/>
  <c r="L31" i="14" s="1"/>
  <c r="R41" i="9"/>
  <c r="H12" i="11" s="1" a="1"/>
  <c r="H12" i="11" s="1"/>
  <c r="R176" i="9"/>
  <c r="S155" i="9"/>
  <c r="O7" i="14" s="1" a="1"/>
  <c r="O7" i="14" s="1"/>
  <c r="S199" i="9"/>
  <c r="P21" i="14" s="1" a="1"/>
  <c r="P21" i="14" s="1"/>
  <c r="S220" i="9"/>
  <c r="Q12" i="14" s="1" a="1"/>
  <c r="Q12" i="14" s="1"/>
  <c r="S113" i="9"/>
  <c r="M25" i="14" s="1" a="1"/>
  <c r="M25" i="14" s="1"/>
  <c r="R280" i="9"/>
  <c r="P11" i="11" s="1" a="1"/>
  <c r="P11" i="11" s="1"/>
  <c r="S286" i="9"/>
  <c r="S18" i="14" s="1" a="1"/>
  <c r="S18" i="14" s="1"/>
  <c r="S107" i="9"/>
  <c r="M19" i="14" s="1" a="1"/>
  <c r="M19" i="14" s="1"/>
  <c r="S294" i="9"/>
  <c r="S26" i="14" s="1" a="1"/>
  <c r="S26" i="14" s="1"/>
  <c r="R84" i="9"/>
  <c r="S90" i="9"/>
  <c r="L32" i="14" s="1" a="1"/>
  <c r="L32" i="14" s="1"/>
  <c r="S171" i="9"/>
  <c r="O23" i="14" s="1" a="1"/>
  <c r="O23" i="14" s="1"/>
  <c r="R217" i="9"/>
  <c r="N8" i="11" s="1" a="1"/>
  <c r="N8" i="11" s="1"/>
  <c r="S8" i="11" s="1" a="1"/>
  <c r="S8" i="11" s="1"/>
  <c r="R241" i="9"/>
  <c r="S81" i="9"/>
  <c r="L23" i="14" s="1" a="1"/>
  <c r="L23" i="14" s="1"/>
  <c r="R60" i="9"/>
  <c r="R88" i="9"/>
  <c r="R68" i="9"/>
  <c r="I9" i="11" s="1" a="1"/>
  <c r="I9" i="11" s="1"/>
  <c r="S228" i="9"/>
  <c r="Q20" i="14" s="1" a="1"/>
  <c r="Q20" i="14" s="1"/>
  <c r="S282" i="9"/>
  <c r="S14" i="14" s="1" a="1"/>
  <c r="S14" i="14" s="1"/>
  <c r="R208" i="9"/>
  <c r="R222" i="9"/>
  <c r="S4" i="9"/>
  <c r="J6" i="14" s="1" a="1"/>
  <c r="J6" i="14" s="1"/>
  <c r="R283" i="9"/>
  <c r="S280" i="9"/>
  <c r="S12" i="14" s="1" a="1"/>
  <c r="S12" i="14" s="1"/>
  <c r="S85" i="9"/>
  <c r="L27" i="14" s="1" a="1"/>
  <c r="L27" i="14" s="1"/>
  <c r="R30" i="9"/>
  <c r="S68" i="9"/>
  <c r="L10" i="14" s="1" a="1"/>
  <c r="L10" i="14" s="1"/>
  <c r="S174" i="9"/>
  <c r="O26" i="14" s="1" a="1"/>
  <c r="O26" i="14" s="1"/>
  <c r="R215" i="9"/>
  <c r="N6" i="11" s="1" a="1"/>
  <c r="N6" i="11" s="1"/>
  <c r="S114" i="9"/>
  <c r="M26" i="14" s="1" a="1"/>
  <c r="M26" i="14" s="1"/>
  <c r="S195" i="9"/>
  <c r="P17" i="14" s="1" a="1"/>
  <c r="P17" i="14" s="1"/>
  <c r="R288" i="9"/>
  <c r="R3" i="9"/>
  <c r="G4" i="11" s="1" a="1"/>
  <c r="G4" i="11" s="1"/>
  <c r="S53" i="9"/>
  <c r="K25" i="14" s="1" a="1"/>
  <c r="K25" i="14" s="1"/>
  <c r="S44" i="9"/>
  <c r="K16" i="14" s="1" a="1"/>
  <c r="K16" i="14" s="1"/>
  <c r="R28" i="9"/>
  <c r="S17" i="9"/>
  <c r="J19" i="14" s="1" a="1"/>
  <c r="J19" i="14" s="1"/>
  <c r="R178" i="9"/>
  <c r="R295" i="9"/>
  <c r="S181" i="9"/>
  <c r="O33" i="14" s="1" a="1"/>
  <c r="O33" i="14" s="1"/>
  <c r="R292" i="9"/>
  <c r="S115" i="9"/>
  <c r="M27" i="14" s="1" a="1"/>
  <c r="M27" i="14" s="1"/>
  <c r="R177" i="9"/>
  <c r="S9" i="11" a="1"/>
  <c r="S9" i="11" s="1"/>
  <c r="U9" i="11" s="1"/>
  <c r="S6" i="11" a="1"/>
  <c r="S6" i="11" s="1"/>
  <c r="U6" i="11" s="1"/>
  <c r="M17" i="12" a="1"/>
  <c r="M17" i="12" s="1"/>
  <c r="M16" i="12" a="1"/>
  <c r="M16" i="12" s="1"/>
  <c r="S7" i="11" a="1"/>
  <c r="S7" i="11" s="1"/>
  <c r="U7" i="11" s="1"/>
  <c r="M20" i="12" a="1"/>
  <c r="M20" i="12" s="1"/>
  <c r="S5" i="11" a="1"/>
  <c r="S5" i="11" s="1"/>
  <c r="U5" i="11" s="1"/>
  <c r="S3" i="11" a="1"/>
  <c r="S3" i="11" s="1"/>
  <c r="U3" i="11" s="1"/>
  <c r="M6" i="12" a="1"/>
  <c r="M6" i="12" s="1"/>
  <c r="M18" i="12" a="1"/>
  <c r="M18" i="12" s="1"/>
  <c r="S11" i="11" a="1"/>
  <c r="S11" i="11" s="1"/>
  <c r="U11" i="11" s="1"/>
  <c r="M29" i="12" a="1"/>
  <c r="M29" i="12" s="1"/>
  <c r="M10" i="12" a="1"/>
  <c r="M10" i="12" s="1"/>
  <c r="M7" i="12" a="1"/>
  <c r="M7" i="12" s="1"/>
  <c r="S10" i="11" a="1"/>
  <c r="S10" i="11" s="1"/>
  <c r="U10" i="11" s="1"/>
  <c r="M3" i="12" a="1"/>
  <c r="M3" i="12" s="1"/>
  <c r="M9" i="12" a="1"/>
  <c r="M9" i="12" s="1"/>
  <c r="M28" i="12" a="1"/>
  <c r="M28" i="12" s="1"/>
  <c r="M32" i="12" a="1"/>
  <c r="M32" i="12" s="1"/>
  <c r="M14" i="12" a="1"/>
  <c r="M14" i="12" s="1"/>
  <c r="M4" i="12" a="1"/>
  <c r="M4" i="12" s="1"/>
  <c r="M24" i="12" a="1"/>
  <c r="M24" i="12" s="1"/>
  <c r="M31" i="12" a="1"/>
  <c r="M31" i="12" s="1"/>
  <c r="M26" i="12" a="1"/>
  <c r="M26" i="12" s="1"/>
  <c r="M8" i="12" a="1"/>
  <c r="M8" i="12" s="1"/>
  <c r="M22" i="12" a="1"/>
  <c r="M22" i="12" s="1"/>
  <c r="M25" i="12" a="1"/>
  <c r="M25" i="12" s="1"/>
  <c r="M23" i="12" a="1"/>
  <c r="M23" i="12" s="1"/>
  <c r="M21" i="12" a="1"/>
  <c r="M21" i="12" s="1"/>
  <c r="S12" i="11" a="1"/>
  <c r="S12" i="11" s="1"/>
  <c r="M11" i="12" a="1"/>
  <c r="M11" i="12" s="1"/>
  <c r="M12" i="12" a="1"/>
  <c r="M12" i="12" s="1"/>
  <c r="S4" i="11" a="1"/>
  <c r="S4" i="11" s="1"/>
  <c r="U4" i="11" s="1"/>
  <c r="M13" i="12" l="1" a="1"/>
  <c r="M13" i="12" s="1"/>
  <c r="M5" i="12" a="1"/>
  <c r="M5" i="12" s="1"/>
  <c r="M19" i="12" a="1"/>
  <c r="M19" i="12" s="1"/>
  <c r="M30" i="12" a="1"/>
  <c r="M30" i="12" s="1"/>
  <c r="M1" i="12" s="1"/>
  <c r="M15" i="12" a="1"/>
  <c r="M15" i="12" s="1"/>
  <c r="M27" i="12" a="1"/>
  <c r="M27" i="12" s="1"/>
  <c r="U12" i="11"/>
  <c r="J22" i="12" s="1"/>
  <c r="K22" i="12" s="1"/>
  <c r="L22" i="12" s="1"/>
  <c r="J9" i="12"/>
  <c r="K9" i="12" s="1"/>
  <c r="L9" i="12" s="1"/>
  <c r="U8" i="11"/>
  <c r="J18" i="12" s="1"/>
  <c r="K18" i="12" s="1"/>
  <c r="L18" i="12" s="1"/>
  <c r="J11" i="12"/>
  <c r="K11" i="12" s="1"/>
  <c r="L11" i="12" s="1"/>
  <c r="J21" i="12"/>
  <c r="K21" i="12" s="1"/>
  <c r="L21" i="12" s="1"/>
  <c r="J31" i="12"/>
  <c r="K31" i="12" s="1"/>
  <c r="L31" i="12" s="1"/>
  <c r="J3" i="12"/>
  <c r="K3" i="12" s="1"/>
  <c r="L3" i="12" s="1"/>
  <c r="J13" i="12"/>
  <c r="K13" i="12" s="1"/>
  <c r="L13" i="12" s="1"/>
  <c r="J23" i="12"/>
  <c r="K23" i="12" s="1"/>
  <c r="L23" i="12" s="1"/>
  <c r="J6" i="12"/>
  <c r="K6" i="12" s="1"/>
  <c r="L6" i="12" s="1"/>
  <c r="J26" i="12"/>
  <c r="K26" i="12" s="1"/>
  <c r="L26" i="12" s="1"/>
  <c r="J16" i="12"/>
  <c r="K16" i="12" s="1"/>
  <c r="L16" i="12" s="1"/>
  <c r="J5" i="12"/>
  <c r="K5" i="12" s="1"/>
  <c r="L5" i="12" s="1"/>
  <c r="J25" i="12"/>
  <c r="K25" i="12" s="1"/>
  <c r="L25" i="12" s="1"/>
  <c r="J15" i="12"/>
  <c r="K15" i="12" s="1"/>
  <c r="L15" i="12" s="1"/>
  <c r="J10" i="12"/>
  <c r="K10" i="12" s="1"/>
  <c r="L10" i="12" s="1"/>
  <c r="J30" i="12"/>
  <c r="K30" i="12" s="1"/>
  <c r="L30" i="12" s="1"/>
  <c r="J20" i="12"/>
  <c r="K20" i="12" s="1"/>
  <c r="L20" i="12" s="1"/>
  <c r="J4" i="12"/>
  <c r="K4" i="12" s="1"/>
  <c r="L4" i="12" s="1"/>
  <c r="J14" i="12"/>
  <c r="K14" i="12" s="1"/>
  <c r="L14" i="12" s="1"/>
  <c r="J24" i="12"/>
  <c r="K24" i="12" s="1"/>
  <c r="L24" i="12" s="1"/>
  <c r="J7" i="12"/>
  <c r="K7" i="12" s="1"/>
  <c r="L7" i="12" s="1"/>
  <c r="J17" i="12"/>
  <c r="K17" i="12" s="1"/>
  <c r="L17" i="12" s="1"/>
  <c r="J27" i="12"/>
  <c r="K27" i="12" s="1"/>
  <c r="L27" i="12" s="1"/>
  <c r="J12" i="12" l="1"/>
  <c r="K12" i="12" s="1"/>
  <c r="L12" i="12" s="1"/>
  <c r="J19" i="12"/>
  <c r="K19" i="12" s="1"/>
  <c r="L19" i="12" s="1"/>
  <c r="J28" i="12"/>
  <c r="K28" i="12" s="1"/>
  <c r="L28" i="12" s="1"/>
  <c r="J8" i="12"/>
  <c r="K8" i="12" s="1"/>
  <c r="L8" i="12" s="1"/>
  <c r="J29" i="12"/>
  <c r="K29" i="12" s="1"/>
  <c r="L29" i="12" s="1"/>
  <c r="J32" i="12"/>
  <c r="K32" i="12" s="1"/>
  <c r="L3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<sst xmlns="http://schemas.openxmlformats.org/spreadsheetml/2006/main" count="529" uniqueCount="289">
  <si>
    <t>Legend</t>
  </si>
  <si>
    <t>Named Ranges</t>
  </si>
  <si>
    <t>If the heading is this colour, data needs to be entered in this column</t>
  </si>
  <si>
    <t>Magnitude Based Indicators</t>
  </si>
  <si>
    <t>If the heading is this colour, the formula needs to be adjusted or written</t>
  </si>
  <si>
    <t>Values</t>
  </si>
  <si>
    <t>Indicator values should be named "Val_" followed by the indicator number from Step 1 (e.g., Val_1)</t>
  </si>
  <si>
    <t>Cells in these two colours have formulas in them, please do not enter anything in these cells</t>
  </si>
  <si>
    <t>Severity</t>
  </si>
  <si>
    <t>Severity columns in Step 2 for magnitude based indicators should be named "Sev_" followed by the indicator number from Step 1 (e.g., Sev_1)</t>
  </si>
  <si>
    <t>PiN</t>
  </si>
  <si>
    <t>PiN columns in Step 2 for magnitude based indicators should be named "PIN_" followed by the indicator number from Step 1 (e.g., PIN_1)</t>
  </si>
  <si>
    <t>The following instructions will help to ensure this aggregation workbook is properly set up.</t>
  </si>
  <si>
    <t>Degree Based Indicators</t>
  </si>
  <si>
    <t>All Degrees</t>
  </si>
  <si>
    <t>Each of the column headings for degree based indicators starts with the number of the indicator from Step 1 followed by "_Dsev_" which stands for Degree Severity, then followed by the number of the degree in question.  (e.g., If indicator 1 is a degree based indicator it would be named 1_Dsev_1, 1_Dsev_2,1_DSev_3, 1_DSev_4, 1_DSev_5)</t>
  </si>
  <si>
    <t>Note that any cells where data needs to be entered will be white.</t>
  </si>
  <si>
    <t>Step 1</t>
  </si>
  <si>
    <t>While data is being collected from the sectors, update the IndicatorOverview sheet with all the relevant indicators.  Be sure to update the named ranges (to set a named range, select the entire range, including the heading that lists the name for the range, go to the 'Formulas' tab on the Excel Ribbon, and select 'Create from Selection')</t>
  </si>
  <si>
    <t>Step 2</t>
  </si>
  <si>
    <t>At this stage you should have collected datasets from all the sectors in the format outlined in the JIAF_DataCollection_Template.  On the table labeled "Step 2-Data Entry" enter the indicator data provided by each of the sectors.  Once again, remember to update the named ranges as you may have more or less administrative areas than those in the template.
Note that Magnitude based indicators will only be included in the calculation of Max PiN if the sector provides PiN values for said indicator.  However, all indicators will be used to calculate Severity and the Severity calculation is used to provide the minimum PiN (calculated using the 25% rule) - so even if a PiN number is not provided, the indicators will still be factored in for some parts of PiN production.</t>
  </si>
  <si>
    <t>Step 3</t>
  </si>
  <si>
    <t>Input data provided by the sectors for their sectoral PiN and Severity figures.</t>
  </si>
  <si>
    <t>Step 4</t>
  </si>
  <si>
    <t>The long data will need to be updated by you so it covers the correct number of indicators and areas.  To do this, ensure you have the correct Admin P Codes (for the administrative level you are calculating needs at) input.  If you are adding any extra rows to this list, be sure to copy and paste from the exiting rows as there are formulas that would need to be repeated.  Once you have the full list for the first indicator, copy it and paste it below.  Change the indicator number to 2.  Repeat this process for each indicator.  Update the named ranges for this sheet.</t>
  </si>
  <si>
    <t>Step 5</t>
  </si>
  <si>
    <t>Adjust the formulas for the severity rankings (there is a photo on the right that points to the figures that need to be adjusted, when you are updating the Long Data sheet, the range will adjust and you need to correct it so it is covering the full Long Data range - meaning number of rows).  Adjust the formula in the 'Mean of Max 50%' column.  This is column AG under step 5.  Make sure the formula is calculating on half of the indicators included in the analysis.  If there is an odd number of indicators, round up.  This mean if you have 27 indicators, you would average across the first 14 columns of severity figures.  Update the named ranges for the two relevant columns (E and AG).  Be sure to update the critical indicators columns so all critical indicators are listed.  If you need to add additional columns, you can copy and paste the formula used for the existing critical indicators column.  Be sure to update the calculated severity column so it compares the mean of max severity against the maximum across all critical indicators.</t>
  </si>
  <si>
    <t>Step 6</t>
  </si>
  <si>
    <t>Step 6 can only be completed with Expert Judgement.  Data provided there and in the 'PiN Overview - Expert Judgement' sheet can help facilitate expert discussions where the final PiN for each area will be decided.  It uses conditional formatting to highlight which indicator is providing the maximum PiN.  If a single indicator is responsible for the majority of the maximum figures, it may be worth considering the reliability of that indicator and if, perhaps, figures should be adjusted.  If you have an analyst available and access to more advanced graphing capacities, consider producing a boxplot with jitter to see if the max PiN's are outliers or if other indicators also have similar values (example below).  Outliers should be discussed within the expert judgement group, but evidence of multiple indicators showing similar results may be useful to confirm if Max PiN is on the right track.  Remember that Max PiN should actually be considered more of a minimum than a maximum because it assumes that all needs are overlapping, when it is very possible that they are not.
Things to consider during expert judgement:
- Are there any large outliers?
- Are the maximum indicators higher than their sector overall PiN?  - if so, speak with the sector and determine if their internal process of expert judgement decided to lower PiN for any reasons.
- Is the data being used for this indicator reliable?
- Are these indicators possibly covered by any compound indexes?  (e.g. the Food Consumption Score might be used as a component in IPC).  If so, talk with the sector and ask which figure they feel is more accurately representing needs.
- Do any of the indicators pertain to specific sub-groups of the population (e.g., women and girls, IDPs, Refugees, etc.).  If so, carefully consider if the final PiN accurately incorporates these groups.  (e.g., if there is a population of 100,000, and the PiN you have determined is 10,000, and there are 8,000 IDPs, and indicators are suggesting all IDPs are in need, then it follows that only 2,000 non-IDPs would be considered 'in need' - so PiN may need to be increased if other indicators suggest that non-IDPs have needs exceeding the 2,000 that would be covered.)</t>
  </si>
  <si>
    <t>The below image is an example of a boxplot with Jitter (produced using R) that shows the PiN figures for each indicator within a country, the whiskers give an idea for the range of PiN values.  These graphs can be helpful for spotting outliers.  In the example belo, Eriador has some outliers (indicated by the 3 black dots) - however, there are three different outlier points which means it's not just one indicator showing a largely different result to others.  This information needs to be carefully weighed by the expert judgement group.</t>
  </si>
  <si>
    <t>Cluster</t>
  </si>
  <si>
    <t>Pillar</t>
  </si>
  <si>
    <t>Sub_Pillar</t>
  </si>
  <si>
    <t>Source</t>
  </si>
  <si>
    <t>Number</t>
  </si>
  <si>
    <t>Indicator</t>
  </si>
  <si>
    <t>Class</t>
  </si>
  <si>
    <t>Group</t>
  </si>
  <si>
    <t>Critical</t>
  </si>
  <si>
    <t>Severity_1</t>
  </si>
  <si>
    <t>Severity_2</t>
  </si>
  <si>
    <t>Severity_3</t>
  </si>
  <si>
    <t>Severity_4</t>
  </si>
  <si>
    <t>Severity_5</t>
  </si>
  <si>
    <t>Protection</t>
  </si>
  <si>
    <t>Humanitarian Conditions</t>
  </si>
  <si>
    <t>Physical and mental wellbeing</t>
  </si>
  <si>
    <t>Whole of Afghanistan Survey</t>
  </si>
  <si>
    <t>% of  households with at least one member with a disability by severity</t>
  </si>
  <si>
    <t>Degree</t>
  </si>
  <si>
    <t>Non_Displaced, Migrants, All_Others</t>
  </si>
  <si>
    <t>No</t>
  </si>
  <si>
    <t>No family member disabled</t>
  </si>
  <si>
    <t xml:space="preserve">At least 1 family member has 'some difficulty' </t>
  </si>
  <si>
    <t xml:space="preserve">At least 1 family member has 'a lot of difficulty' </t>
  </si>
  <si>
    <t>At least 1 family member 'cannot do at all'</t>
  </si>
  <si>
    <t>More than two types of disability reported 'cannot do at all'</t>
  </si>
  <si>
    <t>Coping mechanisms</t>
  </si>
  <si>
    <t>% of households exceeding higher than average debt (&gt;45,000 AFN)</t>
  </si>
  <si>
    <t>0-&lt;10,000</t>
  </si>
  <si>
    <t>&gt;10,000</t>
  </si>
  <si>
    <t>&gt;45,000</t>
  </si>
  <si>
    <t>&gt;65,000</t>
  </si>
  <si>
    <t>No criteria</t>
  </si>
  <si>
    <t>% of households know how to access humanitarian assistance (e.g. where to go and who to contact?) if they were to need it and feedback or complaint mechanisms to reach aid providers about community needs, assistance received or problems with assistance</t>
  </si>
  <si>
    <t>aware of both how to access and of feedback or complaint mechanisms</t>
  </si>
  <si>
    <t>aware of  how to access OR of feedback or complaint mechanisms</t>
  </si>
  <si>
    <t>aware of neither</t>
  </si>
  <si>
    <t>Living standards</t>
  </si>
  <si>
    <t>% HHs without access to essential services (including health, education, markets, and improved water sources)</t>
  </si>
  <si>
    <t>None</t>
  </si>
  <si>
    <t>At least one essential service</t>
  </si>
  <si>
    <t>At least 2 essential services</t>
  </si>
  <si>
    <t>Atleast 3 esential services</t>
  </si>
  <si>
    <t>4 or more essential services</t>
  </si>
  <si>
    <t>% of children aged 6 to 17 that attended formal schooling at least 4 days a week prior to C-19 outbreak</t>
  </si>
  <si>
    <t>Magnitude</t>
  </si>
  <si>
    <t>76%-99%</t>
  </si>
  <si>
    <t>75-46%</t>
  </si>
  <si>
    <t>45-16%</t>
  </si>
  <si>
    <t>&lt;=15%</t>
  </si>
  <si>
    <t>% school aged children enrolled in school prior to C-19 without access to education in a safe and protected environment (defined as available handwashing facilities and heating)”</t>
  </si>
  <si>
    <t>both heating and hand washing</t>
  </si>
  <si>
    <t>heating but not handwashing</t>
  </si>
  <si>
    <t>handwashing facilities but not heating</t>
  </si>
  <si>
    <t>neither handwashing facilities or heating</t>
  </si>
  <si>
    <t>% of  households had at least 1 child between the age of 11 - 17 working outside of the household in the last 30 days</t>
  </si>
  <si>
    <t>Yes</t>
  </si>
  <si>
    <t>% of households reporting  "Marriage of daughters earlier than intended" due to lack of food or income to buy food in the last 30 days (yes, or unable due to strategy exhausted)</t>
  </si>
  <si>
    <t>Not used/ not applicable</t>
  </si>
  <si>
    <t>Strategy exhausted</t>
  </si>
  <si>
    <t>Food Security</t>
  </si>
  <si>
    <t>IPC</t>
  </si>
  <si>
    <t>IPC analysis</t>
  </si>
  <si>
    <t>% population under phase 1</t>
  </si>
  <si>
    <t>% population under phase 2</t>
  </si>
  <si>
    <t>% population under phase 3</t>
  </si>
  <si>
    <t>% population under phase 4</t>
  </si>
  <si>
    <t>% population under phase 5</t>
  </si>
  <si>
    <t>% of HHs having access to a sufficient quality and quantity of water for drinking, cooking, bathing, washing or other domestic use</t>
  </si>
  <si>
    <t xml:space="preserve">Water comes from an improved water source of acceptable Sphere standards quality which is located on premises AND/OR Enough water for drinking, cooking, personal hygiene and other domestic purposes
</t>
  </si>
  <si>
    <t xml:space="preserve">Water comes from an improved water source of acceptable Sphere standards quality, provided collection time is not more than 30 minutes for a roundtrip, including queuing AND/OR Enough water for drinking AND cooking AND personal hygiene, AND NOT for other domestic purposes </t>
  </si>
  <si>
    <t>Water comes from an improved source of acceptable Sphere standards quality for which collection time exceeds 30 minutes for a roundtrip, including queuing AND/OR Enough water for drinking AND EITHER cooking OR personal hygiene</t>
  </si>
  <si>
    <t>Water comes from an unimproved water source AND/OR Enough water for drinking AND NOT for cooking AND personal hygiene</t>
  </si>
  <si>
    <t>Water comes directly from rivers, lakes, ponds, etc. AND/OR NOT enough water for drinking</t>
  </si>
  <si>
    <t>SFSA</t>
  </si>
  <si>
    <t>% of HHs unable to obtain seed</t>
  </si>
  <si>
    <t>&lt;25%</t>
  </si>
  <si>
    <t>25-50%</t>
  </si>
  <si>
    <t>50-75%</t>
  </si>
  <si>
    <t>75-85%</t>
  </si>
  <si>
    <t>&gt;85%</t>
  </si>
  <si>
    <t>% of HHs who have lost their source of income due to conflict, natural disaster or reduced employment opportunities</t>
  </si>
  <si>
    <t>&lt;50%</t>
  </si>
  <si>
    <t>50-70%</t>
  </si>
  <si>
    <t>70-80%</t>
  </si>
  <si>
    <t>80-90%</t>
  </si>
  <si>
    <t>&gt;90%</t>
  </si>
  <si>
    <t>Indicator 1</t>
  </si>
  <si>
    <t>Indicator 2</t>
  </si>
  <si>
    <t>Indicator 3</t>
  </si>
  <si>
    <t>Indicator 4</t>
  </si>
  <si>
    <t>Indicator 5</t>
  </si>
  <si>
    <t>Indicator 6</t>
  </si>
  <si>
    <t>Indicator 7</t>
  </si>
  <si>
    <t>Indicator 8</t>
  </si>
  <si>
    <t>Indicator 9</t>
  </si>
  <si>
    <t>Indicator 10</t>
  </si>
  <si>
    <t>Indicator 11</t>
  </si>
  <si>
    <t>Indicator 12</t>
  </si>
  <si>
    <t>Location Names and Codes</t>
  </si>
  <si>
    <t>Severity 1</t>
  </si>
  <si>
    <t>Severity 2</t>
  </si>
  <si>
    <t>Severity 3</t>
  </si>
  <si>
    <t>Severity 4</t>
  </si>
  <si>
    <t>Severity 5</t>
  </si>
  <si>
    <t>ID</t>
  </si>
  <si>
    <t>ADM1_STATE</t>
  </si>
  <si>
    <t>ADM1_Pcode</t>
  </si>
  <si>
    <t>ADM2_COUNTY</t>
  </si>
  <si>
    <t>ADM2_Pcode</t>
  </si>
  <si>
    <t>Group Population</t>
  </si>
  <si>
    <t>Group Name</t>
  </si>
  <si>
    <t>Key</t>
  </si>
  <si>
    <t>1_DSev_1</t>
  </si>
  <si>
    <t>1_DSev_2</t>
  </si>
  <si>
    <t>1_DSev_3</t>
  </si>
  <si>
    <t>1_DSev_4</t>
  </si>
  <si>
    <t>1_DSev_5</t>
  </si>
  <si>
    <t>2_DSev_1</t>
  </si>
  <si>
    <t>2_DSev_2</t>
  </si>
  <si>
    <t>2_DSev_3</t>
  </si>
  <si>
    <t>2_DSev_4</t>
  </si>
  <si>
    <t>2_DSev_5</t>
  </si>
  <si>
    <t>3_DSev_1</t>
  </si>
  <si>
    <t>3_DSev_2</t>
  </si>
  <si>
    <t>3_DSev_3</t>
  </si>
  <si>
    <t>3_DSev_4</t>
  </si>
  <si>
    <t>3_DSev_5</t>
  </si>
  <si>
    <t>4_DSev_1</t>
  </si>
  <si>
    <t>4_DSev_2</t>
  </si>
  <si>
    <t>4_DSev_3</t>
  </si>
  <si>
    <t>4_DSev_4</t>
  </si>
  <si>
    <t>4_DSev_5</t>
  </si>
  <si>
    <t>Val_5</t>
  </si>
  <si>
    <t>Sev_5</t>
  </si>
  <si>
    <t>PIN_5</t>
  </si>
  <si>
    <t>6_DSev_1</t>
  </si>
  <si>
    <t>6_DSev_2</t>
  </si>
  <si>
    <t>6_DSev_3</t>
  </si>
  <si>
    <t>6_DSev_4</t>
  </si>
  <si>
    <t>6_DSev_5</t>
  </si>
  <si>
    <t>7_DSev_1</t>
  </si>
  <si>
    <t>7_DSev_2</t>
  </si>
  <si>
    <t>7_DSev_3</t>
  </si>
  <si>
    <t>7_DSev_4</t>
  </si>
  <si>
    <t>7_DSev_5</t>
  </si>
  <si>
    <t>8_DSev_1</t>
  </si>
  <si>
    <t>8_DSev_2</t>
  </si>
  <si>
    <t>8_DSev_3</t>
  </si>
  <si>
    <t>8_DSev_4</t>
  </si>
  <si>
    <t>8_DSev_5</t>
  </si>
  <si>
    <t>Val_9</t>
  </si>
  <si>
    <t>Sev_9</t>
  </si>
  <si>
    <t>PIN_9</t>
  </si>
  <si>
    <t>10_DSev_1</t>
  </si>
  <si>
    <t>10_DSev_2</t>
  </si>
  <si>
    <t>10_DSev_3</t>
  </si>
  <si>
    <t>10_DSev_4</t>
  </si>
  <si>
    <t>10_DSev_5</t>
  </si>
  <si>
    <t>Val_11</t>
  </si>
  <si>
    <t>Sev_11</t>
  </si>
  <si>
    <t>PIN_11</t>
  </si>
  <si>
    <t>Val_12</t>
  </si>
  <si>
    <t>Sev_12</t>
  </si>
  <si>
    <t>PIN_12</t>
  </si>
  <si>
    <t>Kabul</t>
  </si>
  <si>
    <t>AF01</t>
  </si>
  <si>
    <t>All_Others</t>
  </si>
  <si>
    <t>Kapisa</t>
  </si>
  <si>
    <t>AF02</t>
  </si>
  <si>
    <t>Parwan</t>
  </si>
  <si>
    <t>AF03</t>
  </si>
  <si>
    <t>Wardak</t>
  </si>
  <si>
    <t>AF04</t>
  </si>
  <si>
    <t>Logar</t>
  </si>
  <si>
    <t>AF05</t>
  </si>
  <si>
    <t>Nangarhar</t>
  </si>
  <si>
    <t>AF06</t>
  </si>
  <si>
    <t>Laghman</t>
  </si>
  <si>
    <t>AF07</t>
  </si>
  <si>
    <t>Panjsher</t>
  </si>
  <si>
    <t>AF08</t>
  </si>
  <si>
    <t>Baghlan</t>
  </si>
  <si>
    <t>AF09</t>
  </si>
  <si>
    <t>Bamyan</t>
  </si>
  <si>
    <t>AF10</t>
  </si>
  <si>
    <t>Non_Displaced</t>
  </si>
  <si>
    <t>Migrants</t>
  </si>
  <si>
    <t>CCCM</t>
  </si>
  <si>
    <t>Education</t>
  </si>
  <si>
    <t>ES NFI</t>
  </si>
  <si>
    <t>FSL</t>
  </si>
  <si>
    <t>Health</t>
  </si>
  <si>
    <t xml:space="preserve">Nutrition </t>
  </si>
  <si>
    <t xml:space="preserve">Protection </t>
  </si>
  <si>
    <t>WASH</t>
  </si>
  <si>
    <t>Refugees</t>
  </si>
  <si>
    <t>Population</t>
  </si>
  <si>
    <t>Population Groups</t>
  </si>
  <si>
    <t>CCCM_Severity</t>
  </si>
  <si>
    <t>CCCM_PIN</t>
  </si>
  <si>
    <t>ED_Severity</t>
  </si>
  <si>
    <t>ED_PIN</t>
  </si>
  <si>
    <t>ESNFI_Severity</t>
  </si>
  <si>
    <t>ESNFI_PIN</t>
  </si>
  <si>
    <t>FSL_Severity</t>
  </si>
  <si>
    <t>FSL_PIN</t>
  </si>
  <si>
    <t>Health_Severity</t>
  </si>
  <si>
    <t>Health_PIN</t>
  </si>
  <si>
    <t>Nut_Severity</t>
  </si>
  <si>
    <t>Nut_PIN</t>
  </si>
  <si>
    <t>Pro_Severity</t>
  </si>
  <si>
    <t>Pro_PIN</t>
  </si>
  <si>
    <t>WASH_Severity</t>
  </si>
  <si>
    <t>WASH_PIN</t>
  </si>
  <si>
    <t>Row ID</t>
  </si>
  <si>
    <t>Key ID</t>
  </si>
  <si>
    <t>Admin 2 P-Code</t>
  </si>
  <si>
    <t>Indicator Number</t>
  </si>
  <si>
    <t>Indicator Pillar</t>
  </si>
  <si>
    <t>Indicator Sub-Pillar</t>
  </si>
  <si>
    <t>Indicator Text</t>
  </si>
  <si>
    <t>Indicator Class</t>
  </si>
  <si>
    <t>Critical Status</t>
  </si>
  <si>
    <t>Magnitude Severity</t>
  </si>
  <si>
    <t>Calculated Severity</t>
  </si>
  <si>
    <t>Calculated PiN</t>
  </si>
  <si>
    <t>Clusters Severity</t>
  </si>
  <si>
    <t>1</t>
  </si>
  <si>
    <t>2</t>
  </si>
  <si>
    <t>3</t>
  </si>
  <si>
    <t>4</t>
  </si>
  <si>
    <t>5</t>
  </si>
  <si>
    <t>6</t>
  </si>
  <si>
    <t>7</t>
  </si>
  <si>
    <t>8</t>
  </si>
  <si>
    <t>9</t>
  </si>
  <si>
    <t>10</t>
  </si>
  <si>
    <t>11</t>
  </si>
  <si>
    <t>12</t>
  </si>
  <si>
    <t>Mean of max 50%  - Severity</t>
  </si>
  <si>
    <t>Severity Corrected for Critical Max (rounded)</t>
  </si>
  <si>
    <t>Clustter1 Severity</t>
  </si>
  <si>
    <t>Cluster 2 Severity</t>
  </si>
  <si>
    <t>Population Group</t>
  </si>
  <si>
    <t xml:space="preserve">Severity
</t>
  </si>
  <si>
    <t>Min. # of pop. in this severity class (or higher) ***</t>
  </si>
  <si>
    <t>JIAF PIN estimate is:</t>
  </si>
  <si>
    <t>Max PiN</t>
  </si>
  <si>
    <t>MaxSector</t>
  </si>
  <si>
    <t>Internally Displaced</t>
  </si>
  <si>
    <t>Cross-Border Returnees - Iran</t>
  </si>
  <si>
    <t>Cross-Border Returnees - Pakistan</t>
  </si>
  <si>
    <t>Refugee Returnees</t>
  </si>
  <si>
    <t>Shock Affected - Natural Disaster</t>
  </si>
  <si>
    <t>Shock Affected - Trauma</t>
  </si>
  <si>
    <t>Shock Affected - COVID</t>
  </si>
  <si>
    <t>Total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</si>
</sst>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 #,##0.00_ ;_ * \-#,##0.00_ ;_ * &quot;-&quot;??_ ;_ @_ "/>
    <numFmt numFmtId="165" formatCode="_(* #,##0_);_(* \(#,##0\);_(* &quot;-&quot;??_);_(@_)"/>
    <numFmt numFmtId="166" formatCode="_-* #,##0.00_-;\-* #,##0.00_-;_-* &quot;-&quot;??_-;_-@_-"/>
    <numFmt numFmtId="167" formatCode="_-* #,##0_-;\-* #,##0_-;_-* &quot;-&quot;??_-;_-@_-"/>
  </numFmts>
  <fonts count="2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0"/>
      <color theme="0"/>
      <name val="Calibri"/>
      <family val="2"/>
      <charset val="178"/>
    </font>
    <font>
      <sz val="10"/>
      <name val="Calibri"/>
      <family val="2"/>
      <scheme val="minor"/>
    </font>
    <font>
      <sz val="10"/>
      <color theme="0"/>
      <name val="Calibri"/>
      <family val="2"/>
      <scheme val="minor"/>
    </font>
    <font>
      <b/>
      <sz val="10"/>
      <color theme="1"/>
      <name val="Calibri"/>
      <family val="2"/>
      <scheme val="minor"/>
    </font>
    <font>
      <sz val="10"/>
      <color theme="1"/>
      <name val="Calibri"/>
      <family val="2"/>
      <scheme val="minor"/>
    </font>
    <font>
      <b/>
      <sz val="9"/>
      <color theme="0"/>
      <name val="Calibri"/>
      <family val="2"/>
    </font>
    <font>
      <b/>
      <sz val="9"/>
      <color theme="0"/>
      <name val="Calibri"/>
      <family val="2"/>
      <scheme val="minor"/>
    </font>
    <font>
      <sz val="9"/>
      <color theme="1"/>
      <name val="Calibri"/>
      <family val="2"/>
      <scheme val="minor"/>
    </font>
    <font>
      <sz val="10"/>
      <color theme="1"/>
      <name val="Arial Narrow"/>
      <family val="2"/>
    </font>
    <font>
      <sz val="9"/>
      <color rgb="FF000000"/>
      <name val="Calibri"/>
      <family val="2"/>
      <scheme val="minor"/>
    </font>
    <font>
      <sz val="9"/>
      <color theme="0"/>
      <name val="Calibri"/>
      <family val="2"/>
      <scheme val="minor"/>
    </font>
    <font>
      <sz val="9"/>
      <color rgb="FFFFFFFF"/>
      <name val="Calibri"/>
      <family val="2"/>
      <scheme val="minor"/>
    </font>
    <font>
      <b/>
      <sz val="8"/>
      <name val="Calibri (Body)"/>
    </font>
    <font>
      <sz val="8"/>
      <color theme="1"/>
      <name val="Calibri"/>
      <family val="2"/>
      <charset val="178"/>
      <scheme val="minor"/>
    </font>
    <font>
      <sz val="10"/>
      <color theme="1"/>
      <name val="Calibri"/>
      <family val="2"/>
      <charset val="178"/>
    </font>
    <font>
      <sz val="10"/>
      <color theme="1"/>
      <name val="Calibri"/>
      <family val="2"/>
      <charset val="178"/>
      <scheme val="minor"/>
    </font>
  </fonts>
  <fills count="24">
    <fill>
      <patternFill patternType="none"/>
    </fill>
    <fill>
      <patternFill patternType="gray125"/>
    </fill>
    <fill>
      <patternFill patternType="solid">
        <fgColor rgb="FFE8F19A"/>
        <bgColor indexed="64"/>
      </patternFill>
    </fill>
    <fill>
      <patternFill patternType="solid">
        <fgColor rgb="FFB6EDE1"/>
        <bgColor indexed="64"/>
      </patternFill>
    </fill>
    <fill>
      <patternFill patternType="solid">
        <fgColor rgb="FFBEDFE5"/>
        <bgColor indexed="64"/>
      </patternFill>
    </fill>
    <fill>
      <patternFill patternType="solid">
        <fgColor rgb="FFEBFFFF"/>
        <bgColor indexed="64"/>
      </patternFill>
    </fill>
    <fill>
      <patternFill patternType="solid">
        <fgColor rgb="FFD7FFF7"/>
        <bgColor indexed="64"/>
      </patternFill>
    </fill>
    <fill>
      <patternFill patternType="solid">
        <fgColor rgb="FF95DCCA"/>
        <bgColor indexed="64"/>
      </patternFill>
    </fill>
    <fill>
      <patternFill patternType="solid">
        <fgColor rgb="FF73CAB3"/>
        <bgColor indexed="64"/>
      </patternFill>
    </fill>
    <fill>
      <patternFill patternType="solid">
        <fgColor rgb="FF50B99C"/>
        <bgColor indexed="64"/>
      </patternFill>
    </fill>
    <fill>
      <patternFill patternType="solid">
        <fgColor rgb="FF22A784"/>
        <bgColor indexed="64"/>
      </patternFill>
    </fill>
    <fill>
      <patternFill patternType="solid">
        <fgColor rgb="FF335E8D"/>
        <bgColor theme="4"/>
      </patternFill>
    </fill>
    <fill>
      <patternFill patternType="solid">
        <fgColor rgb="FFDFD1E3"/>
        <bgColor indexed="64"/>
      </patternFill>
    </fill>
    <fill>
      <patternFill patternType="solid">
        <fgColor rgb="FFBDAAC9"/>
        <bgColor indexed="64"/>
      </patternFill>
    </fill>
    <fill>
      <patternFill patternType="solid">
        <fgColor rgb="FF9785B2"/>
        <bgColor indexed="64"/>
      </patternFill>
    </fill>
    <fill>
      <patternFill patternType="solid">
        <fgColor rgb="FF6F629C"/>
        <bgColor indexed="64"/>
      </patternFill>
    </fill>
    <fill>
      <patternFill patternType="solid">
        <fgColor rgb="FF404387"/>
        <bgColor indexed="64"/>
      </patternFill>
    </fill>
    <fill>
      <patternFill patternType="solid">
        <fgColor rgb="FFAEE3E7"/>
        <bgColor indexed="64"/>
      </patternFill>
    </fill>
    <fill>
      <patternFill patternType="solid">
        <fgColor rgb="FF6D9FB8"/>
        <bgColor indexed="64"/>
      </patternFill>
    </fill>
    <fill>
      <patternFill patternType="solid">
        <fgColor rgb="FFE8F19A"/>
        <bgColor theme="4"/>
      </patternFill>
    </fill>
    <fill>
      <patternFill patternType="solid">
        <fgColor theme="9" tint="0.79998168889431442"/>
        <bgColor theme="9" tint="0.79998168889431442"/>
      </patternFill>
    </fill>
    <fill>
      <patternFill patternType="solid">
        <fgColor theme="9" tint="0.59999389629810485"/>
        <bgColor indexed="64"/>
      </patternFill>
    </fill>
    <fill>
      <patternFill patternType="solid">
        <fgColor rgb="FFD9E1F2"/>
        <bgColor indexed="64"/>
      </patternFill>
    </fill>
    <fill>
      <patternFill patternType="solid">
        <fgColor rgb="FFB4C6E7"/>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ck">
        <color theme="5" tint="-0.249977111117893"/>
      </left>
      <right/>
      <top style="thick">
        <color theme="5" tint="-0.249977111117893"/>
      </top>
      <bottom/>
      <diagonal/>
    </border>
    <border>
      <left/>
      <right/>
      <top style="thick">
        <color theme="5" tint="-0.249977111117893"/>
      </top>
      <bottom/>
      <diagonal/>
    </border>
    <border>
      <left/>
      <right style="thick">
        <color theme="5" tint="-0.249977111117893"/>
      </right>
      <top style="thick">
        <color theme="5" tint="-0.249977111117893"/>
      </top>
      <bottom/>
      <diagonal/>
    </border>
    <border>
      <left style="thick">
        <color theme="5" tint="-0.249977111117893"/>
      </left>
      <right/>
      <top/>
      <bottom/>
      <diagonal/>
    </border>
    <border>
      <left/>
      <right style="thick">
        <color theme="5" tint="-0.249977111117893"/>
      </right>
      <top/>
      <bottom/>
      <diagonal/>
    </border>
    <border>
      <left style="thick">
        <color theme="5" tint="-0.249977111117893"/>
      </left>
      <right/>
      <top/>
      <bottom style="thick">
        <color theme="5" tint="-0.249977111117893"/>
      </bottom>
      <diagonal/>
    </border>
    <border>
      <left/>
      <right/>
      <top/>
      <bottom style="thick">
        <color theme="5" tint="-0.249977111117893"/>
      </bottom>
      <diagonal/>
    </border>
    <border>
      <left/>
      <right style="thick">
        <color theme="5" tint="-0.249977111117893"/>
      </right>
      <top/>
      <bottom style="thick">
        <color theme="5"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4"/>
      </left>
      <right style="thin">
        <color theme="4"/>
      </right>
      <top style="thin">
        <color theme="4"/>
      </top>
      <bottom style="thin">
        <color theme="4"/>
      </bottom>
      <diagonal/>
    </border>
    <border>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0" fontId="13" fillId="0" borderId="0"/>
    <xf numFmtId="166" fontId="1" fillId="0" borderId="0" applyFont="0" applyFill="0" applyBorder="0" applyAlignment="0" applyProtection="0"/>
  </cellStyleXfs>
  <cellXfs count="98">
    <xf numFmtId="0" fontId="0" fillId="0" borderId="0" xfId="0"/>
    <xf numFmtId="0" fontId="4" fillId="0" borderId="0" xfId="0" applyFont="1"/>
    <xf numFmtId="0" fontId="0" fillId="2" borderId="1" xfId="0" applyFill="1" applyBorder="1"/>
    <xf numFmtId="0" fontId="2" fillId="0" borderId="0" xfId="0" applyFont="1"/>
    <xf numFmtId="0" fontId="0" fillId="3" borderId="1" xfId="0" applyFill="1" applyBorder="1"/>
    <xf numFmtId="0" fontId="0" fillId="4" borderId="1" xfId="0" applyFill="1" applyBorder="1"/>
    <xf numFmtId="0" fontId="0" fillId="5" borderId="1" xfId="0" applyFill="1" applyBorder="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6" borderId="0" xfId="0" applyFill="1" applyAlignment="1">
      <alignment horizontal="left" vertical="center"/>
    </xf>
    <xf numFmtId="0" fontId="0" fillId="6" borderId="0" xfId="0"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0" fillId="7" borderId="0" xfId="0" applyFill="1" applyAlignment="1">
      <alignment horizontal="left" vertical="center"/>
    </xf>
    <xf numFmtId="0" fontId="0" fillId="7" borderId="0" xfId="0" applyFill="1" applyAlignment="1">
      <alignment horizontal="left" vertical="center" wrapText="1"/>
    </xf>
    <xf numFmtId="0" fontId="3" fillId="8" borderId="0" xfId="0" applyFont="1" applyFill="1" applyAlignment="1">
      <alignment horizontal="left" vertical="center"/>
    </xf>
    <xf numFmtId="0" fontId="3" fillId="8" borderId="0" xfId="0" applyFont="1" applyFill="1" applyAlignment="1">
      <alignment horizontal="left" vertical="center" wrapText="1"/>
    </xf>
    <xf numFmtId="0" fontId="3" fillId="9" borderId="0" xfId="0" applyFont="1" applyFill="1" applyAlignment="1">
      <alignment horizontal="left" vertical="center"/>
    </xf>
    <xf numFmtId="0" fontId="3" fillId="9" borderId="0" xfId="0" applyFont="1" applyFill="1" applyAlignment="1">
      <alignment horizontal="left" vertical="center" wrapText="1"/>
    </xf>
    <xf numFmtId="0" fontId="3" fillId="10" borderId="0" xfId="0" applyFont="1" applyFill="1" applyAlignment="1">
      <alignment horizontal="left" vertical="center"/>
    </xf>
    <xf numFmtId="0" fontId="3" fillId="10" borderId="0" xfId="0" applyFont="1" applyFill="1" applyAlignment="1">
      <alignment horizontal="left" vertical="center" wrapText="1"/>
    </xf>
    <xf numFmtId="0" fontId="0" fillId="0" borderId="8" xfId="0" applyBorder="1"/>
    <xf numFmtId="0" fontId="0" fillId="0" borderId="9" xfId="0" applyBorder="1"/>
    <xf numFmtId="0" fontId="0" fillId="0" borderId="10" xfId="0" applyBorder="1"/>
    <xf numFmtId="0" fontId="5" fillId="11" borderId="1" xfId="0" applyFont="1" applyFill="1" applyBorder="1" applyAlignment="1">
      <alignment vertical="center" wrapText="1"/>
    </xf>
    <xf numFmtId="0" fontId="5" fillId="11" borderId="1" xfId="0" applyFont="1" applyFill="1" applyBorder="1" applyAlignment="1">
      <alignment horizontal="left" vertical="center" wrapText="1"/>
    </xf>
    <xf numFmtId="9" fontId="6" fillId="12" borderId="1" xfId="2" applyFont="1" applyFill="1" applyBorder="1" applyAlignment="1">
      <alignment horizontal="center" vertical="center" wrapText="1"/>
    </xf>
    <xf numFmtId="0" fontId="6" fillId="13"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9" fontId="8" fillId="4" borderId="1" xfId="2" applyFont="1" applyFill="1" applyBorder="1" applyAlignment="1">
      <alignment vertical="center" wrapText="1"/>
    </xf>
    <xf numFmtId="165" fontId="8" fillId="4" borderId="1" xfId="1" applyNumberFormat="1" applyFont="1" applyFill="1" applyBorder="1" applyAlignment="1">
      <alignment vertical="center" wrapText="1"/>
    </xf>
    <xf numFmtId="9" fontId="8" fillId="4" borderId="1" xfId="2" applyFont="1" applyFill="1" applyBorder="1" applyAlignment="1">
      <alignment horizontal="center" vertical="center" wrapText="1"/>
    </xf>
    <xf numFmtId="9" fontId="9" fillId="12" borderId="1" xfId="2" applyFont="1" applyFill="1" applyBorder="1" applyAlignment="1">
      <alignment horizontal="center" vertical="center" wrapText="1"/>
    </xf>
    <xf numFmtId="0" fontId="9" fillId="13" borderId="1" xfId="0" applyFont="1" applyFill="1" applyBorder="1" applyAlignment="1">
      <alignment horizontal="center" vertical="center" wrapText="1"/>
    </xf>
    <xf numFmtId="9" fontId="8" fillId="5" borderId="1" xfId="2" applyFont="1" applyFill="1" applyBorder="1" applyAlignment="1">
      <alignment vertical="center" wrapText="1"/>
    </xf>
    <xf numFmtId="165" fontId="8" fillId="5" borderId="1" xfId="1" applyNumberFormat="1" applyFont="1" applyFill="1" applyBorder="1" applyAlignment="1">
      <alignment vertical="center" wrapText="1"/>
    </xf>
    <xf numFmtId="9" fontId="8" fillId="5" borderId="1" xfId="2" applyFont="1" applyFill="1" applyBorder="1" applyAlignment="1">
      <alignment horizontal="center" vertical="center" wrapText="1"/>
    </xf>
    <xf numFmtId="9" fontId="8" fillId="17" borderId="1" xfId="2" applyFont="1" applyFill="1" applyBorder="1" applyAlignment="1">
      <alignment vertical="center" wrapText="1"/>
    </xf>
    <xf numFmtId="165" fontId="8" fillId="17" borderId="1" xfId="1" applyNumberFormat="1" applyFont="1" applyFill="1" applyBorder="1" applyAlignment="1">
      <alignment vertical="center" wrapText="1"/>
    </xf>
    <xf numFmtId="9" fontId="8" fillId="17" borderId="1" xfId="2" applyFont="1" applyFill="1" applyBorder="1" applyAlignment="1">
      <alignment horizontal="center" vertical="center" wrapText="1"/>
    </xf>
    <xf numFmtId="0" fontId="12" fillId="0" borderId="0" xfId="0" applyFont="1"/>
    <xf numFmtId="0" fontId="12" fillId="0" borderId="0" xfId="0" applyFont="1" applyAlignment="1">
      <alignment wrapText="1"/>
    </xf>
    <xf numFmtId="0" fontId="17" fillId="19" borderId="0" xfId="0" applyFont="1" applyFill="1" applyAlignment="1">
      <alignment horizontal="center" vertical="top" wrapText="1"/>
    </xf>
    <xf numFmtId="165" fontId="17" fillId="19" borderId="0" xfId="1" applyNumberFormat="1" applyFont="1" applyFill="1" applyBorder="1" applyAlignment="1">
      <alignment horizontal="center" vertical="top" wrapText="1"/>
    </xf>
    <xf numFmtId="0" fontId="17" fillId="2" borderId="17" xfId="3" applyFont="1" applyFill="1" applyBorder="1" applyAlignment="1">
      <alignment horizontal="center" vertical="center" wrapText="1"/>
    </xf>
    <xf numFmtId="165" fontId="17" fillId="2" borderId="17" xfId="1" applyNumberFormat="1" applyFont="1" applyFill="1" applyBorder="1" applyAlignment="1">
      <alignment horizontal="center" vertical="center" wrapText="1"/>
    </xf>
    <xf numFmtId="0" fontId="18" fillId="0" borderId="0" xfId="0" applyFont="1"/>
    <xf numFmtId="167" fontId="19" fillId="0" borderId="18" xfId="4" applyNumberFormat="1" applyFont="1" applyFill="1" applyBorder="1" applyAlignment="1">
      <alignment horizontal="center" vertical="top"/>
    </xf>
    <xf numFmtId="0" fontId="19" fillId="0" borderId="18" xfId="0" applyFont="1" applyBorder="1" applyAlignment="1">
      <alignment horizontal="center" vertical="top"/>
    </xf>
    <xf numFmtId="165" fontId="19" fillId="0" borderId="18" xfId="1" applyNumberFormat="1" applyFont="1" applyFill="1" applyBorder="1" applyAlignment="1">
      <alignment horizontal="center" vertical="top"/>
    </xf>
    <xf numFmtId="9" fontId="20" fillId="0" borderId="18" xfId="2" applyFont="1" applyFill="1" applyBorder="1" applyAlignment="1">
      <alignment vertical="top"/>
    </xf>
    <xf numFmtId="165" fontId="20" fillId="0" borderId="18" xfId="2" applyNumberFormat="1" applyFont="1" applyFill="1" applyBorder="1" applyAlignment="1">
      <alignment vertical="top"/>
    </xf>
    <xf numFmtId="165" fontId="20" fillId="0" borderId="18" xfId="1" applyNumberFormat="1" applyFont="1" applyFill="1" applyBorder="1" applyAlignment="1">
      <alignment vertical="top"/>
    </xf>
    <xf numFmtId="0" fontId="20" fillId="0" borderId="0" xfId="0" applyFont="1"/>
    <xf numFmtId="165" fontId="20" fillId="0" borderId="0" xfId="1" applyNumberFormat="1" applyFont="1"/>
    <xf numFmtId="0" fontId="10" fillId="11" borderId="1" xfId="0" applyFont="1" applyFill="1" applyBorder="1" applyAlignment="1">
      <alignment horizontal="center" vertical="center" wrapText="1"/>
    </xf>
    <xf numFmtId="0" fontId="10" fillId="11" borderId="17" xfId="0" applyFont="1" applyFill="1" applyBorder="1" applyAlignment="1">
      <alignment horizontal="center" vertical="center" wrapText="1"/>
    </xf>
    <xf numFmtId="0" fontId="14" fillId="12" borderId="17" xfId="3" applyFont="1" applyFill="1" applyBorder="1" applyAlignment="1">
      <alignment horizontal="center" vertical="center" wrapText="1"/>
    </xf>
    <xf numFmtId="0" fontId="14" fillId="13" borderId="17" xfId="3" applyFont="1" applyFill="1" applyBorder="1" applyAlignment="1">
      <alignment horizontal="center" vertical="center" wrapText="1"/>
    </xf>
    <xf numFmtId="0" fontId="15" fillId="14" borderId="17" xfId="3" applyFont="1" applyFill="1" applyBorder="1" applyAlignment="1">
      <alignment horizontal="center" vertical="center" wrapText="1"/>
    </xf>
    <xf numFmtId="0" fontId="16" fillId="15" borderId="17" xfId="3" applyFont="1" applyFill="1" applyBorder="1" applyAlignment="1">
      <alignment horizontal="center" vertical="center" wrapText="1"/>
    </xf>
    <xf numFmtId="0" fontId="16" fillId="16" borderId="17" xfId="3" applyFont="1" applyFill="1" applyBorder="1" applyAlignment="1">
      <alignment horizontal="center" vertical="center" wrapText="1"/>
    </xf>
    <xf numFmtId="165" fontId="0" fillId="0" borderId="0" xfId="0" applyNumberFormat="1"/>
    <xf numFmtId="167" fontId="0" fillId="0" borderId="0" xfId="0" applyNumberFormat="1"/>
    <xf numFmtId="0" fontId="0" fillId="0" borderId="0" xfId="0" applyAlignment="1">
      <alignment horizontal="center"/>
    </xf>
    <xf numFmtId="0" fontId="0" fillId="0" borderId="0" xfId="0" applyAlignment="1">
      <alignment wrapText="1"/>
    </xf>
    <xf numFmtId="0" fontId="0" fillId="20" borderId="20" xfId="0" applyFill="1" applyBorder="1"/>
    <xf numFmtId="0" fontId="0" fillId="21" borderId="0" xfId="0" applyFill="1" applyAlignment="1">
      <alignment wrapText="1"/>
    </xf>
    <xf numFmtId="0" fontId="0" fillId="20" borderId="20" xfId="0" applyFill="1" applyBorder="1" applyAlignment="1">
      <alignment wrapText="1"/>
    </xf>
    <xf numFmtId="167" fontId="2" fillId="0" borderId="0" xfId="0" applyNumberFormat="1" applyFont="1"/>
    <xf numFmtId="0" fontId="10" fillId="11" borderId="13" xfId="0" applyFont="1" applyFill="1" applyBorder="1" applyAlignment="1">
      <alignment horizontal="center" vertical="center" wrapText="1"/>
    </xf>
    <xf numFmtId="0" fontId="0" fillId="22" borderId="0" xfId="0" applyFill="1"/>
    <xf numFmtId="0" fontId="0" fillId="23" borderId="0" xfId="0" applyFill="1"/>
    <xf numFmtId="0" fontId="0" fillId="0" borderId="0" xfId="0" applyAlignment="1">
      <alignment horizontal="center" wrapText="1"/>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9" fontId="11" fillId="18" borderId="14" xfId="2" applyFont="1" applyFill="1" applyBorder="1" applyAlignment="1">
      <alignment horizontal="center" vertical="center" wrapText="1"/>
    </xf>
    <xf numFmtId="9" fontId="11" fillId="18" borderId="15" xfId="2" applyFont="1" applyFill="1" applyBorder="1" applyAlignment="1">
      <alignment horizontal="center" vertical="center" wrapText="1"/>
    </xf>
    <xf numFmtId="9" fontId="11" fillId="18" borderId="16" xfId="2" applyFont="1" applyFill="1" applyBorder="1" applyAlignment="1">
      <alignment horizontal="center" vertical="center" wrapText="1"/>
    </xf>
    <xf numFmtId="9" fontId="11" fillId="18" borderId="2" xfId="2" applyFont="1" applyFill="1" applyBorder="1" applyAlignment="1">
      <alignment horizontal="center" vertical="center" wrapText="1"/>
    </xf>
    <xf numFmtId="9" fontId="11" fillId="18" borderId="0" xfId="2" applyFont="1" applyFill="1" applyBorder="1" applyAlignment="1">
      <alignment horizontal="center" vertical="center" wrapText="1"/>
    </xf>
    <xf numFmtId="9" fontId="11" fillId="18" borderId="19" xfId="2" applyFont="1" applyFill="1" applyBorder="1" applyAlignment="1">
      <alignment horizontal="center" vertical="center" wrapText="1"/>
    </xf>
    <xf numFmtId="9" fontId="11" fillId="18" borderId="1" xfId="2"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12" xfId="0" applyFont="1" applyFill="1" applyBorder="1" applyAlignment="1">
      <alignment horizontal="center" vertical="center" wrapText="1"/>
    </xf>
    <xf numFmtId="0" fontId="0" fillId="0" borderId="0" xfId="0" applyAlignment="1">
      <alignment horizontal="center"/>
    </xf>
    <xf numFmtId="0" fontId="0" fillId="22" borderId="0" xfId="0" applyFill="1" applyAlignment="1">
      <alignment horizontal="center"/>
    </xf>
    <xf numFmtId="0" fontId="0" fillId="23" borderId="0" xfId="0" applyFill="1" applyAlignment="1">
      <alignment horizontal="center"/>
    </xf>
  </cellXfs>
  <cellStyles count="5">
    <cellStyle name="Comma" xfId="1" builtinId="3"/>
    <cellStyle name="Comma 2" xfId="4" xr:uid="{1DE8F946-D51E-49F4-B9FE-13E4EC6302C2}"/>
    <cellStyle name="Normal" xfId="0" builtinId="0"/>
    <cellStyle name="Normal 2" xfId="3" xr:uid="{314F0844-88E3-4986-90DD-4B23BA7CD7B2}"/>
    <cellStyle name="Percent" xfId="2" builtinId="5"/>
  </cellStyles>
  <dxfs count="134">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alignment horizontal="center" vertical="bottom" textRotation="0" wrapText="0" indent="0" justifyLastLine="0" shrinkToFit="0" readingOrder="0"/>
    </dxf>
    <dxf>
      <numFmt numFmtId="165" formatCode="_(* #,##0_);_(* \(#,##0\);_(* &quot;-&quot;??_);_(@_)"/>
    </dxf>
    <dxf>
      <numFmt numFmtId="165" formatCode="_(* #,##0_);_(* \(#,##0\);_(* &quot;-&quot;??_);_(@_)"/>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numFmt numFmtId="165" formatCode="_(* #,##0_);_(* \(#,##0\);_(* &quot;-&quot;??_);_(@_)"/>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numFmt numFmtId="165" formatCode="_(* #,##0_);_(* \(#,##0\);_(* &quot;-&quot;??_);_(@_)"/>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numFmt numFmtId="165" formatCode="_(* #,##0_);_(* \(#,##0\);_(* &quot;-&quot;??_);_(@_)"/>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numFmt numFmtId="165" formatCode="_(* #,##0_);_(* \(#,##0\);_(* &quot;-&quot;??_);_(@_)"/>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numFmt numFmtId="167" formatCode="_-* #,##0_-;\-* #,##0_-;_-* &quot;-&quot;??_-;_-@_-"/>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numFmt numFmtId="167" formatCode="_-* #,##0_-;\-* #,##0_-;_-* &quot;-&quot;??_-;_-@_-"/>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0"/>
        <color theme="1"/>
        <name val="Calibri"/>
        <family val="2"/>
        <charset val="178"/>
        <scheme val="none"/>
      </font>
      <numFmt numFmtId="167" formatCode="_-* #,##0_-;\-* #,##0_-;_-* &quot;-&quot;??_-;_-@_-"/>
      <fill>
        <patternFill patternType="none">
          <fgColor indexed="64"/>
          <bgColor indexed="65"/>
        </patternFill>
      </fill>
      <alignment horizontal="center" vertical="top"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border outline="0">
        <top style="thin">
          <color indexed="64"/>
        </top>
        <bottom style="thin">
          <color theme="4"/>
        </bottom>
      </border>
    </dxf>
    <dxf>
      <font>
        <b val="0"/>
        <i val="0"/>
        <strike val="0"/>
        <condense val="0"/>
        <extend val="0"/>
        <outline val="0"/>
        <shadow val="0"/>
        <u val="none"/>
        <vertAlign val="baseline"/>
        <sz val="10"/>
        <color theme="1"/>
        <name val="Calibri"/>
        <family val="2"/>
        <charset val="178"/>
        <scheme val="minor"/>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8"/>
        <color auto="1"/>
        <name val="Calibri (Body)"/>
        <scheme val="none"/>
      </font>
      <fill>
        <patternFill patternType="solid">
          <fgColor indexed="64"/>
          <bgColor rgb="FFE8F19A"/>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0"/>
        <name val="Calibri"/>
        <family val="2"/>
        <scheme val="minor"/>
      </font>
      <fill>
        <patternFill patternType="solid">
          <fgColor indexed="64"/>
          <bgColor theme="5" tint="-0.49998474074526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Calibri"/>
        <family val="2"/>
        <scheme val="minor"/>
      </font>
      <fill>
        <patternFill patternType="solid">
          <fgColor indexed="64"/>
          <bgColor theme="5" tint="0.399975585192419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solid">
          <fgColor indexed="64"/>
          <bgColor rgb="FFDFD1E3"/>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rgb="FFAEE3E7"/>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rgb="FFBEDFE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AEE3E7"/>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rgb="FFAEE3E7"/>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numFmt numFmtId="165" formatCode="_(* #,##0_);_(* \(#,##0\);_(* &quot;-&quot;??_);_(@_)"/>
      <fill>
        <patternFill patternType="solid">
          <fgColor indexed="64"/>
          <bgColor rgb="FFAEE3E7"/>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rgb="FFAEE3E7"/>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rgb="FFBEDFE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AEE3E7"/>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bottom style="thin">
          <color indexed="64"/>
        </bottom>
      </border>
    </dxf>
    <dxf>
      <alignment vertical="center"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527165</xdr:colOff>
      <xdr:row>24</xdr:row>
      <xdr:rowOff>70846</xdr:rowOff>
    </xdr:from>
    <xdr:to>
      <xdr:col>4</xdr:col>
      <xdr:colOff>6693221</xdr:colOff>
      <xdr:row>53</xdr:row>
      <xdr:rowOff>136385</xdr:rowOff>
    </xdr:to>
    <xdr:pic>
      <xdr:nvPicPr>
        <xdr:cNvPr id="2" name="Picture 1">
          <a:extLst>
            <a:ext uri="{FF2B5EF4-FFF2-40B4-BE49-F238E27FC236}">
              <a16:creationId xmlns:a16="http://schemas.microsoft.com/office/drawing/2014/main" id="{FF22574F-E793-4C63-9633-192B48CF0E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96785" y="13670641"/>
          <a:ext cx="6960441" cy="5323339"/>
        </a:xfrm>
        <a:prstGeom prst="rect">
          <a:avLst/>
        </a:prstGeom>
        <a:ln w="19050">
          <a:solidFill>
            <a:schemeClr val="accent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940A6D-5E81-40CE-98C3-E7907A0D60CE}" name="Framework" displayName="Framework" ref="A1:N13" totalsRowShown="0" headerRowDxfId="133" dataDxfId="132" tableBorderDxfId="131">
  <autoFilter ref="A1:N13" xr:uid="{7A802F12-7309-4AC4-B421-2721F692DC96}"/>
  <tableColumns count="14">
    <tableColumn id="1" xr3:uid="{D4A40272-E806-4A3E-B354-E95410088E2A}" name="Cluster" dataDxfId="130" dataCellStyle="Percent"/>
    <tableColumn id="13" xr3:uid="{E594D048-EC43-41FE-A5ED-4004DA64B8DC}" name="Pillar" dataDxfId="129" dataCellStyle="Percent"/>
    <tableColumn id="2" xr3:uid="{BDF1F5B5-63CD-40D4-A7A3-4A0140BFCFCE}" name="Sub_Pillar" dataDxfId="128" dataCellStyle="Percent"/>
    <tableColumn id="14" xr3:uid="{055C4BA7-75A4-4912-A916-281B9126D1B0}" name="Source"/>
    <tableColumn id="3" xr3:uid="{98A33A8D-7E00-4307-A446-D7E7FA9A1099}" name="Number" dataDxfId="127" dataCellStyle="Comma"/>
    <tableColumn id="4" xr3:uid="{9516E928-47E9-42CD-9787-FFE34B6B6D71}" name="Indicator" dataDxfId="126" dataCellStyle="Percent"/>
    <tableColumn id="5" xr3:uid="{24396DE4-09B4-4D8A-BACF-C46C717EF369}" name="Class" dataDxfId="125" dataCellStyle="Percent"/>
    <tableColumn id="6" xr3:uid="{544C862F-C5F5-4515-A60B-6BE9F9F3B3B1}" name="Group" dataDxfId="124" dataCellStyle="Percent"/>
    <tableColumn id="12" xr3:uid="{036376BF-1E3E-46D1-8A8F-1B6A9DF5E7F8}" name="Critical" dataDxfId="123" dataCellStyle="Percent"/>
    <tableColumn id="7" xr3:uid="{EA1E311A-AFBF-4D33-8EE4-0479B852FFC3}" name="Severity_1" dataDxfId="122" dataCellStyle="Percent"/>
    <tableColumn id="8" xr3:uid="{36A4D8BC-0E1D-4501-8646-9DD42330766C}" name="Severity_2" dataDxfId="121"/>
    <tableColumn id="9" xr3:uid="{61EE2C8B-A440-4651-8D8E-60658470F996}" name="Severity_3" dataDxfId="120"/>
    <tableColumn id="10" xr3:uid="{578AA0AC-4F64-4E23-9743-859D9FA1EA70}" name="Severity_4" dataDxfId="119"/>
    <tableColumn id="11" xr3:uid="{E6F801CA-2C6B-4295-ACF4-156859C20F83}" name="Severity_5" dataDxfId="118"/>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89AD5E-AE7E-4922-8064-038BD88FA758}" name="Data_Entry" displayName="Data_Entry" ref="A3:BH33" totalsRowShown="0" headerRowDxfId="117" dataDxfId="116" tableBorderDxfId="115" headerRowCellStyle="Normal 2" dataCellStyle="Percent">
  <autoFilter ref="A3:BH33" xr:uid="{72E094BD-1235-450E-94D9-0A2D09A7E15B}"/>
  <tableColumns count="60">
    <tableColumn id="1" xr3:uid="{9F3D818B-9738-4543-9323-3D4C2AEEB8F1}" name="ID" dataDxfId="114" dataCellStyle="Comma 2"/>
    <tableColumn id="2" xr3:uid="{B379F637-DAB5-4F6F-88C9-88086A3DFCFF}" name="ADM1_STATE" dataDxfId="113" dataCellStyle="Comma 2"/>
    <tableColumn id="3" xr3:uid="{C1A78A99-4251-4FC0-A536-8981D08B122D}" name="ADM1_Pcode" dataDxfId="112" dataCellStyle="Comma 2"/>
    <tableColumn id="4" xr3:uid="{7DC25D1D-ABDB-4F1A-9B53-DE8B10A830CA}" name="ADM2_COUNTY" dataDxfId="111"/>
    <tableColumn id="5" xr3:uid="{73F379A7-D504-468F-9B3F-AF4CC40D9BFE}" name="ADM2_Pcode" dataDxfId="110"/>
    <tableColumn id="6" xr3:uid="{A3187007-D0C5-44FF-8241-39487F40361B}" name="Group Population" dataDxfId="109" dataCellStyle="Comma"/>
    <tableColumn id="7" xr3:uid="{FF8E103B-0AE4-40FB-ADD7-DCAF004AA65F}" name="Group Name" dataDxfId="108" dataCellStyle="Comma"/>
    <tableColumn id="8" xr3:uid="{BB1C98B4-045A-4451-B5E2-6DC4468DF9B7}" name="Key" dataDxfId="107" dataCellStyle="Comma">
      <calculatedColumnFormula>_xlfn.CONCAT(Data_Entry[[#This Row],[ADM2_Pcode]],"-",Data_Entry[[#This Row],[Group Name]])</calculatedColumnFormula>
    </tableColumn>
    <tableColumn id="9" xr3:uid="{33C34712-99F9-4289-80BB-8868D2C2F5AE}" name="1_DSev_1" dataDxfId="106" dataCellStyle="Percent"/>
    <tableColumn id="10" xr3:uid="{BE0F5B26-D8BB-484F-B046-23C169C710CB}" name="1_DSev_2" dataDxfId="105" dataCellStyle="Percent"/>
    <tableColumn id="11" xr3:uid="{AF8B5ABC-080E-4C64-80E0-16246098273C}" name="1_DSev_3" dataDxfId="104" dataCellStyle="Percent"/>
    <tableColumn id="12" xr3:uid="{54494C4A-0201-48A7-95E7-A00282480F3A}" name="1_DSev_4" dataDxfId="103" dataCellStyle="Percent"/>
    <tableColumn id="13" xr3:uid="{CD74DE1F-6D0E-4905-B12D-A664F53C0E97}" name="1_DSev_5" dataDxfId="102" dataCellStyle="Percent"/>
    <tableColumn id="14" xr3:uid="{9B8889A3-F200-425F-AC18-BF44E53792E4}" name="2_DSev_1" dataDxfId="101" dataCellStyle="Percent"/>
    <tableColumn id="15" xr3:uid="{5F0C4ADB-0A88-4385-81E2-525841341439}" name="2_DSev_2" dataDxfId="100" dataCellStyle="Percent"/>
    <tableColumn id="16" xr3:uid="{2223B7AC-F882-4A15-B7A9-61FEFD288F7E}" name="2_DSev_3" dataDxfId="99" dataCellStyle="Percent"/>
    <tableColumn id="17" xr3:uid="{B22E4D13-CE84-43D6-990A-5DD9C6D405AB}" name="2_DSev_4" dataDxfId="98" dataCellStyle="Percent"/>
    <tableColumn id="18" xr3:uid="{DBCEC004-E51E-4555-92B4-8C55A3438BF5}" name="2_DSev_5" dataDxfId="97" dataCellStyle="Percent"/>
    <tableColumn id="19" xr3:uid="{DBF1C12D-8D5A-4E8E-A7A0-898089CF9628}" name="3_DSev_1" dataDxfId="96" dataCellStyle="Percent"/>
    <tableColumn id="20" xr3:uid="{982BB615-C11C-4A66-87EA-AF0641804039}" name="3_DSev_2" dataDxfId="95" dataCellStyle="Percent"/>
    <tableColumn id="21" xr3:uid="{594EA9F3-4505-4571-A837-157D7AA01D23}" name="3_DSev_3" dataDxfId="94" dataCellStyle="Percent"/>
    <tableColumn id="22" xr3:uid="{970843E5-BFF4-4D7C-961A-60D57DB6CA52}" name="3_DSev_4" dataDxfId="93" dataCellStyle="Percent"/>
    <tableColumn id="23" xr3:uid="{43F9B026-D460-4A00-8111-497BC05014F5}" name="3_DSev_5" dataDxfId="92" dataCellStyle="Percent"/>
    <tableColumn id="24" xr3:uid="{20930D09-FD6F-4E04-8766-B6C09A4845CD}" name="4_DSev_1" dataDxfId="91" dataCellStyle="Percent"/>
    <tableColumn id="25" xr3:uid="{5E8CC68C-C0BA-4C74-838A-AD09A4D59D15}" name="4_DSev_2" dataDxfId="90" dataCellStyle="Percent"/>
    <tableColumn id="26" xr3:uid="{3A4B1CB6-98E6-4ECB-8949-7C1B2F47929C}" name="4_DSev_3" dataDxfId="89" dataCellStyle="Percent"/>
    <tableColumn id="27" xr3:uid="{091BC0F5-14ED-4EE4-86A5-EFC93037FE43}" name="4_DSev_4" dataDxfId="88" dataCellStyle="Percent"/>
    <tableColumn id="28" xr3:uid="{DB07F1A9-E12C-48FD-B71B-A9446E5A45FE}" name="4_DSev_5" dataDxfId="87" dataCellStyle="Percent"/>
    <tableColumn id="29" xr3:uid="{CCDA4EA2-4BC9-4700-8489-F79AC9B3D0DB}" name="Val_5" dataDxfId="86" dataCellStyle="Percent"/>
    <tableColumn id="30" xr3:uid="{5E03EF9F-7ECA-4960-956A-F08AC0C9F2B0}" name="Sev_5" dataDxfId="85" dataCellStyle="Comma"/>
    <tableColumn id="31" xr3:uid="{BDB3E14E-B899-4B74-BAD1-EABBA70D182C}" name="PIN_5" dataDxfId="84" dataCellStyle="Comma"/>
    <tableColumn id="32" xr3:uid="{23078255-6E6E-4AEE-B2CE-05005AB53A26}" name="6_DSev_1" dataDxfId="83" dataCellStyle="Percent"/>
    <tableColumn id="33" xr3:uid="{72A1C7C3-0E06-47F2-96B3-546DA430D2BD}" name="6_DSev_2" dataDxfId="82" dataCellStyle="Percent"/>
    <tableColumn id="34" xr3:uid="{A86D93DB-E85B-41D8-BF5A-C87FF2043DCF}" name="6_DSev_3" dataDxfId="81" dataCellStyle="Percent"/>
    <tableColumn id="35" xr3:uid="{5B525F74-DAB6-411A-9799-83AEB78F2696}" name="6_DSev_4" dataDxfId="80" dataCellStyle="Percent"/>
    <tableColumn id="36" xr3:uid="{F1B73915-6112-4F7F-B3A5-F8CF9B6947F8}" name="6_DSev_5" dataDxfId="79" dataCellStyle="Percent"/>
    <tableColumn id="37" xr3:uid="{6661AAEF-1B80-4533-8B7B-CD604537ACA7}" name="7_DSev_1" dataDxfId="78" dataCellStyle="Percent"/>
    <tableColumn id="38" xr3:uid="{BCF44335-D030-4FFA-8015-A7BA1D84DA9F}" name="7_DSev_2" dataDxfId="77" dataCellStyle="Percent"/>
    <tableColumn id="39" xr3:uid="{CD92AED1-FEAF-4B95-823C-6329D7C6D7C0}" name="7_DSev_3" dataDxfId="76" dataCellStyle="Percent"/>
    <tableColumn id="40" xr3:uid="{A4AFBA27-B569-4C43-8FD5-CB957653AB2E}" name="7_DSev_4" dataDxfId="75" dataCellStyle="Percent"/>
    <tableColumn id="41" xr3:uid="{9AD8E830-3A74-4049-AA51-8E2F2984BF33}" name="7_DSev_5" dataDxfId="74" dataCellStyle="Percent"/>
    <tableColumn id="42" xr3:uid="{B20CEFC7-04D8-4E84-B047-B68BCA01EC13}" name="8_DSev_1" dataDxfId="73" dataCellStyle="Percent"/>
    <tableColumn id="43" xr3:uid="{534D8B8E-62A3-4805-9E48-8A8FB832208F}" name="8_DSev_2" dataDxfId="72" dataCellStyle="Percent"/>
    <tableColumn id="44" xr3:uid="{A96D3DBE-4E74-484C-84B4-C7D29038D8EC}" name="8_DSev_3" dataDxfId="71" dataCellStyle="Percent"/>
    <tableColumn id="45" xr3:uid="{D05618B4-1F36-4B2F-B0F2-D5EA65732478}" name="8_DSev_4" dataDxfId="70" dataCellStyle="Percent"/>
    <tableColumn id="46" xr3:uid="{947050D9-5F00-4498-B8F5-B877A584642E}" name="8_DSev_5" dataDxfId="69" dataCellStyle="Percent"/>
    <tableColumn id="47" xr3:uid="{86B0A3B1-44C4-49E2-999C-556A9392AEF9}" name="Val_9" dataDxfId="68" dataCellStyle="Percent"/>
    <tableColumn id="48" xr3:uid="{E873DB54-1F56-4168-80D1-ED01C153C3B2}" name="Sev_9" dataDxfId="67" dataCellStyle="Comma"/>
    <tableColumn id="49" xr3:uid="{C84DCCBF-EF7A-4E14-AB97-E4AD8D742891}" name="PIN_9" dataDxfId="66" dataCellStyle="Comma"/>
    <tableColumn id="50" xr3:uid="{4F4801E0-33E8-4639-BE05-0797A8CA7DF9}" name="10_DSev_1" dataDxfId="65" dataCellStyle="Percent"/>
    <tableColumn id="51" xr3:uid="{09A2410A-E522-4FFC-8BEF-8A19B63923F3}" name="10_DSev_2" dataDxfId="64" dataCellStyle="Percent"/>
    <tableColumn id="52" xr3:uid="{050E560A-769C-41F6-BE00-B6033CE7663C}" name="10_DSev_3" dataDxfId="63" dataCellStyle="Percent"/>
    <tableColumn id="53" xr3:uid="{3E3A433D-E1B8-4823-BEFC-D93F05A7AC19}" name="10_DSev_4" dataDxfId="62" dataCellStyle="Percent"/>
    <tableColumn id="54" xr3:uid="{6CF8AB21-F66E-4EEE-88C2-269772CEC2A5}" name="10_DSev_5" dataDxfId="61" dataCellStyle="Percent"/>
    <tableColumn id="55" xr3:uid="{3CBF582B-BF35-4298-8A49-734FF1EC174B}" name="Val_11" dataDxfId="60" dataCellStyle="Percent"/>
    <tableColumn id="56" xr3:uid="{76A5A74D-38DC-49F2-953D-5B68618971BC}" name="Sev_11" dataDxfId="59" dataCellStyle="Comma"/>
    <tableColumn id="57" xr3:uid="{08DF44F1-CAF6-4CA9-A72E-11DE89652A17}" name="PIN_11" dataDxfId="58" dataCellStyle="Comma"/>
    <tableColumn id="58" xr3:uid="{8C028D34-7AB1-4D0E-B989-E0405C032524}" name="Val_12" dataDxfId="57" dataCellStyle="Percent"/>
    <tableColumn id="59" xr3:uid="{78451F10-F622-4FA8-B586-9AD20B3A4BD9}" name="Sev_12" dataDxfId="56" dataCellStyle="Comma"/>
    <tableColumn id="60" xr3:uid="{AFA1EF9B-13B9-405C-B8E9-0F9030B4EE18}" name="PIN_12" dataDxfId="55" dataCellStyle="Comma"/>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8807327-1784-4BF0-9D9E-AE12579BA7EF}" name="Sector_Data" displayName="Sector_Data" ref="A2:W32" totalsRowShown="0">
  <autoFilter ref="A2:W32" xr:uid="{17E062CE-3C95-4E8C-A939-7E58EF522DE6}"/>
  <tableColumns count="23">
    <tableColumn id="1" xr3:uid="{9EC3738B-1F17-4F22-A504-3DC60C05DB76}" name="ID"/>
    <tableColumn id="2" xr3:uid="{DF7DF12D-A35A-4F7B-9725-47BA40B22778}" name="ADM2_COUNTY">
      <calculatedColumnFormula>IFERROR(INDEX(Data_Entry[ADM2_COUNTY],MATCH('Step 3-Sector Data'!A3,Data_Entry[ID],0)),"NA")</calculatedColumnFormula>
    </tableColumn>
    <tableColumn id="3" xr3:uid="{65E4C301-2111-4981-82ED-822D4AA198DF}" name="ADM2_Pcode">
      <calculatedColumnFormula>IFERROR(INDEX(Data_Entry[ADM2_Pcode],MATCH('Step 3-Sector Data'!A3,Data_Entry[ID],0)),"NA")</calculatedColumnFormula>
    </tableColumn>
    <tableColumn id="4" xr3:uid="{FB7B5B29-22AF-42D7-9860-BFE4FD279915}" name="Population" dataDxfId="54">
      <calculatedColumnFormula>IFERROR(INDEX(Data_Entry[Group Population],MATCH('Step 3-Sector Data'!A3,Data_Entry[ID],0)),"NA")</calculatedColumnFormula>
    </tableColumn>
    <tableColumn id="23" xr3:uid="{815E1B65-E0DA-45CF-A344-F923E450E361}" name="Population Groups" dataDxfId="53">
      <calculatedColumnFormula>IFERROR(INDEX(Data_Entry[Group Name],MATCH('Step 3-Sector Data'!A3,Data_Entry[ID],0)),"NA")</calculatedColumnFormula>
    </tableColumn>
    <tableColumn id="22" xr3:uid="{1E082B28-FA88-4CEA-9D46-FE79D99CBFE4}" name="Key" dataDxfId="52">
      <calculatedColumnFormula>IFERROR(INDEX(Data_Entry[Key],MATCH('Step 3-Sector Data'!A3,Data_Entry[ID],0)),"NA")</calculatedColumnFormula>
    </tableColumn>
    <tableColumn id="5" xr3:uid="{472C34D5-CAC7-4AF0-98C3-F22C1A3CBD69}" name="CCCM_Severity"/>
    <tableColumn id="6" xr3:uid="{D1678D95-C0D1-4720-9B31-61222E872C78}" name="CCCM_PIN"/>
    <tableColumn id="7" xr3:uid="{A99F41ED-C44E-43B0-8201-11E109496B21}" name="ED_Severity"/>
    <tableColumn id="8" xr3:uid="{1EEB2CA8-3B4E-46EF-85BD-74B5625A96F5}" name="ED_PIN"/>
    <tableColumn id="9" xr3:uid="{021A84BB-100B-4C3A-BC20-83029946DFC8}" name="ESNFI_Severity"/>
    <tableColumn id="10" xr3:uid="{196F1FFB-5041-4AF7-8782-88509178BBFE}" name="ESNFI_PIN"/>
    <tableColumn id="11" xr3:uid="{1E111C31-5360-4CDD-BF75-39AF51DC7952}" name="FSL_Severity"/>
    <tableColumn id="12" xr3:uid="{F73DB310-9565-4E84-B2BA-3081CB350DBD}" name="FSL_PIN"/>
    <tableColumn id="13" xr3:uid="{456D5249-2162-48A4-B591-99DFE30BB544}" name="Health_Severity"/>
    <tableColumn id="14" xr3:uid="{61B44873-1318-4D6F-91BC-D2DE76768861}" name="Health_PIN"/>
    <tableColumn id="15" xr3:uid="{AAE2059B-618D-4CA6-A8C2-680DC9F5B982}" name="Nut_Severity"/>
    <tableColumn id="16" xr3:uid="{53EC271A-60B1-44A8-ABD7-659842A872D5}" name="Nut_PIN"/>
    <tableColumn id="17" xr3:uid="{7A23F652-CCC4-4553-99CB-BFA0F5178875}" name="Pro_Severity"/>
    <tableColumn id="18" xr3:uid="{8B0B2BD3-41DC-46D3-9E17-5B8EF33D17DC}" name="Pro_PIN"/>
    <tableColumn id="19" xr3:uid="{4AD3CF1D-5E32-4623-ADEA-CC233E65B2BE}" name="WASH_Severity"/>
    <tableColumn id="20" xr3:uid="{11DE7045-4E11-4D3D-9980-3456D00B83D1}" name="WASH_PIN"/>
    <tableColumn id="21" xr3:uid="{1059924F-8060-4820-9839-C9DE25A4287A}" name="Refugees"/>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4BFBDD-3835-49A3-84ED-397610C85C5D}" name="Long_Data" displayName="Long_Data" ref="B1:S361" totalsRowShown="0">
  <autoFilter ref="B1:S361" xr:uid="{9FC7BE38-8B1B-43E9-A1BF-32051F4779BC}"/>
  <tableColumns count="18">
    <tableColumn id="18" xr3:uid="{4FBCB3B1-B3CA-48DC-B027-1318573C1E4E}" name="Row ID"/>
    <tableColumn id="17" xr3:uid="{E8D107EC-C7E3-4F1A-B28B-6C3AFEFFDB92}" name="Key ID"/>
    <tableColumn id="1" xr3:uid="{928AABF7-1C16-4997-9283-F93B8CDAFA65}" name="Admin 2 P-Code">
      <calculatedColumnFormula>IFERROR(INDEX(Data_Entry[ADM2_Pcode],MATCH('Step 4-Long Data'!C2,Data_Entry[ID],0)),"NA")</calculatedColumnFormula>
    </tableColumn>
    <tableColumn id="2" xr3:uid="{6C842B18-14A7-4492-8825-A32E7418A2CF}" name="Key">
      <calculatedColumnFormula>IFERROR(INDEX(Data_Entry[Key],MATCH('Step 4-Long Data'!C2,Data_Entry[ID],0)),"NA")</calculatedColumnFormula>
    </tableColumn>
    <tableColumn id="3" xr3:uid="{59842788-1A67-4FF6-838C-BDB75F947992}" name="Indicator Number"/>
    <tableColumn id="16" xr3:uid="{74807DC0-6536-41FB-AA34-588B41CFF822}" name="Indicator Pillar">
      <calculatedColumnFormula>IFERROR(INDEX(Framework[Pillar],MATCH('Step 4-Long Data'!F2,Framework[Number],0)),"")</calculatedColumnFormula>
    </tableColumn>
    <tableColumn id="4" xr3:uid="{2059FFE6-A929-4352-98E3-723B0A1766A3}" name="Indicator Sub-Pillar">
      <calculatedColumnFormula>IFERROR(INDEX(Framework[Sub_Pillar],MATCH('Step 4-Long Data'!F2,Framework[Number],0)),"")</calculatedColumnFormula>
    </tableColumn>
    <tableColumn id="5" xr3:uid="{B82EC445-5C07-4390-8E06-20756D38C80A}" name="Indicator Text">
      <calculatedColumnFormula>IFERROR(INDEX(Framework[Indicator],MATCH('Step 4-Long Data'!F2,Framework[Number],0)),"")</calculatedColumnFormula>
    </tableColumn>
    <tableColumn id="6" xr3:uid="{C7B4E3D8-E1A4-4F79-B69B-86A308F8DF5F}" name="Indicator Class">
      <calculatedColumnFormula>IFERROR(INDEX(Framework[Class],MATCH('Step 4-Long Data'!F2,Framework[Number],0)),"")</calculatedColumnFormula>
    </tableColumn>
    <tableColumn id="7" xr3:uid="{99B0C430-CB0C-4B20-9733-436E56AAE285}" name="Critical Status">
      <calculatedColumnFormula>IFERROR(INDEX(Framework[Critical],MATCH('Step 4-Long Data'!F2,Framework[Number],0)),"")</calculatedColumnFormula>
    </tableColumn>
    <tableColumn id="8" xr3:uid="{55D3B8B1-01CB-4A9C-B5FA-29A00FC944A2}" name="Severity 1">
      <calculatedColumnFormula>IF(Long_Data[[#This Row],[Indicator Class]]="Degree",INDEX(INDIRECT("Data_Entry['"&amp;Long_Data[[#This Row],[Indicator Number]]&amp;"'_DSev_1]"),MATCH(Long_Data[[#This Row],[Key]],Data_Entry[Key],0)),"NA")</calculatedColumnFormula>
    </tableColumn>
    <tableColumn id="9" xr3:uid="{E6434CA3-EE28-47C4-88D2-32279434369D}" name="Severity 2">
      <calculatedColumnFormula>IF(Long_Data[[#This Row],[Indicator Class]]="Degree",INDEX(INDIRECT("Data_Entry['"&amp;Long_Data[[#This Row],[Indicator Number]]&amp;"'_DSev_2]"),MATCH(Long_Data[[#This Row],[Key]],Data_Entry[Key],0)),"NA")</calculatedColumnFormula>
    </tableColumn>
    <tableColumn id="10" xr3:uid="{4056C161-3589-4A80-BE1F-55D88A13C45F}" name="Severity 3">
      <calculatedColumnFormula>IF(Long_Data[[#This Row],[Indicator Class]]="Degree",INDEX(INDIRECT("Data_Entry['"&amp;Long_Data[[#This Row],[Indicator Number]]&amp;"'_DSev_3]"),MATCH(Long_Data[[#This Row],[Key]],Data_Entry[Key],0)),"NA")</calculatedColumnFormula>
    </tableColumn>
    <tableColumn id="11" xr3:uid="{7878A761-56E2-4299-878E-532F7B0A8DFB}" name="Severity 4">
      <calculatedColumnFormula>IF(Long_Data[[#This Row],[Indicator Class]]="Degree",INDEX(INDIRECT("Data_Entry['"&amp;Long_Data[[#This Row],[Indicator Number]]&amp;"'_DSev_4]"),MATCH(Long_Data[[#This Row],[Key]],Data_Entry[Key],0)),"NA")</calculatedColumnFormula>
    </tableColumn>
    <tableColumn id="12" xr3:uid="{1492034E-0A68-4E55-900E-BC5D39072FD4}" name="Severity 5">
      <calculatedColumnFormula>IF(Long_Data[[#This Row],[Indicator Class]]="Degree",INDEX(INDIRECT("Data_Entry['"&amp;Long_Data[[#This Row],[Indicator Number]]&amp;"'_DSev_5]"),MATCH(Long_Data[[#This Row],[Key]],Data_Entry[Key],0)),"NA")</calculatedColumnFormula>
    </tableColumn>
    <tableColumn id="13" xr3:uid="{0ECDE372-DDC2-46EE-951C-2D086F4F2EDC}" name="Magnitude Severity">
      <calculatedColumnFormula>IFERROR(IF(Long_Data[[#This Row],[Indicator Class]]="Magnitude", INDEX(INDIRECT("Data_Entry[Sev_"&amp;Long_Data[[#This Row],[Indicator Number]]&amp;"]"),MATCH(Long_Data[[#This Row],[Key]], Data_Entry[Key],0)),"NA"),"")</calculatedColumnFormula>
    </tableColumn>
    <tableColumn id="14" xr3:uid="{3B88E094-765C-4A6E-80AA-D60E1F55DEFE}" name="Calculated Severity">
      <calculatedColumnFormula>IFERROR(IF(Long_Data[[#This Row],[Indicator Class]]="Magnitude", Long_Data[[#This Row],[Magnitude Severity]],IF(Long_Data[[#This Row],[Severity 5]]&gt;=0.25,5,IF(SUM(Long_Data[[#This Row],[Severity 4]:[Severity 5]])&gt;=0.25,4,IF(SUM(Long_Data[[#This Row],[Severity 3]:[Severity 5]])&gt;=0.25,3,IF(SUM(Long_Data[[#This Row],[Severity 2]:[Severity 5]])&gt;=0.25, 2,1))))), "")</calculatedColumnFormula>
    </tableColumn>
    <tableColumn id="15" xr3:uid="{AA157473-CEF4-4AA8-94B1-686972093787}" name="Calculated PiN">
      <calculatedColumnFormula>IFERROR(IF(J2="Magnitude",INDEX(INDIRECT("Data_Entry[PIN_"&amp;Long_Data[[#This Row],[Indicator Number]]&amp;"]"),MATCH(Long_Data[[#This Row],[Key]],Data_Entry[Key],0)),SUM(N2:P2)*INDEX(Baseline_Pop[Population],MATCH(Long_Data[[#This Row],[Key]],Baseline_Pop[Key],0))),"")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8540E7-D617-4AD4-B0D7-62B31241888B}" name="Severity" displayName="Severity" ref="B2:W12" totalsRowShown="0">
  <autoFilter ref="B2:W12" xr:uid="{2CE1FA53-963B-4611-82EF-7471097E1512}"/>
  <tableColumns count="22">
    <tableColumn id="1" xr3:uid="{D9810219-ECF5-4415-BABC-741B022D1B50}" name="ID"/>
    <tableColumn id="2" xr3:uid="{2D2DD340-0EE0-4DC4-BA5C-D6CBBBCA20E8}" name="ADM1_STATE"/>
    <tableColumn id="3" xr3:uid="{549B0782-9A9A-4F0C-B1B8-3BFA4201E93B}" name="ADM1_Pcode"/>
    <tableColumn id="4" xr3:uid="{5C476083-AF53-4795-A803-3FD84A7DE730}" name="ADM2_COUNTY">
      <calculatedColumnFormula>IFERROR(INDEX(Data_Entry[ADM2_COUNTY],MATCH('Step 5-Severity'!B3,Data_Entry[ID],0)),"NA")</calculatedColumnFormula>
    </tableColumn>
    <tableColumn id="5" xr3:uid="{D4AC2A28-5F8E-4781-ABB3-6C7C1C73B358}" name="ADM2_Pcode">
      <calculatedColumnFormula>IFERROR(INDEX(Data_Entry[ADM2_Pcode],MATCH('Step 5-Severity'!B3,Data_Entry[ID],0)),"NA")</calculatedColumnFormula>
    </tableColumn>
    <tableColumn id="6" xr3:uid="{B2044F42-F787-4A72-A837-21A1F2C872B5}" name="1">
      <calculatedColumnFormula array="1">IFERROR(LARGE(INDEX(Long_Data[Calculated Severity],MATCH(1,(Severity[[#This Row],[ADM2_Pcode]] = Long_Data[Admin 2 P-Code]) * (Long_Data[Indicator Number] = 1),0)),1),0)</calculatedColumnFormula>
    </tableColumn>
    <tableColumn id="7" xr3:uid="{68E6E0D8-656E-49D7-AC04-D2D763923D85}" name="2">
      <calculatedColumnFormula array="1">IFERROR(LARGE(INDEX(Long_Data[Calculated Severity],MATCH(1,(Severity[[#This Row],[ADM2_Pcode]] = Long_Data[Admin 2 P-Code]) * (Long_Data[Indicator Number] = 2),0)),1),0)</calculatedColumnFormula>
    </tableColumn>
    <tableColumn id="8" xr3:uid="{63EE27CB-AD3D-4C47-9746-D75DE1101918}" name="3">
      <calculatedColumnFormula array="1">IFERROR(LARGE(INDEX(Long_Data[Calculated Severity],MATCH(1,(Severity[[#This Row],[ADM2_Pcode]] = Long_Data[Admin 2 P-Code]) * (Long_Data[Indicator Number] = 3),0)),1),0)</calculatedColumnFormula>
    </tableColumn>
    <tableColumn id="9" xr3:uid="{E1A882DA-44C0-48A0-82ED-CEC36ADB30D5}" name="4">
      <calculatedColumnFormula array="1">IFERROR(LARGE(INDEX(Long_Data[Calculated Severity],MATCH(1,(Severity[[#This Row],[ADM2_Pcode]] = Long_Data[Admin 2 P-Code]) * (Long_Data[Indicator Number] = 4),0)),1),0)</calculatedColumnFormula>
    </tableColumn>
    <tableColumn id="10" xr3:uid="{5FCD9982-8CD3-4843-B050-15EF1E698BC3}" name="5">
      <calculatedColumnFormula array="1">IFERROR(LARGE(INDEX(Long_Data[Calculated Severity],MATCH(1,(Severity[[#This Row],[ADM2_Pcode]] = Long_Data[Admin 2 P-Code]) * (Long_Data[Indicator Number] = 5),0)),1),0)</calculatedColumnFormula>
    </tableColumn>
    <tableColumn id="11" xr3:uid="{24FE3099-C0E8-47C2-966C-0011C7AE2653}" name="6">
      <calculatedColumnFormula array="1">IFERROR(LARGE(INDEX(Long_Data[Calculated Severity],MATCH(1,(Severity[[#This Row],[ADM2_Pcode]] = Long_Data[Admin 2 P-Code]) * (Long_Data[Indicator Number] = 6),0)),1),0)</calculatedColumnFormula>
    </tableColumn>
    <tableColumn id="12" xr3:uid="{3B2D5E83-3F64-4B6E-A347-D3B5C1BF443E}" name="7">
      <calculatedColumnFormula array="1">IFERROR(LARGE(INDEX(Long_Data[Calculated Severity],MATCH(1,(Severity[[#This Row],[ADM2_Pcode]] = Long_Data[Admin 2 P-Code]) * (Long_Data[Indicator Number] = 7),0)),1),0)</calculatedColumnFormula>
    </tableColumn>
    <tableColumn id="13" xr3:uid="{D2D79486-8C15-4169-ACC7-6D640362BA47}" name="8">
      <calculatedColumnFormula array="1">IFERROR(LARGE(INDEX(Long_Data[Calculated Severity],MATCH(1,(Severity[[#This Row],[ADM2_Pcode]] = Long_Data[Admin 2 P-Code]) * (Long_Data[Indicator Number] = 8),0)),1),0)</calculatedColumnFormula>
    </tableColumn>
    <tableColumn id="14" xr3:uid="{423B812E-BB57-4351-A0BC-4E9057134FDA}" name="9">
      <calculatedColumnFormula array="1">IFERROR(LARGE(INDEX(Long_Data[Calculated Severity],MATCH(1,(Severity[[#This Row],[ADM2_Pcode]] = Long_Data[Admin 2 P-Code]) * (Long_Data[Indicator Number] = 9),0)),1),0)</calculatedColumnFormula>
    </tableColumn>
    <tableColumn id="15" xr3:uid="{4452A358-052D-4501-B9A5-194F3A690CE1}" name="10">
      <calculatedColumnFormula array="1">IFERROR(LARGE(INDEX(Long_Data[Calculated Severity],MATCH(1,(Severity[[#This Row],[ADM2_Pcode]] = Long_Data[Admin 2 P-Code]) * (Long_Data[Indicator Number] = 10),0)),1),0)</calculatedColumnFormula>
    </tableColumn>
    <tableColumn id="16" xr3:uid="{3506EB4E-D335-4347-8868-D3AC477D6F0A}" name="11">
      <calculatedColumnFormula array="1">IFERROR(LARGE(INDEX(Long_Data[Calculated Severity],MATCH(1,(Severity[[#This Row],[ADM2_Pcode]] = Long_Data[Admin 2 P-Code]) * (Long_Data[Indicator Number] = 11),0)),1),0)</calculatedColumnFormula>
    </tableColumn>
    <tableColumn id="17" xr3:uid="{44A46D2E-764D-4754-961F-B3652468F8B0}" name="12">
      <calculatedColumnFormula array="1">IFERROR(LARGE(INDEX(Long_Data[Calculated Severity],MATCH(1,(Severity[[#This Row],[ADM2_Pcode]] = Long_Data[Admin 2 P-Code]) * (Long_Data[Indicator Number] = 12),0)),1),0)</calculatedColumnFormula>
    </tableColumn>
    <tableColumn id="18" xr3:uid="{653FBB9A-E278-4CB5-8C0F-0E62DBCC8D98}" name="Mean of max 50%  - Severity">
      <calculatedColumnFormula array="1">ROUND(AVERAGE(LARGE(Severity[[#This Row],[1]:[12]],{1,2,3,4,5,6})),0)</calculatedColumnFormula>
    </tableColumn>
    <tableColumn id="19" xr3:uid="{EA7CF9E0-52A6-4829-B90E-56BB7401DC46}" name="IPC analysis">
      <calculatedColumnFormula array="1">INDEX(Long_Data[Calculated Severity],MATCH(1,(Severity[[#This Row],[ADM2_Pcode]]=Long_Data[Admin 2 P-Code]) * (9=Long_Data[Indicator Number]),0))</calculatedColumnFormula>
    </tableColumn>
    <tableColumn id="20" xr3:uid="{3EB7E3A0-2422-435F-8BBB-BB037DFA911B}" name="Severity Corrected for Critical Max (rounded)">
      <calculatedColumnFormula>ROUND(IF(Severity[[#This Row],[Mean of max 50%  - Severity]]&lt;Severity[[#This Row],[IPC analysis]],Severity[[#This Row],[IPC analysis]],Severity[[#This Row],[Mean of max 50%  - Severity]]),0)</calculatedColumnFormula>
    </tableColumn>
    <tableColumn id="21" xr3:uid="{81C2950F-9742-4C88-821F-D45CCDE06FA0}" name="Clustter1 Severity"/>
    <tableColumn id="23" xr3:uid="{A20FB3EC-0395-4BAF-9541-F8C0C0753F97}" name="Cluster 2 Severity"/>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4E1F5FA-9430-4F86-81EE-5E9BD387B6BC}" name="PiN" displayName="PiN" ref="B2:V32" totalsRowShown="0">
  <autoFilter ref="B2:V32" xr:uid="{93323FB5-8F6B-4F17-BB0A-988A8AC9BFAB}"/>
  <tableColumns count="21">
    <tableColumn id="1" xr3:uid="{69D8A490-2CA0-4DBB-9DC8-033B3A9358C7}" name="ID"/>
    <tableColumn id="2" xr3:uid="{7A556D59-BCF5-4A20-84B2-5E89E01334F8}" name="ADM1_STATE"/>
    <tableColumn id="3" xr3:uid="{99712FA3-8641-4A62-B71B-FBEA243313DF}" name="ADM1_Pcode"/>
    <tableColumn id="4" xr3:uid="{151078A4-7306-40C9-9843-2F10D10F2D4E}" name="ADM2_COUNTY">
      <calculatedColumnFormula>IFERROR(INDEX(Data_Entry[ADM2_COUNTY],MATCH('Step 6-PiN'!B3,Data_Entry[ID],0)),"NA")</calculatedColumnFormula>
    </tableColumn>
    <tableColumn id="5" xr3:uid="{DB174D6D-891A-4C31-90DD-B4ED90BFC63E}" name="ADM2_Pcode">
      <calculatedColumnFormula>IFERROR(INDEX(Data_Entry[ADM2_Pcode],MATCH('Step 6-PiN'!B3,Data_Entry[ID],0)),"NA")</calculatedColumnFormula>
    </tableColumn>
    <tableColumn id="6" xr3:uid="{8137968D-E40C-491D-A3E7-C370F92AC4E1}" name="Population">
      <calculatedColumnFormula>IFERROR(INDEX(Data_Entry[Group Population],MATCH('Step 6-PiN'!B3,Data_Entry[ID],0)),"NA")</calculatedColumnFormula>
    </tableColumn>
    <tableColumn id="7" xr3:uid="{D56A5D1C-8A38-403D-9F8F-1CEB7331B0DD}" name="Population Group">
      <calculatedColumnFormula>IFERROR(INDEX(Data_Entry[Group Name],MATCH('Step 6-PiN'!B3,Data_Entry[ID],0)),"NA")</calculatedColumnFormula>
    </tableColumn>
    <tableColumn id="8" xr3:uid="{A382AF3D-71D0-4D73-94F8-B413AEA8C565}" name="Key">
      <calculatedColumnFormula>IFERROR(INDEX(Data_Entry[Key],MATCH('Step 6-PiN'!B3,Data_Entry[ID],0)),"NA")</calculatedColumnFormula>
    </tableColumn>
    <tableColumn id="9" xr3:uid="{070A9AC0-1D81-46FD-821D-639771EDB547}" name="Severity_x000a_">
      <calculatedColumnFormula>INDEX(Severity[Severity Corrected for Critical Max (rounded)],MATCH(PiN[[#This Row],[ADM2_Pcode]],Severity[ADM2_Pcode],0))</calculatedColumnFormula>
    </tableColumn>
    <tableColumn id="10" xr3:uid="{A4C83030-3EE5-4604-B426-80D73A53BA53}" name="Min. # of pop. in this severity class (or higher) ***" dataDxfId="51">
      <calculatedColumnFormula>IF(J3=1,G3,ROUND(G3/4,0))</calculatedColumnFormula>
    </tableColumn>
    <tableColumn id="11" xr3:uid="{3AE50B2E-6098-4526-83FC-CD938534510C}" name="JIAF PIN estimate is:">
      <calculatedColumnFormula>IF(OR('Step 6-PiN'!$J3=4,'Step 6-PiN'!$J3=5),_xlfn.CONCAT("&gt;",'Step 6-PiN'!$K3),IF('Step 6-PiN'!$J3=3,_xlfn.CONCAT("&gt;=",'Step 6-PiN'!$K3),IF('Step 6-PiN'!$J3=2,_xlfn.CONCAT("&lt;",'Step 6-PiN'!$K3),_xlfn.CONCAT("&lt;",ROUND('Step 6-PiN'!$K3/4,0)))))</calculatedColumnFormula>
    </tableColumn>
    <tableColumn id="12" xr3:uid="{3D752B97-5DEB-4069-BB98-081FF764E9C4}" name="Max PiN" dataDxfId="50">
      <calculatedColumnFormula array="1">MAX(IF(Long_Data[Key]= PiN[[#This Row],[Key]],Long_Data[Calculated PiN]))</calculatedColumnFormula>
    </tableColumn>
    <tableColumn id="13" xr3:uid="{3BFB0359-6869-45FF-8C4A-115978FA459D}" name="MaxSector" dataDxfId="49"/>
    <tableColumn id="14" xr3:uid="{CB823A63-BD76-413B-8CEF-20AE4A8B2926}" name="Internally Displaced" dataDxfId="48"/>
    <tableColumn id="15" xr3:uid="{91FEB6BF-226F-4606-89C5-5BBE895B03A7}" name="Cross-Border Returnees - Iran" dataDxfId="47"/>
    <tableColumn id="16" xr3:uid="{3EC8180A-A94F-476A-B22A-AEE022DAAD2C}" name="Cross-Border Returnees - Pakistan" dataDxfId="46"/>
    <tableColumn id="17" xr3:uid="{68CFBE8B-3ED6-4642-9EE1-A7BEA17C3B33}" name="Refugee Returnees" dataDxfId="45"/>
    <tableColumn id="18" xr3:uid="{C3EDF83B-8F59-4EEA-823F-E90558424EC8}" name="Shock Affected - Natural Disaster" dataDxfId="44"/>
    <tableColumn id="19" xr3:uid="{EEB04C9A-45BD-4571-802B-607C481018B4}" name="Shock Affected - Trauma" dataDxfId="43"/>
    <tableColumn id="20" xr3:uid="{7EBB0AC7-5147-459E-96A5-C2821ACB4976}" name="Shock Affected - COVID" dataDxfId="42"/>
    <tableColumn id="21" xr3:uid="{15309837-DEC0-4C3E-8B1B-A34C71E1AA3B}" name="Total PiN"/>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780FFB-7B39-4BC3-A3CF-C0547CE0A1C5}" name="PiN_Overview" displayName="PiN_Overview" ref="B3:U33" totalsRowShown="0">
  <autoFilter ref="B3:U33" xr:uid="{3741ABB2-AA9A-4C26-B133-6AA228EBC82E}"/>
  <tableColumns count="20">
    <tableColumn id="1" xr3:uid="{A7E3B225-1B7E-48B2-A431-A59DC9090F92}" name="ID"/>
    <tableColumn id="2" xr3:uid="{DCE15B5D-5B3A-4CE0-883D-10DDD1F045D4}" name="ADM1_STATE"/>
    <tableColumn id="3" xr3:uid="{051643BA-DA68-48F9-84C2-D18E26088C3C}" name="ADM1_Pcode"/>
    <tableColumn id="4" xr3:uid="{19CED2D9-03E6-4EBE-B489-46C42C4D3912}" name="ADM2_COUNTY">
      <calculatedColumnFormula>IFERROR(INDEX(Data_Entry[ADM2_COUNTY],MATCH('PiN Overview-Expert Judgement'!B4,Data_Entry[ID],0)),"NA")</calculatedColumnFormula>
    </tableColumn>
    <tableColumn id="5" xr3:uid="{D03E5CCF-12E4-4979-8887-2CC240CD63F6}" name="ADM2_Pcode">
      <calculatedColumnFormula>IFERROR(INDEX(Data_Entry[ADM2_Pcode],MATCH('PiN Overview-Expert Judgement'!B4,Data_Entry[ID],0)),"NA")</calculatedColumnFormula>
    </tableColumn>
    <tableColumn id="6" xr3:uid="{14CF8387-46B1-4178-AD5F-2316B76D70A0}" name="Population">
      <calculatedColumnFormula>IFERROR(INDEX(Data_Entry[Group Population],MATCH('PiN Overview-Expert Judgement'!B4,Data_Entry[ID],0)),"NA")</calculatedColumnFormula>
    </tableColumn>
    <tableColumn id="7" xr3:uid="{0D594C3D-92F7-4530-A0C6-633578FD2F41}" name="Population Group">
      <calculatedColumnFormula>IFERROR(INDEX(Data_Entry[Group Name],MATCH('PiN Overview-Expert Judgement'!B4,Data_Entry[ID],0)),"NA")</calculatedColumnFormula>
    </tableColumn>
    <tableColumn id="8" xr3:uid="{A21555E0-7385-4F37-9DFF-903EBFF7792E}" name="Key">
      <calculatedColumnFormula>IFERROR(INDEX(Data_Entry[Key],MATCH('PiN Overview-Expert Judgement'!B4,Data_Entry[ID],0)),"NA")</calculatedColumnFormula>
    </tableColumn>
    <tableColumn id="9" xr3:uid="{4DFA2396-6C27-4762-8FC5-8811A97C15DA}" name="1" dataDxfId="11">
      <calculatedColumnFormula array="1">_xlfn.IFNA(INDEX(Long_Data[Calculated PiN],MATCH(1, (PiN_Overview[[#This Row],[Key]]=Long_Data[Key]) * (1=Long_Data[Indicator Number]),0)),0)</calculatedColumnFormula>
    </tableColumn>
    <tableColumn id="10" xr3:uid="{6BA4DB4F-52A3-4225-A10C-9B3C2316229D}" name="2" dataDxfId="10">
      <calculatedColumnFormula array="1">_xlfn.IFNA(INDEX(Long_Data[Calculated PiN],MATCH(1, (PiN_Overview[[#This Row],[Key]]=Long_Data[Key]) * (2=Long_Data[Indicator Number]),0)),0)</calculatedColumnFormula>
    </tableColumn>
    <tableColumn id="11" xr3:uid="{166CD26F-FEBC-4FDF-BBA5-CF4E03B1BF00}" name="3" dataDxfId="9">
      <calculatedColumnFormula array="1">_xlfn.IFNA(INDEX(Long_Data[Calculated PiN],MATCH(1, (PiN_Overview[[#This Row],[Key]]=Long_Data[Key]) * (3=Long_Data[Indicator Number]),0)),0)</calculatedColumnFormula>
    </tableColumn>
    <tableColumn id="12" xr3:uid="{FF5CBC0B-547F-4DFA-BFF6-B10979CFAE94}" name="4" dataDxfId="8">
      <calculatedColumnFormula array="1">_xlfn.IFNA(INDEX(Long_Data[Calculated PiN],MATCH(1, (PiN_Overview[[#This Row],[Key]]=Long_Data[Key]) * (4=Long_Data[Indicator Number]),0)),0)</calculatedColumnFormula>
    </tableColumn>
    <tableColumn id="13" xr3:uid="{08F09190-5E21-474F-96F3-4D750B7A9BE1}" name="5" dataDxfId="7">
      <calculatedColumnFormula array="1">_xlfn.IFNA(INDEX(Long_Data[Calculated PiN],MATCH(1, (PiN_Overview[[#This Row],[Key]]=Long_Data[Key]) * (5=Long_Data[Indicator Number]),0)),0)</calculatedColumnFormula>
    </tableColumn>
    <tableColumn id="14" xr3:uid="{D743E0F5-ACDA-4AD1-8688-E3D267E8FC78}" name="6" dataDxfId="6">
      <calculatedColumnFormula array="1">_xlfn.IFNA(INDEX(Long_Data[Calculated PiN],MATCH(1, (PiN_Overview[[#This Row],[Key]]=Long_Data[Key]) * (6=Long_Data[Indicator Number]),0)),0)</calculatedColumnFormula>
    </tableColumn>
    <tableColumn id="15" xr3:uid="{432F7257-F500-4D29-8DF8-56BEE1109532}" name="7" dataDxfId="5">
      <calculatedColumnFormula array="1">_xlfn.IFNA(INDEX(Long_Data[Calculated PiN],MATCH(1, (PiN_Overview[[#This Row],[Key]]=Long_Data[Key]) * (7=Long_Data[Indicator Number]),0)),0)</calculatedColumnFormula>
    </tableColumn>
    <tableColumn id="16" xr3:uid="{C69FABF7-AB27-40D9-89CA-6AF4EC8A3A33}" name="8" dataDxfId="4">
      <calculatedColumnFormula array="1">_xlfn.IFNA(INDEX(Long_Data[Calculated PiN],MATCH(1, (PiN_Overview[[#This Row],[Key]]=Long_Data[Key]) * (8=Long_Data[Indicator Number]),0)),0)</calculatedColumnFormula>
    </tableColumn>
    <tableColumn id="17" xr3:uid="{BA32A50C-788A-49E3-B5C7-919ABB6FEF04}" name="9" dataDxfId="3">
      <calculatedColumnFormula array="1">_xlfn.IFNA(INDEX(Long_Data[Calculated PiN],MATCH(1, (PiN_Overview[[#This Row],[Key]]=Long_Data[Key]) * (9=Long_Data[Indicator Number]),0)),0)</calculatedColumnFormula>
    </tableColumn>
    <tableColumn id="18" xr3:uid="{C53B1FD9-CA38-47E7-9C2E-0A8B1854B11C}" name="10" dataDxfId="2">
      <calculatedColumnFormula array="1">_xlfn.IFNA(INDEX(Long_Data[Calculated PiN],MATCH(1, (PiN_Overview[[#This Row],[Key]]=Long_Data[Key]) * (10=Long_Data[Indicator Number]),0)),0)</calculatedColumnFormula>
    </tableColumn>
    <tableColumn id="19" xr3:uid="{835D494A-C5D3-4F91-A410-671387E511B4}" name="11" dataDxfId="1">
      <calculatedColumnFormula array="1">_xlfn.IFNA(INDEX(Long_Data[Calculated PiN],MATCH(1, (PiN_Overview[[#This Row],[Key]]=Long_Data[Key]) * (11=Long_Data[Indicator Number]),0)),0)</calculatedColumnFormula>
    </tableColumn>
    <tableColumn id="20" xr3:uid="{3B2DEBD2-A696-4308-AA31-92861914ABEE}" name="12" dataDxfId="0">
      <calculatedColumnFormula array="1">_xlfn.IFNA(INDEX(Long_Data[Calculated PiN],MATCH(1, (PiN_Overview[[#This Row],[Key]]=Long_Data[Key]) * (12=Long_Data[Indicator Number]),0)),0)</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AE92336-2E87-4539-8D64-E22A846CACC2}" name="Baseline_Pop" displayName="Baseline_Pop" ref="B2:G32" totalsRowShown="0">
  <autoFilter ref="B2:G32" xr:uid="{D8AEAFF0-B354-4FC7-BA23-10612F73D5A0}"/>
  <tableColumns count="6">
    <tableColumn id="6" xr3:uid="{02069F10-AF2E-4DB9-B171-A937EBD068C0}" name="ID"/>
    <tableColumn id="1" xr3:uid="{2A265E61-0845-4BDA-9E4F-DCE9A92A45CE}" name="ADM2_COUNTY">
      <calculatedColumnFormula>IFERROR(INDEX(Data_Entry[ADM2_COUNTY],MATCH(Baseline_Popopulation!B3,Data_Entry[ID],0)),"NA")</calculatedColumnFormula>
    </tableColumn>
    <tableColumn id="2" xr3:uid="{2BD057F3-C95A-478D-A629-D93C0451889F}" name="ADM2_Pcode">
      <calculatedColumnFormula>IFERROR(INDEX(Data_Entry[ADM2_Pcode],MATCH(Baseline_Popopulation!B3,Data_Entry[ID],0)),"NA")</calculatedColumnFormula>
    </tableColumn>
    <tableColumn id="3" xr3:uid="{7F237772-437C-45A4-BF96-13268AA1FF3C}" name="Population">
      <calculatedColumnFormula>IFERROR(INDEX(Data_Entry[Group Population],MATCH(Baseline_Popopulation!B3,Data_Entry[ID],0)),"NA")</calculatedColumnFormula>
    </tableColumn>
    <tableColumn id="4" xr3:uid="{6177D648-6334-4AF4-8D10-8C19C35B31FA}" name="Population Group">
      <calculatedColumnFormula>IFERROR(INDEX(Data_Entry[Group Name],MATCH(Baseline_Popopulation!B3,Data_Entry[ID],0)),"NA")</calculatedColumnFormula>
    </tableColumn>
    <tableColumn id="5" xr3:uid="{15A0EF5B-33D2-4D74-A274-90FB6F9A4D1F}" name="Key">
      <calculatedColumnFormula>IFERROR(INDEX(Data_Entry[Key],MATCH(Baseline_Popopulation!B3,Data_Entry[ID],0)),"NA")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554CC-A8E5-4229-83DC-521B28255437}">
  <sheetPr>
    <tabColor theme="9" tint="0.79998168889431442"/>
  </sheetPr>
  <dimension ref="B2:J23"/>
  <sheetViews>
    <sheetView tabSelected="1" workbookViewId="0">
      <selection activeCell="E1" sqref="E1"/>
    </sheetView>
  </sheetViews>
  <sheetFormatPr defaultColWidth="8.88671875" defaultRowHeight="14.4"/>
  <cols>
    <col min="2" max="2" width="2.33203125" customWidth="1"/>
    <col min="4" max="4" width="2.6640625" customWidth="1"/>
    <col min="5" max="5" width="104.6640625" customWidth="1"/>
    <col min="6" max="6" width="2.44140625" customWidth="1"/>
    <col min="10" max="10" width="92.6640625" customWidth="1"/>
  </cols>
  <sheetData>
    <row r="2" spans="2:10" ht="18">
      <c r="D2" s="1" t="s">
        <v>0</v>
      </c>
      <c r="I2" s="1" t="s">
        <v>1</v>
      </c>
    </row>
    <row r="3" spans="2:10">
      <c r="D3" s="2"/>
      <c r="E3" t="s">
        <v>2</v>
      </c>
      <c r="I3" s="3" t="s">
        <v>3</v>
      </c>
    </row>
    <row r="4" spans="2:10">
      <c r="D4" s="4"/>
      <c r="E4" t="s">
        <v>4</v>
      </c>
      <c r="I4" t="s">
        <v>5</v>
      </c>
      <c r="J4" t="s">
        <v>6</v>
      </c>
    </row>
    <row r="5" spans="2:10" ht="15" customHeight="1">
      <c r="D5" s="5"/>
      <c r="E5" s="82" t="s">
        <v>7</v>
      </c>
      <c r="I5" s="83" t="s">
        <v>8</v>
      </c>
      <c r="J5" s="84" t="s">
        <v>9</v>
      </c>
    </row>
    <row r="6" spans="2:10" ht="15" customHeight="1">
      <c r="D6" s="6"/>
      <c r="E6" s="82"/>
      <c r="I6" s="83"/>
      <c r="J6" s="84"/>
    </row>
    <row r="7" spans="2:10" ht="15" customHeight="1">
      <c r="E7" s="7"/>
      <c r="I7" s="83" t="s">
        <v>10</v>
      </c>
      <c r="J7" s="85" t="s">
        <v>11</v>
      </c>
    </row>
    <row r="8" spans="2:10" ht="15" customHeight="1">
      <c r="I8" s="83"/>
      <c r="J8" s="85"/>
    </row>
    <row r="9" spans="2:10">
      <c r="B9" t="s">
        <v>12</v>
      </c>
      <c r="I9" s="3" t="s">
        <v>13</v>
      </c>
    </row>
    <row r="10" spans="2:10" ht="58.2" thickBot="1">
      <c r="I10" s="8" t="s">
        <v>14</v>
      </c>
      <c r="J10" s="9" t="s">
        <v>15</v>
      </c>
    </row>
    <row r="11" spans="2:10" ht="15" thickTop="1">
      <c r="B11" s="10"/>
      <c r="C11" s="11"/>
      <c r="D11" s="11"/>
      <c r="E11" s="11"/>
      <c r="F11" s="12"/>
    </row>
    <row r="12" spans="2:10" ht="15" customHeight="1">
      <c r="B12" s="13"/>
      <c r="C12" t="s">
        <v>16</v>
      </c>
      <c r="F12" s="14"/>
      <c r="I12" s="8"/>
      <c r="J12" s="9"/>
    </row>
    <row r="13" spans="2:10">
      <c r="B13" s="13"/>
      <c r="F13" s="14"/>
      <c r="I13" s="8"/>
      <c r="J13" s="9"/>
    </row>
    <row r="14" spans="2:10" ht="43.2">
      <c r="B14" s="13"/>
      <c r="C14" s="15" t="s">
        <v>17</v>
      </c>
      <c r="D14" s="15"/>
      <c r="E14" s="16" t="s">
        <v>18</v>
      </c>
      <c r="F14" s="14"/>
    </row>
    <row r="15" spans="2:10" ht="129.6">
      <c r="B15" s="13"/>
      <c r="C15" s="17" t="s">
        <v>19</v>
      </c>
      <c r="D15" s="17"/>
      <c r="E15" s="18" t="s">
        <v>20</v>
      </c>
      <c r="F15" s="14"/>
    </row>
    <row r="16" spans="2:10">
      <c r="B16" s="13"/>
      <c r="C16" s="19" t="s">
        <v>21</v>
      </c>
      <c r="D16" s="19"/>
      <c r="E16" s="20" t="s">
        <v>22</v>
      </c>
      <c r="F16" s="14"/>
    </row>
    <row r="17" spans="2:6" ht="72">
      <c r="B17" s="13"/>
      <c r="C17" s="21" t="s">
        <v>23</v>
      </c>
      <c r="D17" s="21"/>
      <c r="E17" s="22" t="s">
        <v>24</v>
      </c>
      <c r="F17" s="14"/>
    </row>
    <row r="18" spans="2:6" ht="129.6">
      <c r="B18" s="13"/>
      <c r="C18" s="23" t="s">
        <v>25</v>
      </c>
      <c r="D18" s="23"/>
      <c r="E18" s="24" t="s">
        <v>26</v>
      </c>
      <c r="F18" s="14"/>
    </row>
    <row r="19" spans="2:6" ht="316.8">
      <c r="B19" s="13"/>
      <c r="C19" s="25" t="s">
        <v>27</v>
      </c>
      <c r="D19" s="25"/>
      <c r="E19" s="26" t="s">
        <v>28</v>
      </c>
      <c r="F19" s="14"/>
    </row>
    <row r="20" spans="2:6" ht="15" thickBot="1">
      <c r="B20" s="27"/>
      <c r="C20" s="28"/>
      <c r="D20" s="28"/>
      <c r="E20" s="28"/>
      <c r="F20" s="29"/>
    </row>
    <row r="21" spans="2:6" ht="15" thickTop="1"/>
    <row r="23" spans="2:6" ht="66.900000000000006" customHeight="1">
      <c r="C23" s="81" t="s">
        <v>29</v>
      </c>
      <c r="D23" s="81"/>
      <c r="E23" s="81"/>
    </row>
  </sheetData>
  <mergeCells count="6">
    <mergeCell ref="C23:E23"/>
    <mergeCell ref="E5:E6"/>
    <mergeCell ref="I5:I6"/>
    <mergeCell ref="J5:J6"/>
    <mergeCell ref="I7:I8"/>
    <mergeCell ref="J7:J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C2279-4824-4716-B6B0-FC4B64851C0E}">
  <sheetPr>
    <tabColor theme="9" tint="0.59999389629810485"/>
  </sheetPr>
  <dimension ref="A1:N13"/>
  <sheetViews>
    <sheetView workbookViewId="0">
      <selection activeCell="C1" sqref="C1"/>
    </sheetView>
  </sheetViews>
  <sheetFormatPr defaultRowHeight="14.4"/>
  <cols>
    <col min="1" max="2" width="10.6640625" customWidth="1"/>
    <col min="3" max="4" width="12.109375" customWidth="1"/>
    <col min="5" max="5" width="15" customWidth="1"/>
    <col min="6" max="6" width="35.6640625" customWidth="1"/>
    <col min="7" max="7" width="16.109375" customWidth="1"/>
    <col min="8" max="8" width="16" customWidth="1"/>
    <col min="10" max="10" width="22.6640625" customWidth="1"/>
    <col min="11" max="11" width="24.88671875" customWidth="1"/>
    <col min="12" max="12" width="27.33203125" customWidth="1"/>
    <col min="13" max="13" width="32.33203125" customWidth="1"/>
    <col min="14" max="14" width="36.33203125" customWidth="1"/>
  </cols>
  <sheetData>
    <row r="1" spans="1:14">
      <c r="A1" s="30" t="s">
        <v>30</v>
      </c>
      <c r="B1" s="30" t="s">
        <v>31</v>
      </c>
      <c r="C1" s="30" t="s">
        <v>32</v>
      </c>
      <c r="D1" s="30" t="s">
        <v>33</v>
      </c>
      <c r="E1" s="30" t="s">
        <v>34</v>
      </c>
      <c r="F1" s="30" t="s">
        <v>35</v>
      </c>
      <c r="G1" s="30" t="s">
        <v>36</v>
      </c>
      <c r="H1" s="30" t="s">
        <v>37</v>
      </c>
      <c r="I1" s="31" t="s">
        <v>38</v>
      </c>
      <c r="J1" s="32" t="s">
        <v>39</v>
      </c>
      <c r="K1" s="33" t="s">
        <v>40</v>
      </c>
      <c r="L1" s="34" t="s">
        <v>41</v>
      </c>
      <c r="M1" s="35" t="s">
        <v>42</v>
      </c>
      <c r="N1" s="36" t="s">
        <v>43</v>
      </c>
    </row>
    <row r="2" spans="1:14" ht="41.4">
      <c r="A2" s="37" t="s">
        <v>44</v>
      </c>
      <c r="B2" s="37" t="s">
        <v>45</v>
      </c>
      <c r="C2" s="37" t="s">
        <v>46</v>
      </c>
      <c r="D2" s="37" t="s">
        <v>47</v>
      </c>
      <c r="E2" s="38">
        <v>1</v>
      </c>
      <c r="F2" s="37" t="s">
        <v>48</v>
      </c>
      <c r="G2" s="37" t="s">
        <v>49</v>
      </c>
      <c r="H2" s="37" t="s">
        <v>50</v>
      </c>
      <c r="I2" s="39" t="s">
        <v>51</v>
      </c>
      <c r="J2" s="40" t="s">
        <v>52</v>
      </c>
      <c r="K2" s="41" t="s">
        <v>53</v>
      </c>
      <c r="L2" s="34" t="s">
        <v>54</v>
      </c>
      <c r="M2" s="35" t="s">
        <v>55</v>
      </c>
      <c r="N2" s="36" t="s">
        <v>56</v>
      </c>
    </row>
    <row r="3" spans="1:14" ht="41.4">
      <c r="A3" s="37"/>
      <c r="B3" s="37" t="s">
        <v>45</v>
      </c>
      <c r="C3" s="42" t="s">
        <v>57</v>
      </c>
      <c r="D3" s="37" t="s">
        <v>47</v>
      </c>
      <c r="E3" s="43">
        <v>2</v>
      </c>
      <c r="F3" s="42" t="s">
        <v>58</v>
      </c>
      <c r="G3" s="42" t="s">
        <v>49</v>
      </c>
      <c r="H3" s="42" t="s">
        <v>50</v>
      </c>
      <c r="I3" s="44" t="s">
        <v>51</v>
      </c>
      <c r="J3" s="40" t="s">
        <v>59</v>
      </c>
      <c r="K3" s="41" t="s">
        <v>60</v>
      </c>
      <c r="L3" s="34" t="s">
        <v>61</v>
      </c>
      <c r="M3" s="35" t="s">
        <v>62</v>
      </c>
      <c r="N3" s="36" t="s">
        <v>63</v>
      </c>
    </row>
    <row r="4" spans="1:14" ht="96.6">
      <c r="A4" s="37"/>
      <c r="B4" s="37" t="s">
        <v>45</v>
      </c>
      <c r="C4" s="42" t="s">
        <v>57</v>
      </c>
      <c r="D4" s="37" t="s">
        <v>47</v>
      </c>
      <c r="E4" s="38">
        <v>3</v>
      </c>
      <c r="F4" s="37" t="s">
        <v>64</v>
      </c>
      <c r="G4" s="37" t="s">
        <v>49</v>
      </c>
      <c r="H4" s="37" t="s">
        <v>50</v>
      </c>
      <c r="I4" s="39" t="s">
        <v>51</v>
      </c>
      <c r="J4" s="40" t="s">
        <v>65</v>
      </c>
      <c r="K4" s="41" t="s">
        <v>66</v>
      </c>
      <c r="L4" s="34" t="s">
        <v>67</v>
      </c>
      <c r="M4" s="35" t="s">
        <v>63</v>
      </c>
      <c r="N4" s="36" t="s">
        <v>63</v>
      </c>
    </row>
    <row r="5" spans="1:14" ht="41.4">
      <c r="A5" s="42"/>
      <c r="B5" s="37" t="s">
        <v>45</v>
      </c>
      <c r="C5" s="42" t="s">
        <v>68</v>
      </c>
      <c r="D5" s="37" t="s">
        <v>47</v>
      </c>
      <c r="E5" s="43">
        <v>4</v>
      </c>
      <c r="F5" s="42" t="s">
        <v>69</v>
      </c>
      <c r="G5" s="42" t="s">
        <v>49</v>
      </c>
      <c r="H5" s="42" t="s">
        <v>50</v>
      </c>
      <c r="I5" s="44" t="s">
        <v>51</v>
      </c>
      <c r="J5" s="40" t="s">
        <v>70</v>
      </c>
      <c r="K5" s="41" t="s">
        <v>71</v>
      </c>
      <c r="L5" s="34" t="s">
        <v>72</v>
      </c>
      <c r="M5" s="35" t="s">
        <v>73</v>
      </c>
      <c r="N5" s="36" t="s">
        <v>74</v>
      </c>
    </row>
    <row r="6" spans="1:14" ht="41.4">
      <c r="A6" s="37"/>
      <c r="B6" s="37" t="s">
        <v>45</v>
      </c>
      <c r="C6" s="37" t="s">
        <v>68</v>
      </c>
      <c r="D6" s="37" t="s">
        <v>47</v>
      </c>
      <c r="E6" s="38">
        <v>5</v>
      </c>
      <c r="F6" s="37" t="s">
        <v>75</v>
      </c>
      <c r="G6" s="37" t="s">
        <v>76</v>
      </c>
      <c r="H6" s="37" t="s">
        <v>50</v>
      </c>
      <c r="I6" s="39" t="s">
        <v>51</v>
      </c>
      <c r="J6" s="40">
        <v>1</v>
      </c>
      <c r="K6" s="41" t="s">
        <v>77</v>
      </c>
      <c r="L6" s="34" t="s">
        <v>78</v>
      </c>
      <c r="M6" s="35" t="s">
        <v>79</v>
      </c>
      <c r="N6" s="36" t="s">
        <v>80</v>
      </c>
    </row>
    <row r="7" spans="1:14" ht="69">
      <c r="A7" s="42"/>
      <c r="B7" s="37" t="s">
        <v>45</v>
      </c>
      <c r="C7" s="42" t="s">
        <v>68</v>
      </c>
      <c r="D7" s="37" t="s">
        <v>47</v>
      </c>
      <c r="E7" s="43">
        <v>6</v>
      </c>
      <c r="F7" s="42" t="s">
        <v>81</v>
      </c>
      <c r="G7" s="42" t="s">
        <v>49</v>
      </c>
      <c r="H7" s="42" t="s">
        <v>50</v>
      </c>
      <c r="I7" s="44" t="s">
        <v>51</v>
      </c>
      <c r="J7" s="40" t="s">
        <v>82</v>
      </c>
      <c r="K7" s="41" t="s">
        <v>83</v>
      </c>
      <c r="L7" s="34" t="s">
        <v>84</v>
      </c>
      <c r="M7" s="35" t="s">
        <v>85</v>
      </c>
      <c r="N7" s="36" t="s">
        <v>63</v>
      </c>
    </row>
    <row r="8" spans="1:14" ht="55.2">
      <c r="A8" s="37"/>
      <c r="B8" s="37" t="s">
        <v>45</v>
      </c>
      <c r="C8" s="37" t="s">
        <v>68</v>
      </c>
      <c r="D8" s="37" t="s">
        <v>47</v>
      </c>
      <c r="E8" s="38">
        <v>7</v>
      </c>
      <c r="F8" s="37" t="s">
        <v>86</v>
      </c>
      <c r="G8" s="37" t="s">
        <v>49</v>
      </c>
      <c r="H8" s="37" t="s">
        <v>50</v>
      </c>
      <c r="I8" s="39" t="s">
        <v>51</v>
      </c>
      <c r="J8" s="40" t="s">
        <v>51</v>
      </c>
      <c r="K8" s="41" t="s">
        <v>63</v>
      </c>
      <c r="L8" s="34" t="s">
        <v>87</v>
      </c>
      <c r="M8" s="35" t="s">
        <v>63</v>
      </c>
      <c r="N8" s="36" t="s">
        <v>63</v>
      </c>
    </row>
    <row r="9" spans="1:14" ht="69">
      <c r="A9" s="42"/>
      <c r="B9" s="37" t="s">
        <v>45</v>
      </c>
      <c r="C9" s="42" t="s">
        <v>57</v>
      </c>
      <c r="D9" s="37" t="s">
        <v>47</v>
      </c>
      <c r="E9" s="43">
        <v>8</v>
      </c>
      <c r="F9" s="42" t="s">
        <v>88</v>
      </c>
      <c r="G9" s="42" t="s">
        <v>49</v>
      </c>
      <c r="H9" s="42" t="s">
        <v>50</v>
      </c>
      <c r="I9" s="44" t="s">
        <v>51</v>
      </c>
      <c r="J9" s="40" t="s">
        <v>51</v>
      </c>
      <c r="K9" s="41" t="s">
        <v>89</v>
      </c>
      <c r="L9" s="34" t="s">
        <v>87</v>
      </c>
      <c r="M9" s="35" t="s">
        <v>90</v>
      </c>
      <c r="N9" s="36" t="s">
        <v>63</v>
      </c>
    </row>
    <row r="10" spans="1:14" ht="41.4">
      <c r="A10" s="37" t="s">
        <v>91</v>
      </c>
      <c r="B10" s="37" t="s">
        <v>45</v>
      </c>
      <c r="C10" s="37" t="s">
        <v>46</v>
      </c>
      <c r="D10" s="37" t="s">
        <v>92</v>
      </c>
      <c r="E10" s="38">
        <v>9</v>
      </c>
      <c r="F10" s="37" t="s">
        <v>93</v>
      </c>
      <c r="G10" s="37" t="s">
        <v>76</v>
      </c>
      <c r="H10" s="37" t="s">
        <v>50</v>
      </c>
      <c r="I10" s="39" t="s">
        <v>87</v>
      </c>
      <c r="J10" s="40" t="s">
        <v>94</v>
      </c>
      <c r="K10" s="41" t="s">
        <v>95</v>
      </c>
      <c r="L10" s="34" t="s">
        <v>96</v>
      </c>
      <c r="M10" s="35" t="s">
        <v>97</v>
      </c>
      <c r="N10" s="36" t="s">
        <v>98</v>
      </c>
    </row>
    <row r="11" spans="1:14" ht="151.80000000000001">
      <c r="A11" s="45"/>
      <c r="B11" s="37" t="s">
        <v>45</v>
      </c>
      <c r="C11" s="45" t="s">
        <v>68</v>
      </c>
      <c r="D11" s="37" t="s">
        <v>47</v>
      </c>
      <c r="E11" s="46">
        <v>10</v>
      </c>
      <c r="F11" s="45" t="s">
        <v>99</v>
      </c>
      <c r="G11" s="45" t="s">
        <v>49</v>
      </c>
      <c r="H11" s="45" t="s">
        <v>50</v>
      </c>
      <c r="I11" s="47" t="s">
        <v>51</v>
      </c>
      <c r="J11" s="40" t="s">
        <v>100</v>
      </c>
      <c r="K11" s="41" t="s">
        <v>101</v>
      </c>
      <c r="L11" s="34" t="s">
        <v>102</v>
      </c>
      <c r="M11" s="35" t="s">
        <v>103</v>
      </c>
      <c r="N11" s="36" t="s">
        <v>104</v>
      </c>
    </row>
    <row r="12" spans="1:14" ht="41.4">
      <c r="A12" s="42"/>
      <c r="B12" s="37" t="s">
        <v>45</v>
      </c>
      <c r="C12" s="42" t="s">
        <v>57</v>
      </c>
      <c r="D12" s="42" t="s">
        <v>105</v>
      </c>
      <c r="E12" s="43">
        <v>11</v>
      </c>
      <c r="F12" s="42" t="s">
        <v>106</v>
      </c>
      <c r="G12" s="42" t="s">
        <v>76</v>
      </c>
      <c r="H12" s="42" t="s">
        <v>50</v>
      </c>
      <c r="I12" s="44" t="s">
        <v>51</v>
      </c>
      <c r="J12" s="40" t="s">
        <v>107</v>
      </c>
      <c r="K12" s="41" t="s">
        <v>108</v>
      </c>
      <c r="L12" s="34" t="s">
        <v>109</v>
      </c>
      <c r="M12" s="35" t="s">
        <v>110</v>
      </c>
      <c r="N12" s="36" t="s">
        <v>111</v>
      </c>
    </row>
    <row r="13" spans="1:14" ht="41.4">
      <c r="A13" s="37"/>
      <c r="B13" s="37" t="s">
        <v>45</v>
      </c>
      <c r="C13" s="37" t="s">
        <v>57</v>
      </c>
      <c r="D13" s="37" t="s">
        <v>105</v>
      </c>
      <c r="E13" s="38">
        <v>12</v>
      </c>
      <c r="F13" s="37" t="s">
        <v>112</v>
      </c>
      <c r="G13" s="37" t="s">
        <v>76</v>
      </c>
      <c r="H13" s="37" t="s">
        <v>50</v>
      </c>
      <c r="I13" s="39" t="s">
        <v>51</v>
      </c>
      <c r="J13" s="40" t="s">
        <v>113</v>
      </c>
      <c r="K13" s="41" t="s">
        <v>114</v>
      </c>
      <c r="L13" s="34" t="s">
        <v>115</v>
      </c>
      <c r="M13" s="35" t="s">
        <v>116</v>
      </c>
      <c r="N13" s="36" t="s">
        <v>117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F88E-7141-4A98-8234-F31C655EDD10}">
  <sheetPr>
    <tabColor theme="9" tint="0.39997558519241921"/>
  </sheetPr>
  <dimension ref="A1:BH33"/>
  <sheetViews>
    <sheetView workbookViewId="0">
      <pane xSplit="8" ySplit="1" topLeftCell="I2" activePane="bottomRight" state="frozen"/>
      <selection pane="topRight" activeCell="I1" sqref="I1"/>
      <selection pane="bottomLeft" activeCell="A3" sqref="A3"/>
      <selection pane="bottomRight" activeCell="D4" sqref="D4"/>
    </sheetView>
  </sheetViews>
  <sheetFormatPr defaultColWidth="8.88671875" defaultRowHeight="13.8"/>
  <cols>
    <col min="1" max="1" width="6.6640625" style="61" bestFit="1" customWidth="1"/>
    <col min="2" max="2" width="15.44140625" style="61" bestFit="1" customWidth="1"/>
    <col min="3" max="3" width="15.33203125" style="61" bestFit="1" customWidth="1"/>
    <col min="4" max="4" width="16.6640625" style="61" customWidth="1"/>
    <col min="5" max="5" width="15.33203125" style="61" bestFit="1" customWidth="1"/>
    <col min="6" max="6" width="13.88671875" style="62" bestFit="1" customWidth="1"/>
    <col min="7" max="7" width="19.109375" style="62" bestFit="1" customWidth="1"/>
    <col min="8" max="8" width="18.6640625" style="62" bestFit="1" customWidth="1"/>
    <col min="9" max="28" width="12.44140625" style="61" bestFit="1" customWidth="1"/>
    <col min="29" max="29" width="9.44140625" style="61" bestFit="1" customWidth="1"/>
    <col min="30" max="30" width="11.33203125" style="61" bestFit="1" customWidth="1"/>
    <col min="31" max="31" width="11" style="61" bestFit="1" customWidth="1"/>
    <col min="32" max="46" width="12.44140625" style="61" bestFit="1" customWidth="1"/>
    <col min="47" max="47" width="9.44140625" style="61" bestFit="1" customWidth="1"/>
    <col min="48" max="48" width="11" style="61" bestFit="1" customWidth="1"/>
    <col min="49" max="49" width="10.5546875" style="61" bestFit="1" customWidth="1"/>
    <col min="50" max="54" width="13.33203125" style="61" bestFit="1" customWidth="1"/>
    <col min="55" max="55" width="10.33203125" style="61" bestFit="1" customWidth="1"/>
    <col min="56" max="56" width="11.6640625" style="61" bestFit="1" customWidth="1"/>
    <col min="57" max="57" width="11.33203125" style="61" bestFit="1" customWidth="1"/>
    <col min="58" max="58" width="10.33203125" style="61" bestFit="1" customWidth="1"/>
    <col min="59" max="59" width="11.6640625" style="61" bestFit="1" customWidth="1"/>
    <col min="60" max="60" width="11.33203125" style="61" bestFit="1" customWidth="1"/>
    <col min="61" max="16384" width="8.88671875" style="61"/>
  </cols>
  <sheetData>
    <row r="1" spans="1:60" s="49" customFormat="1" ht="18.600000000000001" customHeight="1">
      <c r="A1" s="63"/>
      <c r="B1" s="63"/>
      <c r="C1" s="63"/>
      <c r="D1" s="63"/>
      <c r="E1" s="63"/>
      <c r="F1" s="63"/>
      <c r="G1" s="63"/>
      <c r="H1" s="63"/>
      <c r="I1" s="92" t="s">
        <v>118</v>
      </c>
      <c r="J1" s="92"/>
      <c r="K1" s="92"/>
      <c r="L1" s="92"/>
      <c r="M1" s="92"/>
      <c r="N1" s="92" t="s">
        <v>119</v>
      </c>
      <c r="O1" s="92"/>
      <c r="P1" s="92"/>
      <c r="Q1" s="92"/>
      <c r="R1" s="92"/>
      <c r="S1" s="92" t="s">
        <v>120</v>
      </c>
      <c r="T1" s="92"/>
      <c r="U1" s="92"/>
      <c r="V1" s="92"/>
      <c r="W1" s="92"/>
      <c r="X1" s="92" t="s">
        <v>121</v>
      </c>
      <c r="Y1" s="92"/>
      <c r="Z1" s="92"/>
      <c r="AA1" s="92"/>
      <c r="AB1" s="92"/>
      <c r="AC1" s="86" t="s">
        <v>122</v>
      </c>
      <c r="AD1" s="87"/>
      <c r="AE1" s="88"/>
      <c r="AF1" s="92" t="s">
        <v>123</v>
      </c>
      <c r="AG1" s="92"/>
      <c r="AH1" s="92"/>
      <c r="AI1" s="92"/>
      <c r="AJ1" s="92"/>
      <c r="AK1" s="92" t="s">
        <v>124</v>
      </c>
      <c r="AL1" s="92"/>
      <c r="AM1" s="92"/>
      <c r="AN1" s="92"/>
      <c r="AO1" s="92"/>
      <c r="AP1" s="92" t="s">
        <v>125</v>
      </c>
      <c r="AQ1" s="92"/>
      <c r="AR1" s="92"/>
      <c r="AS1" s="92"/>
      <c r="AT1" s="92"/>
      <c r="AU1" s="86" t="s">
        <v>126</v>
      </c>
      <c r="AV1" s="87" t="s">
        <v>126</v>
      </c>
      <c r="AW1" s="88"/>
      <c r="AX1" s="92" t="s">
        <v>127</v>
      </c>
      <c r="AY1" s="92"/>
      <c r="AZ1" s="92"/>
      <c r="BA1" s="92"/>
      <c r="BB1" s="92"/>
      <c r="BC1" s="86" t="s">
        <v>128</v>
      </c>
      <c r="BD1" s="87" t="s">
        <v>128</v>
      </c>
      <c r="BE1" s="88"/>
      <c r="BF1" s="86" t="s">
        <v>129</v>
      </c>
      <c r="BG1" s="87" t="s">
        <v>129</v>
      </c>
      <c r="BH1" s="88"/>
    </row>
    <row r="2" spans="1:60" s="48" customFormat="1" ht="27" customHeight="1">
      <c r="A2" s="64"/>
      <c r="B2" s="93" t="s">
        <v>130</v>
      </c>
      <c r="C2" s="94"/>
      <c r="D2" s="94"/>
      <c r="E2" s="94"/>
      <c r="F2" s="78"/>
      <c r="G2" s="64"/>
      <c r="H2" s="64"/>
      <c r="I2" s="65" t="s">
        <v>131</v>
      </c>
      <c r="J2" s="66" t="s">
        <v>132</v>
      </c>
      <c r="K2" s="67" t="s">
        <v>133</v>
      </c>
      <c r="L2" s="68" t="s">
        <v>134</v>
      </c>
      <c r="M2" s="69" t="s">
        <v>135</v>
      </c>
      <c r="N2" s="65" t="s">
        <v>131</v>
      </c>
      <c r="O2" s="66" t="s">
        <v>132</v>
      </c>
      <c r="P2" s="67" t="s">
        <v>133</v>
      </c>
      <c r="Q2" s="68" t="s">
        <v>134</v>
      </c>
      <c r="R2" s="69" t="s">
        <v>135</v>
      </c>
      <c r="S2" s="65" t="s">
        <v>131</v>
      </c>
      <c r="T2" s="66" t="s">
        <v>132</v>
      </c>
      <c r="U2" s="67" t="s">
        <v>133</v>
      </c>
      <c r="V2" s="68" t="s">
        <v>134</v>
      </c>
      <c r="W2" s="69" t="s">
        <v>135</v>
      </c>
      <c r="X2" s="65" t="s">
        <v>131</v>
      </c>
      <c r="Y2" s="66" t="s">
        <v>132</v>
      </c>
      <c r="Z2" s="67" t="s">
        <v>133</v>
      </c>
      <c r="AA2" s="68" t="s">
        <v>134</v>
      </c>
      <c r="AB2" s="69" t="s">
        <v>135</v>
      </c>
      <c r="AC2" s="89"/>
      <c r="AD2" s="90"/>
      <c r="AE2" s="91"/>
      <c r="AF2" s="65" t="s">
        <v>131</v>
      </c>
      <c r="AG2" s="66" t="s">
        <v>132</v>
      </c>
      <c r="AH2" s="67" t="s">
        <v>133</v>
      </c>
      <c r="AI2" s="68" t="s">
        <v>134</v>
      </c>
      <c r="AJ2" s="69" t="s">
        <v>135</v>
      </c>
      <c r="AK2" s="65" t="s">
        <v>131</v>
      </c>
      <c r="AL2" s="66" t="s">
        <v>132</v>
      </c>
      <c r="AM2" s="67" t="s">
        <v>133</v>
      </c>
      <c r="AN2" s="68" t="s">
        <v>134</v>
      </c>
      <c r="AO2" s="69" t="s">
        <v>135</v>
      </c>
      <c r="AP2" s="65" t="s">
        <v>131</v>
      </c>
      <c r="AQ2" s="66" t="s">
        <v>132</v>
      </c>
      <c r="AR2" s="67" t="s">
        <v>133</v>
      </c>
      <c r="AS2" s="68" t="s">
        <v>134</v>
      </c>
      <c r="AT2" s="69" t="s">
        <v>135</v>
      </c>
      <c r="AU2" s="89"/>
      <c r="AV2" s="90"/>
      <c r="AW2" s="91"/>
      <c r="AX2" s="65" t="s">
        <v>131</v>
      </c>
      <c r="AY2" s="66" t="s">
        <v>132</v>
      </c>
      <c r="AZ2" s="67" t="s">
        <v>133</v>
      </c>
      <c r="BA2" s="68" t="s">
        <v>134</v>
      </c>
      <c r="BB2" s="69" t="s">
        <v>135</v>
      </c>
      <c r="BC2" s="89"/>
      <c r="BD2" s="90"/>
      <c r="BE2" s="91"/>
      <c r="BF2" s="89"/>
      <c r="BG2" s="90"/>
      <c r="BH2" s="91"/>
    </row>
    <row r="3" spans="1:60" s="54" customFormat="1" ht="24.75" customHeight="1">
      <c r="A3" s="50" t="s">
        <v>136</v>
      </c>
      <c r="B3" s="50" t="s">
        <v>137</v>
      </c>
      <c r="C3" s="50" t="s">
        <v>138</v>
      </c>
      <c r="D3" s="50" t="s">
        <v>139</v>
      </c>
      <c r="E3" s="50" t="s">
        <v>140</v>
      </c>
      <c r="F3" s="51" t="s">
        <v>141</v>
      </c>
      <c r="G3" s="51" t="s">
        <v>142</v>
      </c>
      <c r="H3" s="51" t="s">
        <v>143</v>
      </c>
      <c r="I3" s="52" t="s">
        <v>144</v>
      </c>
      <c r="J3" s="52" t="s">
        <v>145</v>
      </c>
      <c r="K3" s="52" t="s">
        <v>146</v>
      </c>
      <c r="L3" s="52" t="s">
        <v>147</v>
      </c>
      <c r="M3" s="52" t="s">
        <v>148</v>
      </c>
      <c r="N3" s="52" t="s">
        <v>149</v>
      </c>
      <c r="O3" s="52" t="s">
        <v>150</v>
      </c>
      <c r="P3" s="52" t="s">
        <v>151</v>
      </c>
      <c r="Q3" s="52" t="s">
        <v>152</v>
      </c>
      <c r="R3" s="52" t="s">
        <v>153</v>
      </c>
      <c r="S3" s="52" t="s">
        <v>154</v>
      </c>
      <c r="T3" s="52" t="s">
        <v>155</v>
      </c>
      <c r="U3" s="52" t="s">
        <v>156</v>
      </c>
      <c r="V3" s="52" t="s">
        <v>157</v>
      </c>
      <c r="W3" s="52" t="s">
        <v>158</v>
      </c>
      <c r="X3" s="52" t="s">
        <v>159</v>
      </c>
      <c r="Y3" s="52" t="s">
        <v>160</v>
      </c>
      <c r="Z3" s="52" t="s">
        <v>161</v>
      </c>
      <c r="AA3" s="52" t="s">
        <v>162</v>
      </c>
      <c r="AB3" s="52" t="s">
        <v>163</v>
      </c>
      <c r="AC3" s="52" t="s">
        <v>164</v>
      </c>
      <c r="AD3" s="53" t="s">
        <v>165</v>
      </c>
      <c r="AE3" s="53" t="s">
        <v>166</v>
      </c>
      <c r="AF3" s="52" t="s">
        <v>167</v>
      </c>
      <c r="AG3" s="52" t="s">
        <v>168</v>
      </c>
      <c r="AH3" s="52" t="s">
        <v>169</v>
      </c>
      <c r="AI3" s="52" t="s">
        <v>170</v>
      </c>
      <c r="AJ3" s="52" t="s">
        <v>171</v>
      </c>
      <c r="AK3" s="52" t="s">
        <v>172</v>
      </c>
      <c r="AL3" s="52" t="s">
        <v>173</v>
      </c>
      <c r="AM3" s="52" t="s">
        <v>174</v>
      </c>
      <c r="AN3" s="52" t="s">
        <v>175</v>
      </c>
      <c r="AO3" s="52" t="s">
        <v>176</v>
      </c>
      <c r="AP3" s="52" t="s">
        <v>177</v>
      </c>
      <c r="AQ3" s="52" t="s">
        <v>178</v>
      </c>
      <c r="AR3" s="52" t="s">
        <v>179</v>
      </c>
      <c r="AS3" s="52" t="s">
        <v>180</v>
      </c>
      <c r="AT3" s="52" t="s">
        <v>181</v>
      </c>
      <c r="AU3" s="52" t="s">
        <v>182</v>
      </c>
      <c r="AV3" s="52" t="s">
        <v>183</v>
      </c>
      <c r="AW3" s="52" t="s">
        <v>184</v>
      </c>
      <c r="AX3" s="52" t="s">
        <v>185</v>
      </c>
      <c r="AY3" s="52" t="s">
        <v>186</v>
      </c>
      <c r="AZ3" s="52" t="s">
        <v>187</v>
      </c>
      <c r="BA3" s="52" t="s">
        <v>188</v>
      </c>
      <c r="BB3" s="52" t="s">
        <v>189</v>
      </c>
      <c r="BC3" s="52" t="s">
        <v>190</v>
      </c>
      <c r="BD3" s="52" t="s">
        <v>191</v>
      </c>
      <c r="BE3" s="52" t="s">
        <v>192</v>
      </c>
      <c r="BF3" s="52" t="s">
        <v>193</v>
      </c>
      <c r="BG3" s="52" t="s">
        <v>194</v>
      </c>
      <c r="BH3" s="52" t="s">
        <v>195</v>
      </c>
    </row>
    <row r="4" spans="1:60">
      <c r="A4" s="55">
        <v>1</v>
      </c>
      <c r="B4" s="55"/>
      <c r="C4" s="55"/>
      <c r="D4" s="56" t="s">
        <v>196</v>
      </c>
      <c r="E4" s="56" t="s">
        <v>197</v>
      </c>
      <c r="F4" s="57">
        <v>4690361</v>
      </c>
      <c r="G4" s="57" t="s">
        <v>198</v>
      </c>
      <c r="H4" s="57" t="str">
        <f>_xlfn.CONCAT(Data_Entry[[#This Row],[ADM2_Pcode]],"-",Data_Entry[[#This Row],[Group Name]])</f>
        <v>AF01-All_Others</v>
      </c>
      <c r="I4" s="58">
        <v>0.86360000000000003</v>
      </c>
      <c r="J4" s="58">
        <v>7.7899999999999997E-2</v>
      </c>
      <c r="K4" s="58">
        <v>5.1900000000000002E-2</v>
      </c>
      <c r="L4" s="58">
        <v>6.5000000000000006E-3</v>
      </c>
      <c r="M4" s="58">
        <v>0</v>
      </c>
      <c r="N4" s="58">
        <v>0.21621621621621601</v>
      </c>
      <c r="O4" s="58">
        <v>0.76576576576576594</v>
      </c>
      <c r="P4" s="58">
        <v>1.8018018018018001E-2</v>
      </c>
      <c r="Q4" s="58">
        <v>0</v>
      </c>
      <c r="R4" s="58">
        <v>0</v>
      </c>
      <c r="S4" s="58">
        <v>6.4935064935064901E-2</v>
      </c>
      <c r="T4" s="58">
        <v>0.493506493506494</v>
      </c>
      <c r="U4" s="58">
        <v>0.44155844155844198</v>
      </c>
      <c r="V4" s="58">
        <v>0</v>
      </c>
      <c r="W4" s="58">
        <v>0</v>
      </c>
      <c r="X4" s="58">
        <v>0.37009999999999998</v>
      </c>
      <c r="Y4" s="58">
        <v>0.48049999999999998</v>
      </c>
      <c r="Z4" s="58">
        <v>0.13640000000000002</v>
      </c>
      <c r="AA4" s="58">
        <v>1.3000000000000001E-2</v>
      </c>
      <c r="AB4" s="58">
        <v>0</v>
      </c>
      <c r="AC4" s="58">
        <v>0.55324074074074092</v>
      </c>
      <c r="AD4" s="59">
        <v>2</v>
      </c>
      <c r="AE4" s="60"/>
      <c r="AF4" s="58">
        <v>1.72413793103448E-2</v>
      </c>
      <c r="AG4" s="58">
        <v>0</v>
      </c>
      <c r="AH4" s="58">
        <v>0.34482758620689702</v>
      </c>
      <c r="AI4" s="58">
        <v>0.63793103448275901</v>
      </c>
      <c r="AJ4" s="58">
        <v>0</v>
      </c>
      <c r="AK4" s="58">
        <v>0.92859999999999998</v>
      </c>
      <c r="AL4" s="58">
        <v>0</v>
      </c>
      <c r="AM4" s="58">
        <v>7.1399999999999991E-2</v>
      </c>
      <c r="AN4" s="58">
        <v>0</v>
      </c>
      <c r="AO4" s="58">
        <v>0</v>
      </c>
      <c r="AP4" s="58">
        <v>0.98611111111111105</v>
      </c>
      <c r="AQ4" s="58">
        <v>0</v>
      </c>
      <c r="AR4" s="58">
        <v>0</v>
      </c>
      <c r="AS4" s="58">
        <v>1.38888888888889E-2</v>
      </c>
      <c r="AT4" s="58">
        <v>0</v>
      </c>
      <c r="AU4" s="58">
        <v>0.38495593307951537</v>
      </c>
      <c r="AV4" s="60">
        <v>3</v>
      </c>
      <c r="AW4" s="60"/>
      <c r="AX4" s="58">
        <v>0.22</v>
      </c>
      <c r="AY4" s="58">
        <v>0</v>
      </c>
      <c r="AZ4" s="58">
        <v>0.47</v>
      </c>
      <c r="BA4" s="58">
        <v>0.31</v>
      </c>
      <c r="BB4" s="58">
        <v>0</v>
      </c>
      <c r="BC4" s="58">
        <v>0.77458445538118692</v>
      </c>
      <c r="BD4" s="60">
        <v>4</v>
      </c>
      <c r="BE4" s="60">
        <v>3633080.7207261594</v>
      </c>
      <c r="BF4" s="58">
        <v>0.79525881588579561</v>
      </c>
      <c r="BG4" s="60">
        <v>3</v>
      </c>
      <c r="BH4" s="60">
        <v>3730050.934936916</v>
      </c>
    </row>
    <row r="5" spans="1:60">
      <c r="A5" s="55">
        <v>2</v>
      </c>
      <c r="B5" s="55"/>
      <c r="C5" s="55"/>
      <c r="D5" s="56" t="s">
        <v>199</v>
      </c>
      <c r="E5" s="56" t="s">
        <v>200</v>
      </c>
      <c r="F5" s="57">
        <v>440047</v>
      </c>
      <c r="G5" s="57" t="s">
        <v>198</v>
      </c>
      <c r="H5" s="57" t="str">
        <f>_xlfn.CONCAT(Data_Entry[[#This Row],[ADM2_Pcode]],"-",Data_Entry[[#This Row],[Group Name]])</f>
        <v>AF02-All_Others</v>
      </c>
      <c r="I5" s="58">
        <v>0.4103</v>
      </c>
      <c r="J5" s="58">
        <v>0.39100000000000001</v>
      </c>
      <c r="K5" s="58">
        <v>0.1474</v>
      </c>
      <c r="L5" s="58">
        <v>3.2100000000000004E-2</v>
      </c>
      <c r="M5" s="58">
        <v>1.9199999999999998E-2</v>
      </c>
      <c r="N5" s="58">
        <v>7.4324324324324301E-2</v>
      </c>
      <c r="O5" s="58">
        <v>0.42567567567567599</v>
      </c>
      <c r="P5" s="58">
        <v>0.18243243243243198</v>
      </c>
      <c r="Q5" s="58">
        <v>0.31756756756756799</v>
      </c>
      <c r="R5" s="58">
        <v>0</v>
      </c>
      <c r="S5" s="58">
        <v>0.16666666666666699</v>
      </c>
      <c r="T5" s="58">
        <v>0.21153846153846201</v>
      </c>
      <c r="U5" s="58">
        <v>0.62179487179487192</v>
      </c>
      <c r="V5" s="58">
        <v>0</v>
      </c>
      <c r="W5" s="58">
        <v>0</v>
      </c>
      <c r="X5" s="58">
        <v>0.23079999999999998</v>
      </c>
      <c r="Y5" s="58">
        <v>0.32049999999999995</v>
      </c>
      <c r="Z5" s="58">
        <v>0.35899999999999999</v>
      </c>
      <c r="AA5" s="58">
        <v>8.9700000000000002E-2</v>
      </c>
      <c r="AB5" s="58">
        <v>0</v>
      </c>
      <c r="AC5" s="58">
        <v>0.509736064968623</v>
      </c>
      <c r="AD5" s="60">
        <v>2</v>
      </c>
      <c r="AE5" s="60"/>
      <c r="AF5" s="58">
        <v>0</v>
      </c>
      <c r="AG5" s="58">
        <v>0</v>
      </c>
      <c r="AH5" s="58">
        <v>2.32558139534884E-2</v>
      </c>
      <c r="AI5" s="58">
        <v>0.97674418604651192</v>
      </c>
      <c r="AJ5" s="58">
        <v>0</v>
      </c>
      <c r="AK5" s="58">
        <v>0.9487000000000001</v>
      </c>
      <c r="AL5" s="58">
        <v>0</v>
      </c>
      <c r="AM5" s="58">
        <v>5.1299999999999998E-2</v>
      </c>
      <c r="AN5" s="58">
        <v>0</v>
      </c>
      <c r="AO5" s="58">
        <v>0</v>
      </c>
      <c r="AP5" s="58">
        <v>1</v>
      </c>
      <c r="AQ5" s="58">
        <v>0</v>
      </c>
      <c r="AR5" s="58">
        <v>0</v>
      </c>
      <c r="AS5" s="58">
        <v>0</v>
      </c>
      <c r="AT5" s="58">
        <v>0</v>
      </c>
      <c r="AU5" s="58">
        <v>0.25</v>
      </c>
      <c r="AV5" s="60">
        <v>3</v>
      </c>
      <c r="AW5" s="60"/>
      <c r="AX5" s="58">
        <v>0</v>
      </c>
      <c r="AY5" s="58">
        <v>0</v>
      </c>
      <c r="AZ5" s="58">
        <v>0</v>
      </c>
      <c r="BA5" s="58">
        <v>0</v>
      </c>
      <c r="BB5" s="58">
        <v>0</v>
      </c>
      <c r="BC5" s="58">
        <v>0.42452830188679136</v>
      </c>
      <c r="BD5" s="60">
        <v>2</v>
      </c>
      <c r="BE5" s="60">
        <v>186812.40566037688</v>
      </c>
      <c r="BF5" s="58">
        <v>0.69709543568464982</v>
      </c>
      <c r="BG5" s="60">
        <v>2</v>
      </c>
      <c r="BH5" s="60">
        <v>306754.75518672308</v>
      </c>
    </row>
    <row r="6" spans="1:60">
      <c r="A6" s="55">
        <v>3</v>
      </c>
      <c r="B6" s="55"/>
      <c r="C6" s="55"/>
      <c r="D6" s="56" t="s">
        <v>201</v>
      </c>
      <c r="E6" s="56" t="s">
        <v>202</v>
      </c>
      <c r="F6" s="57">
        <v>664805</v>
      </c>
      <c r="G6" s="57" t="s">
        <v>198</v>
      </c>
      <c r="H6" s="57" t="str">
        <f>_xlfn.CONCAT(Data_Entry[[#This Row],[ADM2_Pcode]],"-",Data_Entry[[#This Row],[Group Name]])</f>
        <v>AF03-All_Others</v>
      </c>
      <c r="I6" s="58">
        <v>0.28660000000000002</v>
      </c>
      <c r="J6" s="58">
        <v>0.65849999999999997</v>
      </c>
      <c r="K6" s="58">
        <v>5.4900000000000004E-2</v>
      </c>
      <c r="L6" s="58">
        <v>0</v>
      </c>
      <c r="M6" s="58">
        <v>0</v>
      </c>
      <c r="N6" s="58">
        <v>4.8780487804878002E-2</v>
      </c>
      <c r="O6" s="58">
        <v>6.0975609756097594E-2</v>
      </c>
      <c r="P6" s="58">
        <v>0.20121951219512202</v>
      </c>
      <c r="Q6" s="58">
        <v>0.68902439024390205</v>
      </c>
      <c r="R6" s="58">
        <v>0</v>
      </c>
      <c r="S6" s="58">
        <v>0</v>
      </c>
      <c r="T6" s="58">
        <v>1.8292682926829298E-2</v>
      </c>
      <c r="U6" s="58">
        <v>0.98170731707317105</v>
      </c>
      <c r="V6" s="58">
        <v>0</v>
      </c>
      <c r="W6" s="58">
        <v>0</v>
      </c>
      <c r="X6" s="58">
        <v>9.7600000000000006E-2</v>
      </c>
      <c r="Y6" s="58">
        <v>0.77439999999999998</v>
      </c>
      <c r="Z6" s="58">
        <v>0.128</v>
      </c>
      <c r="AA6" s="58">
        <v>0</v>
      </c>
      <c r="AB6" s="58">
        <v>0</v>
      </c>
      <c r="AC6" s="58">
        <v>0.77967741935483903</v>
      </c>
      <c r="AD6" s="60">
        <v>1</v>
      </c>
      <c r="AE6" s="60"/>
      <c r="AF6" s="58">
        <v>2.0833333333333301E-2</v>
      </c>
      <c r="AG6" s="58">
        <v>0</v>
      </c>
      <c r="AH6" s="58">
        <v>0.9375</v>
      </c>
      <c r="AI6" s="58">
        <v>4.1666666666666699E-2</v>
      </c>
      <c r="AJ6" s="58">
        <v>0</v>
      </c>
      <c r="AK6" s="58">
        <v>0.84150000000000003</v>
      </c>
      <c r="AL6" s="58">
        <v>0</v>
      </c>
      <c r="AM6" s="58">
        <v>0.1585</v>
      </c>
      <c r="AN6" s="58">
        <v>0</v>
      </c>
      <c r="AO6" s="58">
        <v>0</v>
      </c>
      <c r="AP6" s="58">
        <v>0.98742138364779908</v>
      </c>
      <c r="AQ6" s="58">
        <v>0</v>
      </c>
      <c r="AR6" s="58">
        <v>0</v>
      </c>
      <c r="AS6" s="58">
        <v>1.25786163522013E-2</v>
      </c>
      <c r="AT6" s="58">
        <v>0</v>
      </c>
      <c r="AU6" s="58">
        <v>0.35</v>
      </c>
      <c r="AV6" s="60">
        <v>3</v>
      </c>
      <c r="AW6" s="60"/>
      <c r="AX6" s="58">
        <v>0.82</v>
      </c>
      <c r="AY6" s="58">
        <v>0</v>
      </c>
      <c r="AZ6" s="58">
        <v>0.18</v>
      </c>
      <c r="BA6" s="58">
        <v>0</v>
      </c>
      <c r="BB6" s="58">
        <v>0</v>
      </c>
      <c r="BC6" s="58">
        <v>0.51044083526682116</v>
      </c>
      <c r="BD6" s="60">
        <v>3</v>
      </c>
      <c r="BE6" s="60">
        <v>339343.61948955903</v>
      </c>
      <c r="BF6" s="58">
        <v>0.79354838709677533</v>
      </c>
      <c r="BG6" s="60">
        <v>3</v>
      </c>
      <c r="BH6" s="60">
        <v>527554.93548387173</v>
      </c>
    </row>
    <row r="7" spans="1:60">
      <c r="A7" s="55">
        <v>4</v>
      </c>
      <c r="B7" s="55"/>
      <c r="C7" s="55"/>
      <c r="D7" s="56" t="s">
        <v>203</v>
      </c>
      <c r="E7" s="56" t="s">
        <v>204</v>
      </c>
      <c r="F7" s="57">
        <v>595013</v>
      </c>
      <c r="G7" s="57" t="s">
        <v>198</v>
      </c>
      <c r="H7" s="57" t="str">
        <f>_xlfn.CONCAT(Data_Entry[[#This Row],[ADM2_Pcode]],"-",Data_Entry[[#This Row],[Group Name]])</f>
        <v>AF04-All_Others</v>
      </c>
      <c r="I7" s="58">
        <v>0.6321</v>
      </c>
      <c r="J7" s="58">
        <v>0.3619</v>
      </c>
      <c r="K7" s="58">
        <v>6.0000000000000001E-3</v>
      </c>
      <c r="L7" s="58">
        <v>0</v>
      </c>
      <c r="M7" s="58">
        <v>0</v>
      </c>
      <c r="N7" s="58">
        <v>0</v>
      </c>
      <c r="O7" s="58">
        <v>1</v>
      </c>
      <c r="P7" s="58">
        <v>0</v>
      </c>
      <c r="Q7" s="58">
        <v>0</v>
      </c>
      <c r="R7" s="58">
        <v>0</v>
      </c>
      <c r="S7" s="58">
        <v>0</v>
      </c>
      <c r="T7" s="58">
        <v>0</v>
      </c>
      <c r="U7" s="58">
        <v>1</v>
      </c>
      <c r="V7" s="58">
        <v>0</v>
      </c>
      <c r="W7" s="58">
        <v>0</v>
      </c>
      <c r="X7" s="58">
        <v>0.48859999999999998</v>
      </c>
      <c r="Y7" s="58">
        <v>0.4093</v>
      </c>
      <c r="Z7" s="58">
        <v>9.01E-2</v>
      </c>
      <c r="AA7" s="58">
        <v>1.2E-2</v>
      </c>
      <c r="AB7" s="58">
        <v>0</v>
      </c>
      <c r="AC7" s="58">
        <v>0.38842498899003702</v>
      </c>
      <c r="AD7" s="60">
        <v>3</v>
      </c>
      <c r="AE7" s="60"/>
      <c r="AF7" s="58">
        <v>0</v>
      </c>
      <c r="AG7" s="58">
        <v>0</v>
      </c>
      <c r="AH7" s="58">
        <v>0</v>
      </c>
      <c r="AI7" s="58">
        <v>1</v>
      </c>
      <c r="AJ7" s="58">
        <v>0</v>
      </c>
      <c r="AK7" s="58">
        <v>0.98799999999999999</v>
      </c>
      <c r="AL7" s="58">
        <v>0</v>
      </c>
      <c r="AM7" s="58">
        <v>1.2E-2</v>
      </c>
      <c r="AN7" s="58">
        <v>0</v>
      </c>
      <c r="AO7" s="58">
        <v>0</v>
      </c>
      <c r="AP7" s="58">
        <v>0.82396817724411098</v>
      </c>
      <c r="AQ7" s="58">
        <v>0</v>
      </c>
      <c r="AR7" s="58">
        <v>0</v>
      </c>
      <c r="AS7" s="58">
        <v>0.17603182275588899</v>
      </c>
      <c r="AT7" s="58">
        <v>0</v>
      </c>
      <c r="AU7" s="58">
        <v>0.44999999999999996</v>
      </c>
      <c r="AV7" s="60">
        <v>3</v>
      </c>
      <c r="AW7" s="60"/>
      <c r="AX7" s="58">
        <v>0</v>
      </c>
      <c r="AY7" s="58">
        <v>0</v>
      </c>
      <c r="AZ7" s="58">
        <v>0</v>
      </c>
      <c r="BA7" s="58">
        <v>0</v>
      </c>
      <c r="BB7" s="58">
        <v>0</v>
      </c>
      <c r="BC7" s="58">
        <v>0.72008331404767367</v>
      </c>
      <c r="BD7" s="60">
        <v>3</v>
      </c>
      <c r="BE7" s="60">
        <v>428458.93294144847</v>
      </c>
      <c r="BF7" s="58">
        <v>0.70563674321503123</v>
      </c>
      <c r="BG7" s="60">
        <v>3</v>
      </c>
      <c r="BH7" s="60">
        <v>419863.0354906054</v>
      </c>
    </row>
    <row r="8" spans="1:60">
      <c r="A8" s="55">
        <v>5</v>
      </c>
      <c r="B8" s="55"/>
      <c r="C8" s="55"/>
      <c r="D8" s="56" t="s">
        <v>205</v>
      </c>
      <c r="E8" s="56" t="s">
        <v>206</v>
      </c>
      <c r="F8" s="57">
        <v>391451</v>
      </c>
      <c r="G8" s="57" t="s">
        <v>198</v>
      </c>
      <c r="H8" s="57" t="str">
        <f>_xlfn.CONCAT(Data_Entry[[#This Row],[ADM2_Pcode]],"-",Data_Entry[[#This Row],[Group Name]])</f>
        <v>AF05-All_Others</v>
      </c>
      <c r="I8" s="58">
        <v>0.53280000000000005</v>
      </c>
      <c r="J8" s="58">
        <v>0.45369999999999999</v>
      </c>
      <c r="K8" s="58">
        <v>1.34E-2</v>
      </c>
      <c r="L8" s="58">
        <v>0</v>
      </c>
      <c r="M8" s="58">
        <v>0</v>
      </c>
      <c r="N8" s="58">
        <v>6.8104098933647605E-2</v>
      </c>
      <c r="O8" s="58">
        <v>0.311083593592621</v>
      </c>
      <c r="P8" s="58">
        <v>0.17892337894850802</v>
      </c>
      <c r="Q8" s="58">
        <v>0.44188892852522299</v>
      </c>
      <c r="R8" s="58">
        <v>0</v>
      </c>
      <c r="S8" s="58">
        <v>5.4144069348260803E-3</v>
      </c>
      <c r="T8" s="58">
        <v>0.13935864232994802</v>
      </c>
      <c r="U8" s="58">
        <v>0.85522695073522603</v>
      </c>
      <c r="V8" s="58">
        <v>0</v>
      </c>
      <c r="W8" s="58">
        <v>0</v>
      </c>
      <c r="X8" s="58">
        <v>0.29449999999999998</v>
      </c>
      <c r="Y8" s="58">
        <v>0.41500000000000004</v>
      </c>
      <c r="Z8" s="58">
        <v>0.26450000000000001</v>
      </c>
      <c r="AA8" s="58">
        <v>2.0899999999999998E-2</v>
      </c>
      <c r="AB8" s="58">
        <v>5.1000000000000004E-3</v>
      </c>
      <c r="AC8" s="58">
        <v>0.19799934343018499</v>
      </c>
      <c r="AD8" s="60">
        <v>4</v>
      </c>
      <c r="AE8" s="60"/>
      <c r="AF8" s="58">
        <v>0</v>
      </c>
      <c r="AG8" s="58">
        <v>0</v>
      </c>
      <c r="AH8" s="58">
        <v>9.7083611313027701E-2</v>
      </c>
      <c r="AI8" s="58">
        <v>0.9029163886869721</v>
      </c>
      <c r="AJ8" s="58">
        <v>0</v>
      </c>
      <c r="AK8" s="58">
        <v>0.92200000000000004</v>
      </c>
      <c r="AL8" s="58">
        <v>0</v>
      </c>
      <c r="AM8" s="58">
        <v>7.8E-2</v>
      </c>
      <c r="AN8" s="58">
        <v>0</v>
      </c>
      <c r="AO8" s="58">
        <v>0</v>
      </c>
      <c r="AP8" s="58">
        <v>0.97761929517971691</v>
      </c>
      <c r="AQ8" s="58">
        <v>0</v>
      </c>
      <c r="AR8" s="58">
        <v>2.2380704820283398E-2</v>
      </c>
      <c r="AS8" s="58">
        <v>0</v>
      </c>
      <c r="AT8" s="58">
        <v>0</v>
      </c>
      <c r="AU8" s="58">
        <v>0.4</v>
      </c>
      <c r="AV8" s="60">
        <v>3</v>
      </c>
      <c r="AW8" s="60"/>
      <c r="AX8" s="58">
        <v>0</v>
      </c>
      <c r="AY8" s="58">
        <v>0</v>
      </c>
      <c r="AZ8" s="58">
        <v>0</v>
      </c>
      <c r="BA8" s="58">
        <v>0</v>
      </c>
      <c r="BB8" s="58">
        <v>0</v>
      </c>
      <c r="BC8" s="58">
        <v>0.69813049853372433</v>
      </c>
      <c r="BD8" s="60">
        <v>3</v>
      </c>
      <c r="BE8" s="60">
        <v>273283.88178152492</v>
      </c>
      <c r="BF8" s="58">
        <v>0.80952380952380953</v>
      </c>
      <c r="BG8" s="60">
        <v>4</v>
      </c>
      <c r="BH8" s="60">
        <v>316888.90476190479</v>
      </c>
    </row>
    <row r="9" spans="1:60">
      <c r="A9" s="55">
        <v>6</v>
      </c>
      <c r="B9" s="55"/>
      <c r="C9" s="55"/>
      <c r="D9" s="56" t="s">
        <v>207</v>
      </c>
      <c r="E9" s="56" t="s">
        <v>208</v>
      </c>
      <c r="F9" s="57">
        <v>1533540</v>
      </c>
      <c r="G9" s="57" t="s">
        <v>198</v>
      </c>
      <c r="H9" s="57" t="str">
        <f>_xlfn.CONCAT(Data_Entry[[#This Row],[ADM2_Pcode]],"-",Data_Entry[[#This Row],[Group Name]])</f>
        <v>AF06-All_Others</v>
      </c>
      <c r="I9" s="58">
        <v>0.1711</v>
      </c>
      <c r="J9" s="58">
        <v>0.64610000000000001</v>
      </c>
      <c r="K9" s="58">
        <v>0.17030000000000001</v>
      </c>
      <c r="L9" s="58">
        <v>1.21E-2</v>
      </c>
      <c r="M9" s="58">
        <v>2.9999999999999997E-4</v>
      </c>
      <c r="N9" s="58">
        <v>7.7251944464981903E-2</v>
      </c>
      <c r="O9" s="58">
        <v>0.667714772429577</v>
      </c>
      <c r="P9" s="58">
        <v>0.142809015551703</v>
      </c>
      <c r="Q9" s="58">
        <v>0.11222426755373799</v>
      </c>
      <c r="R9" s="58">
        <v>0</v>
      </c>
      <c r="S9" s="58">
        <v>0</v>
      </c>
      <c r="T9" s="58">
        <v>4.6919667118269198E-2</v>
      </c>
      <c r="U9" s="58">
        <v>0.95308033288173111</v>
      </c>
      <c r="V9" s="58">
        <v>0</v>
      </c>
      <c r="W9" s="58">
        <v>0</v>
      </c>
      <c r="X9" s="58">
        <v>0.31329999999999997</v>
      </c>
      <c r="Y9" s="58">
        <v>0.45040000000000002</v>
      </c>
      <c r="Z9" s="58">
        <v>0.1706</v>
      </c>
      <c r="AA9" s="58">
        <v>5.3899999999999997E-2</v>
      </c>
      <c r="AB9" s="58">
        <v>1.18E-2</v>
      </c>
      <c r="AC9" s="58">
        <v>0.18544537218875701</v>
      </c>
      <c r="AD9" s="60">
        <v>4</v>
      </c>
      <c r="AE9" s="60"/>
      <c r="AF9" s="58">
        <v>2.9851355085382499E-2</v>
      </c>
      <c r="AG9" s="58">
        <v>0</v>
      </c>
      <c r="AH9" s="58">
        <v>0.36280250169609096</v>
      </c>
      <c r="AI9" s="58">
        <v>0.60734614321852698</v>
      </c>
      <c r="AJ9" s="58">
        <v>0</v>
      </c>
      <c r="AK9" s="58">
        <v>0.91249999999999998</v>
      </c>
      <c r="AL9" s="58">
        <v>0</v>
      </c>
      <c r="AM9" s="58">
        <v>8.7499999999999994E-2</v>
      </c>
      <c r="AN9" s="58">
        <v>0</v>
      </c>
      <c r="AO9" s="58">
        <v>0</v>
      </c>
      <c r="AP9" s="58">
        <v>0.95581435812489302</v>
      </c>
      <c r="AQ9" s="58">
        <v>0</v>
      </c>
      <c r="AR9" s="58">
        <v>1.9220964681486302E-2</v>
      </c>
      <c r="AS9" s="58">
        <v>2.4964677193620402E-2</v>
      </c>
      <c r="AT9" s="58">
        <v>0</v>
      </c>
      <c r="AU9" s="58">
        <v>0.55789077010766086</v>
      </c>
      <c r="AV9" s="60">
        <v>3</v>
      </c>
      <c r="AW9" s="60"/>
      <c r="AX9" s="58">
        <v>0.35</v>
      </c>
      <c r="AY9" s="58">
        <v>0</v>
      </c>
      <c r="AZ9" s="58">
        <v>0.28999999999999998</v>
      </c>
      <c r="BA9" s="58">
        <v>0.36</v>
      </c>
      <c r="BB9" s="58">
        <v>0</v>
      </c>
      <c r="BC9" s="58">
        <v>0.82207207207207322</v>
      </c>
      <c r="BD9" s="60">
        <v>4</v>
      </c>
      <c r="BE9" s="60">
        <v>1260680.4054054071</v>
      </c>
      <c r="BF9" s="58">
        <v>0.91644532067547635</v>
      </c>
      <c r="BG9" s="60">
        <v>5</v>
      </c>
      <c r="BH9" s="60">
        <v>1405405.5570686699</v>
      </c>
    </row>
    <row r="10" spans="1:60">
      <c r="A10" s="55">
        <v>7</v>
      </c>
      <c r="B10" s="55"/>
      <c r="C10" s="55"/>
      <c r="D10" s="56" t="s">
        <v>209</v>
      </c>
      <c r="E10" s="56" t="s">
        <v>210</v>
      </c>
      <c r="F10" s="57">
        <v>444722</v>
      </c>
      <c r="G10" s="57" t="s">
        <v>198</v>
      </c>
      <c r="H10" s="57" t="str">
        <f>_xlfn.CONCAT(Data_Entry[[#This Row],[ADM2_Pcode]],"-",Data_Entry[[#This Row],[Group Name]])</f>
        <v>AF07-All_Others</v>
      </c>
      <c r="I10" s="58">
        <v>0.48149999999999998</v>
      </c>
      <c r="J10" s="58">
        <v>0.45679999999999998</v>
      </c>
      <c r="K10" s="58">
        <v>5.7000000000000002E-2</v>
      </c>
      <c r="L10" s="58">
        <v>0</v>
      </c>
      <c r="M10" s="58">
        <v>4.7000000000000002E-3</v>
      </c>
      <c r="N10" s="58">
        <v>0.13456255666328501</v>
      </c>
      <c r="O10" s="58">
        <v>0.40858569809563794</v>
      </c>
      <c r="P10" s="58">
        <v>0.17782069356257502</v>
      </c>
      <c r="Q10" s="58">
        <v>0.27903105167850101</v>
      </c>
      <c r="R10" s="58">
        <v>0</v>
      </c>
      <c r="S10" s="58">
        <v>0.298687020860469</v>
      </c>
      <c r="T10" s="58">
        <v>0.189432812661469</v>
      </c>
      <c r="U10" s="58">
        <v>0.511880166478062</v>
      </c>
      <c r="V10" s="58">
        <v>0</v>
      </c>
      <c r="W10" s="58">
        <v>0</v>
      </c>
      <c r="X10" s="58">
        <v>0.44930000000000003</v>
      </c>
      <c r="Y10" s="58">
        <v>0.45060000000000006</v>
      </c>
      <c r="Z10" s="58">
        <v>8.1099999999999992E-2</v>
      </c>
      <c r="AA10" s="58">
        <v>1.89E-2</v>
      </c>
      <c r="AB10" s="58">
        <v>0</v>
      </c>
      <c r="AC10" s="58">
        <v>0.23241307643144102</v>
      </c>
      <c r="AD10" s="60">
        <v>4</v>
      </c>
      <c r="AE10" s="60"/>
      <c r="AF10" s="58">
        <v>0.12030481795539799</v>
      </c>
      <c r="AG10" s="58">
        <v>1.52408977699038E-4</v>
      </c>
      <c r="AH10" s="58">
        <v>0.70565060681534009</v>
      </c>
      <c r="AI10" s="58">
        <v>0.17389216625156301</v>
      </c>
      <c r="AJ10" s="58">
        <v>0</v>
      </c>
      <c r="AK10" s="58">
        <v>0.96660000000000001</v>
      </c>
      <c r="AL10" s="58">
        <v>0</v>
      </c>
      <c r="AM10" s="58">
        <v>3.3399999999999999E-2</v>
      </c>
      <c r="AN10" s="58">
        <v>0</v>
      </c>
      <c r="AO10" s="58">
        <v>0</v>
      </c>
      <c r="AP10" s="58">
        <v>0.88316245120293102</v>
      </c>
      <c r="AQ10" s="58">
        <v>0</v>
      </c>
      <c r="AR10" s="58">
        <v>5.3240655955713798E-2</v>
      </c>
      <c r="AS10" s="58">
        <v>6.3596892841355598E-2</v>
      </c>
      <c r="AT10" s="58">
        <v>0</v>
      </c>
      <c r="AU10" s="58">
        <v>0.44999999999999996</v>
      </c>
      <c r="AV10" s="60">
        <v>3</v>
      </c>
      <c r="AW10" s="60"/>
      <c r="AX10" s="58">
        <v>0</v>
      </c>
      <c r="AY10" s="58">
        <v>0</v>
      </c>
      <c r="AZ10" s="58">
        <v>0</v>
      </c>
      <c r="BA10" s="58">
        <v>0</v>
      </c>
      <c r="BB10" s="58">
        <v>0</v>
      </c>
      <c r="BC10" s="58">
        <v>0.32667639109356833</v>
      </c>
      <c r="BD10" s="60">
        <v>2</v>
      </c>
      <c r="BE10" s="60">
        <v>145280.1779999139</v>
      </c>
      <c r="BF10" s="58">
        <v>0.72406639004149786</v>
      </c>
      <c r="BG10" s="60">
        <v>3</v>
      </c>
      <c r="BH10" s="60">
        <v>322008.25311203499</v>
      </c>
    </row>
    <row r="11" spans="1:60">
      <c r="A11" s="55">
        <v>8</v>
      </c>
      <c r="B11" s="55"/>
      <c r="C11" s="55"/>
      <c r="D11" s="56" t="s">
        <v>211</v>
      </c>
      <c r="E11" s="56" t="s">
        <v>212</v>
      </c>
      <c r="F11" s="57">
        <v>153134</v>
      </c>
      <c r="G11" s="57" t="s">
        <v>198</v>
      </c>
      <c r="H11" s="57" t="str">
        <f>_xlfn.CONCAT(Data_Entry[[#This Row],[ADM2_Pcode]],"-",Data_Entry[[#This Row],[Group Name]])</f>
        <v>AF08-All_Others</v>
      </c>
      <c r="I11" s="58">
        <v>0.78439999999999999</v>
      </c>
      <c r="J11" s="58">
        <v>8.9800000000000005E-2</v>
      </c>
      <c r="K11" s="58">
        <v>0.1198</v>
      </c>
      <c r="L11" s="58">
        <v>6.0000000000000001E-3</v>
      </c>
      <c r="M11" s="58">
        <v>0</v>
      </c>
      <c r="N11" s="58">
        <v>0.16</v>
      </c>
      <c r="O11" s="58">
        <v>0.45333333333333298</v>
      </c>
      <c r="P11" s="58">
        <v>0.17333333333333301</v>
      </c>
      <c r="Q11" s="58">
        <v>0.21333333333333301</v>
      </c>
      <c r="R11" s="58">
        <v>0</v>
      </c>
      <c r="S11" s="58">
        <v>0</v>
      </c>
      <c r="T11" s="58">
        <v>0.11377245508981999</v>
      </c>
      <c r="U11" s="58">
        <v>0.88622754491017997</v>
      </c>
      <c r="V11" s="58">
        <v>0</v>
      </c>
      <c r="W11" s="58">
        <v>0</v>
      </c>
      <c r="X11" s="58">
        <v>0.19760000000000003</v>
      </c>
      <c r="Y11" s="58">
        <v>0.39520000000000005</v>
      </c>
      <c r="Z11" s="58">
        <v>0.3473</v>
      </c>
      <c r="AA11" s="58">
        <v>5.9900000000000002E-2</v>
      </c>
      <c r="AB11" s="58">
        <v>0</v>
      </c>
      <c r="AC11" s="58">
        <v>0.32447089947089902</v>
      </c>
      <c r="AD11" s="60">
        <v>3</v>
      </c>
      <c r="AE11" s="60"/>
      <c r="AF11" s="58">
        <v>0</v>
      </c>
      <c r="AG11" s="58">
        <v>0</v>
      </c>
      <c r="AH11" s="58">
        <v>0.1</v>
      </c>
      <c r="AI11" s="58">
        <v>0.9</v>
      </c>
      <c r="AJ11" s="58">
        <v>0</v>
      </c>
      <c r="AK11" s="58">
        <v>0.97010000000000007</v>
      </c>
      <c r="AL11" s="58">
        <v>0</v>
      </c>
      <c r="AM11" s="58">
        <v>2.9900000000000003E-2</v>
      </c>
      <c r="AN11" s="58">
        <v>0</v>
      </c>
      <c r="AO11" s="58">
        <v>0</v>
      </c>
      <c r="AP11" s="58">
        <v>0.98373983739837401</v>
      </c>
      <c r="AQ11" s="58">
        <v>0</v>
      </c>
      <c r="AR11" s="58">
        <v>8.1300813008130107E-3</v>
      </c>
      <c r="AS11" s="58">
        <v>8.1300813008130107E-3</v>
      </c>
      <c r="AT11" s="58">
        <v>0</v>
      </c>
      <c r="AU11" s="58">
        <v>0.25</v>
      </c>
      <c r="AV11" s="60">
        <v>3</v>
      </c>
      <c r="AW11" s="60"/>
      <c r="AX11" s="58">
        <v>0</v>
      </c>
      <c r="AY11" s="58">
        <v>0</v>
      </c>
      <c r="AZ11" s="58">
        <v>0</v>
      </c>
      <c r="BA11" s="58">
        <v>0</v>
      </c>
      <c r="BB11" s="58">
        <v>0</v>
      </c>
      <c r="BC11" s="58">
        <v>0.49124091800253533</v>
      </c>
      <c r="BD11" s="60">
        <v>2</v>
      </c>
      <c r="BE11" s="60">
        <v>75225.686737400247</v>
      </c>
      <c r="BF11" s="58">
        <v>0.62365591397850162</v>
      </c>
      <c r="BG11" s="60">
        <v>2</v>
      </c>
      <c r="BH11" s="60">
        <v>95502.92473118387</v>
      </c>
    </row>
    <row r="12" spans="1:60">
      <c r="A12" s="55">
        <v>9</v>
      </c>
      <c r="B12" s="55"/>
      <c r="C12" s="55"/>
      <c r="D12" s="56" t="s">
        <v>213</v>
      </c>
      <c r="E12" s="56" t="s">
        <v>214</v>
      </c>
      <c r="F12" s="57">
        <v>914370</v>
      </c>
      <c r="G12" s="57" t="s">
        <v>198</v>
      </c>
      <c r="H12" s="57" t="str">
        <f>_xlfn.CONCAT(Data_Entry[[#This Row],[ADM2_Pcode]],"-",Data_Entry[[#This Row],[Group Name]])</f>
        <v>AF09-All_Others</v>
      </c>
      <c r="I12" s="58">
        <v>0.66819999999999991</v>
      </c>
      <c r="J12" s="58">
        <v>0.2893</v>
      </c>
      <c r="K12" s="58">
        <v>3.5099999999999999E-2</v>
      </c>
      <c r="L12" s="58">
        <v>1.3000000000000002E-3</v>
      </c>
      <c r="M12" s="58">
        <v>6.1999999999999998E-3</v>
      </c>
      <c r="N12" s="58">
        <v>2.2388493007297502E-2</v>
      </c>
      <c r="O12" s="58">
        <v>0.281330815600628</v>
      </c>
      <c r="P12" s="58">
        <v>0.201728897768511</v>
      </c>
      <c r="Q12" s="58">
        <v>0.494551793623563</v>
      </c>
      <c r="R12" s="58">
        <v>0</v>
      </c>
      <c r="S12" s="58">
        <v>0.44460241346045204</v>
      </c>
      <c r="T12" s="58">
        <v>0.114273161947643</v>
      </c>
      <c r="U12" s="58">
        <v>0.44112442459190498</v>
      </c>
      <c r="V12" s="58">
        <v>0</v>
      </c>
      <c r="W12" s="58">
        <v>0</v>
      </c>
      <c r="X12" s="58">
        <v>7.7899999999999997E-2</v>
      </c>
      <c r="Y12" s="58">
        <v>0.22500000000000001</v>
      </c>
      <c r="Z12" s="58">
        <v>0.29730000000000001</v>
      </c>
      <c r="AA12" s="58">
        <v>0.21690000000000001</v>
      </c>
      <c r="AB12" s="58">
        <v>0.18290000000000001</v>
      </c>
      <c r="AC12" s="58">
        <v>0.12497743558674401</v>
      </c>
      <c r="AD12" s="60">
        <v>5</v>
      </c>
      <c r="AE12" s="60"/>
      <c r="AF12" s="58">
        <v>0.11111111111111099</v>
      </c>
      <c r="AG12" s="58">
        <v>0</v>
      </c>
      <c r="AH12" s="58">
        <v>0.55555555555555602</v>
      </c>
      <c r="AI12" s="58">
        <v>0.33333333333333298</v>
      </c>
      <c r="AJ12" s="58">
        <v>0</v>
      </c>
      <c r="AK12" s="58">
        <v>0.95819999999999994</v>
      </c>
      <c r="AL12" s="58">
        <v>0</v>
      </c>
      <c r="AM12" s="58">
        <v>4.1799999999999997E-2</v>
      </c>
      <c r="AN12" s="58">
        <v>0</v>
      </c>
      <c r="AO12" s="58">
        <v>0</v>
      </c>
      <c r="AP12" s="58">
        <v>0.96586736272168294</v>
      </c>
      <c r="AQ12" s="58">
        <v>0</v>
      </c>
      <c r="AR12" s="58">
        <v>3.2186397676611904E-2</v>
      </c>
      <c r="AS12" s="58">
        <v>1.9462396017048899E-3</v>
      </c>
      <c r="AT12" s="58">
        <v>0</v>
      </c>
      <c r="AU12" s="58">
        <v>0.26986372932950708</v>
      </c>
      <c r="AV12" s="60">
        <v>3</v>
      </c>
      <c r="AW12" s="60"/>
      <c r="AX12" s="58">
        <v>0.41</v>
      </c>
      <c r="AY12" s="58">
        <v>0</v>
      </c>
      <c r="AZ12" s="58">
        <v>0.45</v>
      </c>
      <c r="BA12" s="58">
        <v>0.14000000000000001</v>
      </c>
      <c r="BB12" s="58">
        <v>0</v>
      </c>
      <c r="BC12" s="58">
        <v>0.83927624602332851</v>
      </c>
      <c r="BD12" s="60">
        <v>4</v>
      </c>
      <c r="BE12" s="60">
        <v>767409.02107635094</v>
      </c>
      <c r="BF12" s="58">
        <v>0.79274183508811347</v>
      </c>
      <c r="BG12" s="60">
        <v>3</v>
      </c>
      <c r="BH12" s="60">
        <v>724859.3517495183</v>
      </c>
    </row>
    <row r="13" spans="1:60">
      <c r="A13" s="55">
        <v>10</v>
      </c>
      <c r="B13" s="55"/>
      <c r="C13" s="55"/>
      <c r="D13" s="56" t="s">
        <v>215</v>
      </c>
      <c r="E13" s="56" t="s">
        <v>216</v>
      </c>
      <c r="F13" s="57">
        <v>446588</v>
      </c>
      <c r="G13" s="57" t="s">
        <v>198</v>
      </c>
      <c r="H13" s="57" t="str">
        <f>_xlfn.CONCAT(Data_Entry[[#This Row],[ADM2_Pcode]],"-",Data_Entry[[#This Row],[Group Name]])</f>
        <v>AF10-All_Others</v>
      </c>
      <c r="I13" s="58">
        <v>0.37770000000000004</v>
      </c>
      <c r="J13" s="58">
        <v>0.41490000000000005</v>
      </c>
      <c r="K13" s="58">
        <v>0.16489999999999999</v>
      </c>
      <c r="L13" s="58">
        <v>2.6600000000000002E-2</v>
      </c>
      <c r="M13" s="58">
        <v>1.6E-2</v>
      </c>
      <c r="N13" s="58">
        <v>2.4242424242424197E-2</v>
      </c>
      <c r="O13" s="58">
        <v>0.20606060606060597</v>
      </c>
      <c r="P13" s="58">
        <v>0.21212121212121202</v>
      </c>
      <c r="Q13" s="58">
        <v>0.55757575757575806</v>
      </c>
      <c r="R13" s="58">
        <v>0</v>
      </c>
      <c r="S13" s="58">
        <v>8.99470899470899E-2</v>
      </c>
      <c r="T13" s="58">
        <v>0.20105820105820102</v>
      </c>
      <c r="U13" s="58">
        <v>0.70899470899470896</v>
      </c>
      <c r="V13" s="58">
        <v>0</v>
      </c>
      <c r="W13" s="58">
        <v>0</v>
      </c>
      <c r="X13" s="58">
        <v>0.35450000000000004</v>
      </c>
      <c r="Y13" s="58">
        <v>0.47619999999999996</v>
      </c>
      <c r="Z13" s="58">
        <v>0.15870000000000001</v>
      </c>
      <c r="AA13" s="58">
        <v>1.06E-2</v>
      </c>
      <c r="AB13" s="58">
        <v>0</v>
      </c>
      <c r="AC13" s="58">
        <v>0.39701149425287396</v>
      </c>
      <c r="AD13" s="60">
        <v>3</v>
      </c>
      <c r="AE13" s="60"/>
      <c r="AF13" s="58">
        <v>0</v>
      </c>
      <c r="AG13" s="58">
        <v>0</v>
      </c>
      <c r="AH13" s="58">
        <v>0.25423728813559299</v>
      </c>
      <c r="AI13" s="58">
        <v>0.74576271186440701</v>
      </c>
      <c r="AJ13" s="58">
        <v>0</v>
      </c>
      <c r="AK13" s="58">
        <v>0.88890000000000002</v>
      </c>
      <c r="AL13" s="58">
        <v>0</v>
      </c>
      <c r="AM13" s="58">
        <v>0.11109999999999999</v>
      </c>
      <c r="AN13" s="58">
        <v>0</v>
      </c>
      <c r="AO13" s="58">
        <v>0</v>
      </c>
      <c r="AP13" s="58">
        <v>0.92647058823529405</v>
      </c>
      <c r="AQ13" s="58">
        <v>0</v>
      </c>
      <c r="AR13" s="58">
        <v>0</v>
      </c>
      <c r="AS13" s="58">
        <v>7.3529411764705899E-2</v>
      </c>
      <c r="AT13" s="58">
        <v>0</v>
      </c>
      <c r="AU13" s="58">
        <v>0.5</v>
      </c>
      <c r="AV13" s="60">
        <v>3</v>
      </c>
      <c r="AW13" s="60"/>
      <c r="AX13" s="58">
        <v>0</v>
      </c>
      <c r="AY13" s="58">
        <v>0</v>
      </c>
      <c r="AZ13" s="58">
        <v>0</v>
      </c>
      <c r="BA13" s="58">
        <v>0</v>
      </c>
      <c r="BB13" s="58">
        <v>0</v>
      </c>
      <c r="BC13" s="58">
        <v>0.58865888286883283</v>
      </c>
      <c r="BD13" s="60">
        <v>3</v>
      </c>
      <c r="BE13" s="60">
        <v>262887.99318262632</v>
      </c>
      <c r="BF13" s="58">
        <v>0.69728601252609279</v>
      </c>
      <c r="BG13" s="60">
        <v>2</v>
      </c>
      <c r="BH13" s="60">
        <v>311399.56576200272</v>
      </c>
    </row>
    <row r="14" spans="1:60">
      <c r="A14" s="55">
        <v>11</v>
      </c>
      <c r="B14" s="55"/>
      <c r="C14" s="55"/>
      <c r="D14" s="56" t="s">
        <v>196</v>
      </c>
      <c r="E14" s="56" t="s">
        <v>197</v>
      </c>
      <c r="F14" s="57">
        <v>670052</v>
      </c>
      <c r="G14" s="57" t="s">
        <v>217</v>
      </c>
      <c r="H14" s="57" t="str">
        <f>_xlfn.CONCAT(Data_Entry[[#This Row],[ADM2_Pcode]],"-",Data_Entry[[#This Row],[Group Name]])</f>
        <v>AF01-Non_Displaced</v>
      </c>
      <c r="I14" s="58">
        <v>0.753</v>
      </c>
      <c r="J14" s="58">
        <v>0.18790000000000001</v>
      </c>
      <c r="K14" s="58">
        <v>5.1900000000000002E-2</v>
      </c>
      <c r="L14" s="58">
        <v>6.5000000000000006E-3</v>
      </c>
      <c r="M14" s="58">
        <v>0</v>
      </c>
      <c r="N14" s="58">
        <v>0.21621621621621601</v>
      </c>
      <c r="O14" s="58">
        <v>0.76576576576576594</v>
      </c>
      <c r="P14" s="58">
        <v>1.8018018018018001E-2</v>
      </c>
      <c r="Q14" s="58">
        <v>0</v>
      </c>
      <c r="R14" s="58">
        <v>0</v>
      </c>
      <c r="S14" s="58">
        <v>6.4935064935064901E-2</v>
      </c>
      <c r="T14" s="58">
        <v>0.493506493506494</v>
      </c>
      <c r="U14" s="58">
        <v>0.44155844155844198</v>
      </c>
      <c r="V14" s="58">
        <v>0</v>
      </c>
      <c r="W14" s="58">
        <v>0</v>
      </c>
      <c r="X14" s="58">
        <v>0.37009999999999998</v>
      </c>
      <c r="Y14" s="58">
        <v>0.48049999999999998</v>
      </c>
      <c r="Z14" s="58">
        <v>0.13640000000000002</v>
      </c>
      <c r="AA14" s="58">
        <v>1.3000000000000001E-2</v>
      </c>
      <c r="AB14" s="58">
        <v>0</v>
      </c>
      <c r="AC14" s="58">
        <v>0.05</v>
      </c>
      <c r="AD14" s="59">
        <v>2</v>
      </c>
      <c r="AE14" s="60"/>
      <c r="AF14" s="58">
        <v>1.72413793103448E-2</v>
      </c>
      <c r="AG14" s="58">
        <v>0</v>
      </c>
      <c r="AH14" s="58">
        <v>0.34482758620689702</v>
      </c>
      <c r="AI14" s="58">
        <v>0.63793103448275901</v>
      </c>
      <c r="AJ14" s="58">
        <v>0</v>
      </c>
      <c r="AK14" s="58">
        <v>0.92859999999999998</v>
      </c>
      <c r="AL14" s="58">
        <v>0</v>
      </c>
      <c r="AM14" s="58">
        <v>7.1399999999999991E-2</v>
      </c>
      <c r="AN14" s="58">
        <v>0</v>
      </c>
      <c r="AO14" s="58">
        <v>0</v>
      </c>
      <c r="AP14" s="58">
        <v>0.98611111111111105</v>
      </c>
      <c r="AQ14" s="58">
        <v>0</v>
      </c>
      <c r="AR14" s="58">
        <v>0</v>
      </c>
      <c r="AS14" s="58">
        <v>1.38888888888889E-2</v>
      </c>
      <c r="AT14" s="58">
        <v>0</v>
      </c>
      <c r="AU14" s="58">
        <v>0.38495593307951537</v>
      </c>
      <c r="AV14" s="60">
        <v>3</v>
      </c>
      <c r="AW14" s="60"/>
      <c r="AX14" s="58">
        <v>0.22</v>
      </c>
      <c r="AY14" s="58">
        <v>0</v>
      </c>
      <c r="AZ14" s="58">
        <v>0.47</v>
      </c>
      <c r="BA14" s="58">
        <v>0.31</v>
      </c>
      <c r="BB14" s="58">
        <v>0</v>
      </c>
      <c r="BC14" s="58">
        <v>0.77458445538118692</v>
      </c>
      <c r="BD14" s="60">
        <v>4</v>
      </c>
      <c r="BE14" s="60">
        <v>519011.86349707504</v>
      </c>
      <c r="BF14" s="58">
        <v>0.79525881588579561</v>
      </c>
      <c r="BG14" s="60">
        <v>3</v>
      </c>
      <c r="BH14" s="60">
        <v>532864.76010190917</v>
      </c>
    </row>
    <row r="15" spans="1:60">
      <c r="A15" s="55">
        <v>12</v>
      </c>
      <c r="B15" s="55"/>
      <c r="C15" s="55"/>
      <c r="D15" s="56" t="s">
        <v>199</v>
      </c>
      <c r="E15" s="56" t="s">
        <v>200</v>
      </c>
      <c r="F15" s="57">
        <v>62864</v>
      </c>
      <c r="G15" s="57" t="s">
        <v>217</v>
      </c>
      <c r="H15" s="57" t="str">
        <f>_xlfn.CONCAT(Data_Entry[[#This Row],[ADM2_Pcode]],"-",Data_Entry[[#This Row],[Group Name]])</f>
        <v>AF02-Non_Displaced</v>
      </c>
      <c r="I15" s="58">
        <v>0.4103</v>
      </c>
      <c r="J15" s="58">
        <v>0.39100000000000001</v>
      </c>
      <c r="K15" s="58">
        <v>0.1474</v>
      </c>
      <c r="L15" s="58">
        <v>3.2100000000000004E-2</v>
      </c>
      <c r="M15" s="58">
        <v>1.9199999999999998E-2</v>
      </c>
      <c r="N15" s="58">
        <v>7.4324324324324301E-2</v>
      </c>
      <c r="O15" s="58">
        <v>0.42567567567567599</v>
      </c>
      <c r="P15" s="58">
        <v>0.18243243243243198</v>
      </c>
      <c r="Q15" s="58">
        <v>0.31756756756756799</v>
      </c>
      <c r="R15" s="58">
        <v>0</v>
      </c>
      <c r="S15" s="58">
        <v>0.16666666666666699</v>
      </c>
      <c r="T15" s="58">
        <v>0.21153846153846201</v>
      </c>
      <c r="U15" s="58">
        <v>0.62179487179487192</v>
      </c>
      <c r="V15" s="58">
        <v>0</v>
      </c>
      <c r="W15" s="58">
        <v>0</v>
      </c>
      <c r="X15" s="58">
        <v>0.23079999999999998</v>
      </c>
      <c r="Y15" s="58">
        <v>0.32049999999999995</v>
      </c>
      <c r="Z15" s="58">
        <v>0.35899999999999999</v>
      </c>
      <c r="AA15" s="58">
        <v>8.9700000000000002E-2</v>
      </c>
      <c r="AB15" s="58">
        <v>0</v>
      </c>
      <c r="AC15" s="58">
        <v>0.509736064968623</v>
      </c>
      <c r="AD15" s="60">
        <v>2</v>
      </c>
      <c r="AE15" s="60"/>
      <c r="AF15" s="58">
        <v>0</v>
      </c>
      <c r="AG15" s="58">
        <v>0</v>
      </c>
      <c r="AH15" s="58">
        <v>2.32558139534884E-2</v>
      </c>
      <c r="AI15" s="58">
        <v>0.97674418604651192</v>
      </c>
      <c r="AJ15" s="58">
        <v>0</v>
      </c>
      <c r="AK15" s="58">
        <v>0.9487000000000001</v>
      </c>
      <c r="AL15" s="58">
        <v>0</v>
      </c>
      <c r="AM15" s="58">
        <v>5.1299999999999998E-2</v>
      </c>
      <c r="AN15" s="58">
        <v>0</v>
      </c>
      <c r="AO15" s="58">
        <v>0</v>
      </c>
      <c r="AP15" s="58">
        <v>1</v>
      </c>
      <c r="AQ15" s="58">
        <v>0</v>
      </c>
      <c r="AR15" s="58">
        <v>0</v>
      </c>
      <c r="AS15" s="58">
        <v>0</v>
      </c>
      <c r="AT15" s="58">
        <v>0</v>
      </c>
      <c r="AU15" s="58">
        <v>0.25</v>
      </c>
      <c r="AV15" s="60">
        <v>3</v>
      </c>
      <c r="AW15" s="60"/>
      <c r="AX15" s="58">
        <v>0</v>
      </c>
      <c r="AY15" s="58">
        <v>0</v>
      </c>
      <c r="AZ15" s="58">
        <v>0</v>
      </c>
      <c r="BA15" s="58">
        <v>0</v>
      </c>
      <c r="BB15" s="58">
        <v>0</v>
      </c>
      <c r="BC15" s="58">
        <v>0.42452830188679136</v>
      </c>
      <c r="BD15" s="60">
        <v>2</v>
      </c>
      <c r="BE15" s="60">
        <v>26687.547169811252</v>
      </c>
      <c r="BF15" s="58">
        <v>0.69709543568464982</v>
      </c>
      <c r="BG15" s="60">
        <v>2</v>
      </c>
      <c r="BH15" s="60">
        <v>43822.207468879824</v>
      </c>
    </row>
    <row r="16" spans="1:60">
      <c r="A16" s="55">
        <v>13</v>
      </c>
      <c r="B16" s="55"/>
      <c r="C16" s="55"/>
      <c r="D16" s="56" t="s">
        <v>201</v>
      </c>
      <c r="E16" s="56" t="s">
        <v>202</v>
      </c>
      <c r="F16" s="57">
        <v>94972</v>
      </c>
      <c r="G16" s="57" t="s">
        <v>217</v>
      </c>
      <c r="H16" s="57" t="str">
        <f>_xlfn.CONCAT(Data_Entry[[#This Row],[ADM2_Pcode]],"-",Data_Entry[[#This Row],[Group Name]])</f>
        <v>AF03-Non_Displaced</v>
      </c>
      <c r="I16" s="58">
        <v>0.28660000000000002</v>
      </c>
      <c r="J16" s="58">
        <v>0.65849999999999997</v>
      </c>
      <c r="K16" s="58">
        <v>5.4900000000000004E-2</v>
      </c>
      <c r="L16" s="58">
        <v>0</v>
      </c>
      <c r="M16" s="58">
        <v>0</v>
      </c>
      <c r="N16" s="58">
        <v>4.8780487804878002E-2</v>
      </c>
      <c r="O16" s="58">
        <v>6.0975609756097594E-2</v>
      </c>
      <c r="P16" s="58">
        <v>0.20121951219512202</v>
      </c>
      <c r="Q16" s="58">
        <v>0.68902439024390205</v>
      </c>
      <c r="R16" s="58">
        <v>0</v>
      </c>
      <c r="S16" s="58">
        <v>0</v>
      </c>
      <c r="T16" s="58">
        <v>1.8292682926829298E-2</v>
      </c>
      <c r="U16" s="58">
        <v>0.98170731707317105</v>
      </c>
      <c r="V16" s="58">
        <v>0</v>
      </c>
      <c r="W16" s="58">
        <v>0</v>
      </c>
      <c r="X16" s="58">
        <v>9.7600000000000006E-2</v>
      </c>
      <c r="Y16" s="58">
        <v>0.77439999999999998</v>
      </c>
      <c r="Z16" s="58">
        <v>0.128</v>
      </c>
      <c r="AA16" s="58">
        <v>0</v>
      </c>
      <c r="AB16" s="58">
        <v>0</v>
      </c>
      <c r="AC16" s="58">
        <v>0.77967741935483903</v>
      </c>
      <c r="AD16" s="60">
        <v>1</v>
      </c>
      <c r="AE16" s="60"/>
      <c r="AF16" s="58">
        <v>2.0833333333333301E-2</v>
      </c>
      <c r="AG16" s="58">
        <v>0</v>
      </c>
      <c r="AH16" s="58">
        <v>0.9375</v>
      </c>
      <c r="AI16" s="58">
        <v>4.1666666666666699E-2</v>
      </c>
      <c r="AJ16" s="58">
        <v>0</v>
      </c>
      <c r="AK16" s="58">
        <v>0.84150000000000003</v>
      </c>
      <c r="AL16" s="58">
        <v>0</v>
      </c>
      <c r="AM16" s="58">
        <v>0.1585</v>
      </c>
      <c r="AN16" s="58">
        <v>0</v>
      </c>
      <c r="AO16" s="58">
        <v>0</v>
      </c>
      <c r="AP16" s="58">
        <v>0.98742138364779908</v>
      </c>
      <c r="AQ16" s="58">
        <v>0</v>
      </c>
      <c r="AR16" s="58">
        <v>0</v>
      </c>
      <c r="AS16" s="58">
        <v>1.25786163522013E-2</v>
      </c>
      <c r="AT16" s="58">
        <v>0</v>
      </c>
      <c r="AU16" s="58">
        <v>0.35</v>
      </c>
      <c r="AV16" s="60">
        <v>3</v>
      </c>
      <c r="AW16" s="60"/>
      <c r="AX16" s="58">
        <v>0.82</v>
      </c>
      <c r="AY16" s="58">
        <v>0</v>
      </c>
      <c r="AZ16" s="58">
        <v>0.18</v>
      </c>
      <c r="BA16" s="58">
        <v>0</v>
      </c>
      <c r="BB16" s="58">
        <v>0</v>
      </c>
      <c r="BC16" s="58">
        <v>0.51044083526682116</v>
      </c>
      <c r="BD16" s="60">
        <v>3</v>
      </c>
      <c r="BE16" s="60">
        <v>48477.587006960537</v>
      </c>
      <c r="BF16" s="58">
        <v>0.79354838709677533</v>
      </c>
      <c r="BG16" s="60">
        <v>3</v>
      </c>
      <c r="BH16" s="60">
        <v>75364.877419354947</v>
      </c>
    </row>
    <row r="17" spans="1:60">
      <c r="A17" s="55">
        <v>14</v>
      </c>
      <c r="B17" s="55"/>
      <c r="C17" s="55"/>
      <c r="D17" s="56" t="s">
        <v>203</v>
      </c>
      <c r="E17" s="56" t="s">
        <v>204</v>
      </c>
      <c r="F17" s="57">
        <v>85002</v>
      </c>
      <c r="G17" s="57" t="s">
        <v>217</v>
      </c>
      <c r="H17" s="57" t="str">
        <f>_xlfn.CONCAT(Data_Entry[[#This Row],[ADM2_Pcode]],"-",Data_Entry[[#This Row],[Group Name]])</f>
        <v>AF04-Non_Displaced</v>
      </c>
      <c r="I17" s="58">
        <v>0.6321</v>
      </c>
      <c r="J17" s="58">
        <v>0.3619</v>
      </c>
      <c r="K17" s="58">
        <v>6.0000000000000001E-3</v>
      </c>
      <c r="L17" s="58">
        <v>0</v>
      </c>
      <c r="M17" s="58">
        <v>0</v>
      </c>
      <c r="N17" s="58">
        <v>0</v>
      </c>
      <c r="O17" s="58">
        <v>1</v>
      </c>
      <c r="P17" s="58">
        <v>0</v>
      </c>
      <c r="Q17" s="58">
        <v>0</v>
      </c>
      <c r="R17" s="58">
        <v>0</v>
      </c>
      <c r="S17" s="58">
        <v>0</v>
      </c>
      <c r="T17" s="58">
        <v>0</v>
      </c>
      <c r="U17" s="58">
        <v>1</v>
      </c>
      <c r="V17" s="58">
        <v>0</v>
      </c>
      <c r="W17" s="58">
        <v>0</v>
      </c>
      <c r="X17" s="58">
        <v>0.48859999999999998</v>
      </c>
      <c r="Y17" s="58">
        <v>0.4093</v>
      </c>
      <c r="Z17" s="58">
        <v>9.01E-2</v>
      </c>
      <c r="AA17" s="58">
        <v>1.2E-2</v>
      </c>
      <c r="AB17" s="58">
        <v>0</v>
      </c>
      <c r="AC17" s="58">
        <v>0.38842498899003702</v>
      </c>
      <c r="AD17" s="60">
        <v>3</v>
      </c>
      <c r="AE17" s="60"/>
      <c r="AF17" s="58">
        <v>0</v>
      </c>
      <c r="AG17" s="58">
        <v>0</v>
      </c>
      <c r="AH17" s="58">
        <v>0</v>
      </c>
      <c r="AI17" s="58">
        <v>1</v>
      </c>
      <c r="AJ17" s="58">
        <v>0</v>
      </c>
      <c r="AK17" s="58">
        <v>0.98799999999999999</v>
      </c>
      <c r="AL17" s="58">
        <v>0</v>
      </c>
      <c r="AM17" s="58">
        <v>1.2E-2</v>
      </c>
      <c r="AN17" s="58">
        <v>0</v>
      </c>
      <c r="AO17" s="58">
        <v>0</v>
      </c>
      <c r="AP17" s="58">
        <v>0.82396817724411098</v>
      </c>
      <c r="AQ17" s="58">
        <v>0</v>
      </c>
      <c r="AR17" s="58">
        <v>0</v>
      </c>
      <c r="AS17" s="58">
        <v>0.17603182275588899</v>
      </c>
      <c r="AT17" s="58">
        <v>0</v>
      </c>
      <c r="AU17" s="58">
        <v>0.44999999999999996</v>
      </c>
      <c r="AV17" s="60">
        <v>3</v>
      </c>
      <c r="AW17" s="60"/>
      <c r="AX17" s="58">
        <v>0</v>
      </c>
      <c r="AY17" s="58">
        <v>0</v>
      </c>
      <c r="AZ17" s="58">
        <v>0</v>
      </c>
      <c r="BA17" s="58">
        <v>0</v>
      </c>
      <c r="BB17" s="58">
        <v>0</v>
      </c>
      <c r="BC17" s="58">
        <v>0.72008331404767367</v>
      </c>
      <c r="BD17" s="60">
        <v>3</v>
      </c>
      <c r="BE17" s="60">
        <v>61208.521860680361</v>
      </c>
      <c r="BF17" s="58">
        <v>0.70563674321503123</v>
      </c>
      <c r="BG17" s="60">
        <v>3</v>
      </c>
      <c r="BH17" s="60">
        <v>59980.534446764083</v>
      </c>
    </row>
    <row r="18" spans="1:60">
      <c r="A18" s="55">
        <v>15</v>
      </c>
      <c r="B18" s="55"/>
      <c r="C18" s="55"/>
      <c r="D18" s="56" t="s">
        <v>205</v>
      </c>
      <c r="E18" s="56" t="s">
        <v>206</v>
      </c>
      <c r="F18" s="57">
        <v>55922</v>
      </c>
      <c r="G18" s="57" t="s">
        <v>217</v>
      </c>
      <c r="H18" s="57" t="str">
        <f>_xlfn.CONCAT(Data_Entry[[#This Row],[ADM2_Pcode]],"-",Data_Entry[[#This Row],[Group Name]])</f>
        <v>AF05-Non_Displaced</v>
      </c>
      <c r="I18" s="58">
        <v>0.53280000000000005</v>
      </c>
      <c r="J18" s="58">
        <v>0.45369999999999999</v>
      </c>
      <c r="K18" s="58">
        <v>1.34E-2</v>
      </c>
      <c r="L18" s="58">
        <v>0</v>
      </c>
      <c r="M18" s="58">
        <v>0</v>
      </c>
      <c r="N18" s="58">
        <v>6.8104098933647605E-2</v>
      </c>
      <c r="O18" s="58">
        <v>0.311083593592621</v>
      </c>
      <c r="P18" s="58">
        <v>0.17892337894850802</v>
      </c>
      <c r="Q18" s="58">
        <v>0.44188892852522299</v>
      </c>
      <c r="R18" s="58">
        <v>0</v>
      </c>
      <c r="S18" s="58">
        <v>5.4144069348260803E-3</v>
      </c>
      <c r="T18" s="58">
        <v>0.13935864232994802</v>
      </c>
      <c r="U18" s="58">
        <v>0.85522695073522603</v>
      </c>
      <c r="V18" s="58">
        <v>0</v>
      </c>
      <c r="W18" s="58">
        <v>0</v>
      </c>
      <c r="X18" s="58">
        <v>0.29449999999999998</v>
      </c>
      <c r="Y18" s="58">
        <v>0.41500000000000004</v>
      </c>
      <c r="Z18" s="58">
        <v>0.26450000000000001</v>
      </c>
      <c r="AA18" s="58">
        <v>2.0899999999999998E-2</v>
      </c>
      <c r="AB18" s="58">
        <v>5.1000000000000004E-3</v>
      </c>
      <c r="AC18" s="58">
        <v>0.19799934343018499</v>
      </c>
      <c r="AD18" s="60">
        <v>4</v>
      </c>
      <c r="AE18" s="60"/>
      <c r="AF18" s="58">
        <v>0</v>
      </c>
      <c r="AG18" s="58">
        <v>0</v>
      </c>
      <c r="AH18" s="58">
        <v>9.7083611313027701E-2</v>
      </c>
      <c r="AI18" s="58">
        <v>0.9029163886869721</v>
      </c>
      <c r="AJ18" s="58">
        <v>0</v>
      </c>
      <c r="AK18" s="58">
        <v>0.92200000000000004</v>
      </c>
      <c r="AL18" s="58">
        <v>0</v>
      </c>
      <c r="AM18" s="58">
        <v>7.8E-2</v>
      </c>
      <c r="AN18" s="58">
        <v>0</v>
      </c>
      <c r="AO18" s="58">
        <v>0</v>
      </c>
      <c r="AP18" s="58">
        <v>0.97761929517971691</v>
      </c>
      <c r="AQ18" s="58">
        <v>0</v>
      </c>
      <c r="AR18" s="58">
        <v>2.2380704820283398E-2</v>
      </c>
      <c r="AS18" s="58">
        <v>0</v>
      </c>
      <c r="AT18" s="58">
        <v>0</v>
      </c>
      <c r="AU18" s="58">
        <v>0.4</v>
      </c>
      <c r="AV18" s="60">
        <v>3</v>
      </c>
      <c r="AW18" s="60"/>
      <c r="AX18" s="58">
        <v>0</v>
      </c>
      <c r="AY18" s="58">
        <v>0</v>
      </c>
      <c r="AZ18" s="58">
        <v>0</v>
      </c>
      <c r="BA18" s="58">
        <v>0</v>
      </c>
      <c r="BB18" s="58">
        <v>0</v>
      </c>
      <c r="BC18" s="58">
        <v>0.69813049853372433</v>
      </c>
      <c r="BD18" s="60">
        <v>3</v>
      </c>
      <c r="BE18" s="60">
        <v>39040.853739002931</v>
      </c>
      <c r="BF18" s="58">
        <v>0.80952380952380953</v>
      </c>
      <c r="BG18" s="60">
        <v>4</v>
      </c>
      <c r="BH18" s="60">
        <v>45270.190476190473</v>
      </c>
    </row>
    <row r="19" spans="1:60">
      <c r="A19" s="55">
        <v>16</v>
      </c>
      <c r="B19" s="55"/>
      <c r="C19" s="55"/>
      <c r="D19" s="56" t="s">
        <v>207</v>
      </c>
      <c r="E19" s="56" t="s">
        <v>208</v>
      </c>
      <c r="F19" s="57">
        <v>219077</v>
      </c>
      <c r="G19" s="57" t="s">
        <v>217</v>
      </c>
      <c r="H19" s="57" t="str">
        <f>_xlfn.CONCAT(Data_Entry[[#This Row],[ADM2_Pcode]],"-",Data_Entry[[#This Row],[Group Name]])</f>
        <v>AF06-Non_Displaced</v>
      </c>
      <c r="I19" s="58">
        <v>0.1711</v>
      </c>
      <c r="J19" s="58">
        <v>0.64610000000000001</v>
      </c>
      <c r="K19" s="58">
        <v>0.17030000000000001</v>
      </c>
      <c r="L19" s="58">
        <v>1.21E-2</v>
      </c>
      <c r="M19" s="58">
        <v>2.9999999999999997E-4</v>
      </c>
      <c r="N19" s="58">
        <v>7.7251944464981903E-2</v>
      </c>
      <c r="O19" s="58">
        <v>0.667714772429577</v>
      </c>
      <c r="P19" s="58">
        <v>0.142809015551703</v>
      </c>
      <c r="Q19" s="58">
        <v>0.11222426755373799</v>
      </c>
      <c r="R19" s="58">
        <v>0</v>
      </c>
      <c r="S19" s="58">
        <v>0</v>
      </c>
      <c r="T19" s="58">
        <v>4.6919667118269198E-2</v>
      </c>
      <c r="U19" s="58">
        <v>0.95308033288173111</v>
      </c>
      <c r="V19" s="58">
        <v>0</v>
      </c>
      <c r="W19" s="58">
        <v>0</v>
      </c>
      <c r="X19" s="58">
        <v>0.31329999999999997</v>
      </c>
      <c r="Y19" s="58">
        <v>0.45040000000000002</v>
      </c>
      <c r="Z19" s="58">
        <v>0.1706</v>
      </c>
      <c r="AA19" s="58">
        <v>5.3899999999999997E-2</v>
      </c>
      <c r="AB19" s="58">
        <v>1.18E-2</v>
      </c>
      <c r="AC19" s="58">
        <v>0.18544537218875701</v>
      </c>
      <c r="AD19" s="60">
        <v>4</v>
      </c>
      <c r="AE19" s="60"/>
      <c r="AF19" s="58">
        <v>2.9851355085382499E-2</v>
      </c>
      <c r="AG19" s="58">
        <v>0</v>
      </c>
      <c r="AH19" s="58">
        <v>0.36280250169609096</v>
      </c>
      <c r="AI19" s="58">
        <v>0.60734614321852698</v>
      </c>
      <c r="AJ19" s="58">
        <v>0</v>
      </c>
      <c r="AK19" s="58">
        <v>0.91249999999999998</v>
      </c>
      <c r="AL19" s="58">
        <v>0</v>
      </c>
      <c r="AM19" s="58">
        <v>8.7499999999999994E-2</v>
      </c>
      <c r="AN19" s="58">
        <v>0</v>
      </c>
      <c r="AO19" s="58">
        <v>0</v>
      </c>
      <c r="AP19" s="58">
        <v>0.95581435812489302</v>
      </c>
      <c r="AQ19" s="58">
        <v>0</v>
      </c>
      <c r="AR19" s="58">
        <v>1.9220964681486302E-2</v>
      </c>
      <c r="AS19" s="58">
        <v>2.4964677193620402E-2</v>
      </c>
      <c r="AT19" s="58">
        <v>0</v>
      </c>
      <c r="AU19" s="58">
        <v>0.55789077010766086</v>
      </c>
      <c r="AV19" s="60">
        <v>3</v>
      </c>
      <c r="AW19" s="60"/>
      <c r="AX19" s="58">
        <v>0.35</v>
      </c>
      <c r="AY19" s="58">
        <v>0</v>
      </c>
      <c r="AZ19" s="58">
        <v>0.28999999999999998</v>
      </c>
      <c r="BA19" s="58">
        <v>0.36</v>
      </c>
      <c r="BB19" s="58">
        <v>0</v>
      </c>
      <c r="BC19" s="58">
        <v>0.82207207207207322</v>
      </c>
      <c r="BD19" s="60">
        <v>4</v>
      </c>
      <c r="BE19" s="60">
        <v>180097.08333333358</v>
      </c>
      <c r="BF19" s="58">
        <v>0.91644532067547635</v>
      </c>
      <c r="BG19" s="60">
        <v>5</v>
      </c>
      <c r="BH19" s="60">
        <v>200772.09151762133</v>
      </c>
    </row>
    <row r="20" spans="1:60">
      <c r="A20" s="55">
        <v>17</v>
      </c>
      <c r="B20" s="55"/>
      <c r="C20" s="55"/>
      <c r="D20" s="56" t="s">
        <v>209</v>
      </c>
      <c r="E20" s="56" t="s">
        <v>210</v>
      </c>
      <c r="F20" s="57">
        <v>63532</v>
      </c>
      <c r="G20" s="57" t="s">
        <v>217</v>
      </c>
      <c r="H20" s="57" t="str">
        <f>_xlfn.CONCAT(Data_Entry[[#This Row],[ADM2_Pcode]],"-",Data_Entry[[#This Row],[Group Name]])</f>
        <v>AF07-Non_Displaced</v>
      </c>
      <c r="I20" s="58">
        <v>0.48149999999999998</v>
      </c>
      <c r="J20" s="58">
        <v>0.45679999999999998</v>
      </c>
      <c r="K20" s="58">
        <v>5.7000000000000002E-2</v>
      </c>
      <c r="L20" s="58">
        <v>0</v>
      </c>
      <c r="M20" s="58">
        <v>4.7000000000000002E-3</v>
      </c>
      <c r="N20" s="58">
        <v>0.13456255666328501</v>
      </c>
      <c r="O20" s="58">
        <v>0.40858569809563794</v>
      </c>
      <c r="P20" s="58">
        <v>0.17782069356257502</v>
      </c>
      <c r="Q20" s="58">
        <v>0.27903105167850101</v>
      </c>
      <c r="R20" s="58">
        <v>0</v>
      </c>
      <c r="S20" s="58">
        <v>0.298687020860469</v>
      </c>
      <c r="T20" s="58">
        <v>0.189432812661469</v>
      </c>
      <c r="U20" s="58">
        <v>0.511880166478062</v>
      </c>
      <c r="V20" s="58">
        <v>0</v>
      </c>
      <c r="W20" s="58">
        <v>0</v>
      </c>
      <c r="X20" s="58">
        <v>0.44930000000000003</v>
      </c>
      <c r="Y20" s="58">
        <v>0.45060000000000006</v>
      </c>
      <c r="Z20" s="58">
        <v>8.1099999999999992E-2</v>
      </c>
      <c r="AA20" s="58">
        <v>1.89E-2</v>
      </c>
      <c r="AB20" s="58">
        <v>0</v>
      </c>
      <c r="AC20" s="58">
        <v>0.23241307643144102</v>
      </c>
      <c r="AD20" s="60">
        <v>4</v>
      </c>
      <c r="AE20" s="60"/>
      <c r="AF20" s="58">
        <v>0.12030481795539799</v>
      </c>
      <c r="AG20" s="58">
        <v>1.52408977699038E-4</v>
      </c>
      <c r="AH20" s="58">
        <v>0.70565060681534009</v>
      </c>
      <c r="AI20" s="58">
        <v>0.17389216625156301</v>
      </c>
      <c r="AJ20" s="58">
        <v>0</v>
      </c>
      <c r="AK20" s="58">
        <v>0.96660000000000001</v>
      </c>
      <c r="AL20" s="58">
        <v>0</v>
      </c>
      <c r="AM20" s="58">
        <v>3.3399999999999999E-2</v>
      </c>
      <c r="AN20" s="58">
        <v>0</v>
      </c>
      <c r="AO20" s="58">
        <v>0</v>
      </c>
      <c r="AP20" s="58">
        <v>0.88316245120293102</v>
      </c>
      <c r="AQ20" s="58">
        <v>0</v>
      </c>
      <c r="AR20" s="58">
        <v>5.3240655955713798E-2</v>
      </c>
      <c r="AS20" s="58">
        <v>6.3596892841355598E-2</v>
      </c>
      <c r="AT20" s="58">
        <v>0</v>
      </c>
      <c r="AU20" s="58">
        <v>0.44999999999999996</v>
      </c>
      <c r="AV20" s="60">
        <v>3</v>
      </c>
      <c r="AW20" s="60"/>
      <c r="AX20" s="58">
        <v>0</v>
      </c>
      <c r="AY20" s="58">
        <v>0</v>
      </c>
      <c r="AZ20" s="58">
        <v>0</v>
      </c>
      <c r="BA20" s="58">
        <v>0</v>
      </c>
      <c r="BB20" s="58">
        <v>0</v>
      </c>
      <c r="BC20" s="58">
        <v>0.32667639109356833</v>
      </c>
      <c r="BD20" s="60">
        <v>2</v>
      </c>
      <c r="BE20" s="60">
        <v>20754.404478956581</v>
      </c>
      <c r="BF20" s="58">
        <v>0.72406639004149786</v>
      </c>
      <c r="BG20" s="60">
        <v>3</v>
      </c>
      <c r="BH20" s="60">
        <v>46001.385892116443</v>
      </c>
    </row>
    <row r="21" spans="1:60">
      <c r="A21" s="55">
        <v>18</v>
      </c>
      <c r="B21" s="55"/>
      <c r="C21" s="55"/>
      <c r="D21" s="56" t="s">
        <v>211</v>
      </c>
      <c r="E21" s="56" t="s">
        <v>212</v>
      </c>
      <c r="F21" s="57">
        <v>21876</v>
      </c>
      <c r="G21" s="57" t="s">
        <v>217</v>
      </c>
      <c r="H21" s="57" t="str">
        <f>_xlfn.CONCAT(Data_Entry[[#This Row],[ADM2_Pcode]],"-",Data_Entry[[#This Row],[Group Name]])</f>
        <v>AF08-Non_Displaced</v>
      </c>
      <c r="I21" s="58">
        <v>0.78439999999999999</v>
      </c>
      <c r="J21" s="58">
        <v>8.9800000000000005E-2</v>
      </c>
      <c r="K21" s="58">
        <v>0.1198</v>
      </c>
      <c r="L21" s="58">
        <v>6.0000000000000001E-3</v>
      </c>
      <c r="M21" s="58">
        <v>0</v>
      </c>
      <c r="N21" s="58">
        <v>0.16</v>
      </c>
      <c r="O21" s="58">
        <v>0.45333333333333298</v>
      </c>
      <c r="P21" s="58">
        <v>0.17333333333333301</v>
      </c>
      <c r="Q21" s="58">
        <v>0.21333333333333301</v>
      </c>
      <c r="R21" s="58">
        <v>0</v>
      </c>
      <c r="S21" s="58">
        <v>0</v>
      </c>
      <c r="T21" s="58">
        <v>0.11377245508981999</v>
      </c>
      <c r="U21" s="58">
        <v>0.88622754491017997</v>
      </c>
      <c r="V21" s="58">
        <v>0</v>
      </c>
      <c r="W21" s="58">
        <v>0</v>
      </c>
      <c r="X21" s="58">
        <v>0.19760000000000003</v>
      </c>
      <c r="Y21" s="58">
        <v>0.39520000000000005</v>
      </c>
      <c r="Z21" s="58">
        <v>0.3473</v>
      </c>
      <c r="AA21" s="58">
        <v>5.9900000000000002E-2</v>
      </c>
      <c r="AB21" s="58">
        <v>0</v>
      </c>
      <c r="AC21" s="58">
        <v>0.32447089947089902</v>
      </c>
      <c r="AD21" s="60">
        <v>3</v>
      </c>
      <c r="AE21" s="60"/>
      <c r="AF21" s="58">
        <v>0</v>
      </c>
      <c r="AG21" s="58">
        <v>0</v>
      </c>
      <c r="AH21" s="58">
        <v>0.1</v>
      </c>
      <c r="AI21" s="58">
        <v>0.9</v>
      </c>
      <c r="AJ21" s="58">
        <v>0</v>
      </c>
      <c r="AK21" s="58">
        <v>0.97010000000000007</v>
      </c>
      <c r="AL21" s="58">
        <v>0</v>
      </c>
      <c r="AM21" s="58">
        <v>2.9900000000000003E-2</v>
      </c>
      <c r="AN21" s="58">
        <v>0</v>
      </c>
      <c r="AO21" s="58">
        <v>0</v>
      </c>
      <c r="AP21" s="58">
        <v>0.98373983739837401</v>
      </c>
      <c r="AQ21" s="58">
        <v>0</v>
      </c>
      <c r="AR21" s="58">
        <v>8.1300813008130107E-3</v>
      </c>
      <c r="AS21" s="58">
        <v>8.1300813008130107E-3</v>
      </c>
      <c r="AT21" s="58">
        <v>0</v>
      </c>
      <c r="AU21" s="58">
        <v>0.25</v>
      </c>
      <c r="AV21" s="60">
        <v>3</v>
      </c>
      <c r="AW21" s="60"/>
      <c r="AX21" s="58">
        <v>0</v>
      </c>
      <c r="AY21" s="58">
        <v>0</v>
      </c>
      <c r="AZ21" s="58">
        <v>0</v>
      </c>
      <c r="BA21" s="58">
        <v>0</v>
      </c>
      <c r="BB21" s="58">
        <v>0</v>
      </c>
      <c r="BC21" s="58">
        <v>0.49124091800253533</v>
      </c>
      <c r="BD21" s="60">
        <v>2</v>
      </c>
      <c r="BE21" s="60">
        <v>10746.386322223463</v>
      </c>
      <c r="BF21" s="58">
        <v>0.62365591397850162</v>
      </c>
      <c r="BG21" s="60">
        <v>2</v>
      </c>
      <c r="BH21" s="60">
        <v>13643.096774193702</v>
      </c>
    </row>
    <row r="22" spans="1:60">
      <c r="A22" s="55">
        <v>19</v>
      </c>
      <c r="B22" s="55"/>
      <c r="C22" s="55"/>
      <c r="D22" s="56" t="s">
        <v>213</v>
      </c>
      <c r="E22" s="56" t="s">
        <v>214</v>
      </c>
      <c r="F22" s="57">
        <v>130624</v>
      </c>
      <c r="G22" s="57" t="s">
        <v>217</v>
      </c>
      <c r="H22" s="57" t="str">
        <f>_xlfn.CONCAT(Data_Entry[[#This Row],[ADM2_Pcode]],"-",Data_Entry[[#This Row],[Group Name]])</f>
        <v>AF09-Non_Displaced</v>
      </c>
      <c r="I22" s="58">
        <v>0.66819999999999991</v>
      </c>
      <c r="J22" s="58">
        <v>0.2893</v>
      </c>
      <c r="K22" s="58">
        <v>3.5099999999999999E-2</v>
      </c>
      <c r="L22" s="58">
        <v>1.3000000000000002E-3</v>
      </c>
      <c r="M22" s="58">
        <v>6.1999999999999998E-3</v>
      </c>
      <c r="N22" s="58">
        <v>2.2388493007297502E-2</v>
      </c>
      <c r="O22" s="58">
        <v>0.281330815600628</v>
      </c>
      <c r="P22" s="58">
        <v>0.201728897768511</v>
      </c>
      <c r="Q22" s="58">
        <v>0.494551793623563</v>
      </c>
      <c r="R22" s="58">
        <v>0</v>
      </c>
      <c r="S22" s="58">
        <v>0.44460241346045204</v>
      </c>
      <c r="T22" s="58">
        <v>0.114273161947643</v>
      </c>
      <c r="U22" s="58">
        <v>0.44112442459190498</v>
      </c>
      <c r="V22" s="58">
        <v>0</v>
      </c>
      <c r="W22" s="58">
        <v>0</v>
      </c>
      <c r="X22" s="58">
        <v>7.7899999999999997E-2</v>
      </c>
      <c r="Y22" s="58">
        <v>0.22500000000000001</v>
      </c>
      <c r="Z22" s="58">
        <v>0.29730000000000001</v>
      </c>
      <c r="AA22" s="58">
        <v>0.21690000000000001</v>
      </c>
      <c r="AB22" s="58">
        <v>0.18290000000000001</v>
      </c>
      <c r="AC22" s="58">
        <v>0.12497743558674401</v>
      </c>
      <c r="AD22" s="60">
        <v>5</v>
      </c>
      <c r="AE22" s="60"/>
      <c r="AF22" s="58">
        <v>0.11111111111111099</v>
      </c>
      <c r="AG22" s="58">
        <v>0</v>
      </c>
      <c r="AH22" s="58">
        <v>0.55555555555555602</v>
      </c>
      <c r="AI22" s="58">
        <v>0.33333333333333298</v>
      </c>
      <c r="AJ22" s="58">
        <v>0</v>
      </c>
      <c r="AK22" s="58">
        <v>0.95819999999999994</v>
      </c>
      <c r="AL22" s="58">
        <v>0</v>
      </c>
      <c r="AM22" s="58">
        <v>4.1799999999999997E-2</v>
      </c>
      <c r="AN22" s="58">
        <v>0</v>
      </c>
      <c r="AO22" s="58">
        <v>0</v>
      </c>
      <c r="AP22" s="58">
        <v>0.96586736272168294</v>
      </c>
      <c r="AQ22" s="58">
        <v>0</v>
      </c>
      <c r="AR22" s="58">
        <v>3.2186397676611904E-2</v>
      </c>
      <c r="AS22" s="58">
        <v>1.9462396017048899E-3</v>
      </c>
      <c r="AT22" s="58">
        <v>0</v>
      </c>
      <c r="AU22" s="58">
        <v>0.26986372932950708</v>
      </c>
      <c r="AV22" s="60">
        <v>3</v>
      </c>
      <c r="AW22" s="60"/>
      <c r="AX22" s="58">
        <v>0.41</v>
      </c>
      <c r="AY22" s="58">
        <v>0</v>
      </c>
      <c r="AZ22" s="58">
        <v>0.45</v>
      </c>
      <c r="BA22" s="58">
        <v>0.14000000000000001</v>
      </c>
      <c r="BB22" s="58">
        <v>0</v>
      </c>
      <c r="BC22" s="58">
        <v>0.83927624602332851</v>
      </c>
      <c r="BD22" s="60">
        <v>4</v>
      </c>
      <c r="BE22" s="60">
        <v>109629.62036055126</v>
      </c>
      <c r="BF22" s="58">
        <v>0.79274183508811347</v>
      </c>
      <c r="BG22" s="60">
        <v>3</v>
      </c>
      <c r="BH22" s="60">
        <v>103551.10946654974</v>
      </c>
    </row>
    <row r="23" spans="1:60">
      <c r="A23" s="55">
        <v>20</v>
      </c>
      <c r="B23" s="55"/>
      <c r="C23" s="55"/>
      <c r="D23" s="56" t="s">
        <v>215</v>
      </c>
      <c r="E23" s="56" t="s">
        <v>216</v>
      </c>
      <c r="F23" s="57">
        <v>63798</v>
      </c>
      <c r="G23" s="57" t="s">
        <v>217</v>
      </c>
      <c r="H23" s="57" t="str">
        <f>_xlfn.CONCAT(Data_Entry[[#This Row],[ADM2_Pcode]],"-",Data_Entry[[#This Row],[Group Name]])</f>
        <v>AF10-Non_Displaced</v>
      </c>
      <c r="I23" s="58">
        <v>0.37770000000000004</v>
      </c>
      <c r="J23" s="58">
        <v>0.41490000000000005</v>
      </c>
      <c r="K23" s="58">
        <v>0.16489999999999999</v>
      </c>
      <c r="L23" s="58">
        <v>2.6600000000000002E-2</v>
      </c>
      <c r="M23" s="58">
        <v>1.6E-2</v>
      </c>
      <c r="N23" s="58">
        <v>2.4242424242424197E-2</v>
      </c>
      <c r="O23" s="58">
        <v>0.20606060606060597</v>
      </c>
      <c r="P23" s="58">
        <v>0.21212121212121202</v>
      </c>
      <c r="Q23" s="58">
        <v>0.55757575757575806</v>
      </c>
      <c r="R23" s="58">
        <v>0</v>
      </c>
      <c r="S23" s="58">
        <v>8.99470899470899E-2</v>
      </c>
      <c r="T23" s="58">
        <v>0.20105820105820102</v>
      </c>
      <c r="U23" s="58">
        <v>0.70899470899470896</v>
      </c>
      <c r="V23" s="58">
        <v>0</v>
      </c>
      <c r="W23" s="58">
        <v>0</v>
      </c>
      <c r="X23" s="58">
        <v>0.35450000000000004</v>
      </c>
      <c r="Y23" s="58">
        <v>0.47619999999999996</v>
      </c>
      <c r="Z23" s="58">
        <v>0.15870000000000001</v>
      </c>
      <c r="AA23" s="58">
        <v>1.06E-2</v>
      </c>
      <c r="AB23" s="58">
        <v>0</v>
      </c>
      <c r="AC23" s="58">
        <v>0.39701149425287396</v>
      </c>
      <c r="AD23" s="60">
        <v>3</v>
      </c>
      <c r="AE23" s="60"/>
      <c r="AF23" s="58">
        <v>0</v>
      </c>
      <c r="AG23" s="58">
        <v>0</v>
      </c>
      <c r="AH23" s="58">
        <v>0.25423728813559299</v>
      </c>
      <c r="AI23" s="58">
        <v>0.74576271186440701</v>
      </c>
      <c r="AJ23" s="58">
        <v>0</v>
      </c>
      <c r="AK23" s="58">
        <v>0.88890000000000002</v>
      </c>
      <c r="AL23" s="58">
        <v>0</v>
      </c>
      <c r="AM23" s="58">
        <v>0.11109999999999999</v>
      </c>
      <c r="AN23" s="58">
        <v>0</v>
      </c>
      <c r="AO23" s="58">
        <v>0</v>
      </c>
      <c r="AP23" s="58">
        <v>0.92647058823529405</v>
      </c>
      <c r="AQ23" s="58">
        <v>0</v>
      </c>
      <c r="AR23" s="58">
        <v>0</v>
      </c>
      <c r="AS23" s="58">
        <v>7.3529411764705899E-2</v>
      </c>
      <c r="AT23" s="58">
        <v>0</v>
      </c>
      <c r="AU23" s="58">
        <v>0.5</v>
      </c>
      <c r="AV23" s="60">
        <v>3</v>
      </c>
      <c r="AW23" s="60"/>
      <c r="AX23" s="58">
        <v>0</v>
      </c>
      <c r="AY23" s="58">
        <v>0</v>
      </c>
      <c r="AZ23" s="58">
        <v>0</v>
      </c>
      <c r="BA23" s="58">
        <v>0</v>
      </c>
      <c r="BB23" s="58">
        <v>0</v>
      </c>
      <c r="BC23" s="58">
        <v>0.58865888286883283</v>
      </c>
      <c r="BD23" s="60">
        <v>3</v>
      </c>
      <c r="BE23" s="60">
        <v>37555.259409265796</v>
      </c>
      <c r="BF23" s="58">
        <v>0.69728601252609279</v>
      </c>
      <c r="BG23" s="60">
        <v>2</v>
      </c>
      <c r="BH23" s="60">
        <v>44485.453027139665</v>
      </c>
    </row>
    <row r="24" spans="1:60">
      <c r="A24" s="55">
        <v>21</v>
      </c>
      <c r="B24" s="55"/>
      <c r="C24" s="55"/>
      <c r="D24" s="56" t="s">
        <v>196</v>
      </c>
      <c r="E24" s="56" t="s">
        <v>197</v>
      </c>
      <c r="F24" s="57">
        <v>1340103</v>
      </c>
      <c r="G24" s="57" t="s">
        <v>218</v>
      </c>
      <c r="H24" s="57" t="str">
        <f>_xlfn.CONCAT(Data_Entry[[#This Row],[ADM2_Pcode]],"-",Data_Entry[[#This Row],[Group Name]])</f>
        <v>AF01-Migrants</v>
      </c>
      <c r="I24" s="58">
        <v>0.86360000000000003</v>
      </c>
      <c r="J24" s="58">
        <v>7.7899999999999997E-2</v>
      </c>
      <c r="K24" s="58">
        <v>5.1900000000000002E-2</v>
      </c>
      <c r="L24" s="58">
        <v>6.5000000000000006E-3</v>
      </c>
      <c r="M24" s="58">
        <v>0</v>
      </c>
      <c r="N24" s="58">
        <v>0.21621621621621601</v>
      </c>
      <c r="O24" s="58">
        <v>0.76576576576576594</v>
      </c>
      <c r="P24" s="58">
        <v>1.8018018018018001E-2</v>
      </c>
      <c r="Q24" s="58">
        <v>0</v>
      </c>
      <c r="R24" s="58">
        <v>0</v>
      </c>
      <c r="S24" s="58">
        <v>6.4935064935064901E-2</v>
      </c>
      <c r="T24" s="58">
        <v>0.493506493506494</v>
      </c>
      <c r="U24" s="58">
        <v>0.44155844155844198</v>
      </c>
      <c r="V24" s="58">
        <v>0</v>
      </c>
      <c r="W24" s="58">
        <v>0</v>
      </c>
      <c r="X24" s="58">
        <v>0.37009999999999998</v>
      </c>
      <c r="Y24" s="58">
        <v>0.48049999999999998</v>
      </c>
      <c r="Z24" s="58">
        <v>0.13640000000000002</v>
      </c>
      <c r="AA24" s="58">
        <v>1.3000000000000001E-2</v>
      </c>
      <c r="AB24" s="58">
        <v>0</v>
      </c>
      <c r="AC24" s="58">
        <v>0.55324074074074092</v>
      </c>
      <c r="AD24" s="59">
        <v>2</v>
      </c>
      <c r="AE24" s="60"/>
      <c r="AF24" s="58">
        <v>1.72413793103448E-2</v>
      </c>
      <c r="AG24" s="58">
        <v>0</v>
      </c>
      <c r="AH24" s="58">
        <v>0.34482758620689702</v>
      </c>
      <c r="AI24" s="58">
        <v>0.63793103448275901</v>
      </c>
      <c r="AJ24" s="58">
        <v>0</v>
      </c>
      <c r="AK24" s="58">
        <v>0.92859999999999998</v>
      </c>
      <c r="AL24" s="58">
        <v>0</v>
      </c>
      <c r="AM24" s="58">
        <v>7.1399999999999991E-2</v>
      </c>
      <c r="AN24" s="58">
        <v>0</v>
      </c>
      <c r="AO24" s="58">
        <v>0</v>
      </c>
      <c r="AP24" s="58">
        <v>0.98611111111111105</v>
      </c>
      <c r="AQ24" s="58">
        <v>0</v>
      </c>
      <c r="AR24" s="58">
        <v>0</v>
      </c>
      <c r="AS24" s="58">
        <v>1.38888888888889E-2</v>
      </c>
      <c r="AT24" s="58">
        <v>0</v>
      </c>
      <c r="AU24" s="58">
        <v>0.38495593307951537</v>
      </c>
      <c r="AV24" s="60">
        <v>3</v>
      </c>
      <c r="AW24" s="60"/>
      <c r="AX24" s="58">
        <v>0.22</v>
      </c>
      <c r="AY24" s="58">
        <v>0</v>
      </c>
      <c r="AZ24" s="58">
        <v>0.47</v>
      </c>
      <c r="BA24" s="58">
        <v>0.31</v>
      </c>
      <c r="BB24" s="58">
        <v>0</v>
      </c>
      <c r="BC24" s="58">
        <v>0.77458445538118692</v>
      </c>
      <c r="BD24" s="60">
        <v>4</v>
      </c>
      <c r="BE24" s="60">
        <v>1038022.9524096948</v>
      </c>
      <c r="BF24" s="58">
        <v>0.79525881588579561</v>
      </c>
      <c r="BG24" s="60">
        <v>3</v>
      </c>
      <c r="BH24" s="60">
        <v>1065728.7249450025</v>
      </c>
    </row>
    <row r="25" spans="1:60">
      <c r="A25" s="55">
        <v>22</v>
      </c>
      <c r="B25" s="55"/>
      <c r="C25" s="55"/>
      <c r="D25" s="56" t="s">
        <v>199</v>
      </c>
      <c r="E25" s="56" t="s">
        <v>200</v>
      </c>
      <c r="F25" s="57">
        <v>125728</v>
      </c>
      <c r="G25" s="57" t="s">
        <v>218</v>
      </c>
      <c r="H25" s="57" t="str">
        <f>_xlfn.CONCAT(Data_Entry[[#This Row],[ADM2_Pcode]],"-",Data_Entry[[#This Row],[Group Name]])</f>
        <v>AF02-Migrants</v>
      </c>
      <c r="I25" s="58">
        <v>0.4103</v>
      </c>
      <c r="J25" s="58">
        <v>0.39100000000000001</v>
      </c>
      <c r="K25" s="58">
        <v>0.1474</v>
      </c>
      <c r="L25" s="58">
        <v>3.2100000000000004E-2</v>
      </c>
      <c r="M25" s="58">
        <v>1.9199999999999998E-2</v>
      </c>
      <c r="N25" s="58">
        <v>7.4324324324324301E-2</v>
      </c>
      <c r="O25" s="58">
        <v>0.42567567567567599</v>
      </c>
      <c r="P25" s="58">
        <v>0.18243243243243198</v>
      </c>
      <c r="Q25" s="58">
        <v>0.31756756756756799</v>
      </c>
      <c r="R25" s="58">
        <v>0</v>
      </c>
      <c r="S25" s="58">
        <v>0.16666666666666699</v>
      </c>
      <c r="T25" s="58">
        <v>0.21153846153846201</v>
      </c>
      <c r="U25" s="58">
        <v>0.62179487179487192</v>
      </c>
      <c r="V25" s="58">
        <v>0</v>
      </c>
      <c r="W25" s="58">
        <v>0</v>
      </c>
      <c r="X25" s="58">
        <v>0.23079999999999998</v>
      </c>
      <c r="Y25" s="58">
        <v>0.32049999999999995</v>
      </c>
      <c r="Z25" s="58">
        <v>0.35899999999999999</v>
      </c>
      <c r="AA25" s="58">
        <v>8.9700000000000002E-2</v>
      </c>
      <c r="AB25" s="58">
        <v>0</v>
      </c>
      <c r="AC25" s="58">
        <v>0.509736064968623</v>
      </c>
      <c r="AD25" s="60">
        <v>2</v>
      </c>
      <c r="AE25" s="60"/>
      <c r="AF25" s="58">
        <v>0</v>
      </c>
      <c r="AG25" s="58">
        <v>0</v>
      </c>
      <c r="AH25" s="58">
        <v>2.32558139534884E-2</v>
      </c>
      <c r="AI25" s="58">
        <v>0.97674418604651192</v>
      </c>
      <c r="AJ25" s="58">
        <v>0</v>
      </c>
      <c r="AK25" s="58">
        <v>0.9487000000000001</v>
      </c>
      <c r="AL25" s="58">
        <v>0</v>
      </c>
      <c r="AM25" s="58">
        <v>5.1299999999999998E-2</v>
      </c>
      <c r="AN25" s="58">
        <v>0</v>
      </c>
      <c r="AO25" s="58">
        <v>0</v>
      </c>
      <c r="AP25" s="58">
        <v>1</v>
      </c>
      <c r="AQ25" s="58">
        <v>0</v>
      </c>
      <c r="AR25" s="58">
        <v>0</v>
      </c>
      <c r="AS25" s="58">
        <v>0</v>
      </c>
      <c r="AT25" s="58">
        <v>0</v>
      </c>
      <c r="AU25" s="58">
        <v>0.25</v>
      </c>
      <c r="AV25" s="60">
        <v>3</v>
      </c>
      <c r="AW25" s="60"/>
      <c r="AX25" s="58">
        <v>0</v>
      </c>
      <c r="AY25" s="58">
        <v>0</v>
      </c>
      <c r="AZ25" s="58">
        <v>0</v>
      </c>
      <c r="BA25" s="58">
        <v>0</v>
      </c>
      <c r="BB25" s="58">
        <v>0</v>
      </c>
      <c r="BC25" s="58">
        <v>0.42452830188679136</v>
      </c>
      <c r="BD25" s="60">
        <v>2</v>
      </c>
      <c r="BE25" s="60">
        <v>53375.094339622505</v>
      </c>
      <c r="BF25" s="58">
        <v>0.69709543568464982</v>
      </c>
      <c r="BG25" s="60">
        <v>2</v>
      </c>
      <c r="BH25" s="60">
        <v>87644.414937759648</v>
      </c>
    </row>
    <row r="26" spans="1:60">
      <c r="A26" s="55">
        <v>23</v>
      </c>
      <c r="B26" s="55"/>
      <c r="C26" s="55"/>
      <c r="D26" s="56" t="s">
        <v>201</v>
      </c>
      <c r="E26" s="56" t="s">
        <v>202</v>
      </c>
      <c r="F26" s="57">
        <v>189944</v>
      </c>
      <c r="G26" s="57" t="s">
        <v>218</v>
      </c>
      <c r="H26" s="57" t="str">
        <f>_xlfn.CONCAT(Data_Entry[[#This Row],[ADM2_Pcode]],"-",Data_Entry[[#This Row],[Group Name]])</f>
        <v>AF03-Migrants</v>
      </c>
      <c r="I26" s="58">
        <v>0.28660000000000002</v>
      </c>
      <c r="J26" s="58">
        <v>0.65849999999999997</v>
      </c>
      <c r="K26" s="58">
        <v>5.4900000000000004E-2</v>
      </c>
      <c r="L26" s="58">
        <v>0</v>
      </c>
      <c r="M26" s="58">
        <v>0</v>
      </c>
      <c r="N26" s="58">
        <v>4.8780487804878002E-2</v>
      </c>
      <c r="O26" s="58">
        <v>6.0975609756097594E-2</v>
      </c>
      <c r="P26" s="58">
        <v>0.20121951219512202</v>
      </c>
      <c r="Q26" s="58">
        <v>0.68902439024390205</v>
      </c>
      <c r="R26" s="58">
        <v>0</v>
      </c>
      <c r="S26" s="58">
        <v>0</v>
      </c>
      <c r="T26" s="58">
        <v>1.8292682926829298E-2</v>
      </c>
      <c r="U26" s="58">
        <v>0.98170731707317105</v>
      </c>
      <c r="V26" s="58">
        <v>0</v>
      </c>
      <c r="W26" s="58">
        <v>0</v>
      </c>
      <c r="X26" s="58">
        <v>9.7600000000000006E-2</v>
      </c>
      <c r="Y26" s="58">
        <v>0.77439999999999998</v>
      </c>
      <c r="Z26" s="58">
        <v>0.128</v>
      </c>
      <c r="AA26" s="58">
        <v>0</v>
      </c>
      <c r="AB26" s="58">
        <v>0</v>
      </c>
      <c r="AC26" s="58">
        <v>0.77967741935483903</v>
      </c>
      <c r="AD26" s="60">
        <v>1</v>
      </c>
      <c r="AE26" s="60"/>
      <c r="AF26" s="58">
        <v>2.0833333333333301E-2</v>
      </c>
      <c r="AG26" s="58">
        <v>0</v>
      </c>
      <c r="AH26" s="58">
        <v>0.9375</v>
      </c>
      <c r="AI26" s="58">
        <v>4.1666666666666699E-2</v>
      </c>
      <c r="AJ26" s="58">
        <v>0</v>
      </c>
      <c r="AK26" s="58">
        <v>0.84150000000000003</v>
      </c>
      <c r="AL26" s="58">
        <v>0</v>
      </c>
      <c r="AM26" s="58">
        <v>0.1585</v>
      </c>
      <c r="AN26" s="58">
        <v>0</v>
      </c>
      <c r="AO26" s="58">
        <v>0</v>
      </c>
      <c r="AP26" s="58">
        <v>0.98742138364779908</v>
      </c>
      <c r="AQ26" s="58">
        <v>0</v>
      </c>
      <c r="AR26" s="58">
        <v>0</v>
      </c>
      <c r="AS26" s="58">
        <v>1.25786163522013E-2</v>
      </c>
      <c r="AT26" s="58">
        <v>0</v>
      </c>
      <c r="AU26" s="58">
        <v>0.35</v>
      </c>
      <c r="AV26" s="60">
        <v>3</v>
      </c>
      <c r="AW26" s="60"/>
      <c r="AX26" s="58">
        <v>0.82</v>
      </c>
      <c r="AY26" s="58">
        <v>0</v>
      </c>
      <c r="AZ26" s="58">
        <v>0.18</v>
      </c>
      <c r="BA26" s="58">
        <v>0</v>
      </c>
      <c r="BB26" s="58">
        <v>0</v>
      </c>
      <c r="BC26" s="58">
        <v>0.51044083526682116</v>
      </c>
      <c r="BD26" s="60">
        <v>3</v>
      </c>
      <c r="BE26" s="60">
        <v>96955.174013921074</v>
      </c>
      <c r="BF26" s="58">
        <v>0.79354838709677533</v>
      </c>
      <c r="BG26" s="60">
        <v>3</v>
      </c>
      <c r="BH26" s="60">
        <v>150729.75483870989</v>
      </c>
    </row>
    <row r="27" spans="1:60">
      <c r="A27" s="55">
        <v>24</v>
      </c>
      <c r="B27" s="55"/>
      <c r="C27" s="55"/>
      <c r="D27" s="56" t="s">
        <v>203</v>
      </c>
      <c r="E27" s="56" t="s">
        <v>204</v>
      </c>
      <c r="F27" s="57">
        <v>170004</v>
      </c>
      <c r="G27" s="57" t="s">
        <v>218</v>
      </c>
      <c r="H27" s="57" t="str">
        <f>_xlfn.CONCAT(Data_Entry[[#This Row],[ADM2_Pcode]],"-",Data_Entry[[#This Row],[Group Name]])</f>
        <v>AF04-Migrants</v>
      </c>
      <c r="I27" s="58">
        <v>0.6321</v>
      </c>
      <c r="J27" s="58">
        <v>0.3619</v>
      </c>
      <c r="K27" s="58">
        <v>6.0000000000000001E-3</v>
      </c>
      <c r="L27" s="58">
        <v>0</v>
      </c>
      <c r="M27" s="58">
        <v>0</v>
      </c>
      <c r="N27" s="58">
        <v>0</v>
      </c>
      <c r="O27" s="58">
        <v>1</v>
      </c>
      <c r="P27" s="58">
        <v>0</v>
      </c>
      <c r="Q27" s="58">
        <v>0</v>
      </c>
      <c r="R27" s="58">
        <v>0</v>
      </c>
      <c r="S27" s="58">
        <v>0</v>
      </c>
      <c r="T27" s="58">
        <v>0</v>
      </c>
      <c r="U27" s="58">
        <v>1</v>
      </c>
      <c r="V27" s="58">
        <v>0</v>
      </c>
      <c r="W27" s="58">
        <v>0</v>
      </c>
      <c r="X27" s="58">
        <v>0.48859999999999998</v>
      </c>
      <c r="Y27" s="58">
        <v>0.4093</v>
      </c>
      <c r="Z27" s="58">
        <v>9.01E-2</v>
      </c>
      <c r="AA27" s="58">
        <v>1.2E-2</v>
      </c>
      <c r="AB27" s="58">
        <v>0</v>
      </c>
      <c r="AC27" s="58">
        <v>0.38842498899003702</v>
      </c>
      <c r="AD27" s="60">
        <v>3</v>
      </c>
      <c r="AE27" s="60"/>
      <c r="AF27" s="58">
        <v>0</v>
      </c>
      <c r="AG27" s="58">
        <v>0</v>
      </c>
      <c r="AH27" s="58">
        <v>0</v>
      </c>
      <c r="AI27" s="58">
        <v>1</v>
      </c>
      <c r="AJ27" s="58">
        <v>0</v>
      </c>
      <c r="AK27" s="58">
        <v>0.98799999999999999</v>
      </c>
      <c r="AL27" s="58">
        <v>0</v>
      </c>
      <c r="AM27" s="58">
        <v>1.2E-2</v>
      </c>
      <c r="AN27" s="58">
        <v>0</v>
      </c>
      <c r="AO27" s="58">
        <v>0</v>
      </c>
      <c r="AP27" s="58">
        <v>0.82396817724411098</v>
      </c>
      <c r="AQ27" s="58">
        <v>0</v>
      </c>
      <c r="AR27" s="58">
        <v>0</v>
      </c>
      <c r="AS27" s="58">
        <v>0.17603182275588899</v>
      </c>
      <c r="AT27" s="58">
        <v>0</v>
      </c>
      <c r="AU27" s="58">
        <v>0.44999999999999996</v>
      </c>
      <c r="AV27" s="60">
        <v>3</v>
      </c>
      <c r="AW27" s="60"/>
      <c r="AX27" s="58">
        <v>0</v>
      </c>
      <c r="AY27" s="58">
        <v>0</v>
      </c>
      <c r="AZ27" s="58">
        <v>0</v>
      </c>
      <c r="BA27" s="58">
        <v>0</v>
      </c>
      <c r="BB27" s="58">
        <v>0</v>
      </c>
      <c r="BC27" s="58">
        <v>0.72008331404767367</v>
      </c>
      <c r="BD27" s="60">
        <v>3</v>
      </c>
      <c r="BE27" s="60">
        <v>122417.04372136072</v>
      </c>
      <c r="BF27" s="58">
        <v>0.70563674321503123</v>
      </c>
      <c r="BG27" s="60">
        <v>3</v>
      </c>
      <c r="BH27" s="60">
        <v>119961.06889352817</v>
      </c>
    </row>
    <row r="28" spans="1:60">
      <c r="A28" s="55">
        <v>25</v>
      </c>
      <c r="B28" s="55"/>
      <c r="C28" s="55"/>
      <c r="D28" s="56" t="s">
        <v>205</v>
      </c>
      <c r="E28" s="56" t="s">
        <v>206</v>
      </c>
      <c r="F28" s="57">
        <v>111843</v>
      </c>
      <c r="G28" s="57" t="s">
        <v>218</v>
      </c>
      <c r="H28" s="57" t="str">
        <f>_xlfn.CONCAT(Data_Entry[[#This Row],[ADM2_Pcode]],"-",Data_Entry[[#This Row],[Group Name]])</f>
        <v>AF05-Migrants</v>
      </c>
      <c r="I28" s="58">
        <v>0.53280000000000005</v>
      </c>
      <c r="J28" s="58">
        <v>0.45369999999999999</v>
      </c>
      <c r="K28" s="58">
        <v>1.34E-2</v>
      </c>
      <c r="L28" s="58">
        <v>0</v>
      </c>
      <c r="M28" s="58">
        <v>0</v>
      </c>
      <c r="N28" s="58">
        <v>6.8104098933647605E-2</v>
      </c>
      <c r="O28" s="58">
        <v>0.311083593592621</v>
      </c>
      <c r="P28" s="58">
        <v>0.17892337894850802</v>
      </c>
      <c r="Q28" s="58">
        <v>0.44188892852522299</v>
      </c>
      <c r="R28" s="58">
        <v>0</v>
      </c>
      <c r="S28" s="58">
        <v>5.4144069348260803E-3</v>
      </c>
      <c r="T28" s="58">
        <v>0.13935864232994802</v>
      </c>
      <c r="U28" s="58">
        <v>0.85522695073522603</v>
      </c>
      <c r="V28" s="58">
        <v>0</v>
      </c>
      <c r="W28" s="58">
        <v>0</v>
      </c>
      <c r="X28" s="58">
        <v>0.29449999999999998</v>
      </c>
      <c r="Y28" s="58">
        <v>0.41500000000000004</v>
      </c>
      <c r="Z28" s="58">
        <v>0.26450000000000001</v>
      </c>
      <c r="AA28" s="58">
        <v>2.0899999999999998E-2</v>
      </c>
      <c r="AB28" s="58">
        <v>5.1000000000000004E-3</v>
      </c>
      <c r="AC28" s="58">
        <v>0.19799934343018499</v>
      </c>
      <c r="AD28" s="60">
        <v>4</v>
      </c>
      <c r="AE28" s="60"/>
      <c r="AF28" s="58">
        <v>0</v>
      </c>
      <c r="AG28" s="58">
        <v>0</v>
      </c>
      <c r="AH28" s="58">
        <v>9.7083611313027701E-2</v>
      </c>
      <c r="AI28" s="58">
        <v>0.9029163886869721</v>
      </c>
      <c r="AJ28" s="58">
        <v>0</v>
      </c>
      <c r="AK28" s="58">
        <v>0.92200000000000004</v>
      </c>
      <c r="AL28" s="58">
        <v>0</v>
      </c>
      <c r="AM28" s="58">
        <v>7.8E-2</v>
      </c>
      <c r="AN28" s="58">
        <v>0</v>
      </c>
      <c r="AO28" s="58">
        <v>0</v>
      </c>
      <c r="AP28" s="58">
        <v>0.97761929517971691</v>
      </c>
      <c r="AQ28" s="58">
        <v>0</v>
      </c>
      <c r="AR28" s="58">
        <v>2.2380704820283398E-2</v>
      </c>
      <c r="AS28" s="58">
        <v>0</v>
      </c>
      <c r="AT28" s="58">
        <v>0</v>
      </c>
      <c r="AU28" s="58">
        <v>0.4</v>
      </c>
      <c r="AV28" s="60">
        <v>3</v>
      </c>
      <c r="AW28" s="60"/>
      <c r="AX28" s="58">
        <v>0</v>
      </c>
      <c r="AY28" s="58">
        <v>0</v>
      </c>
      <c r="AZ28" s="58">
        <v>0</v>
      </c>
      <c r="BA28" s="58">
        <v>0</v>
      </c>
      <c r="BB28" s="58">
        <v>0</v>
      </c>
      <c r="BC28" s="58">
        <v>0.69813049853372433</v>
      </c>
      <c r="BD28" s="60">
        <v>3</v>
      </c>
      <c r="BE28" s="60">
        <v>78081.009347507337</v>
      </c>
      <c r="BF28" s="58">
        <v>0.80952380952380953</v>
      </c>
      <c r="BG28" s="60">
        <v>4</v>
      </c>
      <c r="BH28" s="60">
        <v>90539.571428571435</v>
      </c>
    </row>
    <row r="29" spans="1:60">
      <c r="A29" s="55">
        <v>26</v>
      </c>
      <c r="B29" s="55"/>
      <c r="C29" s="55"/>
      <c r="D29" s="56" t="s">
        <v>207</v>
      </c>
      <c r="E29" s="56" t="s">
        <v>208</v>
      </c>
      <c r="F29" s="57">
        <v>438154</v>
      </c>
      <c r="G29" s="57" t="s">
        <v>218</v>
      </c>
      <c r="H29" s="57" t="str">
        <f>_xlfn.CONCAT(Data_Entry[[#This Row],[ADM2_Pcode]],"-",Data_Entry[[#This Row],[Group Name]])</f>
        <v>AF06-Migrants</v>
      </c>
      <c r="I29" s="58">
        <v>0.1711</v>
      </c>
      <c r="J29" s="58">
        <v>0.64610000000000001</v>
      </c>
      <c r="K29" s="58">
        <v>0.17030000000000001</v>
      </c>
      <c r="L29" s="58">
        <v>1.21E-2</v>
      </c>
      <c r="M29" s="58">
        <v>2.9999999999999997E-4</v>
      </c>
      <c r="N29" s="58">
        <v>7.7251944464981903E-2</v>
      </c>
      <c r="O29" s="58">
        <v>0.667714772429577</v>
      </c>
      <c r="P29" s="58">
        <v>0.142809015551703</v>
      </c>
      <c r="Q29" s="58">
        <v>0.11222426755373799</v>
      </c>
      <c r="R29" s="58">
        <v>0</v>
      </c>
      <c r="S29" s="58">
        <v>0</v>
      </c>
      <c r="T29" s="58">
        <v>4.6919667118269198E-2</v>
      </c>
      <c r="U29" s="58">
        <v>0.95308033288173111</v>
      </c>
      <c r="V29" s="58">
        <v>0</v>
      </c>
      <c r="W29" s="58">
        <v>0</v>
      </c>
      <c r="X29" s="58">
        <v>0.31329999999999997</v>
      </c>
      <c r="Y29" s="58">
        <v>0.45040000000000002</v>
      </c>
      <c r="Z29" s="58">
        <v>0.1706</v>
      </c>
      <c r="AA29" s="58">
        <v>5.3899999999999997E-2</v>
      </c>
      <c r="AB29" s="58">
        <v>1.18E-2</v>
      </c>
      <c r="AC29" s="58">
        <v>0.18544537218875701</v>
      </c>
      <c r="AD29" s="60">
        <v>4</v>
      </c>
      <c r="AE29" s="60"/>
      <c r="AF29" s="58">
        <v>2.9851355085382499E-2</v>
      </c>
      <c r="AG29" s="58">
        <v>0</v>
      </c>
      <c r="AH29" s="58">
        <v>0.36280250169609096</v>
      </c>
      <c r="AI29" s="58">
        <v>0.60734614321852698</v>
      </c>
      <c r="AJ29" s="58">
        <v>0</v>
      </c>
      <c r="AK29" s="58">
        <v>0.91249999999999998</v>
      </c>
      <c r="AL29" s="58">
        <v>0</v>
      </c>
      <c r="AM29" s="58">
        <v>8.7499999999999994E-2</v>
      </c>
      <c r="AN29" s="58">
        <v>0</v>
      </c>
      <c r="AO29" s="58">
        <v>0</v>
      </c>
      <c r="AP29" s="58">
        <v>0.95581435812489302</v>
      </c>
      <c r="AQ29" s="58">
        <v>0</v>
      </c>
      <c r="AR29" s="58">
        <v>1.9220964681486302E-2</v>
      </c>
      <c r="AS29" s="58">
        <v>2.4964677193620402E-2</v>
      </c>
      <c r="AT29" s="58">
        <v>0</v>
      </c>
      <c r="AU29" s="58">
        <v>0.55789077010766086</v>
      </c>
      <c r="AV29" s="60">
        <v>3</v>
      </c>
      <c r="AW29" s="60"/>
      <c r="AX29" s="58">
        <v>0.35</v>
      </c>
      <c r="AY29" s="58">
        <v>0</v>
      </c>
      <c r="AZ29" s="58">
        <v>0.28999999999999998</v>
      </c>
      <c r="BA29" s="58">
        <v>0.36</v>
      </c>
      <c r="BB29" s="58">
        <v>0</v>
      </c>
      <c r="BC29" s="58">
        <v>0.82207207207207322</v>
      </c>
      <c r="BD29" s="60">
        <v>4</v>
      </c>
      <c r="BE29" s="60">
        <v>360194.16666666715</v>
      </c>
      <c r="BF29" s="58">
        <v>0.91644532067547635</v>
      </c>
      <c r="BG29" s="60">
        <v>5</v>
      </c>
      <c r="BH29" s="60">
        <v>401544.18303524266</v>
      </c>
    </row>
    <row r="30" spans="1:60">
      <c r="A30" s="55">
        <v>27</v>
      </c>
      <c r="B30" s="55"/>
      <c r="C30" s="55"/>
      <c r="D30" s="56" t="s">
        <v>209</v>
      </c>
      <c r="E30" s="56" t="s">
        <v>210</v>
      </c>
      <c r="F30" s="57">
        <v>127063</v>
      </c>
      <c r="G30" s="57" t="s">
        <v>218</v>
      </c>
      <c r="H30" s="57" t="str">
        <f>_xlfn.CONCAT(Data_Entry[[#This Row],[ADM2_Pcode]],"-",Data_Entry[[#This Row],[Group Name]])</f>
        <v>AF07-Migrants</v>
      </c>
      <c r="I30" s="58">
        <v>0.48149999999999998</v>
      </c>
      <c r="J30" s="58">
        <v>0.45679999999999998</v>
      </c>
      <c r="K30" s="58">
        <v>5.7000000000000002E-2</v>
      </c>
      <c r="L30" s="58">
        <v>0</v>
      </c>
      <c r="M30" s="58">
        <v>4.7000000000000002E-3</v>
      </c>
      <c r="N30" s="58">
        <v>0.13456255666328501</v>
      </c>
      <c r="O30" s="58">
        <v>0.40858569809563794</v>
      </c>
      <c r="P30" s="58">
        <v>0.17782069356257502</v>
      </c>
      <c r="Q30" s="58">
        <v>0.27903105167850101</v>
      </c>
      <c r="R30" s="58">
        <v>0</v>
      </c>
      <c r="S30" s="58">
        <v>0.298687020860469</v>
      </c>
      <c r="T30" s="58">
        <v>0.189432812661469</v>
      </c>
      <c r="U30" s="58">
        <v>0.511880166478062</v>
      </c>
      <c r="V30" s="58">
        <v>0</v>
      </c>
      <c r="W30" s="58">
        <v>0</v>
      </c>
      <c r="X30" s="58">
        <v>0.44930000000000003</v>
      </c>
      <c r="Y30" s="58">
        <v>0.45060000000000006</v>
      </c>
      <c r="Z30" s="58">
        <v>8.1099999999999992E-2</v>
      </c>
      <c r="AA30" s="58">
        <v>1.89E-2</v>
      </c>
      <c r="AB30" s="58">
        <v>0</v>
      </c>
      <c r="AC30" s="58">
        <v>0.23241307643144102</v>
      </c>
      <c r="AD30" s="60">
        <v>4</v>
      </c>
      <c r="AE30" s="60"/>
      <c r="AF30" s="58">
        <v>0.12030481795539799</v>
      </c>
      <c r="AG30" s="58">
        <v>1.52408977699038E-4</v>
      </c>
      <c r="AH30" s="58">
        <v>0.70565060681534009</v>
      </c>
      <c r="AI30" s="58">
        <v>0.17389216625156301</v>
      </c>
      <c r="AJ30" s="58">
        <v>0</v>
      </c>
      <c r="AK30" s="58">
        <v>0.96660000000000001</v>
      </c>
      <c r="AL30" s="58">
        <v>0</v>
      </c>
      <c r="AM30" s="58">
        <v>3.3399999999999999E-2</v>
      </c>
      <c r="AN30" s="58">
        <v>0</v>
      </c>
      <c r="AO30" s="58">
        <v>0</v>
      </c>
      <c r="AP30" s="58">
        <v>0.88316245120293102</v>
      </c>
      <c r="AQ30" s="58">
        <v>0</v>
      </c>
      <c r="AR30" s="58">
        <v>5.3240655955713798E-2</v>
      </c>
      <c r="AS30" s="58">
        <v>6.3596892841355598E-2</v>
      </c>
      <c r="AT30" s="58">
        <v>0</v>
      </c>
      <c r="AU30" s="58">
        <v>0.44999999999999996</v>
      </c>
      <c r="AV30" s="60">
        <v>3</v>
      </c>
      <c r="AW30" s="60"/>
      <c r="AX30" s="58">
        <v>0</v>
      </c>
      <c r="AY30" s="58">
        <v>0</v>
      </c>
      <c r="AZ30" s="58">
        <v>0</v>
      </c>
      <c r="BA30" s="58">
        <v>0</v>
      </c>
      <c r="BB30" s="58">
        <v>0</v>
      </c>
      <c r="BC30" s="58">
        <v>0.32667639109356833</v>
      </c>
      <c r="BD30" s="60">
        <v>2</v>
      </c>
      <c r="BE30" s="60">
        <v>41508.482281522076</v>
      </c>
      <c r="BF30" s="58">
        <v>0.72406639004149786</v>
      </c>
      <c r="BG30" s="60">
        <v>3</v>
      </c>
      <c r="BH30" s="60">
        <v>92002.047717842841</v>
      </c>
    </row>
    <row r="31" spans="1:60">
      <c r="A31" s="55">
        <v>28</v>
      </c>
      <c r="B31" s="55"/>
      <c r="C31" s="55"/>
      <c r="D31" s="56" t="s">
        <v>211</v>
      </c>
      <c r="E31" s="56" t="s">
        <v>212</v>
      </c>
      <c r="F31" s="57">
        <v>43753</v>
      </c>
      <c r="G31" s="57" t="s">
        <v>218</v>
      </c>
      <c r="H31" s="57" t="str">
        <f>_xlfn.CONCAT(Data_Entry[[#This Row],[ADM2_Pcode]],"-",Data_Entry[[#This Row],[Group Name]])</f>
        <v>AF08-Migrants</v>
      </c>
      <c r="I31" s="58">
        <v>0.78439999999999999</v>
      </c>
      <c r="J31" s="58">
        <v>8.9800000000000005E-2</v>
      </c>
      <c r="K31" s="58">
        <v>0.1198</v>
      </c>
      <c r="L31" s="58">
        <v>6.0000000000000001E-3</v>
      </c>
      <c r="M31" s="58">
        <v>0</v>
      </c>
      <c r="N31" s="58">
        <v>0.16</v>
      </c>
      <c r="O31" s="58">
        <v>0.45333333333333298</v>
      </c>
      <c r="P31" s="58">
        <v>0.17333333333333301</v>
      </c>
      <c r="Q31" s="58">
        <v>0.21333333333333301</v>
      </c>
      <c r="R31" s="58">
        <v>0</v>
      </c>
      <c r="S31" s="58">
        <v>0</v>
      </c>
      <c r="T31" s="58">
        <v>0.11377245508981999</v>
      </c>
      <c r="U31" s="58">
        <v>0.88622754491017997</v>
      </c>
      <c r="V31" s="58">
        <v>0</v>
      </c>
      <c r="W31" s="58">
        <v>0</v>
      </c>
      <c r="X31" s="58">
        <v>0.19760000000000003</v>
      </c>
      <c r="Y31" s="58">
        <v>0.39520000000000005</v>
      </c>
      <c r="Z31" s="58">
        <v>0.3473</v>
      </c>
      <c r="AA31" s="58">
        <v>5.9900000000000002E-2</v>
      </c>
      <c r="AB31" s="58">
        <v>0</v>
      </c>
      <c r="AC31" s="58">
        <v>0.32447089947089902</v>
      </c>
      <c r="AD31" s="60">
        <v>3</v>
      </c>
      <c r="AE31" s="60"/>
      <c r="AF31" s="58">
        <v>0</v>
      </c>
      <c r="AG31" s="58">
        <v>0</v>
      </c>
      <c r="AH31" s="58">
        <v>0.1</v>
      </c>
      <c r="AI31" s="58">
        <v>0.9</v>
      </c>
      <c r="AJ31" s="58">
        <v>0</v>
      </c>
      <c r="AK31" s="58">
        <v>0.97010000000000007</v>
      </c>
      <c r="AL31" s="58">
        <v>0</v>
      </c>
      <c r="AM31" s="58">
        <v>2.9900000000000003E-2</v>
      </c>
      <c r="AN31" s="58">
        <v>0</v>
      </c>
      <c r="AO31" s="58">
        <v>0</v>
      </c>
      <c r="AP31" s="58">
        <v>0.98373983739837401</v>
      </c>
      <c r="AQ31" s="58">
        <v>0</v>
      </c>
      <c r="AR31" s="58">
        <v>8.1300813008130107E-3</v>
      </c>
      <c r="AS31" s="58">
        <v>8.1300813008130107E-3</v>
      </c>
      <c r="AT31" s="58">
        <v>0</v>
      </c>
      <c r="AU31" s="58">
        <v>0.25</v>
      </c>
      <c r="AV31" s="60">
        <v>3</v>
      </c>
      <c r="AW31" s="60"/>
      <c r="AX31" s="58">
        <v>0</v>
      </c>
      <c r="AY31" s="58">
        <v>0</v>
      </c>
      <c r="AZ31" s="58">
        <v>0</v>
      </c>
      <c r="BA31" s="58">
        <v>0</v>
      </c>
      <c r="BB31" s="58">
        <v>0</v>
      </c>
      <c r="BC31" s="58">
        <v>0.49124091800253533</v>
      </c>
      <c r="BD31" s="60">
        <v>2</v>
      </c>
      <c r="BE31" s="60">
        <v>21493.26388536493</v>
      </c>
      <c r="BF31" s="58">
        <v>0.62365591397850162</v>
      </c>
      <c r="BG31" s="60">
        <v>2</v>
      </c>
      <c r="BH31" s="60">
        <v>27286.81720430138</v>
      </c>
    </row>
    <row r="32" spans="1:60">
      <c r="A32" s="55">
        <v>29</v>
      </c>
      <c r="B32" s="55"/>
      <c r="C32" s="55"/>
      <c r="D32" s="56" t="s">
        <v>213</v>
      </c>
      <c r="E32" s="56" t="s">
        <v>214</v>
      </c>
      <c r="F32" s="57">
        <v>261249</v>
      </c>
      <c r="G32" s="57" t="s">
        <v>218</v>
      </c>
      <c r="H32" s="57" t="str">
        <f>_xlfn.CONCAT(Data_Entry[[#This Row],[ADM2_Pcode]],"-",Data_Entry[[#This Row],[Group Name]])</f>
        <v>AF09-Migrants</v>
      </c>
      <c r="I32" s="58">
        <v>0.66819999999999991</v>
      </c>
      <c r="J32" s="58">
        <v>0.2893</v>
      </c>
      <c r="K32" s="58">
        <v>3.5099999999999999E-2</v>
      </c>
      <c r="L32" s="58">
        <v>1.3000000000000002E-3</v>
      </c>
      <c r="M32" s="58">
        <v>6.1999999999999998E-3</v>
      </c>
      <c r="N32" s="58">
        <v>2.2388493007297502E-2</v>
      </c>
      <c r="O32" s="58">
        <v>0.281330815600628</v>
      </c>
      <c r="P32" s="58">
        <v>0.201728897768511</v>
      </c>
      <c r="Q32" s="58">
        <v>0.494551793623563</v>
      </c>
      <c r="R32" s="58">
        <v>0</v>
      </c>
      <c r="S32" s="58">
        <v>0.44460241346045204</v>
      </c>
      <c r="T32" s="58">
        <v>0.114273161947643</v>
      </c>
      <c r="U32" s="58">
        <v>0.44112442459190498</v>
      </c>
      <c r="V32" s="58">
        <v>0</v>
      </c>
      <c r="W32" s="58">
        <v>0</v>
      </c>
      <c r="X32" s="58">
        <v>7.7899999999999997E-2</v>
      </c>
      <c r="Y32" s="58">
        <v>0.22500000000000001</v>
      </c>
      <c r="Z32" s="58">
        <v>0.29730000000000001</v>
      </c>
      <c r="AA32" s="58">
        <v>0.21690000000000001</v>
      </c>
      <c r="AB32" s="58">
        <v>0.18290000000000001</v>
      </c>
      <c r="AC32" s="58">
        <v>0.12497743558674401</v>
      </c>
      <c r="AD32" s="60">
        <v>5</v>
      </c>
      <c r="AE32" s="60"/>
      <c r="AF32" s="58">
        <v>0.11111111111111099</v>
      </c>
      <c r="AG32" s="58">
        <v>0</v>
      </c>
      <c r="AH32" s="58">
        <v>0.55555555555555602</v>
      </c>
      <c r="AI32" s="58">
        <v>0.33333333333333298</v>
      </c>
      <c r="AJ32" s="58">
        <v>0</v>
      </c>
      <c r="AK32" s="58">
        <v>0.95819999999999994</v>
      </c>
      <c r="AL32" s="58">
        <v>0</v>
      </c>
      <c r="AM32" s="58">
        <v>4.1799999999999997E-2</v>
      </c>
      <c r="AN32" s="58">
        <v>0</v>
      </c>
      <c r="AO32" s="58">
        <v>0</v>
      </c>
      <c r="AP32" s="58">
        <v>0.96586736272168294</v>
      </c>
      <c r="AQ32" s="58">
        <v>0</v>
      </c>
      <c r="AR32" s="58">
        <v>3.2186397676611904E-2</v>
      </c>
      <c r="AS32" s="58">
        <v>1.9462396017048899E-3</v>
      </c>
      <c r="AT32" s="58">
        <v>0</v>
      </c>
      <c r="AU32" s="58">
        <v>0.26986372932950708</v>
      </c>
      <c r="AV32" s="60">
        <v>3</v>
      </c>
      <c r="AW32" s="60"/>
      <c r="AX32" s="58">
        <v>0.41</v>
      </c>
      <c r="AY32" s="58">
        <v>0</v>
      </c>
      <c r="AZ32" s="58">
        <v>0.45</v>
      </c>
      <c r="BA32" s="58">
        <v>0.14000000000000001</v>
      </c>
      <c r="BB32" s="58">
        <v>0</v>
      </c>
      <c r="BC32" s="58">
        <v>0.83927624602332851</v>
      </c>
      <c r="BD32" s="60">
        <v>4</v>
      </c>
      <c r="BE32" s="60">
        <v>219260.07999734854</v>
      </c>
      <c r="BF32" s="58">
        <v>0.79274183508811347</v>
      </c>
      <c r="BG32" s="60">
        <v>3</v>
      </c>
      <c r="BH32" s="60">
        <v>207103.01167493456</v>
      </c>
    </row>
    <row r="33" spans="1:60">
      <c r="A33" s="55">
        <v>30</v>
      </c>
      <c r="B33" s="55"/>
      <c r="C33" s="55"/>
      <c r="D33" s="56" t="s">
        <v>215</v>
      </c>
      <c r="E33" s="56" t="s">
        <v>216</v>
      </c>
      <c r="F33" s="57">
        <v>127597</v>
      </c>
      <c r="G33" s="57" t="s">
        <v>218</v>
      </c>
      <c r="H33" s="57" t="str">
        <f>_xlfn.CONCAT(Data_Entry[[#This Row],[ADM2_Pcode]],"-",Data_Entry[[#This Row],[Group Name]])</f>
        <v>AF10-Migrants</v>
      </c>
      <c r="I33" s="58">
        <v>0.37770000000000004</v>
      </c>
      <c r="J33" s="58">
        <v>0.41490000000000005</v>
      </c>
      <c r="K33" s="58">
        <v>0.16489999999999999</v>
      </c>
      <c r="L33" s="58">
        <v>2.6600000000000002E-2</v>
      </c>
      <c r="M33" s="58">
        <v>1.6E-2</v>
      </c>
      <c r="N33" s="58">
        <v>2.4242424242424197E-2</v>
      </c>
      <c r="O33" s="58">
        <v>0.20606060606060597</v>
      </c>
      <c r="P33" s="58">
        <v>0.21212121212121202</v>
      </c>
      <c r="Q33" s="58">
        <v>0.55757575757575806</v>
      </c>
      <c r="R33" s="58">
        <v>0</v>
      </c>
      <c r="S33" s="58">
        <v>8.99470899470899E-2</v>
      </c>
      <c r="T33" s="58">
        <v>0.20105820105820102</v>
      </c>
      <c r="U33" s="58">
        <v>0.70899470899470896</v>
      </c>
      <c r="V33" s="58">
        <v>0</v>
      </c>
      <c r="W33" s="58">
        <v>0</v>
      </c>
      <c r="X33" s="58">
        <v>0.35450000000000004</v>
      </c>
      <c r="Y33" s="58">
        <v>0.47619999999999996</v>
      </c>
      <c r="Z33" s="58">
        <v>0.15870000000000001</v>
      </c>
      <c r="AA33" s="58">
        <v>1.06E-2</v>
      </c>
      <c r="AB33" s="58">
        <v>0</v>
      </c>
      <c r="AC33" s="58">
        <v>0.39701149425287396</v>
      </c>
      <c r="AD33" s="60">
        <v>3</v>
      </c>
      <c r="AE33" s="60"/>
      <c r="AF33" s="58">
        <v>0</v>
      </c>
      <c r="AG33" s="58">
        <v>0</v>
      </c>
      <c r="AH33" s="58">
        <v>0.25423728813559299</v>
      </c>
      <c r="AI33" s="58">
        <v>0.74576271186440701</v>
      </c>
      <c r="AJ33" s="58">
        <v>0</v>
      </c>
      <c r="AK33" s="58">
        <v>0.88890000000000002</v>
      </c>
      <c r="AL33" s="58">
        <v>0</v>
      </c>
      <c r="AM33" s="58">
        <v>0.11109999999999999</v>
      </c>
      <c r="AN33" s="58">
        <v>0</v>
      </c>
      <c r="AO33" s="58">
        <v>0</v>
      </c>
      <c r="AP33" s="58">
        <v>0.92647058823529405</v>
      </c>
      <c r="AQ33" s="58">
        <v>0</v>
      </c>
      <c r="AR33" s="58">
        <v>0</v>
      </c>
      <c r="AS33" s="58">
        <v>7.3529411764705899E-2</v>
      </c>
      <c r="AT33" s="58">
        <v>0</v>
      </c>
      <c r="AU33" s="58">
        <v>0.5</v>
      </c>
      <c r="AV33" s="60">
        <v>3</v>
      </c>
      <c r="AW33" s="60"/>
      <c r="AX33" s="58">
        <v>0</v>
      </c>
      <c r="AY33" s="58">
        <v>0</v>
      </c>
      <c r="AZ33" s="58">
        <v>0</v>
      </c>
      <c r="BA33" s="58">
        <v>0</v>
      </c>
      <c r="BB33" s="58">
        <v>0</v>
      </c>
      <c r="BC33" s="58">
        <v>0.58865888286883283</v>
      </c>
      <c r="BD33" s="60">
        <v>3</v>
      </c>
      <c r="BE33" s="60">
        <v>75111.107477414465</v>
      </c>
      <c r="BF33" s="58">
        <v>0.69728601252609279</v>
      </c>
      <c r="BG33" s="60">
        <v>2</v>
      </c>
      <c r="BH33" s="60">
        <v>88971.603340291855</v>
      </c>
    </row>
  </sheetData>
  <mergeCells count="13">
    <mergeCell ref="AU1:AW2"/>
    <mergeCell ref="AX1:BB1"/>
    <mergeCell ref="BC1:BE2"/>
    <mergeCell ref="BF1:BH2"/>
    <mergeCell ref="B2:E2"/>
    <mergeCell ref="I1:M1"/>
    <mergeCell ref="N1:R1"/>
    <mergeCell ref="S1:W1"/>
    <mergeCell ref="X1:AB1"/>
    <mergeCell ref="AC1:AE2"/>
    <mergeCell ref="AF1:AJ1"/>
    <mergeCell ref="AK1:AO1"/>
    <mergeCell ref="AP1:AT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BF81-6E28-48C9-B18D-6A499AD1C056}">
  <sheetPr>
    <tabColor theme="9" tint="0.39997558519241921"/>
  </sheetPr>
  <dimension ref="A1:W32"/>
  <sheetViews>
    <sheetView workbookViewId="0">
      <selection activeCell="B3" sqref="B3"/>
    </sheetView>
  </sheetViews>
  <sheetFormatPr defaultRowHeight="14.4"/>
  <cols>
    <col min="2" max="2" width="17.88671875" customWidth="1"/>
    <col min="3" max="3" width="15.6640625" customWidth="1"/>
    <col min="4" max="4" width="13.109375" customWidth="1"/>
    <col min="5" max="5" width="20.44140625" bestFit="1" customWidth="1"/>
    <col min="6" max="6" width="23" customWidth="1"/>
    <col min="7" max="7" width="17.109375" customWidth="1"/>
    <col min="8" max="8" width="12.88671875" customWidth="1"/>
    <col min="9" max="9" width="14.109375" customWidth="1"/>
    <col min="10" max="10" width="10" customWidth="1"/>
    <col min="11" max="11" width="16.88671875" customWidth="1"/>
    <col min="12" max="12" width="12.6640625" customWidth="1"/>
    <col min="13" max="13" width="14.5546875" customWidth="1"/>
    <col min="14" max="14" width="10.5546875" customWidth="1"/>
    <col min="15" max="15" width="17.6640625" customWidth="1"/>
    <col min="16" max="16" width="13.5546875" customWidth="1"/>
    <col min="17" max="17" width="15" customWidth="1"/>
    <col min="18" max="18" width="10.88671875" customWidth="1"/>
    <col min="19" max="19" width="14.6640625" customWidth="1"/>
    <col min="20" max="20" width="10.6640625" customWidth="1"/>
    <col min="21" max="21" width="17.44140625" customWidth="1"/>
    <col min="22" max="22" width="13.33203125" customWidth="1"/>
    <col min="23" max="23" width="11.5546875" customWidth="1"/>
  </cols>
  <sheetData>
    <row r="1" spans="1:23">
      <c r="G1" s="95" t="s">
        <v>219</v>
      </c>
      <c r="H1" s="95"/>
      <c r="I1" s="95" t="s">
        <v>220</v>
      </c>
      <c r="J1" s="95"/>
      <c r="K1" s="95" t="s">
        <v>221</v>
      </c>
      <c r="L1" s="95"/>
      <c r="M1" s="95" t="s">
        <v>222</v>
      </c>
      <c r="N1" s="95"/>
      <c r="O1" t="s">
        <v>223</v>
      </c>
      <c r="Q1" s="95" t="s">
        <v>224</v>
      </c>
      <c r="R1" s="95"/>
      <c r="S1" s="95" t="s">
        <v>225</v>
      </c>
      <c r="T1" s="95"/>
      <c r="U1" s="95" t="s">
        <v>226</v>
      </c>
      <c r="V1" s="95"/>
      <c r="W1" t="s">
        <v>227</v>
      </c>
    </row>
    <row r="2" spans="1:23">
      <c r="A2" t="s">
        <v>136</v>
      </c>
      <c r="B2" t="s">
        <v>139</v>
      </c>
      <c r="C2" t="s">
        <v>140</v>
      </c>
      <c r="D2" t="s">
        <v>228</v>
      </c>
      <c r="E2" t="s">
        <v>229</v>
      </c>
      <c r="F2" t="s">
        <v>143</v>
      </c>
      <c r="G2" t="s">
        <v>230</v>
      </c>
      <c r="H2" t="s">
        <v>231</v>
      </c>
      <c r="I2" t="s">
        <v>232</v>
      </c>
      <c r="J2" t="s">
        <v>233</v>
      </c>
      <c r="K2" t="s">
        <v>234</v>
      </c>
      <c r="L2" t="s">
        <v>235</v>
      </c>
      <c r="M2" t="s">
        <v>236</v>
      </c>
      <c r="N2" t="s">
        <v>237</v>
      </c>
      <c r="O2" t="s">
        <v>238</v>
      </c>
      <c r="P2" t="s">
        <v>239</v>
      </c>
      <c r="Q2" t="s">
        <v>240</v>
      </c>
      <c r="R2" t="s">
        <v>241</v>
      </c>
      <c r="S2" t="s">
        <v>242</v>
      </c>
      <c r="T2" t="s">
        <v>243</v>
      </c>
      <c r="U2" t="s">
        <v>244</v>
      </c>
      <c r="V2" t="s">
        <v>245</v>
      </c>
      <c r="W2" t="s">
        <v>227</v>
      </c>
    </row>
    <row r="3" spans="1:23">
      <c r="A3">
        <v>1</v>
      </c>
      <c r="B3" t="str">
        <f>IFERROR(INDEX(Data_Entry[ADM2_COUNTY],MATCH('Step 3-Sector Data'!A3,Data_Entry[ID],0)),"NA")</f>
        <v>Kabul</v>
      </c>
      <c r="C3" t="str">
        <f>IFERROR(INDEX(Data_Entry[ADM2_Pcode],MATCH('Step 3-Sector Data'!A3,Data_Entry[ID],0)),"NA")</f>
        <v>AF01</v>
      </c>
      <c r="D3" s="70">
        <f>IFERROR(INDEX(Data_Entry[Group Population],MATCH('Step 3-Sector Data'!A3,Data_Entry[ID],0)),"NA")</f>
        <v>4690361</v>
      </c>
      <c r="E3" s="70" t="str">
        <f>IFERROR(INDEX(Data_Entry[Group Name],MATCH('Step 3-Sector Data'!A3,Data_Entry[ID],0)),"NA")</f>
        <v>All_Others</v>
      </c>
      <c r="F3" s="72" t="str">
        <f>IFERROR(INDEX(Data_Entry[Key],MATCH('Step 3-Sector Data'!A3,Data_Entry[ID],0)),"NA")</f>
        <v>AF01-All_Others</v>
      </c>
    </row>
    <row r="4" spans="1:23">
      <c r="A4">
        <v>2</v>
      </c>
      <c r="B4" t="str">
        <f>IFERROR(INDEX(Data_Entry[ADM2_COUNTY],MATCH('Step 3-Sector Data'!A4,Data_Entry[ID],0)),"NA")</f>
        <v>Kapisa</v>
      </c>
      <c r="C4" t="str">
        <f>IFERROR(INDEX(Data_Entry[ADM2_Pcode],MATCH('Step 3-Sector Data'!A4,Data_Entry[ID],0)),"NA")</f>
        <v>AF02</v>
      </c>
      <c r="D4" s="70">
        <f>IFERROR(INDEX(Data_Entry[Group Population],MATCH('Step 3-Sector Data'!A4,Data_Entry[ID],0)),"NA")</f>
        <v>440047</v>
      </c>
      <c r="E4" s="70" t="str">
        <f>IFERROR(INDEX(Data_Entry[Group Name],MATCH('Step 3-Sector Data'!A4,Data_Entry[ID],0)),"NA")</f>
        <v>All_Others</v>
      </c>
      <c r="F4" s="72" t="str">
        <f>IFERROR(INDEX(Data_Entry[Key],MATCH('Step 3-Sector Data'!A4,Data_Entry[ID],0)),"NA")</f>
        <v>AF02-All_Others</v>
      </c>
    </row>
    <row r="5" spans="1:23">
      <c r="A5">
        <v>3</v>
      </c>
      <c r="B5" t="str">
        <f>IFERROR(INDEX(Data_Entry[ADM2_COUNTY],MATCH('Step 3-Sector Data'!A5,Data_Entry[ID],0)),"NA")</f>
        <v>Parwan</v>
      </c>
      <c r="C5" t="str">
        <f>IFERROR(INDEX(Data_Entry[ADM2_Pcode],MATCH('Step 3-Sector Data'!A5,Data_Entry[ID],0)),"NA")</f>
        <v>AF03</v>
      </c>
      <c r="D5" s="70">
        <f>IFERROR(INDEX(Data_Entry[Group Population],MATCH('Step 3-Sector Data'!A5,Data_Entry[ID],0)),"NA")</f>
        <v>664805</v>
      </c>
      <c r="E5" s="70" t="str">
        <f>IFERROR(INDEX(Data_Entry[Group Name],MATCH('Step 3-Sector Data'!A5,Data_Entry[ID],0)),"NA")</f>
        <v>All_Others</v>
      </c>
      <c r="F5" s="72" t="str">
        <f>IFERROR(INDEX(Data_Entry[Key],MATCH('Step 3-Sector Data'!A5,Data_Entry[ID],0)),"NA")</f>
        <v>AF03-All_Others</v>
      </c>
    </row>
    <row r="6" spans="1:23">
      <c r="A6">
        <v>4</v>
      </c>
      <c r="B6" t="str">
        <f>IFERROR(INDEX(Data_Entry[ADM2_COUNTY],MATCH('Step 3-Sector Data'!A6,Data_Entry[ID],0)),"NA")</f>
        <v>Wardak</v>
      </c>
      <c r="C6" t="str">
        <f>IFERROR(INDEX(Data_Entry[ADM2_Pcode],MATCH('Step 3-Sector Data'!A6,Data_Entry[ID],0)),"NA")</f>
        <v>AF04</v>
      </c>
      <c r="D6" s="70">
        <f>IFERROR(INDEX(Data_Entry[Group Population],MATCH('Step 3-Sector Data'!A6,Data_Entry[ID],0)),"NA")</f>
        <v>595013</v>
      </c>
      <c r="E6" s="70" t="str">
        <f>IFERROR(INDEX(Data_Entry[Group Name],MATCH('Step 3-Sector Data'!A6,Data_Entry[ID],0)),"NA")</f>
        <v>All_Others</v>
      </c>
      <c r="F6" s="72" t="str">
        <f>IFERROR(INDEX(Data_Entry[Key],MATCH('Step 3-Sector Data'!A6,Data_Entry[ID],0)),"NA")</f>
        <v>AF04-All_Others</v>
      </c>
    </row>
    <row r="7" spans="1:23">
      <c r="A7">
        <v>5</v>
      </c>
      <c r="B7" t="str">
        <f>IFERROR(INDEX(Data_Entry[ADM2_COUNTY],MATCH('Step 3-Sector Data'!A7,Data_Entry[ID],0)),"NA")</f>
        <v>Logar</v>
      </c>
      <c r="C7" t="str">
        <f>IFERROR(INDEX(Data_Entry[ADM2_Pcode],MATCH('Step 3-Sector Data'!A7,Data_Entry[ID],0)),"NA")</f>
        <v>AF05</v>
      </c>
      <c r="D7" s="70">
        <f>IFERROR(INDEX(Data_Entry[Group Population],MATCH('Step 3-Sector Data'!A7,Data_Entry[ID],0)),"NA")</f>
        <v>391451</v>
      </c>
      <c r="E7" s="70" t="str">
        <f>IFERROR(INDEX(Data_Entry[Group Name],MATCH('Step 3-Sector Data'!A7,Data_Entry[ID],0)),"NA")</f>
        <v>All_Others</v>
      </c>
      <c r="F7" s="72" t="str">
        <f>IFERROR(INDEX(Data_Entry[Key],MATCH('Step 3-Sector Data'!A7,Data_Entry[ID],0)),"NA")</f>
        <v>AF05-All_Others</v>
      </c>
    </row>
    <row r="8" spans="1:23">
      <c r="A8">
        <v>6</v>
      </c>
      <c r="B8" t="str">
        <f>IFERROR(INDEX(Data_Entry[ADM2_COUNTY],MATCH('Step 3-Sector Data'!A8,Data_Entry[ID],0)),"NA")</f>
        <v>Nangarhar</v>
      </c>
      <c r="C8" t="str">
        <f>IFERROR(INDEX(Data_Entry[ADM2_Pcode],MATCH('Step 3-Sector Data'!A8,Data_Entry[ID],0)),"NA")</f>
        <v>AF06</v>
      </c>
      <c r="D8" s="70">
        <f>IFERROR(INDEX(Data_Entry[Group Population],MATCH('Step 3-Sector Data'!A8,Data_Entry[ID],0)),"NA")</f>
        <v>1533540</v>
      </c>
      <c r="E8" s="70" t="str">
        <f>IFERROR(INDEX(Data_Entry[Group Name],MATCH('Step 3-Sector Data'!A8,Data_Entry[ID],0)),"NA")</f>
        <v>All_Others</v>
      </c>
      <c r="F8" s="72" t="str">
        <f>IFERROR(INDEX(Data_Entry[Key],MATCH('Step 3-Sector Data'!A8,Data_Entry[ID],0)),"NA")</f>
        <v>AF06-All_Others</v>
      </c>
    </row>
    <row r="9" spans="1:23">
      <c r="A9">
        <v>7</v>
      </c>
      <c r="B9" t="str">
        <f>IFERROR(INDEX(Data_Entry[ADM2_COUNTY],MATCH('Step 3-Sector Data'!A9,Data_Entry[ID],0)),"NA")</f>
        <v>Laghman</v>
      </c>
      <c r="C9" t="str">
        <f>IFERROR(INDEX(Data_Entry[ADM2_Pcode],MATCH('Step 3-Sector Data'!A9,Data_Entry[ID],0)),"NA")</f>
        <v>AF07</v>
      </c>
      <c r="D9" s="70">
        <f>IFERROR(INDEX(Data_Entry[Group Population],MATCH('Step 3-Sector Data'!A9,Data_Entry[ID],0)),"NA")</f>
        <v>444722</v>
      </c>
      <c r="E9" s="70" t="str">
        <f>IFERROR(INDEX(Data_Entry[Group Name],MATCH('Step 3-Sector Data'!A9,Data_Entry[ID],0)),"NA")</f>
        <v>All_Others</v>
      </c>
      <c r="F9" s="72" t="str">
        <f>IFERROR(INDEX(Data_Entry[Key],MATCH('Step 3-Sector Data'!A9,Data_Entry[ID],0)),"NA")</f>
        <v>AF07-All_Others</v>
      </c>
    </row>
    <row r="10" spans="1:23">
      <c r="A10">
        <v>8</v>
      </c>
      <c r="B10" t="str">
        <f>IFERROR(INDEX(Data_Entry[ADM2_COUNTY],MATCH('Step 3-Sector Data'!A10,Data_Entry[ID],0)),"NA")</f>
        <v>Panjsher</v>
      </c>
      <c r="C10" t="str">
        <f>IFERROR(INDEX(Data_Entry[ADM2_Pcode],MATCH('Step 3-Sector Data'!A10,Data_Entry[ID],0)),"NA")</f>
        <v>AF08</v>
      </c>
      <c r="D10" s="70">
        <f>IFERROR(INDEX(Data_Entry[Group Population],MATCH('Step 3-Sector Data'!A10,Data_Entry[ID],0)),"NA")</f>
        <v>153134</v>
      </c>
      <c r="E10" s="70" t="str">
        <f>IFERROR(INDEX(Data_Entry[Group Name],MATCH('Step 3-Sector Data'!A10,Data_Entry[ID],0)),"NA")</f>
        <v>All_Others</v>
      </c>
      <c r="F10" s="72" t="str">
        <f>IFERROR(INDEX(Data_Entry[Key],MATCH('Step 3-Sector Data'!A10,Data_Entry[ID],0)),"NA")</f>
        <v>AF08-All_Others</v>
      </c>
    </row>
    <row r="11" spans="1:23">
      <c r="A11">
        <v>9</v>
      </c>
      <c r="B11" t="str">
        <f>IFERROR(INDEX(Data_Entry[ADM2_COUNTY],MATCH('Step 3-Sector Data'!A11,Data_Entry[ID],0)),"NA")</f>
        <v>Baghlan</v>
      </c>
      <c r="C11" t="str">
        <f>IFERROR(INDEX(Data_Entry[ADM2_Pcode],MATCH('Step 3-Sector Data'!A11,Data_Entry[ID],0)),"NA")</f>
        <v>AF09</v>
      </c>
      <c r="D11" s="70">
        <f>IFERROR(INDEX(Data_Entry[Group Population],MATCH('Step 3-Sector Data'!A11,Data_Entry[ID],0)),"NA")</f>
        <v>914370</v>
      </c>
      <c r="E11" s="70" t="str">
        <f>IFERROR(INDEX(Data_Entry[Group Name],MATCH('Step 3-Sector Data'!A11,Data_Entry[ID],0)),"NA")</f>
        <v>All_Others</v>
      </c>
      <c r="F11" s="72" t="str">
        <f>IFERROR(INDEX(Data_Entry[Key],MATCH('Step 3-Sector Data'!A11,Data_Entry[ID],0)),"NA")</f>
        <v>AF09-All_Others</v>
      </c>
    </row>
    <row r="12" spans="1:23">
      <c r="A12">
        <v>10</v>
      </c>
      <c r="B12" t="str">
        <f>IFERROR(INDEX(Data_Entry[ADM2_COUNTY],MATCH('Step 3-Sector Data'!A12,Data_Entry[ID],0)),"NA")</f>
        <v>Bamyan</v>
      </c>
      <c r="C12" t="str">
        <f>IFERROR(INDEX(Data_Entry[ADM2_Pcode],MATCH('Step 3-Sector Data'!A12,Data_Entry[ID],0)),"NA")</f>
        <v>AF10</v>
      </c>
      <c r="D12" s="70">
        <f>IFERROR(INDEX(Data_Entry[Group Population],MATCH('Step 3-Sector Data'!A12,Data_Entry[ID],0)),"NA")</f>
        <v>446588</v>
      </c>
      <c r="E12" s="70" t="str">
        <f>IFERROR(INDEX(Data_Entry[Group Name],MATCH('Step 3-Sector Data'!A12,Data_Entry[ID],0)),"NA")</f>
        <v>All_Others</v>
      </c>
      <c r="F12" s="72" t="str">
        <f>IFERROR(INDEX(Data_Entry[Key],MATCH('Step 3-Sector Data'!A12,Data_Entry[ID],0)),"NA")</f>
        <v>AF10-All_Others</v>
      </c>
    </row>
    <row r="13" spans="1:23">
      <c r="A13">
        <v>11</v>
      </c>
      <c r="B13" t="str">
        <f>IFERROR(INDEX(Data_Entry[ADM2_COUNTY],MATCH('Step 3-Sector Data'!A13,Data_Entry[ID],0)),"NA")</f>
        <v>Kabul</v>
      </c>
      <c r="C13" t="str">
        <f>IFERROR(INDEX(Data_Entry[ADM2_Pcode],MATCH('Step 3-Sector Data'!A13,Data_Entry[ID],0)),"NA")</f>
        <v>AF01</v>
      </c>
      <c r="D13" s="70">
        <f>IFERROR(INDEX(Data_Entry[Group Population],MATCH('Step 3-Sector Data'!A13,Data_Entry[ID],0)),"NA")</f>
        <v>670052</v>
      </c>
      <c r="E13" s="70" t="str">
        <f>IFERROR(INDEX(Data_Entry[Group Name],MATCH('Step 3-Sector Data'!A13,Data_Entry[ID],0)),"NA")</f>
        <v>Non_Displaced</v>
      </c>
      <c r="F13" s="72" t="str">
        <f>IFERROR(INDEX(Data_Entry[Key],MATCH('Step 3-Sector Data'!A13,Data_Entry[ID],0)),"NA")</f>
        <v>AF01-Non_Displaced</v>
      </c>
    </row>
    <row r="14" spans="1:23">
      <c r="A14">
        <v>12</v>
      </c>
      <c r="B14" t="str">
        <f>IFERROR(INDEX(Data_Entry[ADM2_COUNTY],MATCH('Step 3-Sector Data'!A14,Data_Entry[ID],0)),"NA")</f>
        <v>Kapisa</v>
      </c>
      <c r="C14" t="str">
        <f>IFERROR(INDEX(Data_Entry[ADM2_Pcode],MATCH('Step 3-Sector Data'!A14,Data_Entry[ID],0)),"NA")</f>
        <v>AF02</v>
      </c>
      <c r="D14" s="70">
        <f>IFERROR(INDEX(Data_Entry[Group Population],MATCH('Step 3-Sector Data'!A14,Data_Entry[ID],0)),"NA")</f>
        <v>62864</v>
      </c>
      <c r="E14" s="70" t="str">
        <f>IFERROR(INDEX(Data_Entry[Group Name],MATCH('Step 3-Sector Data'!A14,Data_Entry[ID],0)),"NA")</f>
        <v>Non_Displaced</v>
      </c>
      <c r="F14" s="72" t="str">
        <f>IFERROR(INDEX(Data_Entry[Key],MATCH('Step 3-Sector Data'!A14,Data_Entry[ID],0)),"NA")</f>
        <v>AF02-Non_Displaced</v>
      </c>
    </row>
    <row r="15" spans="1:23">
      <c r="A15">
        <v>13</v>
      </c>
      <c r="B15" t="str">
        <f>IFERROR(INDEX(Data_Entry[ADM2_COUNTY],MATCH('Step 3-Sector Data'!A15,Data_Entry[ID],0)),"NA")</f>
        <v>Parwan</v>
      </c>
      <c r="C15" t="str">
        <f>IFERROR(INDEX(Data_Entry[ADM2_Pcode],MATCH('Step 3-Sector Data'!A15,Data_Entry[ID],0)),"NA")</f>
        <v>AF03</v>
      </c>
      <c r="D15" s="70">
        <f>IFERROR(INDEX(Data_Entry[Group Population],MATCH('Step 3-Sector Data'!A15,Data_Entry[ID],0)),"NA")</f>
        <v>94972</v>
      </c>
      <c r="E15" s="70" t="str">
        <f>IFERROR(INDEX(Data_Entry[Group Name],MATCH('Step 3-Sector Data'!A15,Data_Entry[ID],0)),"NA")</f>
        <v>Non_Displaced</v>
      </c>
      <c r="F15" s="72" t="str">
        <f>IFERROR(INDEX(Data_Entry[Key],MATCH('Step 3-Sector Data'!A15,Data_Entry[ID],0)),"NA")</f>
        <v>AF03-Non_Displaced</v>
      </c>
    </row>
    <row r="16" spans="1:23">
      <c r="A16">
        <v>14</v>
      </c>
      <c r="B16" t="str">
        <f>IFERROR(INDEX(Data_Entry[ADM2_COUNTY],MATCH('Step 3-Sector Data'!A16,Data_Entry[ID],0)),"NA")</f>
        <v>Wardak</v>
      </c>
      <c r="C16" t="str">
        <f>IFERROR(INDEX(Data_Entry[ADM2_Pcode],MATCH('Step 3-Sector Data'!A16,Data_Entry[ID],0)),"NA")</f>
        <v>AF04</v>
      </c>
      <c r="D16" s="70">
        <f>IFERROR(INDEX(Data_Entry[Group Population],MATCH('Step 3-Sector Data'!A16,Data_Entry[ID],0)),"NA")</f>
        <v>85002</v>
      </c>
      <c r="E16" s="70" t="str">
        <f>IFERROR(INDEX(Data_Entry[Group Name],MATCH('Step 3-Sector Data'!A16,Data_Entry[ID],0)),"NA")</f>
        <v>Non_Displaced</v>
      </c>
      <c r="F16" s="72" t="str">
        <f>IFERROR(INDEX(Data_Entry[Key],MATCH('Step 3-Sector Data'!A16,Data_Entry[ID],0)),"NA")</f>
        <v>AF04-Non_Displaced</v>
      </c>
    </row>
    <row r="17" spans="1:6">
      <c r="A17">
        <v>15</v>
      </c>
      <c r="B17" t="str">
        <f>IFERROR(INDEX(Data_Entry[ADM2_COUNTY],MATCH('Step 3-Sector Data'!A17,Data_Entry[ID],0)),"NA")</f>
        <v>Logar</v>
      </c>
      <c r="C17" t="str">
        <f>IFERROR(INDEX(Data_Entry[ADM2_Pcode],MATCH('Step 3-Sector Data'!A17,Data_Entry[ID],0)),"NA")</f>
        <v>AF05</v>
      </c>
      <c r="D17" s="70">
        <f>IFERROR(INDEX(Data_Entry[Group Population],MATCH('Step 3-Sector Data'!A17,Data_Entry[ID],0)),"NA")</f>
        <v>55922</v>
      </c>
      <c r="E17" s="70" t="str">
        <f>IFERROR(INDEX(Data_Entry[Group Name],MATCH('Step 3-Sector Data'!A17,Data_Entry[ID],0)),"NA")</f>
        <v>Non_Displaced</v>
      </c>
      <c r="F17" s="72" t="str">
        <f>IFERROR(INDEX(Data_Entry[Key],MATCH('Step 3-Sector Data'!A17,Data_Entry[ID],0)),"NA")</f>
        <v>AF05-Non_Displaced</v>
      </c>
    </row>
    <row r="18" spans="1:6">
      <c r="A18">
        <v>16</v>
      </c>
      <c r="B18" t="str">
        <f>IFERROR(INDEX(Data_Entry[ADM2_COUNTY],MATCH('Step 3-Sector Data'!A18,Data_Entry[ID],0)),"NA")</f>
        <v>Nangarhar</v>
      </c>
      <c r="C18" t="str">
        <f>IFERROR(INDEX(Data_Entry[ADM2_Pcode],MATCH('Step 3-Sector Data'!A18,Data_Entry[ID],0)),"NA")</f>
        <v>AF06</v>
      </c>
      <c r="D18" s="70">
        <f>IFERROR(INDEX(Data_Entry[Group Population],MATCH('Step 3-Sector Data'!A18,Data_Entry[ID],0)),"NA")</f>
        <v>219077</v>
      </c>
      <c r="E18" s="70" t="str">
        <f>IFERROR(INDEX(Data_Entry[Group Name],MATCH('Step 3-Sector Data'!A18,Data_Entry[ID],0)),"NA")</f>
        <v>Non_Displaced</v>
      </c>
      <c r="F18" s="72" t="str">
        <f>IFERROR(INDEX(Data_Entry[Key],MATCH('Step 3-Sector Data'!A18,Data_Entry[ID],0)),"NA")</f>
        <v>AF06-Non_Displaced</v>
      </c>
    </row>
    <row r="19" spans="1:6">
      <c r="A19">
        <v>17</v>
      </c>
      <c r="B19" t="str">
        <f>IFERROR(INDEX(Data_Entry[ADM2_COUNTY],MATCH('Step 3-Sector Data'!A19,Data_Entry[ID],0)),"NA")</f>
        <v>Laghman</v>
      </c>
      <c r="C19" t="str">
        <f>IFERROR(INDEX(Data_Entry[ADM2_Pcode],MATCH('Step 3-Sector Data'!A19,Data_Entry[ID],0)),"NA")</f>
        <v>AF07</v>
      </c>
      <c r="D19" s="70">
        <f>IFERROR(INDEX(Data_Entry[Group Population],MATCH('Step 3-Sector Data'!A19,Data_Entry[ID],0)),"NA")</f>
        <v>63532</v>
      </c>
      <c r="E19" s="70" t="str">
        <f>IFERROR(INDEX(Data_Entry[Group Name],MATCH('Step 3-Sector Data'!A19,Data_Entry[ID],0)),"NA")</f>
        <v>Non_Displaced</v>
      </c>
      <c r="F19" s="72" t="str">
        <f>IFERROR(INDEX(Data_Entry[Key],MATCH('Step 3-Sector Data'!A19,Data_Entry[ID],0)),"NA")</f>
        <v>AF07-Non_Displaced</v>
      </c>
    </row>
    <row r="20" spans="1:6">
      <c r="A20">
        <v>18</v>
      </c>
      <c r="B20" t="str">
        <f>IFERROR(INDEX(Data_Entry[ADM2_COUNTY],MATCH('Step 3-Sector Data'!A20,Data_Entry[ID],0)),"NA")</f>
        <v>Panjsher</v>
      </c>
      <c r="C20" t="str">
        <f>IFERROR(INDEX(Data_Entry[ADM2_Pcode],MATCH('Step 3-Sector Data'!A20,Data_Entry[ID],0)),"NA")</f>
        <v>AF08</v>
      </c>
      <c r="D20" s="70">
        <f>IFERROR(INDEX(Data_Entry[Group Population],MATCH('Step 3-Sector Data'!A20,Data_Entry[ID],0)),"NA")</f>
        <v>21876</v>
      </c>
      <c r="E20" s="70" t="str">
        <f>IFERROR(INDEX(Data_Entry[Group Name],MATCH('Step 3-Sector Data'!A20,Data_Entry[ID],0)),"NA")</f>
        <v>Non_Displaced</v>
      </c>
      <c r="F20" s="72" t="str">
        <f>IFERROR(INDEX(Data_Entry[Key],MATCH('Step 3-Sector Data'!A20,Data_Entry[ID],0)),"NA")</f>
        <v>AF08-Non_Displaced</v>
      </c>
    </row>
    <row r="21" spans="1:6">
      <c r="A21">
        <v>19</v>
      </c>
      <c r="B21" t="str">
        <f>IFERROR(INDEX(Data_Entry[ADM2_COUNTY],MATCH('Step 3-Sector Data'!A21,Data_Entry[ID],0)),"NA")</f>
        <v>Baghlan</v>
      </c>
      <c r="C21" t="str">
        <f>IFERROR(INDEX(Data_Entry[ADM2_Pcode],MATCH('Step 3-Sector Data'!A21,Data_Entry[ID],0)),"NA")</f>
        <v>AF09</v>
      </c>
      <c r="D21" s="70">
        <f>IFERROR(INDEX(Data_Entry[Group Population],MATCH('Step 3-Sector Data'!A21,Data_Entry[ID],0)),"NA")</f>
        <v>130624</v>
      </c>
      <c r="E21" s="70" t="str">
        <f>IFERROR(INDEX(Data_Entry[Group Name],MATCH('Step 3-Sector Data'!A21,Data_Entry[ID],0)),"NA")</f>
        <v>Non_Displaced</v>
      </c>
      <c r="F21" s="72" t="str">
        <f>IFERROR(INDEX(Data_Entry[Key],MATCH('Step 3-Sector Data'!A21,Data_Entry[ID],0)),"NA")</f>
        <v>AF09-Non_Displaced</v>
      </c>
    </row>
    <row r="22" spans="1:6">
      <c r="A22">
        <v>20</v>
      </c>
      <c r="B22" t="str">
        <f>IFERROR(INDEX(Data_Entry[ADM2_COUNTY],MATCH('Step 3-Sector Data'!A22,Data_Entry[ID],0)),"NA")</f>
        <v>Bamyan</v>
      </c>
      <c r="C22" t="str">
        <f>IFERROR(INDEX(Data_Entry[ADM2_Pcode],MATCH('Step 3-Sector Data'!A22,Data_Entry[ID],0)),"NA")</f>
        <v>AF10</v>
      </c>
      <c r="D22" s="70">
        <f>IFERROR(INDEX(Data_Entry[Group Population],MATCH('Step 3-Sector Data'!A22,Data_Entry[ID],0)),"NA")</f>
        <v>63798</v>
      </c>
      <c r="E22" s="70" t="str">
        <f>IFERROR(INDEX(Data_Entry[Group Name],MATCH('Step 3-Sector Data'!A22,Data_Entry[ID],0)),"NA")</f>
        <v>Non_Displaced</v>
      </c>
      <c r="F22" s="72" t="str">
        <f>IFERROR(INDEX(Data_Entry[Key],MATCH('Step 3-Sector Data'!A22,Data_Entry[ID],0)),"NA")</f>
        <v>AF10-Non_Displaced</v>
      </c>
    </row>
    <row r="23" spans="1:6">
      <c r="A23">
        <v>21</v>
      </c>
      <c r="B23" t="str">
        <f>IFERROR(INDEX(Data_Entry[ADM2_COUNTY],MATCH('Step 3-Sector Data'!A23,Data_Entry[ID],0)),"NA")</f>
        <v>Kabul</v>
      </c>
      <c r="C23" t="str">
        <f>IFERROR(INDEX(Data_Entry[ADM2_Pcode],MATCH('Step 3-Sector Data'!A23,Data_Entry[ID],0)),"NA")</f>
        <v>AF01</v>
      </c>
      <c r="D23" s="70">
        <f>IFERROR(INDEX(Data_Entry[Group Population],MATCH('Step 3-Sector Data'!A23,Data_Entry[ID],0)),"NA")</f>
        <v>1340103</v>
      </c>
      <c r="E23" s="70" t="str">
        <f>IFERROR(INDEX(Data_Entry[Group Name],MATCH('Step 3-Sector Data'!A23,Data_Entry[ID],0)),"NA")</f>
        <v>Migrants</v>
      </c>
      <c r="F23" s="72" t="str">
        <f>IFERROR(INDEX(Data_Entry[Key],MATCH('Step 3-Sector Data'!A23,Data_Entry[ID],0)),"NA")</f>
        <v>AF01-Migrants</v>
      </c>
    </row>
    <row r="24" spans="1:6">
      <c r="A24">
        <v>22</v>
      </c>
      <c r="B24" t="str">
        <f>IFERROR(INDEX(Data_Entry[ADM2_COUNTY],MATCH('Step 3-Sector Data'!A24,Data_Entry[ID],0)),"NA")</f>
        <v>Kapisa</v>
      </c>
      <c r="C24" t="str">
        <f>IFERROR(INDEX(Data_Entry[ADM2_Pcode],MATCH('Step 3-Sector Data'!A24,Data_Entry[ID],0)),"NA")</f>
        <v>AF02</v>
      </c>
      <c r="D24" s="70">
        <f>IFERROR(INDEX(Data_Entry[Group Population],MATCH('Step 3-Sector Data'!A24,Data_Entry[ID],0)),"NA")</f>
        <v>125728</v>
      </c>
      <c r="E24" s="70" t="str">
        <f>IFERROR(INDEX(Data_Entry[Group Name],MATCH('Step 3-Sector Data'!A24,Data_Entry[ID],0)),"NA")</f>
        <v>Migrants</v>
      </c>
      <c r="F24" s="72" t="str">
        <f>IFERROR(INDEX(Data_Entry[Key],MATCH('Step 3-Sector Data'!A24,Data_Entry[ID],0)),"NA")</f>
        <v>AF02-Migrants</v>
      </c>
    </row>
    <row r="25" spans="1:6">
      <c r="A25">
        <v>23</v>
      </c>
      <c r="B25" t="str">
        <f>IFERROR(INDEX(Data_Entry[ADM2_COUNTY],MATCH('Step 3-Sector Data'!A25,Data_Entry[ID],0)),"NA")</f>
        <v>Parwan</v>
      </c>
      <c r="C25" t="str">
        <f>IFERROR(INDEX(Data_Entry[ADM2_Pcode],MATCH('Step 3-Sector Data'!A25,Data_Entry[ID],0)),"NA")</f>
        <v>AF03</v>
      </c>
      <c r="D25" s="70">
        <f>IFERROR(INDEX(Data_Entry[Group Population],MATCH('Step 3-Sector Data'!A25,Data_Entry[ID],0)),"NA")</f>
        <v>189944</v>
      </c>
      <c r="E25" s="70" t="str">
        <f>IFERROR(INDEX(Data_Entry[Group Name],MATCH('Step 3-Sector Data'!A25,Data_Entry[ID],0)),"NA")</f>
        <v>Migrants</v>
      </c>
      <c r="F25" s="72" t="str">
        <f>IFERROR(INDEX(Data_Entry[Key],MATCH('Step 3-Sector Data'!A25,Data_Entry[ID],0)),"NA")</f>
        <v>AF03-Migrants</v>
      </c>
    </row>
    <row r="26" spans="1:6">
      <c r="A26">
        <v>24</v>
      </c>
      <c r="B26" t="str">
        <f>IFERROR(INDEX(Data_Entry[ADM2_COUNTY],MATCH('Step 3-Sector Data'!A26,Data_Entry[ID],0)),"NA")</f>
        <v>Wardak</v>
      </c>
      <c r="C26" t="str">
        <f>IFERROR(INDEX(Data_Entry[ADM2_Pcode],MATCH('Step 3-Sector Data'!A26,Data_Entry[ID],0)),"NA")</f>
        <v>AF04</v>
      </c>
      <c r="D26" s="70">
        <f>IFERROR(INDEX(Data_Entry[Group Population],MATCH('Step 3-Sector Data'!A26,Data_Entry[ID],0)),"NA")</f>
        <v>170004</v>
      </c>
      <c r="E26" s="70" t="str">
        <f>IFERROR(INDEX(Data_Entry[Group Name],MATCH('Step 3-Sector Data'!A26,Data_Entry[ID],0)),"NA")</f>
        <v>Migrants</v>
      </c>
      <c r="F26" s="72" t="str">
        <f>IFERROR(INDEX(Data_Entry[Key],MATCH('Step 3-Sector Data'!A26,Data_Entry[ID],0)),"NA")</f>
        <v>AF04-Migrants</v>
      </c>
    </row>
    <row r="27" spans="1:6">
      <c r="A27">
        <v>25</v>
      </c>
      <c r="B27" t="str">
        <f>IFERROR(INDEX(Data_Entry[ADM2_COUNTY],MATCH('Step 3-Sector Data'!A27,Data_Entry[ID],0)),"NA")</f>
        <v>Logar</v>
      </c>
      <c r="C27" t="str">
        <f>IFERROR(INDEX(Data_Entry[ADM2_Pcode],MATCH('Step 3-Sector Data'!A27,Data_Entry[ID],0)),"NA")</f>
        <v>AF05</v>
      </c>
      <c r="D27" s="70">
        <f>IFERROR(INDEX(Data_Entry[Group Population],MATCH('Step 3-Sector Data'!A27,Data_Entry[ID],0)),"NA")</f>
        <v>111843</v>
      </c>
      <c r="E27" s="70" t="str">
        <f>IFERROR(INDEX(Data_Entry[Group Name],MATCH('Step 3-Sector Data'!A27,Data_Entry[ID],0)),"NA")</f>
        <v>Migrants</v>
      </c>
      <c r="F27" s="72" t="str">
        <f>IFERROR(INDEX(Data_Entry[Key],MATCH('Step 3-Sector Data'!A27,Data_Entry[ID],0)),"NA")</f>
        <v>AF05-Migrants</v>
      </c>
    </row>
    <row r="28" spans="1:6">
      <c r="A28">
        <v>26</v>
      </c>
      <c r="B28" t="str">
        <f>IFERROR(INDEX(Data_Entry[ADM2_COUNTY],MATCH('Step 3-Sector Data'!A28,Data_Entry[ID],0)),"NA")</f>
        <v>Nangarhar</v>
      </c>
      <c r="C28" t="str">
        <f>IFERROR(INDEX(Data_Entry[ADM2_Pcode],MATCH('Step 3-Sector Data'!A28,Data_Entry[ID],0)),"NA")</f>
        <v>AF06</v>
      </c>
      <c r="D28" s="70">
        <f>IFERROR(INDEX(Data_Entry[Group Population],MATCH('Step 3-Sector Data'!A28,Data_Entry[ID],0)),"NA")</f>
        <v>438154</v>
      </c>
      <c r="E28" s="70" t="str">
        <f>IFERROR(INDEX(Data_Entry[Group Name],MATCH('Step 3-Sector Data'!A28,Data_Entry[ID],0)),"NA")</f>
        <v>Migrants</v>
      </c>
      <c r="F28" s="72" t="str">
        <f>IFERROR(INDEX(Data_Entry[Key],MATCH('Step 3-Sector Data'!A28,Data_Entry[ID],0)),"NA")</f>
        <v>AF06-Migrants</v>
      </c>
    </row>
    <row r="29" spans="1:6">
      <c r="A29">
        <v>27</v>
      </c>
      <c r="B29" t="str">
        <f>IFERROR(INDEX(Data_Entry[ADM2_COUNTY],MATCH('Step 3-Sector Data'!A29,Data_Entry[ID],0)),"NA")</f>
        <v>Laghman</v>
      </c>
      <c r="C29" t="str">
        <f>IFERROR(INDEX(Data_Entry[ADM2_Pcode],MATCH('Step 3-Sector Data'!A29,Data_Entry[ID],0)),"NA")</f>
        <v>AF07</v>
      </c>
      <c r="D29" s="70">
        <f>IFERROR(INDEX(Data_Entry[Group Population],MATCH('Step 3-Sector Data'!A29,Data_Entry[ID],0)),"NA")</f>
        <v>127063</v>
      </c>
      <c r="E29" s="70" t="str">
        <f>IFERROR(INDEX(Data_Entry[Group Name],MATCH('Step 3-Sector Data'!A29,Data_Entry[ID],0)),"NA")</f>
        <v>Migrants</v>
      </c>
      <c r="F29" s="72" t="str">
        <f>IFERROR(INDEX(Data_Entry[Key],MATCH('Step 3-Sector Data'!A29,Data_Entry[ID],0)),"NA")</f>
        <v>AF07-Migrants</v>
      </c>
    </row>
    <row r="30" spans="1:6">
      <c r="A30">
        <v>28</v>
      </c>
      <c r="B30" t="str">
        <f>IFERROR(INDEX(Data_Entry[ADM2_COUNTY],MATCH('Step 3-Sector Data'!A30,Data_Entry[ID],0)),"NA")</f>
        <v>Panjsher</v>
      </c>
      <c r="C30" t="str">
        <f>IFERROR(INDEX(Data_Entry[ADM2_Pcode],MATCH('Step 3-Sector Data'!A30,Data_Entry[ID],0)),"NA")</f>
        <v>AF08</v>
      </c>
      <c r="D30" s="70">
        <f>IFERROR(INDEX(Data_Entry[Group Population],MATCH('Step 3-Sector Data'!A30,Data_Entry[ID],0)),"NA")</f>
        <v>43753</v>
      </c>
      <c r="E30" s="70" t="str">
        <f>IFERROR(INDEX(Data_Entry[Group Name],MATCH('Step 3-Sector Data'!A30,Data_Entry[ID],0)),"NA")</f>
        <v>Migrants</v>
      </c>
      <c r="F30" s="72" t="str">
        <f>IFERROR(INDEX(Data_Entry[Key],MATCH('Step 3-Sector Data'!A30,Data_Entry[ID],0)),"NA")</f>
        <v>AF08-Migrants</v>
      </c>
    </row>
    <row r="31" spans="1:6">
      <c r="A31">
        <v>29</v>
      </c>
      <c r="B31" t="str">
        <f>IFERROR(INDEX(Data_Entry[ADM2_COUNTY],MATCH('Step 3-Sector Data'!A31,Data_Entry[ID],0)),"NA")</f>
        <v>Baghlan</v>
      </c>
      <c r="C31" t="str">
        <f>IFERROR(INDEX(Data_Entry[ADM2_Pcode],MATCH('Step 3-Sector Data'!A31,Data_Entry[ID],0)),"NA")</f>
        <v>AF09</v>
      </c>
      <c r="D31" s="70">
        <f>IFERROR(INDEX(Data_Entry[Group Population],MATCH('Step 3-Sector Data'!A31,Data_Entry[ID],0)),"NA")</f>
        <v>261249</v>
      </c>
      <c r="E31" s="70" t="str">
        <f>IFERROR(INDEX(Data_Entry[Group Name],MATCH('Step 3-Sector Data'!A31,Data_Entry[ID],0)),"NA")</f>
        <v>Migrants</v>
      </c>
      <c r="F31" s="72" t="str">
        <f>IFERROR(INDEX(Data_Entry[Key],MATCH('Step 3-Sector Data'!A31,Data_Entry[ID],0)),"NA")</f>
        <v>AF09-Migrants</v>
      </c>
    </row>
    <row r="32" spans="1:6">
      <c r="A32">
        <v>30</v>
      </c>
      <c r="B32" t="str">
        <f>IFERROR(INDEX(Data_Entry[ADM2_COUNTY],MATCH('Step 3-Sector Data'!A32,Data_Entry[ID],0)),"NA")</f>
        <v>Bamyan</v>
      </c>
      <c r="C32" t="str">
        <f>IFERROR(INDEX(Data_Entry[ADM2_Pcode],MATCH('Step 3-Sector Data'!A32,Data_Entry[ID],0)),"NA")</f>
        <v>AF10</v>
      </c>
      <c r="D32" s="70">
        <f>IFERROR(INDEX(Data_Entry[Group Population],MATCH('Step 3-Sector Data'!A32,Data_Entry[ID],0)),"NA")</f>
        <v>127597</v>
      </c>
      <c r="E32" s="70" t="str">
        <f>IFERROR(INDEX(Data_Entry[Group Name],MATCH('Step 3-Sector Data'!A32,Data_Entry[ID],0)),"NA")</f>
        <v>Migrants</v>
      </c>
      <c r="F32" s="72" t="str">
        <f>IFERROR(INDEX(Data_Entry[Key],MATCH('Step 3-Sector Data'!A32,Data_Entry[ID],0)),"NA")</f>
        <v>AF10-Migrants</v>
      </c>
    </row>
  </sheetData>
  <mergeCells count="7">
    <mergeCell ref="U1:V1"/>
    <mergeCell ref="G1:H1"/>
    <mergeCell ref="I1:J1"/>
    <mergeCell ref="K1:L1"/>
    <mergeCell ref="M1:N1"/>
    <mergeCell ref="Q1:R1"/>
    <mergeCell ref="S1:T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2464-FA5E-4625-BE2F-6D597BDB16A6}">
  <sheetPr>
    <tabColor theme="9" tint="-0.249977111117893"/>
  </sheetPr>
  <dimension ref="B1:S361"/>
  <sheetViews>
    <sheetView workbookViewId="0">
      <selection activeCell="E2" sqref="E2"/>
    </sheetView>
  </sheetViews>
  <sheetFormatPr defaultRowHeight="14.4"/>
  <cols>
    <col min="3" max="4" width="17.5546875" customWidth="1"/>
    <col min="5" max="5" width="21.33203125" customWidth="1"/>
    <col min="6" max="6" width="19.5546875" bestFit="1" customWidth="1"/>
    <col min="7" max="7" width="19" bestFit="1" customWidth="1"/>
    <col min="8" max="8" width="22.88671875" customWidth="1"/>
    <col min="9" max="9" width="30.109375" customWidth="1"/>
    <col min="10" max="10" width="70" customWidth="1"/>
    <col min="11" max="11" width="16.109375" bestFit="1" customWidth="1"/>
    <col min="12" max="12" width="15.44140625" bestFit="1" customWidth="1"/>
    <col min="13" max="17" width="12" bestFit="1" customWidth="1"/>
    <col min="18" max="18" width="21" bestFit="1" customWidth="1"/>
    <col min="19" max="19" width="20.5546875" bestFit="1" customWidth="1"/>
    <col min="20" max="20" width="16.33203125" bestFit="1" customWidth="1"/>
  </cols>
  <sheetData>
    <row r="1" spans="2:19">
      <c r="B1" t="s">
        <v>246</v>
      </c>
      <c r="C1" t="s">
        <v>247</v>
      </c>
      <c r="D1" t="s">
        <v>248</v>
      </c>
      <c r="E1" t="s">
        <v>143</v>
      </c>
      <c r="F1" t="s">
        <v>249</v>
      </c>
      <c r="G1" t="s">
        <v>250</v>
      </c>
      <c r="H1" t="s">
        <v>251</v>
      </c>
      <c r="I1" t="s">
        <v>252</v>
      </c>
      <c r="J1" t="s">
        <v>253</v>
      </c>
      <c r="K1" t="s">
        <v>254</v>
      </c>
      <c r="L1" t="s">
        <v>131</v>
      </c>
      <c r="M1" t="s">
        <v>132</v>
      </c>
      <c r="N1" t="s">
        <v>133</v>
      </c>
      <c r="O1" t="s">
        <v>134</v>
      </c>
      <c r="P1" t="s">
        <v>135</v>
      </c>
      <c r="Q1" t="s">
        <v>255</v>
      </c>
      <c r="R1" t="s">
        <v>256</v>
      </c>
      <c r="S1" t="s">
        <v>257</v>
      </c>
    </row>
    <row r="2" spans="2:19">
      <c r="B2">
        <v>1</v>
      </c>
      <c r="C2">
        <v>1</v>
      </c>
      <c r="D2" t="str">
        <f>IFERROR(INDEX(Data_Entry[ADM2_Pcode],MATCH('Step 4-Long Data'!C2,Data_Entry[ID],0)),"NA")</f>
        <v>AF01</v>
      </c>
      <c r="E2" t="str">
        <f>IFERROR(INDEX(Data_Entry[Key],MATCH('Step 4-Long Data'!C2,Data_Entry[ID],0)),"NA")</f>
        <v>AF01-All_Others</v>
      </c>
      <c r="F2">
        <v>1</v>
      </c>
      <c r="G2" t="str">
        <f>IFERROR(INDEX(Framework[Pillar],MATCH('Step 4-Long Data'!F2,Framework[Number],0)),"")</f>
        <v>Humanitarian Conditions</v>
      </c>
      <c r="H2" t="str">
        <f>IFERROR(INDEX(Framework[Sub_Pillar],MATCH('Step 4-Long Data'!F2,Framework[Number],0)),"")</f>
        <v>Physical and mental wellbeing</v>
      </c>
      <c r="I2" t="str">
        <f>IFERROR(INDEX(Framework[Indicator],MATCH('Step 4-Long Data'!F2,Framework[Number],0)),"")</f>
        <v>% of  households with at least one member with a disability by severity</v>
      </c>
      <c r="J2" t="str">
        <f>IFERROR(INDEX(Framework[Class],MATCH('Step 4-Long Data'!F2,Framework[Number],0)),"")</f>
        <v>Degree</v>
      </c>
      <c r="K2" t="str">
        <f>IFERROR(INDEX(Framework[Critical],MATCH('Step 4-Long Data'!F2,Framework[Number],0)),"")</f>
        <v>No</v>
      </c>
      <c r="L2">
        <f ca="1">IF(Long_Data[[#This Row],[Indicator Class]]="Degree",INDEX(INDIRECT("Data_Entry['"&amp;Long_Data[[#This Row],[Indicator Number]]&amp;"'_DSev_1]"),MATCH(Long_Data[[#This Row],[Key]],Data_Entry[Key],0)),"NA")</f>
        <v>0.86360000000000003</v>
      </c>
      <c r="M2">
        <f ca="1">IF(Long_Data[[#This Row],[Indicator Class]]="Degree",INDEX(INDIRECT("Data_Entry['"&amp;Long_Data[[#This Row],[Indicator Number]]&amp;"'_DSev_2]"),MATCH(Long_Data[[#This Row],[Key]],Data_Entry[Key],0)),"NA")</f>
        <v>7.7899999999999997E-2</v>
      </c>
      <c r="N2">
        <f ca="1">IF(Long_Data[[#This Row],[Indicator Class]]="Degree",INDEX(INDIRECT("Data_Entry['"&amp;Long_Data[[#This Row],[Indicator Number]]&amp;"'_DSev_3]"),MATCH(Long_Data[[#This Row],[Key]],Data_Entry[Key],0)),"NA")</f>
        <v>5.1900000000000002E-2</v>
      </c>
      <c r="O2">
        <f ca="1">IF(Long_Data[[#This Row],[Indicator Class]]="Degree",INDEX(INDIRECT("Data_Entry['"&amp;Long_Data[[#This Row],[Indicator Number]]&amp;"'_DSev_4]"),MATCH(Long_Data[[#This Row],[Key]],Data_Entry[Key],0)),"NA")</f>
        <v>6.5000000000000006E-3</v>
      </c>
      <c r="P2">
        <f ca="1">IF(Long_Data[[#This Row],[Indicator Class]]="Degree",INDEX(INDIRECT("Data_Entry['"&amp;Long_Data[[#This Row],[Indicator Number]]&amp;"'_DSev_5]"),MATCH(Long_Data[[#This Row],[Key]],Data_Entry[Key],0)),"NA")</f>
        <v>0</v>
      </c>
      <c r="Q2" t="str">
        <f ca="1">IFERROR(IF(Long_Data[[#This Row],[Indicator Class]]="Magnitude", INDEX(INDIRECT("Data_Entry[Sev_"&amp;Long_Data[[#This Row],[Indicator Number]]&amp;"]"),MATCH(Long_Data[[#This Row],[Key]], Data_Entry[Key],0)),"NA"),"")</f>
        <v>NA</v>
      </c>
      <c r="R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 s="70">
        <f ca="1">IFERROR(IF(J2="Magnitude",INDEX(INDIRECT("Data_Entry[PIN_"&amp;Long_Data[[#This Row],[Indicator Number]]&amp;"]"),MATCH(Long_Data[[#This Row],[Key]],Data_Entry[Key],0)),SUM(N2:P2)*INDEX(Baseline_Pop[Population],MATCH(Long_Data[[#This Row],[Key]],Baseline_Pop[Key],0))),"")</f>
        <v>273917.08240000001</v>
      </c>
    </row>
    <row r="3" spans="2:19">
      <c r="B3">
        <v>2</v>
      </c>
      <c r="C3">
        <v>2</v>
      </c>
      <c r="D3" t="str">
        <f>IFERROR(INDEX(Data_Entry[ADM2_Pcode],MATCH('Step 4-Long Data'!C3,Data_Entry[ID],0)),"NA")</f>
        <v>AF02</v>
      </c>
      <c r="E3" t="str">
        <f>IFERROR(INDEX(Data_Entry[Key],MATCH('Step 4-Long Data'!C3,Data_Entry[ID],0)),"NA")</f>
        <v>AF02-All_Others</v>
      </c>
      <c r="F3">
        <v>1</v>
      </c>
      <c r="G3" t="str">
        <f>IFERROR(INDEX(Framework[Pillar],MATCH('Step 4-Long Data'!F3,Framework[Number],0)),"")</f>
        <v>Humanitarian Conditions</v>
      </c>
      <c r="H3" t="str">
        <f>IFERROR(INDEX(Framework[Sub_Pillar],MATCH('Step 4-Long Data'!F3,Framework[Number],0)),"")</f>
        <v>Physical and mental wellbeing</v>
      </c>
      <c r="I3" t="str">
        <f>IFERROR(INDEX(Framework[Indicator],MATCH('Step 4-Long Data'!F3,Framework[Number],0)),"")</f>
        <v>% of  households with at least one member with a disability by severity</v>
      </c>
      <c r="J3" t="str">
        <f>IFERROR(INDEX(Framework[Class],MATCH('Step 4-Long Data'!F3,Framework[Number],0)),"")</f>
        <v>Degree</v>
      </c>
      <c r="K3" t="str">
        <f>IFERROR(INDEX(Framework[Critical],MATCH('Step 4-Long Data'!F3,Framework[Number],0)),"")</f>
        <v>No</v>
      </c>
      <c r="L3">
        <f ca="1">IF(Long_Data[[#This Row],[Indicator Class]]="Degree",INDEX(INDIRECT("Data_Entry['"&amp;Long_Data[[#This Row],[Indicator Number]]&amp;"'_DSev_1]"),MATCH(Long_Data[[#This Row],[Key]],Data_Entry[Key],0)),"NA")</f>
        <v>0.4103</v>
      </c>
      <c r="M3">
        <f ca="1">IF(Long_Data[[#This Row],[Indicator Class]]="Degree",INDEX(INDIRECT("Data_Entry['"&amp;Long_Data[[#This Row],[Indicator Number]]&amp;"'_DSev_2]"),MATCH(Long_Data[[#This Row],[Key]],Data_Entry[Key],0)),"NA")</f>
        <v>0.39100000000000001</v>
      </c>
      <c r="N3">
        <f ca="1">IF(Long_Data[[#This Row],[Indicator Class]]="Degree",INDEX(INDIRECT("Data_Entry['"&amp;Long_Data[[#This Row],[Indicator Number]]&amp;"'_DSev_3]"),MATCH(Long_Data[[#This Row],[Key]],Data_Entry[Key],0)),"NA")</f>
        <v>0.1474</v>
      </c>
      <c r="O3">
        <f ca="1">IF(Long_Data[[#This Row],[Indicator Class]]="Degree",INDEX(INDIRECT("Data_Entry['"&amp;Long_Data[[#This Row],[Indicator Number]]&amp;"'_DSev_4]"),MATCH(Long_Data[[#This Row],[Key]],Data_Entry[Key],0)),"NA")</f>
        <v>3.2100000000000004E-2</v>
      </c>
      <c r="P3">
        <f ca="1">IF(Long_Data[[#This Row],[Indicator Class]]="Degree",INDEX(INDIRECT("Data_Entry['"&amp;Long_Data[[#This Row],[Indicator Number]]&amp;"'_DSev_5]"),MATCH(Long_Data[[#This Row],[Key]],Data_Entry[Key],0)),"NA")</f>
        <v>1.9199999999999998E-2</v>
      </c>
      <c r="Q3" t="str">
        <f ca="1">IFERROR(IF(Long_Data[[#This Row],[Indicator Class]]="Magnitude", INDEX(INDIRECT("Data_Entry[Sev_"&amp;Long_Data[[#This Row],[Indicator Number]]&amp;"]"),MATCH(Long_Data[[#This Row],[Key]], Data_Entry[Key],0)),"NA"),"")</f>
        <v>NA</v>
      </c>
      <c r="R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 s="70">
        <f ca="1">IFERROR(IF(J3="Magnitude",INDEX(INDIRECT("Data_Entry[PIN_"&amp;Long_Data[[#This Row],[Indicator Number]]&amp;"]"),MATCH(Long_Data[[#This Row],[Key]],Data_Entry[Key],0)),SUM(N3:P3)*INDEX(Baseline_Pop[Population],MATCH(Long_Data[[#This Row],[Key]],Baseline_Pop[Key],0))),"")</f>
        <v>87437.338899999988</v>
      </c>
    </row>
    <row r="4" spans="2:19">
      <c r="B4">
        <v>3</v>
      </c>
      <c r="C4">
        <v>3</v>
      </c>
      <c r="D4" t="str">
        <f>IFERROR(INDEX(Data_Entry[ADM2_Pcode],MATCH('Step 4-Long Data'!C4,Data_Entry[ID],0)),"NA")</f>
        <v>AF03</v>
      </c>
      <c r="E4" t="str">
        <f>IFERROR(INDEX(Data_Entry[Key],MATCH('Step 4-Long Data'!C4,Data_Entry[ID],0)),"NA")</f>
        <v>AF03-All_Others</v>
      </c>
      <c r="F4">
        <v>1</v>
      </c>
      <c r="G4" t="str">
        <f>IFERROR(INDEX(Framework[Pillar],MATCH('Step 4-Long Data'!F4,Framework[Number],0)),"")</f>
        <v>Humanitarian Conditions</v>
      </c>
      <c r="H4" t="str">
        <f>IFERROR(INDEX(Framework[Sub_Pillar],MATCH('Step 4-Long Data'!F4,Framework[Number],0)),"")</f>
        <v>Physical and mental wellbeing</v>
      </c>
      <c r="I4" t="str">
        <f>IFERROR(INDEX(Framework[Indicator],MATCH('Step 4-Long Data'!F4,Framework[Number],0)),"")</f>
        <v>% of  households with at least one member with a disability by severity</v>
      </c>
      <c r="J4" t="str">
        <f>IFERROR(INDEX(Framework[Class],MATCH('Step 4-Long Data'!F4,Framework[Number],0)),"")</f>
        <v>Degree</v>
      </c>
      <c r="K4" t="str">
        <f>IFERROR(INDEX(Framework[Critical],MATCH('Step 4-Long Data'!F4,Framework[Number],0)),"")</f>
        <v>No</v>
      </c>
      <c r="L4">
        <f ca="1">IF(Long_Data[[#This Row],[Indicator Class]]="Degree",INDEX(INDIRECT("Data_Entry['"&amp;Long_Data[[#This Row],[Indicator Number]]&amp;"'_DSev_1]"),MATCH(Long_Data[[#This Row],[Key]],Data_Entry[Key],0)),"NA")</f>
        <v>0.28660000000000002</v>
      </c>
      <c r="M4">
        <f ca="1">IF(Long_Data[[#This Row],[Indicator Class]]="Degree",INDEX(INDIRECT("Data_Entry['"&amp;Long_Data[[#This Row],[Indicator Number]]&amp;"'_DSev_2]"),MATCH(Long_Data[[#This Row],[Key]],Data_Entry[Key],0)),"NA")</f>
        <v>0.65849999999999997</v>
      </c>
      <c r="N4">
        <f ca="1">IF(Long_Data[[#This Row],[Indicator Class]]="Degree",INDEX(INDIRECT("Data_Entry['"&amp;Long_Data[[#This Row],[Indicator Number]]&amp;"'_DSev_3]"),MATCH(Long_Data[[#This Row],[Key]],Data_Entry[Key],0)),"NA")</f>
        <v>5.4900000000000004E-2</v>
      </c>
      <c r="O4">
        <f ca="1">IF(Long_Data[[#This Row],[Indicator Class]]="Degree",INDEX(INDIRECT("Data_Entry['"&amp;Long_Data[[#This Row],[Indicator Number]]&amp;"'_DSev_4]"),MATCH(Long_Data[[#This Row],[Key]],Data_Entry[Key],0)),"NA")</f>
        <v>0</v>
      </c>
      <c r="P4">
        <f ca="1">IF(Long_Data[[#This Row],[Indicator Class]]="Degree",INDEX(INDIRECT("Data_Entry['"&amp;Long_Data[[#This Row],[Indicator Number]]&amp;"'_DSev_5]"),MATCH(Long_Data[[#This Row],[Key]],Data_Entry[Key],0)),"NA")</f>
        <v>0</v>
      </c>
      <c r="Q4" t="str">
        <f ca="1">IFERROR(IF(Long_Data[[#This Row],[Indicator Class]]="Magnitude", INDEX(INDIRECT("Data_Entry[Sev_"&amp;Long_Data[[#This Row],[Indicator Number]]&amp;"]"),MATCH(Long_Data[[#This Row],[Key]], Data_Entry[Key],0)),"NA"),"")</f>
        <v>NA</v>
      </c>
      <c r="R4">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4" s="70">
        <f ca="1">IFERROR(IF(J4="Magnitude",INDEX(INDIRECT("Data_Entry[PIN_"&amp;Long_Data[[#This Row],[Indicator Number]]&amp;"]"),MATCH(Long_Data[[#This Row],[Key]],Data_Entry[Key],0)),SUM(N4:P4)*INDEX(Baseline_Pop[Population],MATCH(Long_Data[[#This Row],[Key]],Baseline_Pop[Key],0))),"")</f>
        <v>36497.794500000004</v>
      </c>
    </row>
    <row r="5" spans="2:19">
      <c r="B5">
        <v>4</v>
      </c>
      <c r="C5">
        <v>4</v>
      </c>
      <c r="D5" t="str">
        <f>IFERROR(INDEX(Data_Entry[ADM2_Pcode],MATCH('Step 4-Long Data'!C5,Data_Entry[ID],0)),"NA")</f>
        <v>AF04</v>
      </c>
      <c r="E5" t="str">
        <f>IFERROR(INDEX(Data_Entry[Key],MATCH('Step 4-Long Data'!C5,Data_Entry[ID],0)),"NA")</f>
        <v>AF04-All_Others</v>
      </c>
      <c r="F5">
        <v>1</v>
      </c>
      <c r="G5" t="str">
        <f>IFERROR(INDEX(Framework[Pillar],MATCH('Step 4-Long Data'!F5,Framework[Number],0)),"")</f>
        <v>Humanitarian Conditions</v>
      </c>
      <c r="H5" t="str">
        <f>IFERROR(INDEX(Framework[Sub_Pillar],MATCH('Step 4-Long Data'!F5,Framework[Number],0)),"")</f>
        <v>Physical and mental wellbeing</v>
      </c>
      <c r="I5" t="str">
        <f>IFERROR(INDEX(Framework[Indicator],MATCH('Step 4-Long Data'!F5,Framework[Number],0)),"")</f>
        <v>% of  households with at least one member with a disability by severity</v>
      </c>
      <c r="J5" t="str">
        <f>IFERROR(INDEX(Framework[Class],MATCH('Step 4-Long Data'!F5,Framework[Number],0)),"")</f>
        <v>Degree</v>
      </c>
      <c r="K5" t="str">
        <f>IFERROR(INDEX(Framework[Critical],MATCH('Step 4-Long Data'!F5,Framework[Number],0)),"")</f>
        <v>No</v>
      </c>
      <c r="L5">
        <f ca="1">IF(Long_Data[[#This Row],[Indicator Class]]="Degree",INDEX(INDIRECT("Data_Entry['"&amp;Long_Data[[#This Row],[Indicator Number]]&amp;"'_DSev_1]"),MATCH(Long_Data[[#This Row],[Key]],Data_Entry[Key],0)),"NA")</f>
        <v>0.6321</v>
      </c>
      <c r="M5">
        <f ca="1">IF(Long_Data[[#This Row],[Indicator Class]]="Degree",INDEX(INDIRECT("Data_Entry['"&amp;Long_Data[[#This Row],[Indicator Number]]&amp;"'_DSev_2]"),MATCH(Long_Data[[#This Row],[Key]],Data_Entry[Key],0)),"NA")</f>
        <v>0.3619</v>
      </c>
      <c r="N5">
        <f ca="1">IF(Long_Data[[#This Row],[Indicator Class]]="Degree",INDEX(INDIRECT("Data_Entry['"&amp;Long_Data[[#This Row],[Indicator Number]]&amp;"'_DSev_3]"),MATCH(Long_Data[[#This Row],[Key]],Data_Entry[Key],0)),"NA")</f>
        <v>6.0000000000000001E-3</v>
      </c>
      <c r="O5">
        <f ca="1">IF(Long_Data[[#This Row],[Indicator Class]]="Degree",INDEX(INDIRECT("Data_Entry['"&amp;Long_Data[[#This Row],[Indicator Number]]&amp;"'_DSev_4]"),MATCH(Long_Data[[#This Row],[Key]],Data_Entry[Key],0)),"NA")</f>
        <v>0</v>
      </c>
      <c r="P5">
        <f ca="1">IF(Long_Data[[#This Row],[Indicator Class]]="Degree",INDEX(INDIRECT("Data_Entry['"&amp;Long_Data[[#This Row],[Indicator Number]]&amp;"'_DSev_5]"),MATCH(Long_Data[[#This Row],[Key]],Data_Entry[Key],0)),"NA")</f>
        <v>0</v>
      </c>
      <c r="Q5" t="str">
        <f ca="1">IFERROR(IF(Long_Data[[#This Row],[Indicator Class]]="Magnitude", INDEX(INDIRECT("Data_Entry[Sev_"&amp;Long_Data[[#This Row],[Indicator Number]]&amp;"]"),MATCH(Long_Data[[#This Row],[Key]], Data_Entry[Key],0)),"NA"),"")</f>
        <v>NA</v>
      </c>
      <c r="R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5" s="70">
        <f ca="1">IFERROR(IF(J5="Magnitude",INDEX(INDIRECT("Data_Entry[PIN_"&amp;Long_Data[[#This Row],[Indicator Number]]&amp;"]"),MATCH(Long_Data[[#This Row],[Key]],Data_Entry[Key],0)),SUM(N5:P5)*INDEX(Baseline_Pop[Population],MATCH(Long_Data[[#This Row],[Key]],Baseline_Pop[Key],0))),"")</f>
        <v>3570.078</v>
      </c>
    </row>
    <row r="6" spans="2:19">
      <c r="B6">
        <v>5</v>
      </c>
      <c r="C6">
        <v>5</v>
      </c>
      <c r="D6" t="str">
        <f>IFERROR(INDEX(Data_Entry[ADM2_Pcode],MATCH('Step 4-Long Data'!C6,Data_Entry[ID],0)),"NA")</f>
        <v>AF05</v>
      </c>
      <c r="E6" t="str">
        <f>IFERROR(INDEX(Data_Entry[Key],MATCH('Step 4-Long Data'!C6,Data_Entry[ID],0)),"NA")</f>
        <v>AF05-All_Others</v>
      </c>
      <c r="F6">
        <v>1</v>
      </c>
      <c r="G6" t="str">
        <f>IFERROR(INDEX(Framework[Pillar],MATCH('Step 4-Long Data'!F6,Framework[Number],0)),"")</f>
        <v>Humanitarian Conditions</v>
      </c>
      <c r="H6" t="str">
        <f>IFERROR(INDEX(Framework[Sub_Pillar],MATCH('Step 4-Long Data'!F6,Framework[Number],0)),"")</f>
        <v>Physical and mental wellbeing</v>
      </c>
      <c r="I6" t="str">
        <f>IFERROR(INDEX(Framework[Indicator],MATCH('Step 4-Long Data'!F6,Framework[Number],0)),"")</f>
        <v>% of  households with at least one member with a disability by severity</v>
      </c>
      <c r="J6" t="str">
        <f>IFERROR(INDEX(Framework[Class],MATCH('Step 4-Long Data'!F6,Framework[Number],0)),"")</f>
        <v>Degree</v>
      </c>
      <c r="K6" t="str">
        <f>IFERROR(INDEX(Framework[Critical],MATCH('Step 4-Long Data'!F6,Framework[Number],0)),"")</f>
        <v>No</v>
      </c>
      <c r="L6">
        <f ca="1">IF(Long_Data[[#This Row],[Indicator Class]]="Degree",INDEX(INDIRECT("Data_Entry['"&amp;Long_Data[[#This Row],[Indicator Number]]&amp;"'_DSev_1]"),MATCH(Long_Data[[#This Row],[Key]],Data_Entry[Key],0)),"NA")</f>
        <v>0.53280000000000005</v>
      </c>
      <c r="M6">
        <f ca="1">IF(Long_Data[[#This Row],[Indicator Class]]="Degree",INDEX(INDIRECT("Data_Entry['"&amp;Long_Data[[#This Row],[Indicator Number]]&amp;"'_DSev_2]"),MATCH(Long_Data[[#This Row],[Key]],Data_Entry[Key],0)),"NA")</f>
        <v>0.45369999999999999</v>
      </c>
      <c r="N6">
        <f ca="1">IF(Long_Data[[#This Row],[Indicator Class]]="Degree",INDEX(INDIRECT("Data_Entry['"&amp;Long_Data[[#This Row],[Indicator Number]]&amp;"'_DSev_3]"),MATCH(Long_Data[[#This Row],[Key]],Data_Entry[Key],0)),"NA")</f>
        <v>1.34E-2</v>
      </c>
      <c r="O6">
        <f ca="1">IF(Long_Data[[#This Row],[Indicator Class]]="Degree",INDEX(INDIRECT("Data_Entry['"&amp;Long_Data[[#This Row],[Indicator Number]]&amp;"'_DSev_4]"),MATCH(Long_Data[[#This Row],[Key]],Data_Entry[Key],0)),"NA")</f>
        <v>0</v>
      </c>
      <c r="P6">
        <f ca="1">IF(Long_Data[[#This Row],[Indicator Class]]="Degree",INDEX(INDIRECT("Data_Entry['"&amp;Long_Data[[#This Row],[Indicator Number]]&amp;"'_DSev_5]"),MATCH(Long_Data[[#This Row],[Key]],Data_Entry[Key],0)),"NA")</f>
        <v>0</v>
      </c>
      <c r="Q6" t="str">
        <f ca="1">IFERROR(IF(Long_Data[[#This Row],[Indicator Class]]="Magnitude", INDEX(INDIRECT("Data_Entry[Sev_"&amp;Long_Data[[#This Row],[Indicator Number]]&amp;"]"),MATCH(Long_Data[[#This Row],[Key]], Data_Entry[Key],0)),"NA"),"")</f>
        <v>NA</v>
      </c>
      <c r="R6">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6" s="70">
        <f ca="1">IFERROR(IF(J6="Magnitude",INDEX(INDIRECT("Data_Entry[PIN_"&amp;Long_Data[[#This Row],[Indicator Number]]&amp;"]"),MATCH(Long_Data[[#This Row],[Key]],Data_Entry[Key],0)),SUM(N6:P6)*INDEX(Baseline_Pop[Population],MATCH(Long_Data[[#This Row],[Key]],Baseline_Pop[Key],0))),"")</f>
        <v>5245.4434000000001</v>
      </c>
    </row>
    <row r="7" spans="2:19">
      <c r="B7">
        <v>6</v>
      </c>
      <c r="C7">
        <v>6</v>
      </c>
      <c r="D7" t="str">
        <f>IFERROR(INDEX(Data_Entry[ADM2_Pcode],MATCH('Step 4-Long Data'!C7,Data_Entry[ID],0)),"NA")</f>
        <v>AF06</v>
      </c>
      <c r="E7" t="str">
        <f>IFERROR(INDEX(Data_Entry[Key],MATCH('Step 4-Long Data'!C7,Data_Entry[ID],0)),"NA")</f>
        <v>AF06-All_Others</v>
      </c>
      <c r="F7">
        <v>1</v>
      </c>
      <c r="G7" t="str">
        <f>IFERROR(INDEX(Framework[Pillar],MATCH('Step 4-Long Data'!F7,Framework[Number],0)),"")</f>
        <v>Humanitarian Conditions</v>
      </c>
      <c r="H7" t="str">
        <f>IFERROR(INDEX(Framework[Sub_Pillar],MATCH('Step 4-Long Data'!F7,Framework[Number],0)),"")</f>
        <v>Physical and mental wellbeing</v>
      </c>
      <c r="I7" t="str">
        <f>IFERROR(INDEX(Framework[Indicator],MATCH('Step 4-Long Data'!F7,Framework[Number],0)),"")</f>
        <v>% of  households with at least one member with a disability by severity</v>
      </c>
      <c r="J7" t="str">
        <f>IFERROR(INDEX(Framework[Class],MATCH('Step 4-Long Data'!F7,Framework[Number],0)),"")</f>
        <v>Degree</v>
      </c>
      <c r="K7" t="str">
        <f>IFERROR(INDEX(Framework[Critical],MATCH('Step 4-Long Data'!F7,Framework[Number],0)),"")</f>
        <v>No</v>
      </c>
      <c r="L7">
        <f ca="1">IF(Long_Data[[#This Row],[Indicator Class]]="Degree",INDEX(INDIRECT("Data_Entry['"&amp;Long_Data[[#This Row],[Indicator Number]]&amp;"'_DSev_1]"),MATCH(Long_Data[[#This Row],[Key]],Data_Entry[Key],0)),"NA")</f>
        <v>0.1711</v>
      </c>
      <c r="M7">
        <f ca="1">IF(Long_Data[[#This Row],[Indicator Class]]="Degree",INDEX(INDIRECT("Data_Entry['"&amp;Long_Data[[#This Row],[Indicator Number]]&amp;"'_DSev_2]"),MATCH(Long_Data[[#This Row],[Key]],Data_Entry[Key],0)),"NA")</f>
        <v>0.64610000000000001</v>
      </c>
      <c r="N7">
        <f ca="1">IF(Long_Data[[#This Row],[Indicator Class]]="Degree",INDEX(INDIRECT("Data_Entry['"&amp;Long_Data[[#This Row],[Indicator Number]]&amp;"'_DSev_3]"),MATCH(Long_Data[[#This Row],[Key]],Data_Entry[Key],0)),"NA")</f>
        <v>0.17030000000000001</v>
      </c>
      <c r="O7">
        <f ca="1">IF(Long_Data[[#This Row],[Indicator Class]]="Degree",INDEX(INDIRECT("Data_Entry['"&amp;Long_Data[[#This Row],[Indicator Number]]&amp;"'_DSev_4]"),MATCH(Long_Data[[#This Row],[Key]],Data_Entry[Key],0)),"NA")</f>
        <v>1.21E-2</v>
      </c>
      <c r="P7">
        <f ca="1">IF(Long_Data[[#This Row],[Indicator Class]]="Degree",INDEX(INDIRECT("Data_Entry['"&amp;Long_Data[[#This Row],[Indicator Number]]&amp;"'_DSev_5]"),MATCH(Long_Data[[#This Row],[Key]],Data_Entry[Key],0)),"NA")</f>
        <v>2.9999999999999997E-4</v>
      </c>
      <c r="Q7" t="str">
        <f ca="1">IFERROR(IF(Long_Data[[#This Row],[Indicator Class]]="Magnitude", INDEX(INDIRECT("Data_Entry[Sev_"&amp;Long_Data[[#This Row],[Indicator Number]]&amp;"]"),MATCH(Long_Data[[#This Row],[Key]], Data_Entry[Key],0)),"NA"),"")</f>
        <v>NA</v>
      </c>
      <c r="R7">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7" s="70">
        <f ca="1">IFERROR(IF(J7="Magnitude",INDEX(INDIRECT("Data_Entry[PIN_"&amp;Long_Data[[#This Row],[Indicator Number]]&amp;"]"),MATCH(Long_Data[[#This Row],[Key]],Data_Entry[Key],0)),SUM(N7:P7)*INDEX(Baseline_Pop[Population],MATCH(Long_Data[[#This Row],[Key]],Baseline_Pop[Key],0))),"")</f>
        <v>280177.75800000003</v>
      </c>
    </row>
    <row r="8" spans="2:19">
      <c r="B8">
        <v>7</v>
      </c>
      <c r="C8">
        <v>7</v>
      </c>
      <c r="D8" t="str">
        <f>IFERROR(INDEX(Data_Entry[ADM2_Pcode],MATCH('Step 4-Long Data'!C8,Data_Entry[ID],0)),"NA")</f>
        <v>AF07</v>
      </c>
      <c r="E8" t="str">
        <f>IFERROR(INDEX(Data_Entry[Key],MATCH('Step 4-Long Data'!C8,Data_Entry[ID],0)),"NA")</f>
        <v>AF07-All_Others</v>
      </c>
      <c r="F8">
        <v>1</v>
      </c>
      <c r="G8" t="str">
        <f>IFERROR(INDEX(Framework[Pillar],MATCH('Step 4-Long Data'!F8,Framework[Number],0)),"")</f>
        <v>Humanitarian Conditions</v>
      </c>
      <c r="H8" t="str">
        <f>IFERROR(INDEX(Framework[Sub_Pillar],MATCH('Step 4-Long Data'!F8,Framework[Number],0)),"")</f>
        <v>Physical and mental wellbeing</v>
      </c>
      <c r="I8" t="str">
        <f>IFERROR(INDEX(Framework[Indicator],MATCH('Step 4-Long Data'!F8,Framework[Number],0)),"")</f>
        <v>% of  households with at least one member with a disability by severity</v>
      </c>
      <c r="J8" t="str">
        <f>IFERROR(INDEX(Framework[Class],MATCH('Step 4-Long Data'!F8,Framework[Number],0)),"")</f>
        <v>Degree</v>
      </c>
      <c r="K8" t="str">
        <f>IFERROR(INDEX(Framework[Critical],MATCH('Step 4-Long Data'!F8,Framework[Number],0)),"")</f>
        <v>No</v>
      </c>
      <c r="L8">
        <f ca="1">IF(Long_Data[[#This Row],[Indicator Class]]="Degree",INDEX(INDIRECT("Data_Entry['"&amp;Long_Data[[#This Row],[Indicator Number]]&amp;"'_DSev_1]"),MATCH(Long_Data[[#This Row],[Key]],Data_Entry[Key],0)),"NA")</f>
        <v>0.48149999999999998</v>
      </c>
      <c r="M8">
        <f ca="1">IF(Long_Data[[#This Row],[Indicator Class]]="Degree",INDEX(INDIRECT("Data_Entry['"&amp;Long_Data[[#This Row],[Indicator Number]]&amp;"'_DSev_2]"),MATCH(Long_Data[[#This Row],[Key]],Data_Entry[Key],0)),"NA")</f>
        <v>0.45679999999999998</v>
      </c>
      <c r="N8">
        <f ca="1">IF(Long_Data[[#This Row],[Indicator Class]]="Degree",INDEX(INDIRECT("Data_Entry['"&amp;Long_Data[[#This Row],[Indicator Number]]&amp;"'_DSev_3]"),MATCH(Long_Data[[#This Row],[Key]],Data_Entry[Key],0)),"NA")</f>
        <v>5.7000000000000002E-2</v>
      </c>
      <c r="O8">
        <f ca="1">IF(Long_Data[[#This Row],[Indicator Class]]="Degree",INDEX(INDIRECT("Data_Entry['"&amp;Long_Data[[#This Row],[Indicator Number]]&amp;"'_DSev_4]"),MATCH(Long_Data[[#This Row],[Key]],Data_Entry[Key],0)),"NA")</f>
        <v>0</v>
      </c>
      <c r="P8">
        <f ca="1">IF(Long_Data[[#This Row],[Indicator Class]]="Degree",INDEX(INDIRECT("Data_Entry['"&amp;Long_Data[[#This Row],[Indicator Number]]&amp;"'_DSev_5]"),MATCH(Long_Data[[#This Row],[Key]],Data_Entry[Key],0)),"NA")</f>
        <v>4.7000000000000002E-3</v>
      </c>
      <c r="Q8" t="str">
        <f ca="1">IFERROR(IF(Long_Data[[#This Row],[Indicator Class]]="Magnitude", INDEX(INDIRECT("Data_Entry[Sev_"&amp;Long_Data[[#This Row],[Indicator Number]]&amp;"]"),MATCH(Long_Data[[#This Row],[Key]], Data_Entry[Key],0)),"NA"),"")</f>
        <v>NA</v>
      </c>
      <c r="R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8" s="70">
        <f ca="1">IFERROR(IF(J8="Magnitude",INDEX(INDIRECT("Data_Entry[PIN_"&amp;Long_Data[[#This Row],[Indicator Number]]&amp;"]"),MATCH(Long_Data[[#This Row],[Key]],Data_Entry[Key],0)),SUM(N8:P8)*INDEX(Baseline_Pop[Population],MATCH(Long_Data[[#This Row],[Key]],Baseline_Pop[Key],0))),"")</f>
        <v>27439.347400000002</v>
      </c>
    </row>
    <row r="9" spans="2:19">
      <c r="B9">
        <v>8</v>
      </c>
      <c r="C9">
        <v>8</v>
      </c>
      <c r="D9" t="str">
        <f>IFERROR(INDEX(Data_Entry[ADM2_Pcode],MATCH('Step 4-Long Data'!C9,Data_Entry[ID],0)),"NA")</f>
        <v>AF08</v>
      </c>
      <c r="E9" t="str">
        <f>IFERROR(INDEX(Data_Entry[Key],MATCH('Step 4-Long Data'!C9,Data_Entry[ID],0)),"NA")</f>
        <v>AF08-All_Others</v>
      </c>
      <c r="F9">
        <v>1</v>
      </c>
      <c r="G9" t="str">
        <f>IFERROR(INDEX(Framework[Pillar],MATCH('Step 4-Long Data'!F9,Framework[Number],0)),"")</f>
        <v>Humanitarian Conditions</v>
      </c>
      <c r="H9" t="str">
        <f>IFERROR(INDEX(Framework[Sub_Pillar],MATCH('Step 4-Long Data'!F9,Framework[Number],0)),"")</f>
        <v>Physical and mental wellbeing</v>
      </c>
      <c r="I9" t="str">
        <f>IFERROR(INDEX(Framework[Indicator],MATCH('Step 4-Long Data'!F9,Framework[Number],0)),"")</f>
        <v>% of  households with at least one member with a disability by severity</v>
      </c>
      <c r="J9" t="str">
        <f>IFERROR(INDEX(Framework[Class],MATCH('Step 4-Long Data'!F9,Framework[Number],0)),"")</f>
        <v>Degree</v>
      </c>
      <c r="K9" t="str">
        <f>IFERROR(INDEX(Framework[Critical],MATCH('Step 4-Long Data'!F9,Framework[Number],0)),"")</f>
        <v>No</v>
      </c>
      <c r="L9">
        <f ca="1">IF(Long_Data[[#This Row],[Indicator Class]]="Degree",INDEX(INDIRECT("Data_Entry['"&amp;Long_Data[[#This Row],[Indicator Number]]&amp;"'_DSev_1]"),MATCH(Long_Data[[#This Row],[Key]],Data_Entry[Key],0)),"NA")</f>
        <v>0.78439999999999999</v>
      </c>
      <c r="M9">
        <f ca="1">IF(Long_Data[[#This Row],[Indicator Class]]="Degree",INDEX(INDIRECT("Data_Entry['"&amp;Long_Data[[#This Row],[Indicator Number]]&amp;"'_DSev_2]"),MATCH(Long_Data[[#This Row],[Key]],Data_Entry[Key],0)),"NA")</f>
        <v>8.9800000000000005E-2</v>
      </c>
      <c r="N9">
        <f ca="1">IF(Long_Data[[#This Row],[Indicator Class]]="Degree",INDEX(INDIRECT("Data_Entry['"&amp;Long_Data[[#This Row],[Indicator Number]]&amp;"'_DSev_3]"),MATCH(Long_Data[[#This Row],[Key]],Data_Entry[Key],0)),"NA")</f>
        <v>0.1198</v>
      </c>
      <c r="O9">
        <f ca="1">IF(Long_Data[[#This Row],[Indicator Class]]="Degree",INDEX(INDIRECT("Data_Entry['"&amp;Long_Data[[#This Row],[Indicator Number]]&amp;"'_DSev_4]"),MATCH(Long_Data[[#This Row],[Key]],Data_Entry[Key],0)),"NA")</f>
        <v>6.0000000000000001E-3</v>
      </c>
      <c r="P9">
        <f ca="1">IF(Long_Data[[#This Row],[Indicator Class]]="Degree",INDEX(INDIRECT("Data_Entry['"&amp;Long_Data[[#This Row],[Indicator Number]]&amp;"'_DSev_5]"),MATCH(Long_Data[[#This Row],[Key]],Data_Entry[Key],0)),"NA")</f>
        <v>0</v>
      </c>
      <c r="Q9" t="str">
        <f ca="1">IFERROR(IF(Long_Data[[#This Row],[Indicator Class]]="Magnitude", INDEX(INDIRECT("Data_Entry[Sev_"&amp;Long_Data[[#This Row],[Indicator Number]]&amp;"]"),MATCH(Long_Data[[#This Row],[Key]], Data_Entry[Key],0)),"NA"),"")</f>
        <v>NA</v>
      </c>
      <c r="R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9" s="70">
        <f ca="1">IFERROR(IF(J9="Magnitude",INDEX(INDIRECT("Data_Entry[PIN_"&amp;Long_Data[[#This Row],[Indicator Number]]&amp;"]"),MATCH(Long_Data[[#This Row],[Key]],Data_Entry[Key],0)),SUM(N9:P9)*INDEX(Baseline_Pop[Population],MATCH(Long_Data[[#This Row],[Key]],Baseline_Pop[Key],0))),"")</f>
        <v>19264.2572</v>
      </c>
    </row>
    <row r="10" spans="2:19">
      <c r="B10">
        <v>9</v>
      </c>
      <c r="C10">
        <v>9</v>
      </c>
      <c r="D10" t="str">
        <f>IFERROR(INDEX(Data_Entry[ADM2_Pcode],MATCH('Step 4-Long Data'!C10,Data_Entry[ID],0)),"NA")</f>
        <v>AF09</v>
      </c>
      <c r="E10" t="str">
        <f>IFERROR(INDEX(Data_Entry[Key],MATCH('Step 4-Long Data'!C10,Data_Entry[ID],0)),"NA")</f>
        <v>AF09-All_Others</v>
      </c>
      <c r="F10">
        <v>1</v>
      </c>
      <c r="G10" t="str">
        <f>IFERROR(INDEX(Framework[Pillar],MATCH('Step 4-Long Data'!F10,Framework[Number],0)),"")</f>
        <v>Humanitarian Conditions</v>
      </c>
      <c r="H10" t="str">
        <f>IFERROR(INDEX(Framework[Sub_Pillar],MATCH('Step 4-Long Data'!F10,Framework[Number],0)),"")</f>
        <v>Physical and mental wellbeing</v>
      </c>
      <c r="I10" t="str">
        <f>IFERROR(INDEX(Framework[Indicator],MATCH('Step 4-Long Data'!F10,Framework[Number],0)),"")</f>
        <v>% of  households with at least one member with a disability by severity</v>
      </c>
      <c r="J10" t="str">
        <f>IFERROR(INDEX(Framework[Class],MATCH('Step 4-Long Data'!F10,Framework[Number],0)),"")</f>
        <v>Degree</v>
      </c>
      <c r="K10" t="str">
        <f>IFERROR(INDEX(Framework[Critical],MATCH('Step 4-Long Data'!F10,Framework[Number],0)),"")</f>
        <v>No</v>
      </c>
      <c r="L10">
        <f ca="1">IF(Long_Data[[#This Row],[Indicator Class]]="Degree",INDEX(INDIRECT("Data_Entry['"&amp;Long_Data[[#This Row],[Indicator Number]]&amp;"'_DSev_1]"),MATCH(Long_Data[[#This Row],[Key]],Data_Entry[Key],0)),"NA")</f>
        <v>0.66819999999999991</v>
      </c>
      <c r="M10">
        <f ca="1">IF(Long_Data[[#This Row],[Indicator Class]]="Degree",INDEX(INDIRECT("Data_Entry['"&amp;Long_Data[[#This Row],[Indicator Number]]&amp;"'_DSev_2]"),MATCH(Long_Data[[#This Row],[Key]],Data_Entry[Key],0)),"NA")</f>
        <v>0.2893</v>
      </c>
      <c r="N10">
        <f ca="1">IF(Long_Data[[#This Row],[Indicator Class]]="Degree",INDEX(INDIRECT("Data_Entry['"&amp;Long_Data[[#This Row],[Indicator Number]]&amp;"'_DSev_3]"),MATCH(Long_Data[[#This Row],[Key]],Data_Entry[Key],0)),"NA")</f>
        <v>3.5099999999999999E-2</v>
      </c>
      <c r="O10">
        <f ca="1">IF(Long_Data[[#This Row],[Indicator Class]]="Degree",INDEX(INDIRECT("Data_Entry['"&amp;Long_Data[[#This Row],[Indicator Number]]&amp;"'_DSev_4]"),MATCH(Long_Data[[#This Row],[Key]],Data_Entry[Key],0)),"NA")</f>
        <v>1.3000000000000002E-3</v>
      </c>
      <c r="P10">
        <f ca="1">IF(Long_Data[[#This Row],[Indicator Class]]="Degree",INDEX(INDIRECT("Data_Entry['"&amp;Long_Data[[#This Row],[Indicator Number]]&amp;"'_DSev_5]"),MATCH(Long_Data[[#This Row],[Key]],Data_Entry[Key],0)),"NA")</f>
        <v>6.1999999999999998E-3</v>
      </c>
      <c r="Q10" t="str">
        <f ca="1">IFERROR(IF(Long_Data[[#This Row],[Indicator Class]]="Magnitude", INDEX(INDIRECT("Data_Entry[Sev_"&amp;Long_Data[[#This Row],[Indicator Number]]&amp;"]"),MATCH(Long_Data[[#This Row],[Key]], Data_Entry[Key],0)),"NA"),"")</f>
        <v>NA</v>
      </c>
      <c r="R10">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 s="70">
        <f ca="1">IFERROR(IF(J10="Magnitude",INDEX(INDIRECT("Data_Entry[PIN_"&amp;Long_Data[[#This Row],[Indicator Number]]&amp;"]"),MATCH(Long_Data[[#This Row],[Key]],Data_Entry[Key],0)),SUM(N10:P10)*INDEX(Baseline_Pop[Population],MATCH(Long_Data[[#This Row],[Key]],Baseline_Pop[Key],0))),"")</f>
        <v>38952.161999999997</v>
      </c>
    </row>
    <row r="11" spans="2:19">
      <c r="B11">
        <v>10</v>
      </c>
      <c r="C11">
        <v>10</v>
      </c>
      <c r="D11" t="str">
        <f>IFERROR(INDEX(Data_Entry[ADM2_Pcode],MATCH('Step 4-Long Data'!C11,Data_Entry[ID],0)),"NA")</f>
        <v>AF10</v>
      </c>
      <c r="E11" t="str">
        <f>IFERROR(INDEX(Data_Entry[Key],MATCH('Step 4-Long Data'!C11,Data_Entry[ID],0)),"NA")</f>
        <v>AF10-All_Others</v>
      </c>
      <c r="F11">
        <v>1</v>
      </c>
      <c r="G11" t="str">
        <f>IFERROR(INDEX(Framework[Pillar],MATCH('Step 4-Long Data'!F11,Framework[Number],0)),"")</f>
        <v>Humanitarian Conditions</v>
      </c>
      <c r="H11" t="str">
        <f>IFERROR(INDEX(Framework[Sub_Pillar],MATCH('Step 4-Long Data'!F11,Framework[Number],0)),"")</f>
        <v>Physical and mental wellbeing</v>
      </c>
      <c r="I11" t="str">
        <f>IFERROR(INDEX(Framework[Indicator],MATCH('Step 4-Long Data'!F11,Framework[Number],0)),"")</f>
        <v>% of  households with at least one member with a disability by severity</v>
      </c>
      <c r="J11" t="str">
        <f>IFERROR(INDEX(Framework[Class],MATCH('Step 4-Long Data'!F11,Framework[Number],0)),"")</f>
        <v>Degree</v>
      </c>
      <c r="K11" t="str">
        <f>IFERROR(INDEX(Framework[Critical],MATCH('Step 4-Long Data'!F11,Framework[Number],0)),"")</f>
        <v>No</v>
      </c>
      <c r="L11">
        <f ca="1">IF(Long_Data[[#This Row],[Indicator Class]]="Degree",INDEX(INDIRECT("Data_Entry['"&amp;Long_Data[[#This Row],[Indicator Number]]&amp;"'_DSev_1]"),MATCH(Long_Data[[#This Row],[Key]],Data_Entry[Key],0)),"NA")</f>
        <v>0.37770000000000004</v>
      </c>
      <c r="M11">
        <f ca="1">IF(Long_Data[[#This Row],[Indicator Class]]="Degree",INDEX(INDIRECT("Data_Entry['"&amp;Long_Data[[#This Row],[Indicator Number]]&amp;"'_DSev_2]"),MATCH(Long_Data[[#This Row],[Key]],Data_Entry[Key],0)),"NA")</f>
        <v>0.41490000000000005</v>
      </c>
      <c r="N11">
        <f ca="1">IF(Long_Data[[#This Row],[Indicator Class]]="Degree",INDEX(INDIRECT("Data_Entry['"&amp;Long_Data[[#This Row],[Indicator Number]]&amp;"'_DSev_3]"),MATCH(Long_Data[[#This Row],[Key]],Data_Entry[Key],0)),"NA")</f>
        <v>0.16489999999999999</v>
      </c>
      <c r="O11">
        <f ca="1">IF(Long_Data[[#This Row],[Indicator Class]]="Degree",INDEX(INDIRECT("Data_Entry['"&amp;Long_Data[[#This Row],[Indicator Number]]&amp;"'_DSev_4]"),MATCH(Long_Data[[#This Row],[Key]],Data_Entry[Key],0)),"NA")</f>
        <v>2.6600000000000002E-2</v>
      </c>
      <c r="P11">
        <f ca="1">IF(Long_Data[[#This Row],[Indicator Class]]="Degree",INDEX(INDIRECT("Data_Entry['"&amp;Long_Data[[#This Row],[Indicator Number]]&amp;"'_DSev_5]"),MATCH(Long_Data[[#This Row],[Key]],Data_Entry[Key],0)),"NA")</f>
        <v>1.6E-2</v>
      </c>
      <c r="Q11" t="str">
        <f ca="1">IFERROR(IF(Long_Data[[#This Row],[Indicator Class]]="Magnitude", INDEX(INDIRECT("Data_Entry[Sev_"&amp;Long_Data[[#This Row],[Indicator Number]]&amp;"]"),MATCH(Long_Data[[#This Row],[Key]], Data_Entry[Key],0)),"NA"),"")</f>
        <v>NA</v>
      </c>
      <c r="R1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 s="70">
        <f ca="1">IFERROR(IF(J11="Magnitude",INDEX(INDIRECT("Data_Entry[PIN_"&amp;Long_Data[[#This Row],[Indicator Number]]&amp;"]"),MATCH(Long_Data[[#This Row],[Key]],Data_Entry[Key],0)),SUM(N11:P11)*INDEX(Baseline_Pop[Population],MATCH(Long_Data[[#This Row],[Key]],Baseline_Pop[Key],0))),"")</f>
        <v>92667.010000000009</v>
      </c>
    </row>
    <row r="12" spans="2:19">
      <c r="B12">
        <v>11</v>
      </c>
      <c r="C12">
        <v>11</v>
      </c>
      <c r="D12" t="str">
        <f>IFERROR(INDEX(Data_Entry[ADM2_Pcode],MATCH('Step 4-Long Data'!C12,Data_Entry[ID],0)),"NA")</f>
        <v>AF01</v>
      </c>
      <c r="E12" t="str">
        <f>IFERROR(INDEX(Data_Entry[Key],MATCH('Step 4-Long Data'!C12,Data_Entry[ID],0)),"NA")</f>
        <v>AF01-Non_Displaced</v>
      </c>
      <c r="F12">
        <v>1</v>
      </c>
      <c r="G12" t="str">
        <f>IFERROR(INDEX(Framework[Pillar],MATCH('Step 4-Long Data'!F12,Framework[Number],0)),"")</f>
        <v>Humanitarian Conditions</v>
      </c>
      <c r="H12" t="str">
        <f>IFERROR(INDEX(Framework[Sub_Pillar],MATCH('Step 4-Long Data'!F12,Framework[Number],0)),"")</f>
        <v>Physical and mental wellbeing</v>
      </c>
      <c r="I12" t="str">
        <f>IFERROR(INDEX(Framework[Indicator],MATCH('Step 4-Long Data'!F12,Framework[Number],0)),"")</f>
        <v>% of  households with at least one member with a disability by severity</v>
      </c>
      <c r="J12" t="str">
        <f>IFERROR(INDEX(Framework[Class],MATCH('Step 4-Long Data'!F12,Framework[Number],0)),"")</f>
        <v>Degree</v>
      </c>
      <c r="K12" t="str">
        <f>IFERROR(INDEX(Framework[Critical],MATCH('Step 4-Long Data'!F12,Framework[Number],0)),"")</f>
        <v>No</v>
      </c>
      <c r="L12">
        <f ca="1">IF(Long_Data[[#This Row],[Indicator Class]]="Degree",INDEX(INDIRECT("Data_Entry['"&amp;Long_Data[[#This Row],[Indicator Number]]&amp;"'_DSev_1]"),MATCH(Long_Data[[#This Row],[Key]],Data_Entry[Key],0)),"NA")</f>
        <v>0.753</v>
      </c>
      <c r="M12">
        <f ca="1">IF(Long_Data[[#This Row],[Indicator Class]]="Degree",INDEX(INDIRECT("Data_Entry['"&amp;Long_Data[[#This Row],[Indicator Number]]&amp;"'_DSev_2]"),MATCH(Long_Data[[#This Row],[Key]],Data_Entry[Key],0)),"NA")</f>
        <v>0.18790000000000001</v>
      </c>
      <c r="N12">
        <f ca="1">IF(Long_Data[[#This Row],[Indicator Class]]="Degree",INDEX(INDIRECT("Data_Entry['"&amp;Long_Data[[#This Row],[Indicator Number]]&amp;"'_DSev_3]"),MATCH(Long_Data[[#This Row],[Key]],Data_Entry[Key],0)),"NA")</f>
        <v>5.1900000000000002E-2</v>
      </c>
      <c r="O12">
        <f ca="1">IF(Long_Data[[#This Row],[Indicator Class]]="Degree",INDEX(INDIRECT("Data_Entry['"&amp;Long_Data[[#This Row],[Indicator Number]]&amp;"'_DSev_4]"),MATCH(Long_Data[[#This Row],[Key]],Data_Entry[Key],0)),"NA")</f>
        <v>6.5000000000000006E-3</v>
      </c>
      <c r="P12">
        <f ca="1">IF(Long_Data[[#This Row],[Indicator Class]]="Degree",INDEX(INDIRECT("Data_Entry['"&amp;Long_Data[[#This Row],[Indicator Number]]&amp;"'_DSev_5]"),MATCH(Long_Data[[#This Row],[Key]],Data_Entry[Key],0)),"NA")</f>
        <v>0</v>
      </c>
      <c r="Q12" t="str">
        <f ca="1">IFERROR(IF(Long_Data[[#This Row],[Indicator Class]]="Magnitude", INDEX(INDIRECT("Data_Entry[Sev_"&amp;Long_Data[[#This Row],[Indicator Number]]&amp;"]"),MATCH(Long_Data[[#This Row],[Key]], Data_Entry[Key],0)),"NA"),"")</f>
        <v>NA</v>
      </c>
      <c r="R1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2" s="70">
        <f ca="1">IFERROR(IF(J12="Magnitude",INDEX(INDIRECT("Data_Entry[PIN_"&amp;Long_Data[[#This Row],[Indicator Number]]&amp;"]"),MATCH(Long_Data[[#This Row],[Key]],Data_Entry[Key],0)),SUM(N12:P12)*INDEX(Baseline_Pop[Population],MATCH(Long_Data[[#This Row],[Key]],Baseline_Pop[Key],0))),"")</f>
        <v>39131.036800000002</v>
      </c>
    </row>
    <row r="13" spans="2:19">
      <c r="B13">
        <v>12</v>
      </c>
      <c r="C13">
        <v>12</v>
      </c>
      <c r="D13" t="str">
        <f>IFERROR(INDEX(Data_Entry[ADM2_Pcode],MATCH('Step 4-Long Data'!C13,Data_Entry[ID],0)),"NA")</f>
        <v>AF02</v>
      </c>
      <c r="E13" t="str">
        <f>IFERROR(INDEX(Data_Entry[Key],MATCH('Step 4-Long Data'!C13,Data_Entry[ID],0)),"NA")</f>
        <v>AF02-Non_Displaced</v>
      </c>
      <c r="F13">
        <v>1</v>
      </c>
      <c r="G13" t="str">
        <f>IFERROR(INDEX(Framework[Pillar],MATCH('Step 4-Long Data'!F13,Framework[Number],0)),"")</f>
        <v>Humanitarian Conditions</v>
      </c>
      <c r="H13" t="str">
        <f>IFERROR(INDEX(Framework[Sub_Pillar],MATCH('Step 4-Long Data'!F13,Framework[Number],0)),"")</f>
        <v>Physical and mental wellbeing</v>
      </c>
      <c r="I13" t="str">
        <f>IFERROR(INDEX(Framework[Indicator],MATCH('Step 4-Long Data'!F13,Framework[Number],0)),"")</f>
        <v>% of  households with at least one member with a disability by severity</v>
      </c>
      <c r="J13" t="str">
        <f>IFERROR(INDEX(Framework[Class],MATCH('Step 4-Long Data'!F13,Framework[Number],0)),"")</f>
        <v>Degree</v>
      </c>
      <c r="K13" t="str">
        <f>IFERROR(INDEX(Framework[Critical],MATCH('Step 4-Long Data'!F13,Framework[Number],0)),"")</f>
        <v>No</v>
      </c>
      <c r="L13">
        <f ca="1">IF(Long_Data[[#This Row],[Indicator Class]]="Degree",INDEX(INDIRECT("Data_Entry['"&amp;Long_Data[[#This Row],[Indicator Number]]&amp;"'_DSev_1]"),MATCH(Long_Data[[#This Row],[Key]],Data_Entry[Key],0)),"NA")</f>
        <v>0.4103</v>
      </c>
      <c r="M13">
        <f ca="1">IF(Long_Data[[#This Row],[Indicator Class]]="Degree",INDEX(INDIRECT("Data_Entry['"&amp;Long_Data[[#This Row],[Indicator Number]]&amp;"'_DSev_2]"),MATCH(Long_Data[[#This Row],[Key]],Data_Entry[Key],0)),"NA")</f>
        <v>0.39100000000000001</v>
      </c>
      <c r="N13">
        <f ca="1">IF(Long_Data[[#This Row],[Indicator Class]]="Degree",INDEX(INDIRECT("Data_Entry['"&amp;Long_Data[[#This Row],[Indicator Number]]&amp;"'_DSev_3]"),MATCH(Long_Data[[#This Row],[Key]],Data_Entry[Key],0)),"NA")</f>
        <v>0.1474</v>
      </c>
      <c r="O13">
        <f ca="1">IF(Long_Data[[#This Row],[Indicator Class]]="Degree",INDEX(INDIRECT("Data_Entry['"&amp;Long_Data[[#This Row],[Indicator Number]]&amp;"'_DSev_4]"),MATCH(Long_Data[[#This Row],[Key]],Data_Entry[Key],0)),"NA")</f>
        <v>3.2100000000000004E-2</v>
      </c>
      <c r="P13">
        <f ca="1">IF(Long_Data[[#This Row],[Indicator Class]]="Degree",INDEX(INDIRECT("Data_Entry['"&amp;Long_Data[[#This Row],[Indicator Number]]&amp;"'_DSev_5]"),MATCH(Long_Data[[#This Row],[Key]],Data_Entry[Key],0)),"NA")</f>
        <v>1.9199999999999998E-2</v>
      </c>
      <c r="Q13" t="str">
        <f ca="1">IFERROR(IF(Long_Data[[#This Row],[Indicator Class]]="Magnitude", INDEX(INDIRECT("Data_Entry[Sev_"&amp;Long_Data[[#This Row],[Indicator Number]]&amp;"]"),MATCH(Long_Data[[#This Row],[Key]], Data_Entry[Key],0)),"NA"),"")</f>
        <v>NA</v>
      </c>
      <c r="R1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3" s="70">
        <f ca="1">IFERROR(IF(J13="Magnitude",INDEX(INDIRECT("Data_Entry[PIN_"&amp;Long_Data[[#This Row],[Indicator Number]]&amp;"]"),MATCH(Long_Data[[#This Row],[Key]],Data_Entry[Key],0)),SUM(N13:P13)*INDEX(Baseline_Pop[Population],MATCH(Long_Data[[#This Row],[Key]],Baseline_Pop[Key],0))),"")</f>
        <v>12491.076799999999</v>
      </c>
    </row>
    <row r="14" spans="2:19">
      <c r="B14">
        <v>13</v>
      </c>
      <c r="C14">
        <v>13</v>
      </c>
      <c r="D14" t="str">
        <f>IFERROR(INDEX(Data_Entry[ADM2_Pcode],MATCH('Step 4-Long Data'!C14,Data_Entry[ID],0)),"NA")</f>
        <v>AF03</v>
      </c>
      <c r="E14" t="str">
        <f>IFERROR(INDEX(Data_Entry[Key],MATCH('Step 4-Long Data'!C14,Data_Entry[ID],0)),"NA")</f>
        <v>AF03-Non_Displaced</v>
      </c>
      <c r="F14">
        <v>1</v>
      </c>
      <c r="G14" t="str">
        <f>IFERROR(INDEX(Framework[Pillar],MATCH('Step 4-Long Data'!F14,Framework[Number],0)),"")</f>
        <v>Humanitarian Conditions</v>
      </c>
      <c r="H14" t="str">
        <f>IFERROR(INDEX(Framework[Sub_Pillar],MATCH('Step 4-Long Data'!F14,Framework[Number],0)),"")</f>
        <v>Physical and mental wellbeing</v>
      </c>
      <c r="I14" t="str">
        <f>IFERROR(INDEX(Framework[Indicator],MATCH('Step 4-Long Data'!F14,Framework[Number],0)),"")</f>
        <v>% of  households with at least one member with a disability by severity</v>
      </c>
      <c r="J14" t="str">
        <f>IFERROR(INDEX(Framework[Class],MATCH('Step 4-Long Data'!F14,Framework[Number],0)),"")</f>
        <v>Degree</v>
      </c>
      <c r="K14" t="str">
        <f>IFERROR(INDEX(Framework[Critical],MATCH('Step 4-Long Data'!F14,Framework[Number],0)),"")</f>
        <v>No</v>
      </c>
      <c r="L14">
        <f ca="1">IF(Long_Data[[#This Row],[Indicator Class]]="Degree",INDEX(INDIRECT("Data_Entry['"&amp;Long_Data[[#This Row],[Indicator Number]]&amp;"'_DSev_1]"),MATCH(Long_Data[[#This Row],[Key]],Data_Entry[Key],0)),"NA")</f>
        <v>0.28660000000000002</v>
      </c>
      <c r="M14">
        <f ca="1">IF(Long_Data[[#This Row],[Indicator Class]]="Degree",INDEX(INDIRECT("Data_Entry['"&amp;Long_Data[[#This Row],[Indicator Number]]&amp;"'_DSev_2]"),MATCH(Long_Data[[#This Row],[Key]],Data_Entry[Key],0)),"NA")</f>
        <v>0.65849999999999997</v>
      </c>
      <c r="N14">
        <f ca="1">IF(Long_Data[[#This Row],[Indicator Class]]="Degree",INDEX(INDIRECT("Data_Entry['"&amp;Long_Data[[#This Row],[Indicator Number]]&amp;"'_DSev_3]"),MATCH(Long_Data[[#This Row],[Key]],Data_Entry[Key],0)),"NA")</f>
        <v>5.4900000000000004E-2</v>
      </c>
      <c r="O14">
        <f ca="1">IF(Long_Data[[#This Row],[Indicator Class]]="Degree",INDEX(INDIRECT("Data_Entry['"&amp;Long_Data[[#This Row],[Indicator Number]]&amp;"'_DSev_4]"),MATCH(Long_Data[[#This Row],[Key]],Data_Entry[Key],0)),"NA")</f>
        <v>0</v>
      </c>
      <c r="P14">
        <f ca="1">IF(Long_Data[[#This Row],[Indicator Class]]="Degree",INDEX(INDIRECT("Data_Entry['"&amp;Long_Data[[#This Row],[Indicator Number]]&amp;"'_DSev_5]"),MATCH(Long_Data[[#This Row],[Key]],Data_Entry[Key],0)),"NA")</f>
        <v>0</v>
      </c>
      <c r="Q14" t="str">
        <f ca="1">IFERROR(IF(Long_Data[[#This Row],[Indicator Class]]="Magnitude", INDEX(INDIRECT("Data_Entry[Sev_"&amp;Long_Data[[#This Row],[Indicator Number]]&amp;"]"),MATCH(Long_Data[[#This Row],[Key]], Data_Entry[Key],0)),"NA"),"")</f>
        <v>NA</v>
      </c>
      <c r="R14">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4" s="70">
        <f ca="1">IFERROR(IF(J14="Magnitude",INDEX(INDIRECT("Data_Entry[PIN_"&amp;Long_Data[[#This Row],[Indicator Number]]&amp;"]"),MATCH(Long_Data[[#This Row],[Key]],Data_Entry[Key],0)),SUM(N14:P14)*INDEX(Baseline_Pop[Population],MATCH(Long_Data[[#This Row],[Key]],Baseline_Pop[Key],0))),"")</f>
        <v>5213.9628000000002</v>
      </c>
    </row>
    <row r="15" spans="2:19">
      <c r="B15">
        <v>14</v>
      </c>
      <c r="C15">
        <v>14</v>
      </c>
      <c r="D15" t="str">
        <f>IFERROR(INDEX(Data_Entry[ADM2_Pcode],MATCH('Step 4-Long Data'!C15,Data_Entry[ID],0)),"NA")</f>
        <v>AF04</v>
      </c>
      <c r="E15" t="str">
        <f>IFERROR(INDEX(Data_Entry[Key],MATCH('Step 4-Long Data'!C15,Data_Entry[ID],0)),"NA")</f>
        <v>AF04-Non_Displaced</v>
      </c>
      <c r="F15">
        <v>1</v>
      </c>
      <c r="G15" t="str">
        <f>IFERROR(INDEX(Framework[Pillar],MATCH('Step 4-Long Data'!F15,Framework[Number],0)),"")</f>
        <v>Humanitarian Conditions</v>
      </c>
      <c r="H15" t="str">
        <f>IFERROR(INDEX(Framework[Sub_Pillar],MATCH('Step 4-Long Data'!F15,Framework[Number],0)),"")</f>
        <v>Physical and mental wellbeing</v>
      </c>
      <c r="I15" t="str">
        <f>IFERROR(INDEX(Framework[Indicator],MATCH('Step 4-Long Data'!F15,Framework[Number],0)),"")</f>
        <v>% of  households with at least one member with a disability by severity</v>
      </c>
      <c r="J15" t="str">
        <f>IFERROR(INDEX(Framework[Class],MATCH('Step 4-Long Data'!F15,Framework[Number],0)),"")</f>
        <v>Degree</v>
      </c>
      <c r="K15" t="str">
        <f>IFERROR(INDEX(Framework[Critical],MATCH('Step 4-Long Data'!F15,Framework[Number],0)),"")</f>
        <v>No</v>
      </c>
      <c r="L15">
        <f ca="1">IF(Long_Data[[#This Row],[Indicator Class]]="Degree",INDEX(INDIRECT("Data_Entry['"&amp;Long_Data[[#This Row],[Indicator Number]]&amp;"'_DSev_1]"),MATCH(Long_Data[[#This Row],[Key]],Data_Entry[Key],0)),"NA")</f>
        <v>0.6321</v>
      </c>
      <c r="M15">
        <f ca="1">IF(Long_Data[[#This Row],[Indicator Class]]="Degree",INDEX(INDIRECT("Data_Entry['"&amp;Long_Data[[#This Row],[Indicator Number]]&amp;"'_DSev_2]"),MATCH(Long_Data[[#This Row],[Key]],Data_Entry[Key],0)),"NA")</f>
        <v>0.3619</v>
      </c>
      <c r="N15">
        <f ca="1">IF(Long_Data[[#This Row],[Indicator Class]]="Degree",INDEX(INDIRECT("Data_Entry['"&amp;Long_Data[[#This Row],[Indicator Number]]&amp;"'_DSev_3]"),MATCH(Long_Data[[#This Row],[Key]],Data_Entry[Key],0)),"NA")</f>
        <v>6.0000000000000001E-3</v>
      </c>
      <c r="O15">
        <f ca="1">IF(Long_Data[[#This Row],[Indicator Class]]="Degree",INDEX(INDIRECT("Data_Entry['"&amp;Long_Data[[#This Row],[Indicator Number]]&amp;"'_DSev_4]"),MATCH(Long_Data[[#This Row],[Key]],Data_Entry[Key],0)),"NA")</f>
        <v>0</v>
      </c>
      <c r="P15">
        <f ca="1">IF(Long_Data[[#This Row],[Indicator Class]]="Degree",INDEX(INDIRECT("Data_Entry['"&amp;Long_Data[[#This Row],[Indicator Number]]&amp;"'_DSev_5]"),MATCH(Long_Data[[#This Row],[Key]],Data_Entry[Key],0)),"NA")</f>
        <v>0</v>
      </c>
      <c r="Q15" t="str">
        <f ca="1">IFERROR(IF(Long_Data[[#This Row],[Indicator Class]]="Magnitude", INDEX(INDIRECT("Data_Entry[Sev_"&amp;Long_Data[[#This Row],[Indicator Number]]&amp;"]"),MATCH(Long_Data[[#This Row],[Key]], Data_Entry[Key],0)),"NA"),"")</f>
        <v>NA</v>
      </c>
      <c r="R1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5" s="70">
        <f ca="1">IFERROR(IF(J15="Magnitude",INDEX(INDIRECT("Data_Entry[PIN_"&amp;Long_Data[[#This Row],[Indicator Number]]&amp;"]"),MATCH(Long_Data[[#This Row],[Key]],Data_Entry[Key],0)),SUM(N15:P15)*INDEX(Baseline_Pop[Population],MATCH(Long_Data[[#This Row],[Key]],Baseline_Pop[Key],0))),"")</f>
        <v>510.012</v>
      </c>
    </row>
    <row r="16" spans="2:19">
      <c r="B16">
        <v>15</v>
      </c>
      <c r="C16">
        <v>15</v>
      </c>
      <c r="D16" t="str">
        <f>IFERROR(INDEX(Data_Entry[ADM2_Pcode],MATCH('Step 4-Long Data'!C16,Data_Entry[ID],0)),"NA")</f>
        <v>AF05</v>
      </c>
      <c r="E16" t="str">
        <f>IFERROR(INDEX(Data_Entry[Key],MATCH('Step 4-Long Data'!C16,Data_Entry[ID],0)),"NA")</f>
        <v>AF05-Non_Displaced</v>
      </c>
      <c r="F16">
        <v>1</v>
      </c>
      <c r="G16" t="str">
        <f>IFERROR(INDEX(Framework[Pillar],MATCH('Step 4-Long Data'!F16,Framework[Number],0)),"")</f>
        <v>Humanitarian Conditions</v>
      </c>
      <c r="H16" t="str">
        <f>IFERROR(INDEX(Framework[Sub_Pillar],MATCH('Step 4-Long Data'!F16,Framework[Number],0)),"")</f>
        <v>Physical and mental wellbeing</v>
      </c>
      <c r="I16" t="str">
        <f>IFERROR(INDEX(Framework[Indicator],MATCH('Step 4-Long Data'!F16,Framework[Number],0)),"")</f>
        <v>% of  households with at least one member with a disability by severity</v>
      </c>
      <c r="J16" t="str">
        <f>IFERROR(INDEX(Framework[Class],MATCH('Step 4-Long Data'!F16,Framework[Number],0)),"")</f>
        <v>Degree</v>
      </c>
      <c r="K16" t="str">
        <f>IFERROR(INDEX(Framework[Critical],MATCH('Step 4-Long Data'!F16,Framework[Number],0)),"")</f>
        <v>No</v>
      </c>
      <c r="L16">
        <f ca="1">IF(Long_Data[[#This Row],[Indicator Class]]="Degree",INDEX(INDIRECT("Data_Entry['"&amp;Long_Data[[#This Row],[Indicator Number]]&amp;"'_DSev_1]"),MATCH(Long_Data[[#This Row],[Key]],Data_Entry[Key],0)),"NA")</f>
        <v>0.53280000000000005</v>
      </c>
      <c r="M16">
        <f ca="1">IF(Long_Data[[#This Row],[Indicator Class]]="Degree",INDEX(INDIRECT("Data_Entry['"&amp;Long_Data[[#This Row],[Indicator Number]]&amp;"'_DSev_2]"),MATCH(Long_Data[[#This Row],[Key]],Data_Entry[Key],0)),"NA")</f>
        <v>0.45369999999999999</v>
      </c>
      <c r="N16">
        <f ca="1">IF(Long_Data[[#This Row],[Indicator Class]]="Degree",INDEX(INDIRECT("Data_Entry['"&amp;Long_Data[[#This Row],[Indicator Number]]&amp;"'_DSev_3]"),MATCH(Long_Data[[#This Row],[Key]],Data_Entry[Key],0)),"NA")</f>
        <v>1.34E-2</v>
      </c>
      <c r="O16">
        <f ca="1">IF(Long_Data[[#This Row],[Indicator Class]]="Degree",INDEX(INDIRECT("Data_Entry['"&amp;Long_Data[[#This Row],[Indicator Number]]&amp;"'_DSev_4]"),MATCH(Long_Data[[#This Row],[Key]],Data_Entry[Key],0)),"NA")</f>
        <v>0</v>
      </c>
      <c r="P16">
        <f ca="1">IF(Long_Data[[#This Row],[Indicator Class]]="Degree",INDEX(INDIRECT("Data_Entry['"&amp;Long_Data[[#This Row],[Indicator Number]]&amp;"'_DSev_5]"),MATCH(Long_Data[[#This Row],[Key]],Data_Entry[Key],0)),"NA")</f>
        <v>0</v>
      </c>
      <c r="Q16" t="str">
        <f ca="1">IFERROR(IF(Long_Data[[#This Row],[Indicator Class]]="Magnitude", INDEX(INDIRECT("Data_Entry[Sev_"&amp;Long_Data[[#This Row],[Indicator Number]]&amp;"]"),MATCH(Long_Data[[#This Row],[Key]], Data_Entry[Key],0)),"NA"),"")</f>
        <v>NA</v>
      </c>
      <c r="R16">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6" s="70">
        <f ca="1">IFERROR(IF(J16="Magnitude",INDEX(INDIRECT("Data_Entry[PIN_"&amp;Long_Data[[#This Row],[Indicator Number]]&amp;"]"),MATCH(Long_Data[[#This Row],[Key]],Data_Entry[Key],0)),SUM(N16:P16)*INDEX(Baseline_Pop[Population],MATCH(Long_Data[[#This Row],[Key]],Baseline_Pop[Key],0))),"")</f>
        <v>749.35480000000007</v>
      </c>
    </row>
    <row r="17" spans="2:19">
      <c r="B17">
        <v>16</v>
      </c>
      <c r="C17">
        <v>16</v>
      </c>
      <c r="D17" t="str">
        <f>IFERROR(INDEX(Data_Entry[ADM2_Pcode],MATCH('Step 4-Long Data'!C17,Data_Entry[ID],0)),"NA")</f>
        <v>AF06</v>
      </c>
      <c r="E17" t="str">
        <f>IFERROR(INDEX(Data_Entry[Key],MATCH('Step 4-Long Data'!C17,Data_Entry[ID],0)),"NA")</f>
        <v>AF06-Non_Displaced</v>
      </c>
      <c r="F17">
        <v>1</v>
      </c>
      <c r="G17" t="str">
        <f>IFERROR(INDEX(Framework[Pillar],MATCH('Step 4-Long Data'!F17,Framework[Number],0)),"")</f>
        <v>Humanitarian Conditions</v>
      </c>
      <c r="H17" t="str">
        <f>IFERROR(INDEX(Framework[Sub_Pillar],MATCH('Step 4-Long Data'!F17,Framework[Number],0)),"")</f>
        <v>Physical and mental wellbeing</v>
      </c>
      <c r="I17" t="str">
        <f>IFERROR(INDEX(Framework[Indicator],MATCH('Step 4-Long Data'!F17,Framework[Number],0)),"")</f>
        <v>% of  households with at least one member with a disability by severity</v>
      </c>
      <c r="J17" t="str">
        <f>IFERROR(INDEX(Framework[Class],MATCH('Step 4-Long Data'!F17,Framework[Number],0)),"")</f>
        <v>Degree</v>
      </c>
      <c r="K17" t="str">
        <f>IFERROR(INDEX(Framework[Critical],MATCH('Step 4-Long Data'!F17,Framework[Number],0)),"")</f>
        <v>No</v>
      </c>
      <c r="L17">
        <f ca="1">IF(Long_Data[[#This Row],[Indicator Class]]="Degree",INDEX(INDIRECT("Data_Entry['"&amp;Long_Data[[#This Row],[Indicator Number]]&amp;"'_DSev_1]"),MATCH(Long_Data[[#This Row],[Key]],Data_Entry[Key],0)),"NA")</f>
        <v>0.1711</v>
      </c>
      <c r="M17">
        <f ca="1">IF(Long_Data[[#This Row],[Indicator Class]]="Degree",INDEX(INDIRECT("Data_Entry['"&amp;Long_Data[[#This Row],[Indicator Number]]&amp;"'_DSev_2]"),MATCH(Long_Data[[#This Row],[Key]],Data_Entry[Key],0)),"NA")</f>
        <v>0.64610000000000001</v>
      </c>
      <c r="N17">
        <f ca="1">IF(Long_Data[[#This Row],[Indicator Class]]="Degree",INDEX(INDIRECT("Data_Entry['"&amp;Long_Data[[#This Row],[Indicator Number]]&amp;"'_DSev_3]"),MATCH(Long_Data[[#This Row],[Key]],Data_Entry[Key],0)),"NA")</f>
        <v>0.17030000000000001</v>
      </c>
      <c r="O17">
        <f ca="1">IF(Long_Data[[#This Row],[Indicator Class]]="Degree",INDEX(INDIRECT("Data_Entry['"&amp;Long_Data[[#This Row],[Indicator Number]]&amp;"'_DSev_4]"),MATCH(Long_Data[[#This Row],[Key]],Data_Entry[Key],0)),"NA")</f>
        <v>1.21E-2</v>
      </c>
      <c r="P17">
        <f ca="1">IF(Long_Data[[#This Row],[Indicator Class]]="Degree",INDEX(INDIRECT("Data_Entry['"&amp;Long_Data[[#This Row],[Indicator Number]]&amp;"'_DSev_5]"),MATCH(Long_Data[[#This Row],[Key]],Data_Entry[Key],0)),"NA")</f>
        <v>2.9999999999999997E-4</v>
      </c>
      <c r="Q17" t="str">
        <f ca="1">IFERROR(IF(Long_Data[[#This Row],[Indicator Class]]="Magnitude", INDEX(INDIRECT("Data_Entry[Sev_"&amp;Long_Data[[#This Row],[Indicator Number]]&amp;"]"),MATCH(Long_Data[[#This Row],[Key]], Data_Entry[Key],0)),"NA"),"")</f>
        <v>NA</v>
      </c>
      <c r="R17">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7" s="70">
        <f ca="1">IFERROR(IF(J17="Magnitude",INDEX(INDIRECT("Data_Entry[PIN_"&amp;Long_Data[[#This Row],[Indicator Number]]&amp;"]"),MATCH(Long_Data[[#This Row],[Key]],Data_Entry[Key],0)),SUM(N17:P17)*INDEX(Baseline_Pop[Population],MATCH(Long_Data[[#This Row],[Key]],Baseline_Pop[Key],0))),"")</f>
        <v>40025.367899999997</v>
      </c>
    </row>
    <row r="18" spans="2:19">
      <c r="B18">
        <v>17</v>
      </c>
      <c r="C18">
        <v>17</v>
      </c>
      <c r="D18" t="str">
        <f>IFERROR(INDEX(Data_Entry[ADM2_Pcode],MATCH('Step 4-Long Data'!C18,Data_Entry[ID],0)),"NA")</f>
        <v>AF07</v>
      </c>
      <c r="E18" t="str">
        <f>IFERROR(INDEX(Data_Entry[Key],MATCH('Step 4-Long Data'!C18,Data_Entry[ID],0)),"NA")</f>
        <v>AF07-Non_Displaced</v>
      </c>
      <c r="F18">
        <v>1</v>
      </c>
      <c r="G18" t="str">
        <f>IFERROR(INDEX(Framework[Pillar],MATCH('Step 4-Long Data'!F18,Framework[Number],0)),"")</f>
        <v>Humanitarian Conditions</v>
      </c>
      <c r="H18" t="str">
        <f>IFERROR(INDEX(Framework[Sub_Pillar],MATCH('Step 4-Long Data'!F18,Framework[Number],0)),"")</f>
        <v>Physical and mental wellbeing</v>
      </c>
      <c r="I18" t="str">
        <f>IFERROR(INDEX(Framework[Indicator],MATCH('Step 4-Long Data'!F18,Framework[Number],0)),"")</f>
        <v>% of  households with at least one member with a disability by severity</v>
      </c>
      <c r="J18" t="str">
        <f>IFERROR(INDEX(Framework[Class],MATCH('Step 4-Long Data'!F18,Framework[Number],0)),"")</f>
        <v>Degree</v>
      </c>
      <c r="K18" t="str">
        <f>IFERROR(INDEX(Framework[Critical],MATCH('Step 4-Long Data'!F18,Framework[Number],0)),"")</f>
        <v>No</v>
      </c>
      <c r="L18">
        <f ca="1">IF(Long_Data[[#This Row],[Indicator Class]]="Degree",INDEX(INDIRECT("Data_Entry['"&amp;Long_Data[[#This Row],[Indicator Number]]&amp;"'_DSev_1]"),MATCH(Long_Data[[#This Row],[Key]],Data_Entry[Key],0)),"NA")</f>
        <v>0.48149999999999998</v>
      </c>
      <c r="M18">
        <f ca="1">IF(Long_Data[[#This Row],[Indicator Class]]="Degree",INDEX(INDIRECT("Data_Entry['"&amp;Long_Data[[#This Row],[Indicator Number]]&amp;"'_DSev_2]"),MATCH(Long_Data[[#This Row],[Key]],Data_Entry[Key],0)),"NA")</f>
        <v>0.45679999999999998</v>
      </c>
      <c r="N18">
        <f ca="1">IF(Long_Data[[#This Row],[Indicator Class]]="Degree",INDEX(INDIRECT("Data_Entry['"&amp;Long_Data[[#This Row],[Indicator Number]]&amp;"'_DSev_3]"),MATCH(Long_Data[[#This Row],[Key]],Data_Entry[Key],0)),"NA")</f>
        <v>5.7000000000000002E-2</v>
      </c>
      <c r="O18">
        <f ca="1">IF(Long_Data[[#This Row],[Indicator Class]]="Degree",INDEX(INDIRECT("Data_Entry['"&amp;Long_Data[[#This Row],[Indicator Number]]&amp;"'_DSev_4]"),MATCH(Long_Data[[#This Row],[Key]],Data_Entry[Key],0)),"NA")</f>
        <v>0</v>
      </c>
      <c r="P18">
        <f ca="1">IF(Long_Data[[#This Row],[Indicator Class]]="Degree",INDEX(INDIRECT("Data_Entry['"&amp;Long_Data[[#This Row],[Indicator Number]]&amp;"'_DSev_5]"),MATCH(Long_Data[[#This Row],[Key]],Data_Entry[Key],0)),"NA")</f>
        <v>4.7000000000000002E-3</v>
      </c>
      <c r="Q18" t="str">
        <f ca="1">IFERROR(IF(Long_Data[[#This Row],[Indicator Class]]="Magnitude", INDEX(INDIRECT("Data_Entry[Sev_"&amp;Long_Data[[#This Row],[Indicator Number]]&amp;"]"),MATCH(Long_Data[[#This Row],[Key]], Data_Entry[Key],0)),"NA"),"")</f>
        <v>NA</v>
      </c>
      <c r="R1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8" s="70">
        <f ca="1">IFERROR(IF(J18="Magnitude",INDEX(INDIRECT("Data_Entry[PIN_"&amp;Long_Data[[#This Row],[Indicator Number]]&amp;"]"),MATCH(Long_Data[[#This Row],[Key]],Data_Entry[Key],0)),SUM(N18:P18)*INDEX(Baseline_Pop[Population],MATCH(Long_Data[[#This Row],[Key]],Baseline_Pop[Key],0))),"")</f>
        <v>3919.9244000000003</v>
      </c>
    </row>
    <row r="19" spans="2:19">
      <c r="B19">
        <v>18</v>
      </c>
      <c r="C19">
        <v>18</v>
      </c>
      <c r="D19" t="str">
        <f>IFERROR(INDEX(Data_Entry[ADM2_Pcode],MATCH('Step 4-Long Data'!C19,Data_Entry[ID],0)),"NA")</f>
        <v>AF08</v>
      </c>
      <c r="E19" t="str">
        <f>IFERROR(INDEX(Data_Entry[Key],MATCH('Step 4-Long Data'!C19,Data_Entry[ID],0)),"NA")</f>
        <v>AF08-Non_Displaced</v>
      </c>
      <c r="F19">
        <v>1</v>
      </c>
      <c r="G19" t="str">
        <f>IFERROR(INDEX(Framework[Pillar],MATCH('Step 4-Long Data'!F19,Framework[Number],0)),"")</f>
        <v>Humanitarian Conditions</v>
      </c>
      <c r="H19" t="str">
        <f>IFERROR(INDEX(Framework[Sub_Pillar],MATCH('Step 4-Long Data'!F19,Framework[Number],0)),"")</f>
        <v>Physical and mental wellbeing</v>
      </c>
      <c r="I19" t="str">
        <f>IFERROR(INDEX(Framework[Indicator],MATCH('Step 4-Long Data'!F19,Framework[Number],0)),"")</f>
        <v>% of  households with at least one member with a disability by severity</v>
      </c>
      <c r="J19" t="str">
        <f>IFERROR(INDEX(Framework[Class],MATCH('Step 4-Long Data'!F19,Framework[Number],0)),"")</f>
        <v>Degree</v>
      </c>
      <c r="K19" t="str">
        <f>IFERROR(INDEX(Framework[Critical],MATCH('Step 4-Long Data'!F19,Framework[Number],0)),"")</f>
        <v>No</v>
      </c>
      <c r="L19">
        <f ca="1">IF(Long_Data[[#This Row],[Indicator Class]]="Degree",INDEX(INDIRECT("Data_Entry['"&amp;Long_Data[[#This Row],[Indicator Number]]&amp;"'_DSev_1]"),MATCH(Long_Data[[#This Row],[Key]],Data_Entry[Key],0)),"NA")</f>
        <v>0.78439999999999999</v>
      </c>
      <c r="M19">
        <f ca="1">IF(Long_Data[[#This Row],[Indicator Class]]="Degree",INDEX(INDIRECT("Data_Entry['"&amp;Long_Data[[#This Row],[Indicator Number]]&amp;"'_DSev_2]"),MATCH(Long_Data[[#This Row],[Key]],Data_Entry[Key],0)),"NA")</f>
        <v>8.9800000000000005E-2</v>
      </c>
      <c r="N19">
        <f ca="1">IF(Long_Data[[#This Row],[Indicator Class]]="Degree",INDEX(INDIRECT("Data_Entry['"&amp;Long_Data[[#This Row],[Indicator Number]]&amp;"'_DSev_3]"),MATCH(Long_Data[[#This Row],[Key]],Data_Entry[Key],0)),"NA")</f>
        <v>0.1198</v>
      </c>
      <c r="O19">
        <f ca="1">IF(Long_Data[[#This Row],[Indicator Class]]="Degree",INDEX(INDIRECT("Data_Entry['"&amp;Long_Data[[#This Row],[Indicator Number]]&amp;"'_DSev_4]"),MATCH(Long_Data[[#This Row],[Key]],Data_Entry[Key],0)),"NA")</f>
        <v>6.0000000000000001E-3</v>
      </c>
      <c r="P19">
        <f ca="1">IF(Long_Data[[#This Row],[Indicator Class]]="Degree",INDEX(INDIRECT("Data_Entry['"&amp;Long_Data[[#This Row],[Indicator Number]]&amp;"'_DSev_5]"),MATCH(Long_Data[[#This Row],[Key]],Data_Entry[Key],0)),"NA")</f>
        <v>0</v>
      </c>
      <c r="Q19" t="str">
        <f ca="1">IFERROR(IF(Long_Data[[#This Row],[Indicator Class]]="Magnitude", INDEX(INDIRECT("Data_Entry[Sev_"&amp;Long_Data[[#This Row],[Indicator Number]]&amp;"]"),MATCH(Long_Data[[#This Row],[Key]], Data_Entry[Key],0)),"NA"),"")</f>
        <v>NA</v>
      </c>
      <c r="R1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 s="70">
        <f ca="1">IFERROR(IF(J19="Magnitude",INDEX(INDIRECT("Data_Entry[PIN_"&amp;Long_Data[[#This Row],[Indicator Number]]&amp;"]"),MATCH(Long_Data[[#This Row],[Key]],Data_Entry[Key],0)),SUM(N19:P19)*INDEX(Baseline_Pop[Population],MATCH(Long_Data[[#This Row],[Key]],Baseline_Pop[Key],0))),"")</f>
        <v>2752.0007999999998</v>
      </c>
    </row>
    <row r="20" spans="2:19">
      <c r="B20">
        <v>19</v>
      </c>
      <c r="C20">
        <v>19</v>
      </c>
      <c r="D20" t="str">
        <f>IFERROR(INDEX(Data_Entry[ADM2_Pcode],MATCH('Step 4-Long Data'!C20,Data_Entry[ID],0)),"NA")</f>
        <v>AF09</v>
      </c>
      <c r="E20" t="str">
        <f>IFERROR(INDEX(Data_Entry[Key],MATCH('Step 4-Long Data'!C20,Data_Entry[ID],0)),"NA")</f>
        <v>AF09-Non_Displaced</v>
      </c>
      <c r="F20">
        <v>1</v>
      </c>
      <c r="G20" t="str">
        <f>IFERROR(INDEX(Framework[Pillar],MATCH('Step 4-Long Data'!F20,Framework[Number],0)),"")</f>
        <v>Humanitarian Conditions</v>
      </c>
      <c r="H20" t="str">
        <f>IFERROR(INDEX(Framework[Sub_Pillar],MATCH('Step 4-Long Data'!F20,Framework[Number],0)),"")</f>
        <v>Physical and mental wellbeing</v>
      </c>
      <c r="I20" t="str">
        <f>IFERROR(INDEX(Framework[Indicator],MATCH('Step 4-Long Data'!F20,Framework[Number],0)),"")</f>
        <v>% of  households with at least one member with a disability by severity</v>
      </c>
      <c r="J20" t="str">
        <f>IFERROR(INDEX(Framework[Class],MATCH('Step 4-Long Data'!F20,Framework[Number],0)),"")</f>
        <v>Degree</v>
      </c>
      <c r="K20" t="str">
        <f>IFERROR(INDEX(Framework[Critical],MATCH('Step 4-Long Data'!F20,Framework[Number],0)),"")</f>
        <v>No</v>
      </c>
      <c r="L20">
        <f ca="1">IF(Long_Data[[#This Row],[Indicator Class]]="Degree",INDEX(INDIRECT("Data_Entry['"&amp;Long_Data[[#This Row],[Indicator Number]]&amp;"'_DSev_1]"),MATCH(Long_Data[[#This Row],[Key]],Data_Entry[Key],0)),"NA")</f>
        <v>0.66819999999999991</v>
      </c>
      <c r="M20">
        <f ca="1">IF(Long_Data[[#This Row],[Indicator Class]]="Degree",INDEX(INDIRECT("Data_Entry['"&amp;Long_Data[[#This Row],[Indicator Number]]&amp;"'_DSev_2]"),MATCH(Long_Data[[#This Row],[Key]],Data_Entry[Key],0)),"NA")</f>
        <v>0.2893</v>
      </c>
      <c r="N20">
        <f ca="1">IF(Long_Data[[#This Row],[Indicator Class]]="Degree",INDEX(INDIRECT("Data_Entry['"&amp;Long_Data[[#This Row],[Indicator Number]]&amp;"'_DSev_3]"),MATCH(Long_Data[[#This Row],[Key]],Data_Entry[Key],0)),"NA")</f>
        <v>3.5099999999999999E-2</v>
      </c>
      <c r="O20">
        <f ca="1">IF(Long_Data[[#This Row],[Indicator Class]]="Degree",INDEX(INDIRECT("Data_Entry['"&amp;Long_Data[[#This Row],[Indicator Number]]&amp;"'_DSev_4]"),MATCH(Long_Data[[#This Row],[Key]],Data_Entry[Key],0)),"NA")</f>
        <v>1.3000000000000002E-3</v>
      </c>
      <c r="P20">
        <f ca="1">IF(Long_Data[[#This Row],[Indicator Class]]="Degree",INDEX(INDIRECT("Data_Entry['"&amp;Long_Data[[#This Row],[Indicator Number]]&amp;"'_DSev_5]"),MATCH(Long_Data[[#This Row],[Key]],Data_Entry[Key],0)),"NA")</f>
        <v>6.1999999999999998E-3</v>
      </c>
      <c r="Q20" t="str">
        <f ca="1">IFERROR(IF(Long_Data[[#This Row],[Indicator Class]]="Magnitude", INDEX(INDIRECT("Data_Entry[Sev_"&amp;Long_Data[[#This Row],[Indicator Number]]&amp;"]"),MATCH(Long_Data[[#This Row],[Key]], Data_Entry[Key],0)),"NA"),"")</f>
        <v>NA</v>
      </c>
      <c r="R20">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0" s="70">
        <f ca="1">IFERROR(IF(J20="Magnitude",INDEX(INDIRECT("Data_Entry[PIN_"&amp;Long_Data[[#This Row],[Indicator Number]]&amp;"]"),MATCH(Long_Data[[#This Row],[Key]],Data_Entry[Key],0)),SUM(N20:P20)*INDEX(Baseline_Pop[Population],MATCH(Long_Data[[#This Row],[Key]],Baseline_Pop[Key],0))),"")</f>
        <v>5564.5824000000002</v>
      </c>
    </row>
    <row r="21" spans="2:19">
      <c r="B21">
        <v>20</v>
      </c>
      <c r="C21">
        <v>20</v>
      </c>
      <c r="D21" t="str">
        <f>IFERROR(INDEX(Data_Entry[ADM2_Pcode],MATCH('Step 4-Long Data'!C21,Data_Entry[ID],0)),"NA")</f>
        <v>AF10</v>
      </c>
      <c r="E21" t="str">
        <f>IFERROR(INDEX(Data_Entry[Key],MATCH('Step 4-Long Data'!C21,Data_Entry[ID],0)),"NA")</f>
        <v>AF10-Non_Displaced</v>
      </c>
      <c r="F21">
        <v>1</v>
      </c>
      <c r="G21" t="str">
        <f>IFERROR(INDEX(Framework[Pillar],MATCH('Step 4-Long Data'!F21,Framework[Number],0)),"")</f>
        <v>Humanitarian Conditions</v>
      </c>
      <c r="H21" t="str">
        <f>IFERROR(INDEX(Framework[Sub_Pillar],MATCH('Step 4-Long Data'!F21,Framework[Number],0)),"")</f>
        <v>Physical and mental wellbeing</v>
      </c>
      <c r="I21" t="str">
        <f>IFERROR(INDEX(Framework[Indicator],MATCH('Step 4-Long Data'!F21,Framework[Number],0)),"")</f>
        <v>% of  households with at least one member with a disability by severity</v>
      </c>
      <c r="J21" t="str">
        <f>IFERROR(INDEX(Framework[Class],MATCH('Step 4-Long Data'!F21,Framework[Number],0)),"")</f>
        <v>Degree</v>
      </c>
      <c r="K21" t="str">
        <f>IFERROR(INDEX(Framework[Critical],MATCH('Step 4-Long Data'!F21,Framework[Number],0)),"")</f>
        <v>No</v>
      </c>
      <c r="L21">
        <f ca="1">IF(Long_Data[[#This Row],[Indicator Class]]="Degree",INDEX(INDIRECT("Data_Entry['"&amp;Long_Data[[#This Row],[Indicator Number]]&amp;"'_DSev_1]"),MATCH(Long_Data[[#This Row],[Key]],Data_Entry[Key],0)),"NA")</f>
        <v>0.37770000000000004</v>
      </c>
      <c r="M21">
        <f ca="1">IF(Long_Data[[#This Row],[Indicator Class]]="Degree",INDEX(INDIRECT("Data_Entry['"&amp;Long_Data[[#This Row],[Indicator Number]]&amp;"'_DSev_2]"),MATCH(Long_Data[[#This Row],[Key]],Data_Entry[Key],0)),"NA")</f>
        <v>0.41490000000000005</v>
      </c>
      <c r="N21">
        <f ca="1">IF(Long_Data[[#This Row],[Indicator Class]]="Degree",INDEX(INDIRECT("Data_Entry['"&amp;Long_Data[[#This Row],[Indicator Number]]&amp;"'_DSev_3]"),MATCH(Long_Data[[#This Row],[Key]],Data_Entry[Key],0)),"NA")</f>
        <v>0.16489999999999999</v>
      </c>
      <c r="O21">
        <f ca="1">IF(Long_Data[[#This Row],[Indicator Class]]="Degree",INDEX(INDIRECT("Data_Entry['"&amp;Long_Data[[#This Row],[Indicator Number]]&amp;"'_DSev_4]"),MATCH(Long_Data[[#This Row],[Key]],Data_Entry[Key],0)),"NA")</f>
        <v>2.6600000000000002E-2</v>
      </c>
      <c r="P21">
        <f ca="1">IF(Long_Data[[#This Row],[Indicator Class]]="Degree",INDEX(INDIRECT("Data_Entry['"&amp;Long_Data[[#This Row],[Indicator Number]]&amp;"'_DSev_5]"),MATCH(Long_Data[[#This Row],[Key]],Data_Entry[Key],0)),"NA")</f>
        <v>1.6E-2</v>
      </c>
      <c r="Q21" t="str">
        <f ca="1">IFERROR(IF(Long_Data[[#This Row],[Indicator Class]]="Magnitude", INDEX(INDIRECT("Data_Entry[Sev_"&amp;Long_Data[[#This Row],[Indicator Number]]&amp;"]"),MATCH(Long_Data[[#This Row],[Key]], Data_Entry[Key],0)),"NA"),"")</f>
        <v>NA</v>
      </c>
      <c r="R2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1" s="70">
        <f ca="1">IFERROR(IF(J21="Magnitude",INDEX(INDIRECT("Data_Entry[PIN_"&amp;Long_Data[[#This Row],[Indicator Number]]&amp;"]"),MATCH(Long_Data[[#This Row],[Key]],Data_Entry[Key],0)),SUM(N21:P21)*INDEX(Baseline_Pop[Population],MATCH(Long_Data[[#This Row],[Key]],Baseline_Pop[Key],0))),"")</f>
        <v>13238.085000000001</v>
      </c>
    </row>
    <row r="22" spans="2:19">
      <c r="B22">
        <v>21</v>
      </c>
      <c r="C22">
        <v>21</v>
      </c>
      <c r="D22" t="str">
        <f>IFERROR(INDEX(Data_Entry[ADM2_Pcode],MATCH('Step 4-Long Data'!C22,Data_Entry[ID],0)),"NA")</f>
        <v>AF01</v>
      </c>
      <c r="E22" t="str">
        <f>IFERROR(INDEX(Data_Entry[Key],MATCH('Step 4-Long Data'!C22,Data_Entry[ID],0)),"NA")</f>
        <v>AF01-Migrants</v>
      </c>
      <c r="F22">
        <v>1</v>
      </c>
      <c r="G22" t="str">
        <f>IFERROR(INDEX(Framework[Pillar],MATCH('Step 4-Long Data'!F22,Framework[Number],0)),"")</f>
        <v>Humanitarian Conditions</v>
      </c>
      <c r="H22" t="str">
        <f>IFERROR(INDEX(Framework[Sub_Pillar],MATCH('Step 4-Long Data'!F22,Framework[Number],0)),"")</f>
        <v>Physical and mental wellbeing</v>
      </c>
      <c r="I22" t="str">
        <f>IFERROR(INDEX(Framework[Indicator],MATCH('Step 4-Long Data'!F22,Framework[Number],0)),"")</f>
        <v>% of  households with at least one member with a disability by severity</v>
      </c>
      <c r="J22" t="str">
        <f>IFERROR(INDEX(Framework[Class],MATCH('Step 4-Long Data'!F22,Framework[Number],0)),"")</f>
        <v>Degree</v>
      </c>
      <c r="K22" t="str">
        <f>IFERROR(INDEX(Framework[Critical],MATCH('Step 4-Long Data'!F22,Framework[Number],0)),"")</f>
        <v>No</v>
      </c>
      <c r="L22">
        <f ca="1">IF(Long_Data[[#This Row],[Indicator Class]]="Degree",INDEX(INDIRECT("Data_Entry['"&amp;Long_Data[[#This Row],[Indicator Number]]&amp;"'_DSev_1]"),MATCH(Long_Data[[#This Row],[Key]],Data_Entry[Key],0)),"NA")</f>
        <v>0.86360000000000003</v>
      </c>
      <c r="M22">
        <f ca="1">IF(Long_Data[[#This Row],[Indicator Class]]="Degree",INDEX(INDIRECT("Data_Entry['"&amp;Long_Data[[#This Row],[Indicator Number]]&amp;"'_DSev_2]"),MATCH(Long_Data[[#This Row],[Key]],Data_Entry[Key],0)),"NA")</f>
        <v>7.7899999999999997E-2</v>
      </c>
      <c r="N22">
        <f ca="1">IF(Long_Data[[#This Row],[Indicator Class]]="Degree",INDEX(INDIRECT("Data_Entry['"&amp;Long_Data[[#This Row],[Indicator Number]]&amp;"'_DSev_3]"),MATCH(Long_Data[[#This Row],[Key]],Data_Entry[Key],0)),"NA")</f>
        <v>5.1900000000000002E-2</v>
      </c>
      <c r="O22">
        <f ca="1">IF(Long_Data[[#This Row],[Indicator Class]]="Degree",INDEX(INDIRECT("Data_Entry['"&amp;Long_Data[[#This Row],[Indicator Number]]&amp;"'_DSev_4]"),MATCH(Long_Data[[#This Row],[Key]],Data_Entry[Key],0)),"NA")</f>
        <v>6.5000000000000006E-3</v>
      </c>
      <c r="P22">
        <f ca="1">IF(Long_Data[[#This Row],[Indicator Class]]="Degree",INDEX(INDIRECT("Data_Entry['"&amp;Long_Data[[#This Row],[Indicator Number]]&amp;"'_DSev_5]"),MATCH(Long_Data[[#This Row],[Key]],Data_Entry[Key],0)),"NA")</f>
        <v>0</v>
      </c>
      <c r="Q22" t="str">
        <f ca="1">IFERROR(IF(Long_Data[[#This Row],[Indicator Class]]="Magnitude", INDEX(INDIRECT("Data_Entry[Sev_"&amp;Long_Data[[#This Row],[Indicator Number]]&amp;"]"),MATCH(Long_Data[[#This Row],[Key]], Data_Entry[Key],0)),"NA"),"")</f>
        <v>NA</v>
      </c>
      <c r="R2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 s="70">
        <f ca="1">IFERROR(IF(J22="Magnitude",INDEX(INDIRECT("Data_Entry[PIN_"&amp;Long_Data[[#This Row],[Indicator Number]]&amp;"]"),MATCH(Long_Data[[#This Row],[Key]],Data_Entry[Key],0)),SUM(N22:P22)*INDEX(Baseline_Pop[Population],MATCH(Long_Data[[#This Row],[Key]],Baseline_Pop[Key],0))),"")</f>
        <v>78262.015199999994</v>
      </c>
    </row>
    <row r="23" spans="2:19">
      <c r="B23">
        <v>22</v>
      </c>
      <c r="C23">
        <v>22</v>
      </c>
      <c r="D23" t="str">
        <f>IFERROR(INDEX(Data_Entry[ADM2_Pcode],MATCH('Step 4-Long Data'!C23,Data_Entry[ID],0)),"NA")</f>
        <v>AF02</v>
      </c>
      <c r="E23" t="str">
        <f>IFERROR(INDEX(Data_Entry[Key],MATCH('Step 4-Long Data'!C23,Data_Entry[ID],0)),"NA")</f>
        <v>AF02-Migrants</v>
      </c>
      <c r="F23">
        <v>1</v>
      </c>
      <c r="G23" t="str">
        <f>IFERROR(INDEX(Framework[Pillar],MATCH('Step 4-Long Data'!F23,Framework[Number],0)),"")</f>
        <v>Humanitarian Conditions</v>
      </c>
      <c r="H23" t="str">
        <f>IFERROR(INDEX(Framework[Sub_Pillar],MATCH('Step 4-Long Data'!F23,Framework[Number],0)),"")</f>
        <v>Physical and mental wellbeing</v>
      </c>
      <c r="I23" t="str">
        <f>IFERROR(INDEX(Framework[Indicator],MATCH('Step 4-Long Data'!F23,Framework[Number],0)),"")</f>
        <v>% of  households with at least one member with a disability by severity</v>
      </c>
      <c r="J23" t="str">
        <f>IFERROR(INDEX(Framework[Class],MATCH('Step 4-Long Data'!F23,Framework[Number],0)),"")</f>
        <v>Degree</v>
      </c>
      <c r="K23" t="str">
        <f>IFERROR(INDEX(Framework[Critical],MATCH('Step 4-Long Data'!F23,Framework[Number],0)),"")</f>
        <v>No</v>
      </c>
      <c r="L23">
        <f ca="1">IF(Long_Data[[#This Row],[Indicator Class]]="Degree",INDEX(INDIRECT("Data_Entry['"&amp;Long_Data[[#This Row],[Indicator Number]]&amp;"'_DSev_1]"),MATCH(Long_Data[[#This Row],[Key]],Data_Entry[Key],0)),"NA")</f>
        <v>0.4103</v>
      </c>
      <c r="M23">
        <f ca="1">IF(Long_Data[[#This Row],[Indicator Class]]="Degree",INDEX(INDIRECT("Data_Entry['"&amp;Long_Data[[#This Row],[Indicator Number]]&amp;"'_DSev_2]"),MATCH(Long_Data[[#This Row],[Key]],Data_Entry[Key],0)),"NA")</f>
        <v>0.39100000000000001</v>
      </c>
      <c r="N23">
        <f ca="1">IF(Long_Data[[#This Row],[Indicator Class]]="Degree",INDEX(INDIRECT("Data_Entry['"&amp;Long_Data[[#This Row],[Indicator Number]]&amp;"'_DSev_3]"),MATCH(Long_Data[[#This Row],[Key]],Data_Entry[Key],0)),"NA")</f>
        <v>0.1474</v>
      </c>
      <c r="O23">
        <f ca="1">IF(Long_Data[[#This Row],[Indicator Class]]="Degree",INDEX(INDIRECT("Data_Entry['"&amp;Long_Data[[#This Row],[Indicator Number]]&amp;"'_DSev_4]"),MATCH(Long_Data[[#This Row],[Key]],Data_Entry[Key],0)),"NA")</f>
        <v>3.2100000000000004E-2</v>
      </c>
      <c r="P23">
        <f ca="1">IF(Long_Data[[#This Row],[Indicator Class]]="Degree",INDEX(INDIRECT("Data_Entry['"&amp;Long_Data[[#This Row],[Indicator Number]]&amp;"'_DSev_5]"),MATCH(Long_Data[[#This Row],[Key]],Data_Entry[Key],0)),"NA")</f>
        <v>1.9199999999999998E-2</v>
      </c>
      <c r="Q23" t="str">
        <f ca="1">IFERROR(IF(Long_Data[[#This Row],[Indicator Class]]="Magnitude", INDEX(INDIRECT("Data_Entry[Sev_"&amp;Long_Data[[#This Row],[Indicator Number]]&amp;"]"),MATCH(Long_Data[[#This Row],[Key]], Data_Entry[Key],0)),"NA"),"")</f>
        <v>NA</v>
      </c>
      <c r="R2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3" s="70">
        <f ca="1">IFERROR(IF(J23="Magnitude",INDEX(INDIRECT("Data_Entry[PIN_"&amp;Long_Data[[#This Row],[Indicator Number]]&amp;"]"),MATCH(Long_Data[[#This Row],[Key]],Data_Entry[Key],0)),SUM(N23:P23)*INDEX(Baseline_Pop[Population],MATCH(Long_Data[[#This Row],[Key]],Baseline_Pop[Key],0))),"")</f>
        <v>24982.153599999998</v>
      </c>
    </row>
    <row r="24" spans="2:19">
      <c r="B24">
        <v>23</v>
      </c>
      <c r="C24">
        <v>23</v>
      </c>
      <c r="D24" t="str">
        <f>IFERROR(INDEX(Data_Entry[ADM2_Pcode],MATCH('Step 4-Long Data'!C24,Data_Entry[ID],0)),"NA")</f>
        <v>AF03</v>
      </c>
      <c r="E24" t="str">
        <f>IFERROR(INDEX(Data_Entry[Key],MATCH('Step 4-Long Data'!C24,Data_Entry[ID],0)),"NA")</f>
        <v>AF03-Migrants</v>
      </c>
      <c r="F24">
        <v>1</v>
      </c>
      <c r="G24" t="str">
        <f>IFERROR(INDEX(Framework[Pillar],MATCH('Step 4-Long Data'!F24,Framework[Number],0)),"")</f>
        <v>Humanitarian Conditions</v>
      </c>
      <c r="H24" t="str">
        <f>IFERROR(INDEX(Framework[Sub_Pillar],MATCH('Step 4-Long Data'!F24,Framework[Number],0)),"")</f>
        <v>Physical and mental wellbeing</v>
      </c>
      <c r="I24" t="str">
        <f>IFERROR(INDEX(Framework[Indicator],MATCH('Step 4-Long Data'!F24,Framework[Number],0)),"")</f>
        <v>% of  households with at least one member with a disability by severity</v>
      </c>
      <c r="J24" t="str">
        <f>IFERROR(INDEX(Framework[Class],MATCH('Step 4-Long Data'!F24,Framework[Number],0)),"")</f>
        <v>Degree</v>
      </c>
      <c r="K24" t="str">
        <f>IFERROR(INDEX(Framework[Critical],MATCH('Step 4-Long Data'!F24,Framework[Number],0)),"")</f>
        <v>No</v>
      </c>
      <c r="L24">
        <f ca="1">IF(Long_Data[[#This Row],[Indicator Class]]="Degree",INDEX(INDIRECT("Data_Entry['"&amp;Long_Data[[#This Row],[Indicator Number]]&amp;"'_DSev_1]"),MATCH(Long_Data[[#This Row],[Key]],Data_Entry[Key],0)),"NA")</f>
        <v>0.28660000000000002</v>
      </c>
      <c r="M24">
        <f ca="1">IF(Long_Data[[#This Row],[Indicator Class]]="Degree",INDEX(INDIRECT("Data_Entry['"&amp;Long_Data[[#This Row],[Indicator Number]]&amp;"'_DSev_2]"),MATCH(Long_Data[[#This Row],[Key]],Data_Entry[Key],0)),"NA")</f>
        <v>0.65849999999999997</v>
      </c>
      <c r="N24">
        <f ca="1">IF(Long_Data[[#This Row],[Indicator Class]]="Degree",INDEX(INDIRECT("Data_Entry['"&amp;Long_Data[[#This Row],[Indicator Number]]&amp;"'_DSev_3]"),MATCH(Long_Data[[#This Row],[Key]],Data_Entry[Key],0)),"NA")</f>
        <v>5.4900000000000004E-2</v>
      </c>
      <c r="O24">
        <f ca="1">IF(Long_Data[[#This Row],[Indicator Class]]="Degree",INDEX(INDIRECT("Data_Entry['"&amp;Long_Data[[#This Row],[Indicator Number]]&amp;"'_DSev_4]"),MATCH(Long_Data[[#This Row],[Key]],Data_Entry[Key],0)),"NA")</f>
        <v>0</v>
      </c>
      <c r="P24">
        <f ca="1">IF(Long_Data[[#This Row],[Indicator Class]]="Degree",INDEX(INDIRECT("Data_Entry['"&amp;Long_Data[[#This Row],[Indicator Number]]&amp;"'_DSev_5]"),MATCH(Long_Data[[#This Row],[Key]],Data_Entry[Key],0)),"NA")</f>
        <v>0</v>
      </c>
      <c r="Q24" t="str">
        <f ca="1">IFERROR(IF(Long_Data[[#This Row],[Indicator Class]]="Magnitude", INDEX(INDIRECT("Data_Entry[Sev_"&amp;Long_Data[[#This Row],[Indicator Number]]&amp;"]"),MATCH(Long_Data[[#This Row],[Key]], Data_Entry[Key],0)),"NA"),"")</f>
        <v>NA</v>
      </c>
      <c r="R24">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4" s="70">
        <f ca="1">IFERROR(IF(J24="Magnitude",INDEX(INDIRECT("Data_Entry[PIN_"&amp;Long_Data[[#This Row],[Indicator Number]]&amp;"]"),MATCH(Long_Data[[#This Row],[Key]],Data_Entry[Key],0)),SUM(N24:P24)*INDEX(Baseline_Pop[Population],MATCH(Long_Data[[#This Row],[Key]],Baseline_Pop[Key],0))),"")</f>
        <v>10427.9256</v>
      </c>
    </row>
    <row r="25" spans="2:19">
      <c r="B25">
        <v>24</v>
      </c>
      <c r="C25">
        <v>24</v>
      </c>
      <c r="D25" t="str">
        <f>IFERROR(INDEX(Data_Entry[ADM2_Pcode],MATCH('Step 4-Long Data'!C25,Data_Entry[ID],0)),"NA")</f>
        <v>AF04</v>
      </c>
      <c r="E25" t="str">
        <f>IFERROR(INDEX(Data_Entry[Key],MATCH('Step 4-Long Data'!C25,Data_Entry[ID],0)),"NA")</f>
        <v>AF04-Migrants</v>
      </c>
      <c r="F25">
        <v>1</v>
      </c>
      <c r="G25" t="str">
        <f>IFERROR(INDEX(Framework[Pillar],MATCH('Step 4-Long Data'!F25,Framework[Number],0)),"")</f>
        <v>Humanitarian Conditions</v>
      </c>
      <c r="H25" t="str">
        <f>IFERROR(INDEX(Framework[Sub_Pillar],MATCH('Step 4-Long Data'!F25,Framework[Number],0)),"")</f>
        <v>Physical and mental wellbeing</v>
      </c>
      <c r="I25" t="str">
        <f>IFERROR(INDEX(Framework[Indicator],MATCH('Step 4-Long Data'!F25,Framework[Number],0)),"")</f>
        <v>% of  households with at least one member with a disability by severity</v>
      </c>
      <c r="J25" t="str">
        <f>IFERROR(INDEX(Framework[Class],MATCH('Step 4-Long Data'!F25,Framework[Number],0)),"")</f>
        <v>Degree</v>
      </c>
      <c r="K25" t="str">
        <f>IFERROR(INDEX(Framework[Critical],MATCH('Step 4-Long Data'!F25,Framework[Number],0)),"")</f>
        <v>No</v>
      </c>
      <c r="L25">
        <f ca="1">IF(Long_Data[[#This Row],[Indicator Class]]="Degree",INDEX(INDIRECT("Data_Entry['"&amp;Long_Data[[#This Row],[Indicator Number]]&amp;"'_DSev_1]"),MATCH(Long_Data[[#This Row],[Key]],Data_Entry[Key],0)),"NA")</f>
        <v>0.6321</v>
      </c>
      <c r="M25">
        <f ca="1">IF(Long_Data[[#This Row],[Indicator Class]]="Degree",INDEX(INDIRECT("Data_Entry['"&amp;Long_Data[[#This Row],[Indicator Number]]&amp;"'_DSev_2]"),MATCH(Long_Data[[#This Row],[Key]],Data_Entry[Key],0)),"NA")</f>
        <v>0.3619</v>
      </c>
      <c r="N25">
        <f ca="1">IF(Long_Data[[#This Row],[Indicator Class]]="Degree",INDEX(INDIRECT("Data_Entry['"&amp;Long_Data[[#This Row],[Indicator Number]]&amp;"'_DSev_3]"),MATCH(Long_Data[[#This Row],[Key]],Data_Entry[Key],0)),"NA")</f>
        <v>6.0000000000000001E-3</v>
      </c>
      <c r="O25">
        <f ca="1">IF(Long_Data[[#This Row],[Indicator Class]]="Degree",INDEX(INDIRECT("Data_Entry['"&amp;Long_Data[[#This Row],[Indicator Number]]&amp;"'_DSev_4]"),MATCH(Long_Data[[#This Row],[Key]],Data_Entry[Key],0)),"NA")</f>
        <v>0</v>
      </c>
      <c r="P25">
        <f ca="1">IF(Long_Data[[#This Row],[Indicator Class]]="Degree",INDEX(INDIRECT("Data_Entry['"&amp;Long_Data[[#This Row],[Indicator Number]]&amp;"'_DSev_5]"),MATCH(Long_Data[[#This Row],[Key]],Data_Entry[Key],0)),"NA")</f>
        <v>0</v>
      </c>
      <c r="Q25" t="str">
        <f ca="1">IFERROR(IF(Long_Data[[#This Row],[Indicator Class]]="Magnitude", INDEX(INDIRECT("Data_Entry[Sev_"&amp;Long_Data[[#This Row],[Indicator Number]]&amp;"]"),MATCH(Long_Data[[#This Row],[Key]], Data_Entry[Key],0)),"NA"),"")</f>
        <v>NA</v>
      </c>
      <c r="R2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5" s="70">
        <f ca="1">IFERROR(IF(J25="Magnitude",INDEX(INDIRECT("Data_Entry[PIN_"&amp;Long_Data[[#This Row],[Indicator Number]]&amp;"]"),MATCH(Long_Data[[#This Row],[Key]],Data_Entry[Key],0)),SUM(N25:P25)*INDEX(Baseline_Pop[Population],MATCH(Long_Data[[#This Row],[Key]],Baseline_Pop[Key],0))),"")</f>
        <v>1020.024</v>
      </c>
    </row>
    <row r="26" spans="2:19">
      <c r="B26">
        <v>25</v>
      </c>
      <c r="C26">
        <v>25</v>
      </c>
      <c r="D26" t="str">
        <f>IFERROR(INDEX(Data_Entry[ADM2_Pcode],MATCH('Step 4-Long Data'!C26,Data_Entry[ID],0)),"NA")</f>
        <v>AF05</v>
      </c>
      <c r="E26" t="str">
        <f>IFERROR(INDEX(Data_Entry[Key],MATCH('Step 4-Long Data'!C26,Data_Entry[ID],0)),"NA")</f>
        <v>AF05-Migrants</v>
      </c>
      <c r="F26">
        <v>1</v>
      </c>
      <c r="G26" t="str">
        <f>IFERROR(INDEX(Framework[Pillar],MATCH('Step 4-Long Data'!F26,Framework[Number],0)),"")</f>
        <v>Humanitarian Conditions</v>
      </c>
      <c r="H26" t="str">
        <f>IFERROR(INDEX(Framework[Sub_Pillar],MATCH('Step 4-Long Data'!F26,Framework[Number],0)),"")</f>
        <v>Physical and mental wellbeing</v>
      </c>
      <c r="I26" t="str">
        <f>IFERROR(INDEX(Framework[Indicator],MATCH('Step 4-Long Data'!F26,Framework[Number],0)),"")</f>
        <v>% of  households with at least one member with a disability by severity</v>
      </c>
      <c r="J26" t="str">
        <f>IFERROR(INDEX(Framework[Class],MATCH('Step 4-Long Data'!F26,Framework[Number],0)),"")</f>
        <v>Degree</v>
      </c>
      <c r="K26" t="str">
        <f>IFERROR(INDEX(Framework[Critical],MATCH('Step 4-Long Data'!F26,Framework[Number],0)),"")</f>
        <v>No</v>
      </c>
      <c r="L26">
        <f ca="1">IF(Long_Data[[#This Row],[Indicator Class]]="Degree",INDEX(INDIRECT("Data_Entry['"&amp;Long_Data[[#This Row],[Indicator Number]]&amp;"'_DSev_1]"),MATCH(Long_Data[[#This Row],[Key]],Data_Entry[Key],0)),"NA")</f>
        <v>0.53280000000000005</v>
      </c>
      <c r="M26">
        <f ca="1">IF(Long_Data[[#This Row],[Indicator Class]]="Degree",INDEX(INDIRECT("Data_Entry['"&amp;Long_Data[[#This Row],[Indicator Number]]&amp;"'_DSev_2]"),MATCH(Long_Data[[#This Row],[Key]],Data_Entry[Key],0)),"NA")</f>
        <v>0.45369999999999999</v>
      </c>
      <c r="N26">
        <f ca="1">IF(Long_Data[[#This Row],[Indicator Class]]="Degree",INDEX(INDIRECT("Data_Entry['"&amp;Long_Data[[#This Row],[Indicator Number]]&amp;"'_DSev_3]"),MATCH(Long_Data[[#This Row],[Key]],Data_Entry[Key],0)),"NA")</f>
        <v>1.34E-2</v>
      </c>
      <c r="O26">
        <f ca="1">IF(Long_Data[[#This Row],[Indicator Class]]="Degree",INDEX(INDIRECT("Data_Entry['"&amp;Long_Data[[#This Row],[Indicator Number]]&amp;"'_DSev_4]"),MATCH(Long_Data[[#This Row],[Key]],Data_Entry[Key],0)),"NA")</f>
        <v>0</v>
      </c>
      <c r="P26">
        <f ca="1">IF(Long_Data[[#This Row],[Indicator Class]]="Degree",INDEX(INDIRECT("Data_Entry['"&amp;Long_Data[[#This Row],[Indicator Number]]&amp;"'_DSev_5]"),MATCH(Long_Data[[#This Row],[Key]],Data_Entry[Key],0)),"NA")</f>
        <v>0</v>
      </c>
      <c r="Q26" t="str">
        <f ca="1">IFERROR(IF(Long_Data[[#This Row],[Indicator Class]]="Magnitude", INDEX(INDIRECT("Data_Entry[Sev_"&amp;Long_Data[[#This Row],[Indicator Number]]&amp;"]"),MATCH(Long_Data[[#This Row],[Key]], Data_Entry[Key],0)),"NA"),"")</f>
        <v>NA</v>
      </c>
      <c r="R26">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6" s="70">
        <f ca="1">IFERROR(IF(J26="Magnitude",INDEX(INDIRECT("Data_Entry[PIN_"&amp;Long_Data[[#This Row],[Indicator Number]]&amp;"]"),MATCH(Long_Data[[#This Row],[Key]],Data_Entry[Key],0)),SUM(N26:P26)*INDEX(Baseline_Pop[Population],MATCH(Long_Data[[#This Row],[Key]],Baseline_Pop[Key],0))),"")</f>
        <v>1498.6962000000001</v>
      </c>
    </row>
    <row r="27" spans="2:19">
      <c r="B27">
        <v>26</v>
      </c>
      <c r="C27">
        <v>26</v>
      </c>
      <c r="D27" t="str">
        <f>IFERROR(INDEX(Data_Entry[ADM2_Pcode],MATCH('Step 4-Long Data'!C27,Data_Entry[ID],0)),"NA")</f>
        <v>AF06</v>
      </c>
      <c r="E27" t="str">
        <f>IFERROR(INDEX(Data_Entry[Key],MATCH('Step 4-Long Data'!C27,Data_Entry[ID],0)),"NA")</f>
        <v>AF06-Migrants</v>
      </c>
      <c r="F27">
        <v>1</v>
      </c>
      <c r="G27" t="str">
        <f>IFERROR(INDEX(Framework[Pillar],MATCH('Step 4-Long Data'!F27,Framework[Number],0)),"")</f>
        <v>Humanitarian Conditions</v>
      </c>
      <c r="H27" t="str">
        <f>IFERROR(INDEX(Framework[Sub_Pillar],MATCH('Step 4-Long Data'!F27,Framework[Number],0)),"")</f>
        <v>Physical and mental wellbeing</v>
      </c>
      <c r="I27" t="str">
        <f>IFERROR(INDEX(Framework[Indicator],MATCH('Step 4-Long Data'!F27,Framework[Number],0)),"")</f>
        <v>% of  households with at least one member with a disability by severity</v>
      </c>
      <c r="J27" t="str">
        <f>IFERROR(INDEX(Framework[Class],MATCH('Step 4-Long Data'!F27,Framework[Number],0)),"")</f>
        <v>Degree</v>
      </c>
      <c r="K27" t="str">
        <f>IFERROR(INDEX(Framework[Critical],MATCH('Step 4-Long Data'!F27,Framework[Number],0)),"")</f>
        <v>No</v>
      </c>
      <c r="L27">
        <f ca="1">IF(Long_Data[[#This Row],[Indicator Class]]="Degree",INDEX(INDIRECT("Data_Entry['"&amp;Long_Data[[#This Row],[Indicator Number]]&amp;"'_DSev_1]"),MATCH(Long_Data[[#This Row],[Key]],Data_Entry[Key],0)),"NA")</f>
        <v>0.1711</v>
      </c>
      <c r="M27">
        <f ca="1">IF(Long_Data[[#This Row],[Indicator Class]]="Degree",INDEX(INDIRECT("Data_Entry['"&amp;Long_Data[[#This Row],[Indicator Number]]&amp;"'_DSev_2]"),MATCH(Long_Data[[#This Row],[Key]],Data_Entry[Key],0)),"NA")</f>
        <v>0.64610000000000001</v>
      </c>
      <c r="N27">
        <f ca="1">IF(Long_Data[[#This Row],[Indicator Class]]="Degree",INDEX(INDIRECT("Data_Entry['"&amp;Long_Data[[#This Row],[Indicator Number]]&amp;"'_DSev_3]"),MATCH(Long_Data[[#This Row],[Key]],Data_Entry[Key],0)),"NA")</f>
        <v>0.17030000000000001</v>
      </c>
      <c r="O27">
        <f ca="1">IF(Long_Data[[#This Row],[Indicator Class]]="Degree",INDEX(INDIRECT("Data_Entry['"&amp;Long_Data[[#This Row],[Indicator Number]]&amp;"'_DSev_4]"),MATCH(Long_Data[[#This Row],[Key]],Data_Entry[Key],0)),"NA")</f>
        <v>1.21E-2</v>
      </c>
      <c r="P27">
        <f ca="1">IF(Long_Data[[#This Row],[Indicator Class]]="Degree",INDEX(INDIRECT("Data_Entry['"&amp;Long_Data[[#This Row],[Indicator Number]]&amp;"'_DSev_5]"),MATCH(Long_Data[[#This Row],[Key]],Data_Entry[Key],0)),"NA")</f>
        <v>2.9999999999999997E-4</v>
      </c>
      <c r="Q27" t="str">
        <f ca="1">IFERROR(IF(Long_Data[[#This Row],[Indicator Class]]="Magnitude", INDEX(INDIRECT("Data_Entry[Sev_"&amp;Long_Data[[#This Row],[Indicator Number]]&amp;"]"),MATCH(Long_Data[[#This Row],[Key]], Data_Entry[Key],0)),"NA"),"")</f>
        <v>NA</v>
      </c>
      <c r="R27">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7" s="70">
        <f ca="1">IFERROR(IF(J27="Magnitude",INDEX(INDIRECT("Data_Entry[PIN_"&amp;Long_Data[[#This Row],[Indicator Number]]&amp;"]"),MATCH(Long_Data[[#This Row],[Key]],Data_Entry[Key],0)),SUM(N27:P27)*INDEX(Baseline_Pop[Population],MATCH(Long_Data[[#This Row],[Key]],Baseline_Pop[Key],0))),"")</f>
        <v>80050.735799999995</v>
      </c>
    </row>
    <row r="28" spans="2:19">
      <c r="B28">
        <v>27</v>
      </c>
      <c r="C28">
        <v>27</v>
      </c>
      <c r="D28" t="str">
        <f>IFERROR(INDEX(Data_Entry[ADM2_Pcode],MATCH('Step 4-Long Data'!C28,Data_Entry[ID],0)),"NA")</f>
        <v>AF07</v>
      </c>
      <c r="E28" t="str">
        <f>IFERROR(INDEX(Data_Entry[Key],MATCH('Step 4-Long Data'!C28,Data_Entry[ID],0)),"NA")</f>
        <v>AF07-Migrants</v>
      </c>
      <c r="F28">
        <v>1</v>
      </c>
      <c r="G28" t="str">
        <f>IFERROR(INDEX(Framework[Pillar],MATCH('Step 4-Long Data'!F28,Framework[Number],0)),"")</f>
        <v>Humanitarian Conditions</v>
      </c>
      <c r="H28" t="str">
        <f>IFERROR(INDEX(Framework[Sub_Pillar],MATCH('Step 4-Long Data'!F28,Framework[Number],0)),"")</f>
        <v>Physical and mental wellbeing</v>
      </c>
      <c r="I28" t="str">
        <f>IFERROR(INDEX(Framework[Indicator],MATCH('Step 4-Long Data'!F28,Framework[Number],0)),"")</f>
        <v>% of  households with at least one member with a disability by severity</v>
      </c>
      <c r="J28" t="str">
        <f>IFERROR(INDEX(Framework[Class],MATCH('Step 4-Long Data'!F28,Framework[Number],0)),"")</f>
        <v>Degree</v>
      </c>
      <c r="K28" t="str">
        <f>IFERROR(INDEX(Framework[Critical],MATCH('Step 4-Long Data'!F28,Framework[Number],0)),"")</f>
        <v>No</v>
      </c>
      <c r="L28">
        <f ca="1">IF(Long_Data[[#This Row],[Indicator Class]]="Degree",INDEX(INDIRECT("Data_Entry['"&amp;Long_Data[[#This Row],[Indicator Number]]&amp;"'_DSev_1]"),MATCH(Long_Data[[#This Row],[Key]],Data_Entry[Key],0)),"NA")</f>
        <v>0.48149999999999998</v>
      </c>
      <c r="M28">
        <f ca="1">IF(Long_Data[[#This Row],[Indicator Class]]="Degree",INDEX(INDIRECT("Data_Entry['"&amp;Long_Data[[#This Row],[Indicator Number]]&amp;"'_DSev_2]"),MATCH(Long_Data[[#This Row],[Key]],Data_Entry[Key],0)),"NA")</f>
        <v>0.45679999999999998</v>
      </c>
      <c r="N28">
        <f ca="1">IF(Long_Data[[#This Row],[Indicator Class]]="Degree",INDEX(INDIRECT("Data_Entry['"&amp;Long_Data[[#This Row],[Indicator Number]]&amp;"'_DSev_3]"),MATCH(Long_Data[[#This Row],[Key]],Data_Entry[Key],0)),"NA")</f>
        <v>5.7000000000000002E-2</v>
      </c>
      <c r="O28">
        <f ca="1">IF(Long_Data[[#This Row],[Indicator Class]]="Degree",INDEX(INDIRECT("Data_Entry['"&amp;Long_Data[[#This Row],[Indicator Number]]&amp;"'_DSev_4]"),MATCH(Long_Data[[#This Row],[Key]],Data_Entry[Key],0)),"NA")</f>
        <v>0</v>
      </c>
      <c r="P28">
        <f ca="1">IF(Long_Data[[#This Row],[Indicator Class]]="Degree",INDEX(INDIRECT("Data_Entry['"&amp;Long_Data[[#This Row],[Indicator Number]]&amp;"'_DSev_5]"),MATCH(Long_Data[[#This Row],[Key]],Data_Entry[Key],0)),"NA")</f>
        <v>4.7000000000000002E-3</v>
      </c>
      <c r="Q28" t="str">
        <f ca="1">IFERROR(IF(Long_Data[[#This Row],[Indicator Class]]="Magnitude", INDEX(INDIRECT("Data_Entry[Sev_"&amp;Long_Data[[#This Row],[Indicator Number]]&amp;"]"),MATCH(Long_Data[[#This Row],[Key]], Data_Entry[Key],0)),"NA"),"")</f>
        <v>NA</v>
      </c>
      <c r="R2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28" s="70">
        <f ca="1">IFERROR(IF(J28="Magnitude",INDEX(INDIRECT("Data_Entry[PIN_"&amp;Long_Data[[#This Row],[Indicator Number]]&amp;"]"),MATCH(Long_Data[[#This Row],[Key]],Data_Entry[Key],0)),SUM(N28:P28)*INDEX(Baseline_Pop[Population],MATCH(Long_Data[[#This Row],[Key]],Baseline_Pop[Key],0))),"")</f>
        <v>7839.7871000000005</v>
      </c>
    </row>
    <row r="29" spans="2:19">
      <c r="B29">
        <v>28</v>
      </c>
      <c r="C29">
        <v>28</v>
      </c>
      <c r="D29" t="str">
        <f>IFERROR(INDEX(Data_Entry[ADM2_Pcode],MATCH('Step 4-Long Data'!C29,Data_Entry[ID],0)),"NA")</f>
        <v>AF08</v>
      </c>
      <c r="E29" t="str">
        <f>IFERROR(INDEX(Data_Entry[Key],MATCH('Step 4-Long Data'!C29,Data_Entry[ID],0)),"NA")</f>
        <v>AF08-Migrants</v>
      </c>
      <c r="F29">
        <v>1</v>
      </c>
      <c r="G29" t="str">
        <f>IFERROR(INDEX(Framework[Pillar],MATCH('Step 4-Long Data'!F29,Framework[Number],0)),"")</f>
        <v>Humanitarian Conditions</v>
      </c>
      <c r="H29" t="str">
        <f>IFERROR(INDEX(Framework[Sub_Pillar],MATCH('Step 4-Long Data'!F29,Framework[Number],0)),"")</f>
        <v>Physical and mental wellbeing</v>
      </c>
      <c r="I29" t="str">
        <f>IFERROR(INDEX(Framework[Indicator],MATCH('Step 4-Long Data'!F29,Framework[Number],0)),"")</f>
        <v>% of  households with at least one member with a disability by severity</v>
      </c>
      <c r="J29" t="str">
        <f>IFERROR(INDEX(Framework[Class],MATCH('Step 4-Long Data'!F29,Framework[Number],0)),"")</f>
        <v>Degree</v>
      </c>
      <c r="K29" t="str">
        <f>IFERROR(INDEX(Framework[Critical],MATCH('Step 4-Long Data'!F29,Framework[Number],0)),"")</f>
        <v>No</v>
      </c>
      <c r="L29">
        <f ca="1">IF(Long_Data[[#This Row],[Indicator Class]]="Degree",INDEX(INDIRECT("Data_Entry['"&amp;Long_Data[[#This Row],[Indicator Number]]&amp;"'_DSev_1]"),MATCH(Long_Data[[#This Row],[Key]],Data_Entry[Key],0)),"NA")</f>
        <v>0.78439999999999999</v>
      </c>
      <c r="M29">
        <f ca="1">IF(Long_Data[[#This Row],[Indicator Class]]="Degree",INDEX(INDIRECT("Data_Entry['"&amp;Long_Data[[#This Row],[Indicator Number]]&amp;"'_DSev_2]"),MATCH(Long_Data[[#This Row],[Key]],Data_Entry[Key],0)),"NA")</f>
        <v>8.9800000000000005E-2</v>
      </c>
      <c r="N29">
        <f ca="1">IF(Long_Data[[#This Row],[Indicator Class]]="Degree",INDEX(INDIRECT("Data_Entry['"&amp;Long_Data[[#This Row],[Indicator Number]]&amp;"'_DSev_3]"),MATCH(Long_Data[[#This Row],[Key]],Data_Entry[Key],0)),"NA")</f>
        <v>0.1198</v>
      </c>
      <c r="O29">
        <f ca="1">IF(Long_Data[[#This Row],[Indicator Class]]="Degree",INDEX(INDIRECT("Data_Entry['"&amp;Long_Data[[#This Row],[Indicator Number]]&amp;"'_DSev_4]"),MATCH(Long_Data[[#This Row],[Key]],Data_Entry[Key],0)),"NA")</f>
        <v>6.0000000000000001E-3</v>
      </c>
      <c r="P29">
        <f ca="1">IF(Long_Data[[#This Row],[Indicator Class]]="Degree",INDEX(INDIRECT("Data_Entry['"&amp;Long_Data[[#This Row],[Indicator Number]]&amp;"'_DSev_5]"),MATCH(Long_Data[[#This Row],[Key]],Data_Entry[Key],0)),"NA")</f>
        <v>0</v>
      </c>
      <c r="Q29" t="str">
        <f ca="1">IFERROR(IF(Long_Data[[#This Row],[Indicator Class]]="Magnitude", INDEX(INDIRECT("Data_Entry[Sev_"&amp;Long_Data[[#This Row],[Indicator Number]]&amp;"]"),MATCH(Long_Data[[#This Row],[Key]], Data_Entry[Key],0)),"NA"),"")</f>
        <v>NA</v>
      </c>
      <c r="R2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 s="70">
        <f ca="1">IFERROR(IF(J29="Magnitude",INDEX(INDIRECT("Data_Entry[PIN_"&amp;Long_Data[[#This Row],[Indicator Number]]&amp;"]"),MATCH(Long_Data[[#This Row],[Key]],Data_Entry[Key],0)),SUM(N29:P29)*INDEX(Baseline_Pop[Population],MATCH(Long_Data[[#This Row],[Key]],Baseline_Pop[Key],0))),"")</f>
        <v>5504.1273999999994</v>
      </c>
    </row>
    <row r="30" spans="2:19">
      <c r="B30">
        <v>29</v>
      </c>
      <c r="C30">
        <v>29</v>
      </c>
      <c r="D30" t="str">
        <f>IFERROR(INDEX(Data_Entry[ADM2_Pcode],MATCH('Step 4-Long Data'!C30,Data_Entry[ID],0)),"NA")</f>
        <v>AF09</v>
      </c>
      <c r="E30" t="str">
        <f>IFERROR(INDEX(Data_Entry[Key],MATCH('Step 4-Long Data'!C30,Data_Entry[ID],0)),"NA")</f>
        <v>AF09-Migrants</v>
      </c>
      <c r="F30">
        <v>1</v>
      </c>
      <c r="G30" t="str">
        <f>IFERROR(INDEX(Framework[Pillar],MATCH('Step 4-Long Data'!F30,Framework[Number],0)),"")</f>
        <v>Humanitarian Conditions</v>
      </c>
      <c r="H30" t="str">
        <f>IFERROR(INDEX(Framework[Sub_Pillar],MATCH('Step 4-Long Data'!F30,Framework[Number],0)),"")</f>
        <v>Physical and mental wellbeing</v>
      </c>
      <c r="I30" t="str">
        <f>IFERROR(INDEX(Framework[Indicator],MATCH('Step 4-Long Data'!F30,Framework[Number],0)),"")</f>
        <v>% of  households with at least one member with a disability by severity</v>
      </c>
      <c r="J30" t="str">
        <f>IFERROR(INDEX(Framework[Class],MATCH('Step 4-Long Data'!F30,Framework[Number],0)),"")</f>
        <v>Degree</v>
      </c>
      <c r="K30" t="str">
        <f>IFERROR(INDEX(Framework[Critical],MATCH('Step 4-Long Data'!F30,Framework[Number],0)),"")</f>
        <v>No</v>
      </c>
      <c r="L30">
        <f ca="1">IF(Long_Data[[#This Row],[Indicator Class]]="Degree",INDEX(INDIRECT("Data_Entry['"&amp;Long_Data[[#This Row],[Indicator Number]]&amp;"'_DSev_1]"),MATCH(Long_Data[[#This Row],[Key]],Data_Entry[Key],0)),"NA")</f>
        <v>0.66819999999999991</v>
      </c>
      <c r="M30">
        <f ca="1">IF(Long_Data[[#This Row],[Indicator Class]]="Degree",INDEX(INDIRECT("Data_Entry['"&amp;Long_Data[[#This Row],[Indicator Number]]&amp;"'_DSev_2]"),MATCH(Long_Data[[#This Row],[Key]],Data_Entry[Key],0)),"NA")</f>
        <v>0.2893</v>
      </c>
      <c r="N30">
        <f ca="1">IF(Long_Data[[#This Row],[Indicator Class]]="Degree",INDEX(INDIRECT("Data_Entry['"&amp;Long_Data[[#This Row],[Indicator Number]]&amp;"'_DSev_3]"),MATCH(Long_Data[[#This Row],[Key]],Data_Entry[Key],0)),"NA")</f>
        <v>3.5099999999999999E-2</v>
      </c>
      <c r="O30">
        <f ca="1">IF(Long_Data[[#This Row],[Indicator Class]]="Degree",INDEX(INDIRECT("Data_Entry['"&amp;Long_Data[[#This Row],[Indicator Number]]&amp;"'_DSev_4]"),MATCH(Long_Data[[#This Row],[Key]],Data_Entry[Key],0)),"NA")</f>
        <v>1.3000000000000002E-3</v>
      </c>
      <c r="P30">
        <f ca="1">IF(Long_Data[[#This Row],[Indicator Class]]="Degree",INDEX(INDIRECT("Data_Entry['"&amp;Long_Data[[#This Row],[Indicator Number]]&amp;"'_DSev_5]"),MATCH(Long_Data[[#This Row],[Key]],Data_Entry[Key],0)),"NA")</f>
        <v>6.1999999999999998E-3</v>
      </c>
      <c r="Q30" t="str">
        <f ca="1">IFERROR(IF(Long_Data[[#This Row],[Indicator Class]]="Magnitude", INDEX(INDIRECT("Data_Entry[Sev_"&amp;Long_Data[[#This Row],[Indicator Number]]&amp;"]"),MATCH(Long_Data[[#This Row],[Key]], Data_Entry[Key],0)),"NA"),"")</f>
        <v>NA</v>
      </c>
      <c r="R30">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0" s="70">
        <f ca="1">IFERROR(IF(J30="Magnitude",INDEX(INDIRECT("Data_Entry[PIN_"&amp;Long_Data[[#This Row],[Indicator Number]]&amp;"]"),MATCH(Long_Data[[#This Row],[Key]],Data_Entry[Key],0)),SUM(N30:P30)*INDEX(Baseline_Pop[Population],MATCH(Long_Data[[#This Row],[Key]],Baseline_Pop[Key],0))),"")</f>
        <v>11129.207399999999</v>
      </c>
    </row>
    <row r="31" spans="2:19">
      <c r="B31">
        <v>30</v>
      </c>
      <c r="C31">
        <v>30</v>
      </c>
      <c r="D31" t="str">
        <f>IFERROR(INDEX(Data_Entry[ADM2_Pcode],MATCH('Step 4-Long Data'!C31,Data_Entry[ID],0)),"NA")</f>
        <v>AF10</v>
      </c>
      <c r="E31" t="str">
        <f>IFERROR(INDEX(Data_Entry[Key],MATCH('Step 4-Long Data'!C31,Data_Entry[ID],0)),"NA")</f>
        <v>AF10-Migrants</v>
      </c>
      <c r="F31">
        <v>1</v>
      </c>
      <c r="G31" t="str">
        <f>IFERROR(INDEX(Framework[Pillar],MATCH('Step 4-Long Data'!F31,Framework[Number],0)),"")</f>
        <v>Humanitarian Conditions</v>
      </c>
      <c r="H31" t="str">
        <f>IFERROR(INDEX(Framework[Sub_Pillar],MATCH('Step 4-Long Data'!F31,Framework[Number],0)),"")</f>
        <v>Physical and mental wellbeing</v>
      </c>
      <c r="I31" t="str">
        <f>IFERROR(INDEX(Framework[Indicator],MATCH('Step 4-Long Data'!F31,Framework[Number],0)),"")</f>
        <v>% of  households with at least one member with a disability by severity</v>
      </c>
      <c r="J31" t="str">
        <f>IFERROR(INDEX(Framework[Class],MATCH('Step 4-Long Data'!F31,Framework[Number],0)),"")</f>
        <v>Degree</v>
      </c>
      <c r="K31" t="str">
        <f>IFERROR(INDEX(Framework[Critical],MATCH('Step 4-Long Data'!F31,Framework[Number],0)),"")</f>
        <v>No</v>
      </c>
      <c r="L31">
        <f ca="1">IF(Long_Data[[#This Row],[Indicator Class]]="Degree",INDEX(INDIRECT("Data_Entry['"&amp;Long_Data[[#This Row],[Indicator Number]]&amp;"'_DSev_1]"),MATCH(Long_Data[[#This Row],[Key]],Data_Entry[Key],0)),"NA")</f>
        <v>0.37770000000000004</v>
      </c>
      <c r="M31">
        <f ca="1">IF(Long_Data[[#This Row],[Indicator Class]]="Degree",INDEX(INDIRECT("Data_Entry['"&amp;Long_Data[[#This Row],[Indicator Number]]&amp;"'_DSev_2]"),MATCH(Long_Data[[#This Row],[Key]],Data_Entry[Key],0)),"NA")</f>
        <v>0.41490000000000005</v>
      </c>
      <c r="N31">
        <f ca="1">IF(Long_Data[[#This Row],[Indicator Class]]="Degree",INDEX(INDIRECT("Data_Entry['"&amp;Long_Data[[#This Row],[Indicator Number]]&amp;"'_DSev_3]"),MATCH(Long_Data[[#This Row],[Key]],Data_Entry[Key],0)),"NA")</f>
        <v>0.16489999999999999</v>
      </c>
      <c r="O31">
        <f ca="1">IF(Long_Data[[#This Row],[Indicator Class]]="Degree",INDEX(INDIRECT("Data_Entry['"&amp;Long_Data[[#This Row],[Indicator Number]]&amp;"'_DSev_4]"),MATCH(Long_Data[[#This Row],[Key]],Data_Entry[Key],0)),"NA")</f>
        <v>2.6600000000000002E-2</v>
      </c>
      <c r="P31">
        <f ca="1">IF(Long_Data[[#This Row],[Indicator Class]]="Degree",INDEX(INDIRECT("Data_Entry['"&amp;Long_Data[[#This Row],[Indicator Number]]&amp;"'_DSev_5]"),MATCH(Long_Data[[#This Row],[Key]],Data_Entry[Key],0)),"NA")</f>
        <v>1.6E-2</v>
      </c>
      <c r="Q31" t="str">
        <f ca="1">IFERROR(IF(Long_Data[[#This Row],[Indicator Class]]="Magnitude", INDEX(INDIRECT("Data_Entry[Sev_"&amp;Long_Data[[#This Row],[Indicator Number]]&amp;"]"),MATCH(Long_Data[[#This Row],[Key]], Data_Entry[Key],0)),"NA"),"")</f>
        <v>NA</v>
      </c>
      <c r="R3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1" s="70">
        <f ca="1">IFERROR(IF(J31="Magnitude",INDEX(INDIRECT("Data_Entry[PIN_"&amp;Long_Data[[#This Row],[Indicator Number]]&amp;"]"),MATCH(Long_Data[[#This Row],[Key]],Data_Entry[Key],0)),SUM(N31:P31)*INDEX(Baseline_Pop[Population],MATCH(Long_Data[[#This Row],[Key]],Baseline_Pop[Key],0))),"")</f>
        <v>26476.377500000002</v>
      </c>
    </row>
    <row r="32" spans="2:19">
      <c r="B32">
        <v>31</v>
      </c>
      <c r="C32">
        <v>1</v>
      </c>
      <c r="D32" t="str">
        <f>IFERROR(INDEX(Data_Entry[ADM2_Pcode],MATCH('Step 4-Long Data'!C32,Data_Entry[ID],0)),"NA")</f>
        <v>AF01</v>
      </c>
      <c r="E32" t="str">
        <f>IFERROR(INDEX(Data_Entry[Key],MATCH('Step 4-Long Data'!C32,Data_Entry[ID],0)),"NA")</f>
        <v>AF01-All_Others</v>
      </c>
      <c r="F32">
        <v>2</v>
      </c>
      <c r="G32" t="str">
        <f>IFERROR(INDEX(Framework[Pillar],MATCH('Step 4-Long Data'!F32,Framework[Number],0)),"")</f>
        <v>Humanitarian Conditions</v>
      </c>
      <c r="H32" t="str">
        <f>IFERROR(INDEX(Framework[Sub_Pillar],MATCH('Step 4-Long Data'!F32,Framework[Number],0)),"")</f>
        <v>Coping mechanisms</v>
      </c>
      <c r="I32" t="str">
        <f>IFERROR(INDEX(Framework[Indicator],MATCH('Step 4-Long Data'!F32,Framework[Number],0)),"")</f>
        <v>% of households exceeding higher than average debt (&gt;45,000 AFN)</v>
      </c>
      <c r="J32" t="str">
        <f>IFERROR(INDEX(Framework[Class],MATCH('Step 4-Long Data'!F32,Framework[Number],0)),"")</f>
        <v>Degree</v>
      </c>
      <c r="K32" t="str">
        <f>IFERROR(INDEX(Framework[Critical],MATCH('Step 4-Long Data'!F32,Framework[Number],0)),"")</f>
        <v>No</v>
      </c>
      <c r="L32">
        <f ca="1">IF(Long_Data[[#This Row],[Indicator Class]]="Degree",INDEX(INDIRECT("Data_Entry['"&amp;Long_Data[[#This Row],[Indicator Number]]&amp;"'_DSev_1]"),MATCH(Long_Data[[#This Row],[Key]],Data_Entry[Key],0)),"NA")</f>
        <v>0.21621621621621601</v>
      </c>
      <c r="M32">
        <f ca="1">IF(Long_Data[[#This Row],[Indicator Class]]="Degree",INDEX(INDIRECT("Data_Entry['"&amp;Long_Data[[#This Row],[Indicator Number]]&amp;"'_DSev_2]"),MATCH(Long_Data[[#This Row],[Key]],Data_Entry[Key],0)),"NA")</f>
        <v>0.76576576576576594</v>
      </c>
      <c r="N32">
        <f ca="1">IF(Long_Data[[#This Row],[Indicator Class]]="Degree",INDEX(INDIRECT("Data_Entry['"&amp;Long_Data[[#This Row],[Indicator Number]]&amp;"'_DSev_3]"),MATCH(Long_Data[[#This Row],[Key]],Data_Entry[Key],0)),"NA")</f>
        <v>1.8018018018018001E-2</v>
      </c>
      <c r="O32">
        <f ca="1">IF(Long_Data[[#This Row],[Indicator Class]]="Degree",INDEX(INDIRECT("Data_Entry['"&amp;Long_Data[[#This Row],[Indicator Number]]&amp;"'_DSev_4]"),MATCH(Long_Data[[#This Row],[Key]],Data_Entry[Key],0)),"NA")</f>
        <v>0</v>
      </c>
      <c r="P32">
        <f ca="1">IF(Long_Data[[#This Row],[Indicator Class]]="Degree",INDEX(INDIRECT("Data_Entry['"&amp;Long_Data[[#This Row],[Indicator Number]]&amp;"'_DSev_5]"),MATCH(Long_Data[[#This Row],[Key]],Data_Entry[Key],0)),"NA")</f>
        <v>0</v>
      </c>
      <c r="Q32" t="str">
        <f ca="1">IFERROR(IF(Long_Data[[#This Row],[Indicator Class]]="Magnitude", INDEX(INDIRECT("Data_Entry[Sev_"&amp;Long_Data[[#This Row],[Indicator Number]]&amp;"]"),MATCH(Long_Data[[#This Row],[Key]], Data_Entry[Key],0)),"NA"),"")</f>
        <v>NA</v>
      </c>
      <c r="R3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2" s="70">
        <f ca="1">IFERROR(IF(J32="Magnitude",INDEX(INDIRECT("Data_Entry[PIN_"&amp;Long_Data[[#This Row],[Indicator Number]]&amp;"]"),MATCH(Long_Data[[#This Row],[Key]],Data_Entry[Key],0)),SUM(N32:P32)*INDEX(Baseline_Pop[Population],MATCH(Long_Data[[#This Row],[Key]],Baseline_Pop[Key],0))),"")</f>
        <v>84511.009009008922</v>
      </c>
    </row>
    <row r="33" spans="2:19">
      <c r="B33">
        <v>32</v>
      </c>
      <c r="C33">
        <v>2</v>
      </c>
      <c r="D33" t="str">
        <f>IFERROR(INDEX(Data_Entry[ADM2_Pcode],MATCH('Step 4-Long Data'!C33,Data_Entry[ID],0)),"NA")</f>
        <v>AF02</v>
      </c>
      <c r="E33" t="str">
        <f>IFERROR(INDEX(Data_Entry[Key],MATCH('Step 4-Long Data'!C33,Data_Entry[ID],0)),"NA")</f>
        <v>AF02-All_Others</v>
      </c>
      <c r="F33">
        <v>2</v>
      </c>
      <c r="G33" t="str">
        <f>IFERROR(INDEX(Framework[Pillar],MATCH('Step 4-Long Data'!F33,Framework[Number],0)),"")</f>
        <v>Humanitarian Conditions</v>
      </c>
      <c r="H33" t="str">
        <f>IFERROR(INDEX(Framework[Sub_Pillar],MATCH('Step 4-Long Data'!F33,Framework[Number],0)),"")</f>
        <v>Coping mechanisms</v>
      </c>
      <c r="I33" t="str">
        <f>IFERROR(INDEX(Framework[Indicator],MATCH('Step 4-Long Data'!F33,Framework[Number],0)),"")</f>
        <v>% of households exceeding higher than average debt (&gt;45,000 AFN)</v>
      </c>
      <c r="J33" t="str">
        <f>IFERROR(INDEX(Framework[Class],MATCH('Step 4-Long Data'!F33,Framework[Number],0)),"")</f>
        <v>Degree</v>
      </c>
      <c r="K33" t="str">
        <f>IFERROR(INDEX(Framework[Critical],MATCH('Step 4-Long Data'!F33,Framework[Number],0)),"")</f>
        <v>No</v>
      </c>
      <c r="L33">
        <f ca="1">IF(Long_Data[[#This Row],[Indicator Class]]="Degree",INDEX(INDIRECT("Data_Entry['"&amp;Long_Data[[#This Row],[Indicator Number]]&amp;"'_DSev_1]"),MATCH(Long_Data[[#This Row],[Key]],Data_Entry[Key],0)),"NA")</f>
        <v>7.4324324324324301E-2</v>
      </c>
      <c r="M33">
        <f ca="1">IF(Long_Data[[#This Row],[Indicator Class]]="Degree",INDEX(INDIRECT("Data_Entry['"&amp;Long_Data[[#This Row],[Indicator Number]]&amp;"'_DSev_2]"),MATCH(Long_Data[[#This Row],[Key]],Data_Entry[Key],0)),"NA")</f>
        <v>0.42567567567567599</v>
      </c>
      <c r="N33">
        <f ca="1">IF(Long_Data[[#This Row],[Indicator Class]]="Degree",INDEX(INDIRECT("Data_Entry['"&amp;Long_Data[[#This Row],[Indicator Number]]&amp;"'_DSev_3]"),MATCH(Long_Data[[#This Row],[Key]],Data_Entry[Key],0)),"NA")</f>
        <v>0.18243243243243198</v>
      </c>
      <c r="O33">
        <f ca="1">IF(Long_Data[[#This Row],[Indicator Class]]="Degree",INDEX(INDIRECT("Data_Entry['"&amp;Long_Data[[#This Row],[Indicator Number]]&amp;"'_DSev_4]"),MATCH(Long_Data[[#This Row],[Key]],Data_Entry[Key],0)),"NA")</f>
        <v>0.31756756756756799</v>
      </c>
      <c r="P33">
        <f ca="1">IF(Long_Data[[#This Row],[Indicator Class]]="Degree",INDEX(INDIRECT("Data_Entry['"&amp;Long_Data[[#This Row],[Indicator Number]]&amp;"'_DSev_5]"),MATCH(Long_Data[[#This Row],[Key]],Data_Entry[Key],0)),"NA")</f>
        <v>0</v>
      </c>
      <c r="Q33" t="str">
        <f ca="1">IFERROR(IF(Long_Data[[#This Row],[Indicator Class]]="Magnitude", INDEX(INDIRECT("Data_Entry[Sev_"&amp;Long_Data[[#This Row],[Indicator Number]]&amp;"]"),MATCH(Long_Data[[#This Row],[Key]], Data_Entry[Key],0)),"NA"),"")</f>
        <v>NA</v>
      </c>
      <c r="R33">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3" s="70">
        <f ca="1">IFERROR(IF(J33="Magnitude",INDEX(INDIRECT("Data_Entry[PIN_"&amp;Long_Data[[#This Row],[Indicator Number]]&amp;"]"),MATCH(Long_Data[[#This Row],[Key]],Data_Entry[Key],0)),SUM(N33:P33)*INDEX(Baseline_Pop[Population],MATCH(Long_Data[[#This Row],[Key]],Baseline_Pop[Key],0))),"")</f>
        <v>220023.5</v>
      </c>
    </row>
    <row r="34" spans="2:19">
      <c r="B34">
        <v>33</v>
      </c>
      <c r="C34">
        <v>3</v>
      </c>
      <c r="D34" t="str">
        <f>IFERROR(INDEX(Data_Entry[ADM2_Pcode],MATCH('Step 4-Long Data'!C34,Data_Entry[ID],0)),"NA")</f>
        <v>AF03</v>
      </c>
      <c r="E34" t="str">
        <f>IFERROR(INDEX(Data_Entry[Key],MATCH('Step 4-Long Data'!C34,Data_Entry[ID],0)),"NA")</f>
        <v>AF03-All_Others</v>
      </c>
      <c r="F34">
        <v>2</v>
      </c>
      <c r="G34" t="str">
        <f>IFERROR(INDEX(Framework[Pillar],MATCH('Step 4-Long Data'!F34,Framework[Number],0)),"")</f>
        <v>Humanitarian Conditions</v>
      </c>
      <c r="H34" t="str">
        <f>IFERROR(INDEX(Framework[Sub_Pillar],MATCH('Step 4-Long Data'!F34,Framework[Number],0)),"")</f>
        <v>Coping mechanisms</v>
      </c>
      <c r="I34" t="str">
        <f>IFERROR(INDEX(Framework[Indicator],MATCH('Step 4-Long Data'!F34,Framework[Number],0)),"")</f>
        <v>% of households exceeding higher than average debt (&gt;45,000 AFN)</v>
      </c>
      <c r="J34" t="str">
        <f>IFERROR(INDEX(Framework[Class],MATCH('Step 4-Long Data'!F34,Framework[Number],0)),"")</f>
        <v>Degree</v>
      </c>
      <c r="K34" t="str">
        <f>IFERROR(INDEX(Framework[Critical],MATCH('Step 4-Long Data'!F34,Framework[Number],0)),"")</f>
        <v>No</v>
      </c>
      <c r="L34">
        <f ca="1">IF(Long_Data[[#This Row],[Indicator Class]]="Degree",INDEX(INDIRECT("Data_Entry['"&amp;Long_Data[[#This Row],[Indicator Number]]&amp;"'_DSev_1]"),MATCH(Long_Data[[#This Row],[Key]],Data_Entry[Key],0)),"NA")</f>
        <v>4.8780487804878002E-2</v>
      </c>
      <c r="M34">
        <f ca="1">IF(Long_Data[[#This Row],[Indicator Class]]="Degree",INDEX(INDIRECT("Data_Entry['"&amp;Long_Data[[#This Row],[Indicator Number]]&amp;"'_DSev_2]"),MATCH(Long_Data[[#This Row],[Key]],Data_Entry[Key],0)),"NA")</f>
        <v>6.0975609756097594E-2</v>
      </c>
      <c r="N34">
        <f ca="1">IF(Long_Data[[#This Row],[Indicator Class]]="Degree",INDEX(INDIRECT("Data_Entry['"&amp;Long_Data[[#This Row],[Indicator Number]]&amp;"'_DSev_3]"),MATCH(Long_Data[[#This Row],[Key]],Data_Entry[Key],0)),"NA")</f>
        <v>0.20121951219512202</v>
      </c>
      <c r="O34">
        <f ca="1">IF(Long_Data[[#This Row],[Indicator Class]]="Degree",INDEX(INDIRECT("Data_Entry['"&amp;Long_Data[[#This Row],[Indicator Number]]&amp;"'_DSev_4]"),MATCH(Long_Data[[#This Row],[Key]],Data_Entry[Key],0)),"NA")</f>
        <v>0.68902439024390205</v>
      </c>
      <c r="P34">
        <f ca="1">IF(Long_Data[[#This Row],[Indicator Class]]="Degree",INDEX(INDIRECT("Data_Entry['"&amp;Long_Data[[#This Row],[Indicator Number]]&amp;"'_DSev_5]"),MATCH(Long_Data[[#This Row],[Key]],Data_Entry[Key],0)),"NA")</f>
        <v>0</v>
      </c>
      <c r="Q34" t="str">
        <f ca="1">IFERROR(IF(Long_Data[[#This Row],[Indicator Class]]="Magnitude", INDEX(INDIRECT("Data_Entry[Sev_"&amp;Long_Data[[#This Row],[Indicator Number]]&amp;"]"),MATCH(Long_Data[[#This Row],[Key]], Data_Entry[Key],0)),"NA"),"")</f>
        <v>NA</v>
      </c>
      <c r="R34">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4" s="70">
        <f ca="1">IFERROR(IF(J34="Magnitude",INDEX(INDIRECT("Data_Entry[PIN_"&amp;Long_Data[[#This Row],[Indicator Number]]&amp;"]"),MATCH(Long_Data[[#This Row],[Key]],Data_Entry[Key],0)),SUM(N34:P34)*INDEX(Baseline_Pop[Population],MATCH(Long_Data[[#This Row],[Key]],Baseline_Pop[Key],0))),"")</f>
        <v>591838.59756097535</v>
      </c>
    </row>
    <row r="35" spans="2:19">
      <c r="B35">
        <v>34</v>
      </c>
      <c r="C35">
        <v>4</v>
      </c>
      <c r="D35" t="str">
        <f>IFERROR(INDEX(Data_Entry[ADM2_Pcode],MATCH('Step 4-Long Data'!C35,Data_Entry[ID],0)),"NA")</f>
        <v>AF04</v>
      </c>
      <c r="E35" t="str">
        <f>IFERROR(INDEX(Data_Entry[Key],MATCH('Step 4-Long Data'!C35,Data_Entry[ID],0)),"NA")</f>
        <v>AF04-All_Others</v>
      </c>
      <c r="F35">
        <v>2</v>
      </c>
      <c r="G35" t="str">
        <f>IFERROR(INDEX(Framework[Pillar],MATCH('Step 4-Long Data'!F35,Framework[Number],0)),"")</f>
        <v>Humanitarian Conditions</v>
      </c>
      <c r="H35" t="str">
        <f>IFERROR(INDEX(Framework[Sub_Pillar],MATCH('Step 4-Long Data'!F35,Framework[Number],0)),"")</f>
        <v>Coping mechanisms</v>
      </c>
      <c r="I35" t="str">
        <f>IFERROR(INDEX(Framework[Indicator],MATCH('Step 4-Long Data'!F35,Framework[Number],0)),"")</f>
        <v>% of households exceeding higher than average debt (&gt;45,000 AFN)</v>
      </c>
      <c r="J35" t="str">
        <f>IFERROR(INDEX(Framework[Class],MATCH('Step 4-Long Data'!F35,Framework[Number],0)),"")</f>
        <v>Degree</v>
      </c>
      <c r="K35" t="str">
        <f>IFERROR(INDEX(Framework[Critical],MATCH('Step 4-Long Data'!F35,Framework[Number],0)),"")</f>
        <v>No</v>
      </c>
      <c r="L35">
        <f ca="1">IF(Long_Data[[#This Row],[Indicator Class]]="Degree",INDEX(INDIRECT("Data_Entry['"&amp;Long_Data[[#This Row],[Indicator Number]]&amp;"'_DSev_1]"),MATCH(Long_Data[[#This Row],[Key]],Data_Entry[Key],0)),"NA")</f>
        <v>0</v>
      </c>
      <c r="M35">
        <f ca="1">IF(Long_Data[[#This Row],[Indicator Class]]="Degree",INDEX(INDIRECT("Data_Entry['"&amp;Long_Data[[#This Row],[Indicator Number]]&amp;"'_DSev_2]"),MATCH(Long_Data[[#This Row],[Key]],Data_Entry[Key],0)),"NA")</f>
        <v>1</v>
      </c>
      <c r="N35">
        <f ca="1">IF(Long_Data[[#This Row],[Indicator Class]]="Degree",INDEX(INDIRECT("Data_Entry['"&amp;Long_Data[[#This Row],[Indicator Number]]&amp;"'_DSev_3]"),MATCH(Long_Data[[#This Row],[Key]],Data_Entry[Key],0)),"NA")</f>
        <v>0</v>
      </c>
      <c r="O35">
        <f ca="1">IF(Long_Data[[#This Row],[Indicator Class]]="Degree",INDEX(INDIRECT("Data_Entry['"&amp;Long_Data[[#This Row],[Indicator Number]]&amp;"'_DSev_4]"),MATCH(Long_Data[[#This Row],[Key]],Data_Entry[Key],0)),"NA")</f>
        <v>0</v>
      </c>
      <c r="P35">
        <f ca="1">IF(Long_Data[[#This Row],[Indicator Class]]="Degree",INDEX(INDIRECT("Data_Entry['"&amp;Long_Data[[#This Row],[Indicator Number]]&amp;"'_DSev_5]"),MATCH(Long_Data[[#This Row],[Key]],Data_Entry[Key],0)),"NA")</f>
        <v>0</v>
      </c>
      <c r="Q35" t="str">
        <f ca="1">IFERROR(IF(Long_Data[[#This Row],[Indicator Class]]="Magnitude", INDEX(INDIRECT("Data_Entry[Sev_"&amp;Long_Data[[#This Row],[Indicator Number]]&amp;"]"),MATCH(Long_Data[[#This Row],[Key]], Data_Entry[Key],0)),"NA"),"")</f>
        <v>NA</v>
      </c>
      <c r="R3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5" s="70">
        <f ca="1">IFERROR(IF(J35="Magnitude",INDEX(INDIRECT("Data_Entry[PIN_"&amp;Long_Data[[#This Row],[Indicator Number]]&amp;"]"),MATCH(Long_Data[[#This Row],[Key]],Data_Entry[Key],0)),SUM(N35:P35)*INDEX(Baseline_Pop[Population],MATCH(Long_Data[[#This Row],[Key]],Baseline_Pop[Key],0))),"")</f>
        <v>0</v>
      </c>
    </row>
    <row r="36" spans="2:19">
      <c r="B36">
        <v>35</v>
      </c>
      <c r="C36">
        <v>5</v>
      </c>
      <c r="D36" t="str">
        <f>IFERROR(INDEX(Data_Entry[ADM2_Pcode],MATCH('Step 4-Long Data'!C36,Data_Entry[ID],0)),"NA")</f>
        <v>AF05</v>
      </c>
      <c r="E36" t="str">
        <f>IFERROR(INDEX(Data_Entry[Key],MATCH('Step 4-Long Data'!C36,Data_Entry[ID],0)),"NA")</f>
        <v>AF05-All_Others</v>
      </c>
      <c r="F36">
        <v>2</v>
      </c>
      <c r="G36" t="str">
        <f>IFERROR(INDEX(Framework[Pillar],MATCH('Step 4-Long Data'!F36,Framework[Number],0)),"")</f>
        <v>Humanitarian Conditions</v>
      </c>
      <c r="H36" t="str">
        <f>IFERROR(INDEX(Framework[Sub_Pillar],MATCH('Step 4-Long Data'!F36,Framework[Number],0)),"")</f>
        <v>Coping mechanisms</v>
      </c>
      <c r="I36" t="str">
        <f>IFERROR(INDEX(Framework[Indicator],MATCH('Step 4-Long Data'!F36,Framework[Number],0)),"")</f>
        <v>% of households exceeding higher than average debt (&gt;45,000 AFN)</v>
      </c>
      <c r="J36" t="str">
        <f>IFERROR(INDEX(Framework[Class],MATCH('Step 4-Long Data'!F36,Framework[Number],0)),"")</f>
        <v>Degree</v>
      </c>
      <c r="K36" t="str">
        <f>IFERROR(INDEX(Framework[Critical],MATCH('Step 4-Long Data'!F36,Framework[Number],0)),"")</f>
        <v>No</v>
      </c>
      <c r="L36">
        <f ca="1">IF(Long_Data[[#This Row],[Indicator Class]]="Degree",INDEX(INDIRECT("Data_Entry['"&amp;Long_Data[[#This Row],[Indicator Number]]&amp;"'_DSev_1]"),MATCH(Long_Data[[#This Row],[Key]],Data_Entry[Key],0)),"NA")</f>
        <v>6.8104098933647605E-2</v>
      </c>
      <c r="M36">
        <f ca="1">IF(Long_Data[[#This Row],[Indicator Class]]="Degree",INDEX(INDIRECT("Data_Entry['"&amp;Long_Data[[#This Row],[Indicator Number]]&amp;"'_DSev_2]"),MATCH(Long_Data[[#This Row],[Key]],Data_Entry[Key],0)),"NA")</f>
        <v>0.311083593592621</v>
      </c>
      <c r="N36">
        <f ca="1">IF(Long_Data[[#This Row],[Indicator Class]]="Degree",INDEX(INDIRECT("Data_Entry['"&amp;Long_Data[[#This Row],[Indicator Number]]&amp;"'_DSev_3]"),MATCH(Long_Data[[#This Row],[Key]],Data_Entry[Key],0)),"NA")</f>
        <v>0.17892337894850802</v>
      </c>
      <c r="O36">
        <f ca="1">IF(Long_Data[[#This Row],[Indicator Class]]="Degree",INDEX(INDIRECT("Data_Entry['"&amp;Long_Data[[#This Row],[Indicator Number]]&amp;"'_DSev_4]"),MATCH(Long_Data[[#This Row],[Key]],Data_Entry[Key],0)),"NA")</f>
        <v>0.44188892852522299</v>
      </c>
      <c r="P36">
        <f ca="1">IF(Long_Data[[#This Row],[Indicator Class]]="Degree",INDEX(INDIRECT("Data_Entry['"&amp;Long_Data[[#This Row],[Indicator Number]]&amp;"'_DSev_5]"),MATCH(Long_Data[[#This Row],[Key]],Data_Entry[Key],0)),"NA")</f>
        <v>0</v>
      </c>
      <c r="Q36" t="str">
        <f ca="1">IFERROR(IF(Long_Data[[#This Row],[Indicator Class]]="Magnitude", INDEX(INDIRECT("Data_Entry[Sev_"&amp;Long_Data[[#This Row],[Indicator Number]]&amp;"]"),MATCH(Long_Data[[#This Row],[Key]], Data_Entry[Key],0)),"NA"),"")</f>
        <v>NA</v>
      </c>
      <c r="R3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6" s="70">
        <f ca="1">IFERROR(IF(J36="Magnitude",INDEX(INDIRECT("Data_Entry[PIN_"&amp;Long_Data[[#This Row],[Indicator Number]]&amp;"]"),MATCH(Long_Data[[#This Row],[Key]],Data_Entry[Key],0)),SUM(N36:P36)*INDEX(Baseline_Pop[Population],MATCH(Long_Data[[#This Row],[Key]],Baseline_Pop[Key],0))),"")</f>
        <v>243017.5985728995</v>
      </c>
    </row>
    <row r="37" spans="2:19">
      <c r="B37">
        <v>36</v>
      </c>
      <c r="C37">
        <v>6</v>
      </c>
      <c r="D37" t="str">
        <f>IFERROR(INDEX(Data_Entry[ADM2_Pcode],MATCH('Step 4-Long Data'!C37,Data_Entry[ID],0)),"NA")</f>
        <v>AF06</v>
      </c>
      <c r="E37" t="str">
        <f>IFERROR(INDEX(Data_Entry[Key],MATCH('Step 4-Long Data'!C37,Data_Entry[ID],0)),"NA")</f>
        <v>AF06-All_Others</v>
      </c>
      <c r="F37">
        <v>2</v>
      </c>
      <c r="G37" t="str">
        <f>IFERROR(INDEX(Framework[Pillar],MATCH('Step 4-Long Data'!F37,Framework[Number],0)),"")</f>
        <v>Humanitarian Conditions</v>
      </c>
      <c r="H37" t="str">
        <f>IFERROR(INDEX(Framework[Sub_Pillar],MATCH('Step 4-Long Data'!F37,Framework[Number],0)),"")</f>
        <v>Coping mechanisms</v>
      </c>
      <c r="I37" t="str">
        <f>IFERROR(INDEX(Framework[Indicator],MATCH('Step 4-Long Data'!F37,Framework[Number],0)),"")</f>
        <v>% of households exceeding higher than average debt (&gt;45,000 AFN)</v>
      </c>
      <c r="J37" t="str">
        <f>IFERROR(INDEX(Framework[Class],MATCH('Step 4-Long Data'!F37,Framework[Number],0)),"")</f>
        <v>Degree</v>
      </c>
      <c r="K37" t="str">
        <f>IFERROR(INDEX(Framework[Critical],MATCH('Step 4-Long Data'!F37,Framework[Number],0)),"")</f>
        <v>No</v>
      </c>
      <c r="L37">
        <f ca="1">IF(Long_Data[[#This Row],[Indicator Class]]="Degree",INDEX(INDIRECT("Data_Entry['"&amp;Long_Data[[#This Row],[Indicator Number]]&amp;"'_DSev_1]"),MATCH(Long_Data[[#This Row],[Key]],Data_Entry[Key],0)),"NA")</f>
        <v>7.7251944464981903E-2</v>
      </c>
      <c r="M37">
        <f ca="1">IF(Long_Data[[#This Row],[Indicator Class]]="Degree",INDEX(INDIRECT("Data_Entry['"&amp;Long_Data[[#This Row],[Indicator Number]]&amp;"'_DSev_2]"),MATCH(Long_Data[[#This Row],[Key]],Data_Entry[Key],0)),"NA")</f>
        <v>0.667714772429577</v>
      </c>
      <c r="N37">
        <f ca="1">IF(Long_Data[[#This Row],[Indicator Class]]="Degree",INDEX(INDIRECT("Data_Entry['"&amp;Long_Data[[#This Row],[Indicator Number]]&amp;"'_DSev_3]"),MATCH(Long_Data[[#This Row],[Key]],Data_Entry[Key],0)),"NA")</f>
        <v>0.142809015551703</v>
      </c>
      <c r="O37">
        <f ca="1">IF(Long_Data[[#This Row],[Indicator Class]]="Degree",INDEX(INDIRECT("Data_Entry['"&amp;Long_Data[[#This Row],[Indicator Number]]&amp;"'_DSev_4]"),MATCH(Long_Data[[#This Row],[Key]],Data_Entry[Key],0)),"NA")</f>
        <v>0.11222426755373799</v>
      </c>
      <c r="P37">
        <f ca="1">IF(Long_Data[[#This Row],[Indicator Class]]="Degree",INDEX(INDIRECT("Data_Entry['"&amp;Long_Data[[#This Row],[Indicator Number]]&amp;"'_DSev_5]"),MATCH(Long_Data[[#This Row],[Key]],Data_Entry[Key],0)),"NA")</f>
        <v>0</v>
      </c>
      <c r="Q37" t="str">
        <f ca="1">IFERROR(IF(Long_Data[[#This Row],[Indicator Class]]="Magnitude", INDEX(INDIRECT("Data_Entry[Sev_"&amp;Long_Data[[#This Row],[Indicator Number]]&amp;"]"),MATCH(Long_Data[[#This Row],[Key]], Data_Entry[Key],0)),"NA"),"")</f>
        <v>NA</v>
      </c>
      <c r="R3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7" s="70">
        <f ca="1">IFERROR(IF(J37="Magnitude",INDEX(INDIRECT("Data_Entry[PIN_"&amp;Long_Data[[#This Row],[Indicator Number]]&amp;"]"),MATCH(Long_Data[[#This Row],[Key]],Data_Entry[Key],0)),SUM(N37:P37)*INDEX(Baseline_Pop[Population],MATCH(Long_Data[[#This Row],[Key]],Baseline_Pop[Key],0))),"")</f>
        <v>391103.740973518</v>
      </c>
    </row>
    <row r="38" spans="2:19">
      <c r="B38">
        <v>37</v>
      </c>
      <c r="C38">
        <v>7</v>
      </c>
      <c r="D38" t="str">
        <f>IFERROR(INDEX(Data_Entry[ADM2_Pcode],MATCH('Step 4-Long Data'!C38,Data_Entry[ID],0)),"NA")</f>
        <v>AF07</v>
      </c>
      <c r="E38" t="str">
        <f>IFERROR(INDEX(Data_Entry[Key],MATCH('Step 4-Long Data'!C38,Data_Entry[ID],0)),"NA")</f>
        <v>AF07-All_Others</v>
      </c>
      <c r="F38">
        <v>2</v>
      </c>
      <c r="G38" t="str">
        <f>IFERROR(INDEX(Framework[Pillar],MATCH('Step 4-Long Data'!F38,Framework[Number],0)),"")</f>
        <v>Humanitarian Conditions</v>
      </c>
      <c r="H38" t="str">
        <f>IFERROR(INDEX(Framework[Sub_Pillar],MATCH('Step 4-Long Data'!F38,Framework[Number],0)),"")</f>
        <v>Coping mechanisms</v>
      </c>
      <c r="I38" t="str">
        <f>IFERROR(INDEX(Framework[Indicator],MATCH('Step 4-Long Data'!F38,Framework[Number],0)),"")</f>
        <v>% of households exceeding higher than average debt (&gt;45,000 AFN)</v>
      </c>
      <c r="J38" t="str">
        <f>IFERROR(INDEX(Framework[Class],MATCH('Step 4-Long Data'!F38,Framework[Number],0)),"")</f>
        <v>Degree</v>
      </c>
      <c r="K38" t="str">
        <f>IFERROR(INDEX(Framework[Critical],MATCH('Step 4-Long Data'!F38,Framework[Number],0)),"")</f>
        <v>No</v>
      </c>
      <c r="L38">
        <f ca="1">IF(Long_Data[[#This Row],[Indicator Class]]="Degree",INDEX(INDIRECT("Data_Entry['"&amp;Long_Data[[#This Row],[Indicator Number]]&amp;"'_DSev_1]"),MATCH(Long_Data[[#This Row],[Key]],Data_Entry[Key],0)),"NA")</f>
        <v>0.13456255666328501</v>
      </c>
      <c r="M38">
        <f ca="1">IF(Long_Data[[#This Row],[Indicator Class]]="Degree",INDEX(INDIRECT("Data_Entry['"&amp;Long_Data[[#This Row],[Indicator Number]]&amp;"'_DSev_2]"),MATCH(Long_Data[[#This Row],[Key]],Data_Entry[Key],0)),"NA")</f>
        <v>0.40858569809563794</v>
      </c>
      <c r="N38">
        <f ca="1">IF(Long_Data[[#This Row],[Indicator Class]]="Degree",INDEX(INDIRECT("Data_Entry['"&amp;Long_Data[[#This Row],[Indicator Number]]&amp;"'_DSev_3]"),MATCH(Long_Data[[#This Row],[Key]],Data_Entry[Key],0)),"NA")</f>
        <v>0.17782069356257502</v>
      </c>
      <c r="O38">
        <f ca="1">IF(Long_Data[[#This Row],[Indicator Class]]="Degree",INDEX(INDIRECT("Data_Entry['"&amp;Long_Data[[#This Row],[Indicator Number]]&amp;"'_DSev_4]"),MATCH(Long_Data[[#This Row],[Key]],Data_Entry[Key],0)),"NA")</f>
        <v>0.27903105167850101</v>
      </c>
      <c r="P38">
        <f ca="1">IF(Long_Data[[#This Row],[Indicator Class]]="Degree",INDEX(INDIRECT("Data_Entry['"&amp;Long_Data[[#This Row],[Indicator Number]]&amp;"'_DSev_5]"),MATCH(Long_Data[[#This Row],[Key]],Data_Entry[Key],0)),"NA")</f>
        <v>0</v>
      </c>
      <c r="Q38" t="str">
        <f ca="1">IFERROR(IF(Long_Data[[#This Row],[Indicator Class]]="Magnitude", INDEX(INDIRECT("Data_Entry[Sev_"&amp;Long_Data[[#This Row],[Indicator Number]]&amp;"]"),MATCH(Long_Data[[#This Row],[Key]], Data_Entry[Key],0)),"NA"),"")</f>
        <v>NA</v>
      </c>
      <c r="R38">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8" s="70">
        <f ca="1">IFERROR(IF(J38="Magnitude",INDEX(INDIRECT("Data_Entry[PIN_"&amp;Long_Data[[#This Row],[Indicator Number]]&amp;"]"),MATCH(Long_Data[[#This Row],[Key]],Data_Entry[Key],0)),SUM(N38:P38)*INDEX(Baseline_Pop[Population],MATCH(Long_Data[[#This Row],[Key]],Baseline_Pop[Key],0))),"")</f>
        <v>203172.0218471018</v>
      </c>
    </row>
    <row r="39" spans="2:19">
      <c r="B39">
        <v>38</v>
      </c>
      <c r="C39">
        <v>8</v>
      </c>
      <c r="D39" t="str">
        <f>IFERROR(INDEX(Data_Entry[ADM2_Pcode],MATCH('Step 4-Long Data'!C39,Data_Entry[ID],0)),"NA")</f>
        <v>AF08</v>
      </c>
      <c r="E39" t="str">
        <f>IFERROR(INDEX(Data_Entry[Key],MATCH('Step 4-Long Data'!C39,Data_Entry[ID],0)),"NA")</f>
        <v>AF08-All_Others</v>
      </c>
      <c r="F39">
        <v>2</v>
      </c>
      <c r="G39" t="str">
        <f>IFERROR(INDEX(Framework[Pillar],MATCH('Step 4-Long Data'!F39,Framework[Number],0)),"")</f>
        <v>Humanitarian Conditions</v>
      </c>
      <c r="H39" t="str">
        <f>IFERROR(INDEX(Framework[Sub_Pillar],MATCH('Step 4-Long Data'!F39,Framework[Number],0)),"")</f>
        <v>Coping mechanisms</v>
      </c>
      <c r="I39" t="str">
        <f>IFERROR(INDEX(Framework[Indicator],MATCH('Step 4-Long Data'!F39,Framework[Number],0)),"")</f>
        <v>% of households exceeding higher than average debt (&gt;45,000 AFN)</v>
      </c>
      <c r="J39" t="str">
        <f>IFERROR(INDEX(Framework[Class],MATCH('Step 4-Long Data'!F39,Framework[Number],0)),"")</f>
        <v>Degree</v>
      </c>
      <c r="K39" t="str">
        <f>IFERROR(INDEX(Framework[Critical],MATCH('Step 4-Long Data'!F39,Framework[Number],0)),"")</f>
        <v>No</v>
      </c>
      <c r="L39">
        <f ca="1">IF(Long_Data[[#This Row],[Indicator Class]]="Degree",INDEX(INDIRECT("Data_Entry['"&amp;Long_Data[[#This Row],[Indicator Number]]&amp;"'_DSev_1]"),MATCH(Long_Data[[#This Row],[Key]],Data_Entry[Key],0)),"NA")</f>
        <v>0.16</v>
      </c>
      <c r="M39">
        <f ca="1">IF(Long_Data[[#This Row],[Indicator Class]]="Degree",INDEX(INDIRECT("Data_Entry['"&amp;Long_Data[[#This Row],[Indicator Number]]&amp;"'_DSev_2]"),MATCH(Long_Data[[#This Row],[Key]],Data_Entry[Key],0)),"NA")</f>
        <v>0.45333333333333298</v>
      </c>
      <c r="N39">
        <f ca="1">IF(Long_Data[[#This Row],[Indicator Class]]="Degree",INDEX(INDIRECT("Data_Entry['"&amp;Long_Data[[#This Row],[Indicator Number]]&amp;"'_DSev_3]"),MATCH(Long_Data[[#This Row],[Key]],Data_Entry[Key],0)),"NA")</f>
        <v>0.17333333333333301</v>
      </c>
      <c r="O39">
        <f ca="1">IF(Long_Data[[#This Row],[Indicator Class]]="Degree",INDEX(INDIRECT("Data_Entry['"&amp;Long_Data[[#This Row],[Indicator Number]]&amp;"'_DSev_4]"),MATCH(Long_Data[[#This Row],[Key]],Data_Entry[Key],0)),"NA")</f>
        <v>0.21333333333333301</v>
      </c>
      <c r="P39">
        <f ca="1">IF(Long_Data[[#This Row],[Indicator Class]]="Degree",INDEX(INDIRECT("Data_Entry['"&amp;Long_Data[[#This Row],[Indicator Number]]&amp;"'_DSev_5]"),MATCH(Long_Data[[#This Row],[Key]],Data_Entry[Key],0)),"NA")</f>
        <v>0</v>
      </c>
      <c r="Q39" t="str">
        <f ca="1">IFERROR(IF(Long_Data[[#This Row],[Indicator Class]]="Magnitude", INDEX(INDIRECT("Data_Entry[Sev_"&amp;Long_Data[[#This Row],[Indicator Number]]&amp;"]"),MATCH(Long_Data[[#This Row],[Key]], Data_Entry[Key],0)),"NA"),"")</f>
        <v>NA</v>
      </c>
      <c r="R3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9" s="70">
        <f ca="1">IFERROR(IF(J39="Magnitude",INDEX(INDIRECT("Data_Entry[PIN_"&amp;Long_Data[[#This Row],[Indicator Number]]&amp;"]"),MATCH(Long_Data[[#This Row],[Key]],Data_Entry[Key],0)),SUM(N39:P39)*INDEX(Baseline_Pop[Population],MATCH(Long_Data[[#This Row],[Key]],Baseline_Pop[Key],0))),"")</f>
        <v>59211.813333333237</v>
      </c>
    </row>
    <row r="40" spans="2:19">
      <c r="B40">
        <v>39</v>
      </c>
      <c r="C40">
        <v>9</v>
      </c>
      <c r="D40" t="str">
        <f>IFERROR(INDEX(Data_Entry[ADM2_Pcode],MATCH('Step 4-Long Data'!C40,Data_Entry[ID],0)),"NA")</f>
        <v>AF09</v>
      </c>
      <c r="E40" t="str">
        <f>IFERROR(INDEX(Data_Entry[Key],MATCH('Step 4-Long Data'!C40,Data_Entry[ID],0)),"NA")</f>
        <v>AF09-All_Others</v>
      </c>
      <c r="F40">
        <v>2</v>
      </c>
      <c r="G40" t="str">
        <f>IFERROR(INDEX(Framework[Pillar],MATCH('Step 4-Long Data'!F40,Framework[Number],0)),"")</f>
        <v>Humanitarian Conditions</v>
      </c>
      <c r="H40" t="str">
        <f>IFERROR(INDEX(Framework[Sub_Pillar],MATCH('Step 4-Long Data'!F40,Framework[Number],0)),"")</f>
        <v>Coping mechanisms</v>
      </c>
      <c r="I40" t="str">
        <f>IFERROR(INDEX(Framework[Indicator],MATCH('Step 4-Long Data'!F40,Framework[Number],0)),"")</f>
        <v>% of households exceeding higher than average debt (&gt;45,000 AFN)</v>
      </c>
      <c r="J40" t="str">
        <f>IFERROR(INDEX(Framework[Class],MATCH('Step 4-Long Data'!F40,Framework[Number],0)),"")</f>
        <v>Degree</v>
      </c>
      <c r="K40" t="str">
        <f>IFERROR(INDEX(Framework[Critical],MATCH('Step 4-Long Data'!F40,Framework[Number],0)),"")</f>
        <v>No</v>
      </c>
      <c r="L40">
        <f ca="1">IF(Long_Data[[#This Row],[Indicator Class]]="Degree",INDEX(INDIRECT("Data_Entry['"&amp;Long_Data[[#This Row],[Indicator Number]]&amp;"'_DSev_1]"),MATCH(Long_Data[[#This Row],[Key]],Data_Entry[Key],0)),"NA")</f>
        <v>2.2388493007297502E-2</v>
      </c>
      <c r="M40">
        <f ca="1">IF(Long_Data[[#This Row],[Indicator Class]]="Degree",INDEX(INDIRECT("Data_Entry['"&amp;Long_Data[[#This Row],[Indicator Number]]&amp;"'_DSev_2]"),MATCH(Long_Data[[#This Row],[Key]],Data_Entry[Key],0)),"NA")</f>
        <v>0.281330815600628</v>
      </c>
      <c r="N40">
        <f ca="1">IF(Long_Data[[#This Row],[Indicator Class]]="Degree",INDEX(INDIRECT("Data_Entry['"&amp;Long_Data[[#This Row],[Indicator Number]]&amp;"'_DSev_3]"),MATCH(Long_Data[[#This Row],[Key]],Data_Entry[Key],0)),"NA")</f>
        <v>0.201728897768511</v>
      </c>
      <c r="O40">
        <f ca="1">IF(Long_Data[[#This Row],[Indicator Class]]="Degree",INDEX(INDIRECT("Data_Entry['"&amp;Long_Data[[#This Row],[Indicator Number]]&amp;"'_DSev_4]"),MATCH(Long_Data[[#This Row],[Key]],Data_Entry[Key],0)),"NA")</f>
        <v>0.494551793623563</v>
      </c>
      <c r="P40">
        <f ca="1">IF(Long_Data[[#This Row],[Indicator Class]]="Degree",INDEX(INDIRECT("Data_Entry['"&amp;Long_Data[[#This Row],[Indicator Number]]&amp;"'_DSev_5]"),MATCH(Long_Data[[#This Row],[Key]],Data_Entry[Key],0)),"NA")</f>
        <v>0</v>
      </c>
      <c r="Q40" t="str">
        <f ca="1">IFERROR(IF(Long_Data[[#This Row],[Indicator Class]]="Magnitude", INDEX(INDIRECT("Data_Entry[Sev_"&amp;Long_Data[[#This Row],[Indicator Number]]&amp;"]"),MATCH(Long_Data[[#This Row],[Key]], Data_Entry[Key],0)),"NA"),"")</f>
        <v>NA</v>
      </c>
      <c r="R4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40" s="70">
        <f ca="1">IFERROR(IF(J40="Magnitude",INDEX(INDIRECT("Data_Entry[PIN_"&amp;Long_Data[[#This Row],[Indicator Number]]&amp;"]"),MATCH(Long_Data[[#This Row],[Key]],Data_Entry[Key],0)),SUM(N40:P40)*INDEX(Baseline_Pop[Population],MATCH(Long_Data[[#This Row],[Key]],Baseline_Pop[Key],0))),"")</f>
        <v>636658.17578817077</v>
      </c>
    </row>
    <row r="41" spans="2:19">
      <c r="B41">
        <v>40</v>
      </c>
      <c r="C41">
        <v>10</v>
      </c>
      <c r="D41" t="str">
        <f>IFERROR(INDEX(Data_Entry[ADM2_Pcode],MATCH('Step 4-Long Data'!C41,Data_Entry[ID],0)),"NA")</f>
        <v>AF10</v>
      </c>
      <c r="E41" t="str">
        <f>IFERROR(INDEX(Data_Entry[Key],MATCH('Step 4-Long Data'!C41,Data_Entry[ID],0)),"NA")</f>
        <v>AF10-All_Others</v>
      </c>
      <c r="F41">
        <v>2</v>
      </c>
      <c r="G41" t="str">
        <f>IFERROR(INDEX(Framework[Pillar],MATCH('Step 4-Long Data'!F41,Framework[Number],0)),"")</f>
        <v>Humanitarian Conditions</v>
      </c>
      <c r="H41" t="str">
        <f>IFERROR(INDEX(Framework[Sub_Pillar],MATCH('Step 4-Long Data'!F41,Framework[Number],0)),"")</f>
        <v>Coping mechanisms</v>
      </c>
      <c r="I41" t="str">
        <f>IFERROR(INDEX(Framework[Indicator],MATCH('Step 4-Long Data'!F41,Framework[Number],0)),"")</f>
        <v>% of households exceeding higher than average debt (&gt;45,000 AFN)</v>
      </c>
      <c r="J41" t="str">
        <f>IFERROR(INDEX(Framework[Class],MATCH('Step 4-Long Data'!F41,Framework[Number],0)),"")</f>
        <v>Degree</v>
      </c>
      <c r="K41" t="str">
        <f>IFERROR(INDEX(Framework[Critical],MATCH('Step 4-Long Data'!F41,Framework[Number],0)),"")</f>
        <v>No</v>
      </c>
      <c r="L41">
        <f ca="1">IF(Long_Data[[#This Row],[Indicator Class]]="Degree",INDEX(INDIRECT("Data_Entry['"&amp;Long_Data[[#This Row],[Indicator Number]]&amp;"'_DSev_1]"),MATCH(Long_Data[[#This Row],[Key]],Data_Entry[Key],0)),"NA")</f>
        <v>2.4242424242424197E-2</v>
      </c>
      <c r="M41">
        <f ca="1">IF(Long_Data[[#This Row],[Indicator Class]]="Degree",INDEX(INDIRECT("Data_Entry['"&amp;Long_Data[[#This Row],[Indicator Number]]&amp;"'_DSev_2]"),MATCH(Long_Data[[#This Row],[Key]],Data_Entry[Key],0)),"NA")</f>
        <v>0.20606060606060597</v>
      </c>
      <c r="N41">
        <f ca="1">IF(Long_Data[[#This Row],[Indicator Class]]="Degree",INDEX(INDIRECT("Data_Entry['"&amp;Long_Data[[#This Row],[Indicator Number]]&amp;"'_DSev_3]"),MATCH(Long_Data[[#This Row],[Key]],Data_Entry[Key],0)),"NA")</f>
        <v>0.21212121212121202</v>
      </c>
      <c r="O41">
        <f ca="1">IF(Long_Data[[#This Row],[Indicator Class]]="Degree",INDEX(INDIRECT("Data_Entry['"&amp;Long_Data[[#This Row],[Indicator Number]]&amp;"'_DSev_4]"),MATCH(Long_Data[[#This Row],[Key]],Data_Entry[Key],0)),"NA")</f>
        <v>0.55757575757575806</v>
      </c>
      <c r="P41">
        <f ca="1">IF(Long_Data[[#This Row],[Indicator Class]]="Degree",INDEX(INDIRECT("Data_Entry['"&amp;Long_Data[[#This Row],[Indicator Number]]&amp;"'_DSev_5]"),MATCH(Long_Data[[#This Row],[Key]],Data_Entry[Key],0)),"NA")</f>
        <v>0</v>
      </c>
      <c r="Q41" t="str">
        <f ca="1">IFERROR(IF(Long_Data[[#This Row],[Indicator Class]]="Magnitude", INDEX(INDIRECT("Data_Entry[Sev_"&amp;Long_Data[[#This Row],[Indicator Number]]&amp;"]"),MATCH(Long_Data[[#This Row],[Key]], Data_Entry[Key],0)),"NA"),"")</f>
        <v>NA</v>
      </c>
      <c r="R41">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41" s="70">
        <f ca="1">IFERROR(IF(J41="Magnitude",INDEX(INDIRECT("Data_Entry[PIN_"&amp;Long_Data[[#This Row],[Indicator Number]]&amp;"]"),MATCH(Long_Data[[#This Row],[Key]],Data_Entry[Key],0)),SUM(N41:P41)*INDEX(Baseline_Pop[Population],MATCH(Long_Data[[#This Row],[Key]],Baseline_Pop[Key],0))),"")</f>
        <v>343737.43030303047</v>
      </c>
    </row>
    <row r="42" spans="2:19">
      <c r="B42">
        <v>41</v>
      </c>
      <c r="C42">
        <v>11</v>
      </c>
      <c r="D42" t="str">
        <f>IFERROR(INDEX(Data_Entry[ADM2_Pcode],MATCH('Step 4-Long Data'!C42,Data_Entry[ID],0)),"NA")</f>
        <v>AF01</v>
      </c>
      <c r="E42" t="str">
        <f>IFERROR(INDEX(Data_Entry[Key],MATCH('Step 4-Long Data'!C42,Data_Entry[ID],0)),"NA")</f>
        <v>AF01-Non_Displaced</v>
      </c>
      <c r="F42">
        <v>2</v>
      </c>
      <c r="G42" t="str">
        <f>IFERROR(INDEX(Framework[Pillar],MATCH('Step 4-Long Data'!F42,Framework[Number],0)),"")</f>
        <v>Humanitarian Conditions</v>
      </c>
      <c r="H42" t="str">
        <f>IFERROR(INDEX(Framework[Sub_Pillar],MATCH('Step 4-Long Data'!F42,Framework[Number],0)),"")</f>
        <v>Coping mechanisms</v>
      </c>
      <c r="I42" t="str">
        <f>IFERROR(INDEX(Framework[Indicator],MATCH('Step 4-Long Data'!F42,Framework[Number],0)),"")</f>
        <v>% of households exceeding higher than average debt (&gt;45,000 AFN)</v>
      </c>
      <c r="J42" t="str">
        <f>IFERROR(INDEX(Framework[Class],MATCH('Step 4-Long Data'!F42,Framework[Number],0)),"")</f>
        <v>Degree</v>
      </c>
      <c r="K42" t="str">
        <f>IFERROR(INDEX(Framework[Critical],MATCH('Step 4-Long Data'!F42,Framework[Number],0)),"")</f>
        <v>No</v>
      </c>
      <c r="L42">
        <f ca="1">IF(Long_Data[[#This Row],[Indicator Class]]="Degree",INDEX(INDIRECT("Data_Entry['"&amp;Long_Data[[#This Row],[Indicator Number]]&amp;"'_DSev_1]"),MATCH(Long_Data[[#This Row],[Key]],Data_Entry[Key],0)),"NA")</f>
        <v>0.21621621621621601</v>
      </c>
      <c r="M42">
        <f ca="1">IF(Long_Data[[#This Row],[Indicator Class]]="Degree",INDEX(INDIRECT("Data_Entry['"&amp;Long_Data[[#This Row],[Indicator Number]]&amp;"'_DSev_2]"),MATCH(Long_Data[[#This Row],[Key]],Data_Entry[Key],0)),"NA")</f>
        <v>0.76576576576576594</v>
      </c>
      <c r="N42">
        <f ca="1">IF(Long_Data[[#This Row],[Indicator Class]]="Degree",INDEX(INDIRECT("Data_Entry['"&amp;Long_Data[[#This Row],[Indicator Number]]&amp;"'_DSev_3]"),MATCH(Long_Data[[#This Row],[Key]],Data_Entry[Key],0)),"NA")</f>
        <v>1.8018018018018001E-2</v>
      </c>
      <c r="O42">
        <f ca="1">IF(Long_Data[[#This Row],[Indicator Class]]="Degree",INDEX(INDIRECT("Data_Entry['"&amp;Long_Data[[#This Row],[Indicator Number]]&amp;"'_DSev_4]"),MATCH(Long_Data[[#This Row],[Key]],Data_Entry[Key],0)),"NA")</f>
        <v>0</v>
      </c>
      <c r="P42">
        <f ca="1">IF(Long_Data[[#This Row],[Indicator Class]]="Degree",INDEX(INDIRECT("Data_Entry['"&amp;Long_Data[[#This Row],[Indicator Number]]&amp;"'_DSev_5]"),MATCH(Long_Data[[#This Row],[Key]],Data_Entry[Key],0)),"NA")</f>
        <v>0</v>
      </c>
      <c r="Q42" t="str">
        <f ca="1">IFERROR(IF(Long_Data[[#This Row],[Indicator Class]]="Magnitude", INDEX(INDIRECT("Data_Entry[Sev_"&amp;Long_Data[[#This Row],[Indicator Number]]&amp;"]"),MATCH(Long_Data[[#This Row],[Key]], Data_Entry[Key],0)),"NA"),"")</f>
        <v>NA</v>
      </c>
      <c r="R4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42" s="70">
        <f ca="1">IFERROR(IF(J42="Magnitude",INDEX(INDIRECT("Data_Entry[PIN_"&amp;Long_Data[[#This Row],[Indicator Number]]&amp;"]"),MATCH(Long_Data[[#This Row],[Key]],Data_Entry[Key],0)),SUM(N42:P42)*INDEX(Baseline_Pop[Population],MATCH(Long_Data[[#This Row],[Key]],Baseline_Pop[Key],0))),"")</f>
        <v>12073.009009008998</v>
      </c>
    </row>
    <row r="43" spans="2:19">
      <c r="B43">
        <v>42</v>
      </c>
      <c r="C43">
        <v>12</v>
      </c>
      <c r="D43" t="str">
        <f>IFERROR(INDEX(Data_Entry[ADM2_Pcode],MATCH('Step 4-Long Data'!C43,Data_Entry[ID],0)),"NA")</f>
        <v>AF02</v>
      </c>
      <c r="E43" t="str">
        <f>IFERROR(INDEX(Data_Entry[Key],MATCH('Step 4-Long Data'!C43,Data_Entry[ID],0)),"NA")</f>
        <v>AF02-Non_Displaced</v>
      </c>
      <c r="F43">
        <v>2</v>
      </c>
      <c r="G43" t="str">
        <f>IFERROR(INDEX(Framework[Pillar],MATCH('Step 4-Long Data'!F43,Framework[Number],0)),"")</f>
        <v>Humanitarian Conditions</v>
      </c>
      <c r="H43" t="str">
        <f>IFERROR(INDEX(Framework[Sub_Pillar],MATCH('Step 4-Long Data'!F43,Framework[Number],0)),"")</f>
        <v>Coping mechanisms</v>
      </c>
      <c r="I43" t="str">
        <f>IFERROR(INDEX(Framework[Indicator],MATCH('Step 4-Long Data'!F43,Framework[Number],0)),"")</f>
        <v>% of households exceeding higher than average debt (&gt;45,000 AFN)</v>
      </c>
      <c r="J43" t="str">
        <f>IFERROR(INDEX(Framework[Class],MATCH('Step 4-Long Data'!F43,Framework[Number],0)),"")</f>
        <v>Degree</v>
      </c>
      <c r="K43" t="str">
        <f>IFERROR(INDEX(Framework[Critical],MATCH('Step 4-Long Data'!F43,Framework[Number],0)),"")</f>
        <v>No</v>
      </c>
      <c r="L43">
        <f ca="1">IF(Long_Data[[#This Row],[Indicator Class]]="Degree",INDEX(INDIRECT("Data_Entry['"&amp;Long_Data[[#This Row],[Indicator Number]]&amp;"'_DSev_1]"),MATCH(Long_Data[[#This Row],[Key]],Data_Entry[Key],0)),"NA")</f>
        <v>7.4324324324324301E-2</v>
      </c>
      <c r="M43">
        <f ca="1">IF(Long_Data[[#This Row],[Indicator Class]]="Degree",INDEX(INDIRECT("Data_Entry['"&amp;Long_Data[[#This Row],[Indicator Number]]&amp;"'_DSev_2]"),MATCH(Long_Data[[#This Row],[Key]],Data_Entry[Key],0)),"NA")</f>
        <v>0.42567567567567599</v>
      </c>
      <c r="N43">
        <f ca="1">IF(Long_Data[[#This Row],[Indicator Class]]="Degree",INDEX(INDIRECT("Data_Entry['"&amp;Long_Data[[#This Row],[Indicator Number]]&amp;"'_DSev_3]"),MATCH(Long_Data[[#This Row],[Key]],Data_Entry[Key],0)),"NA")</f>
        <v>0.18243243243243198</v>
      </c>
      <c r="O43">
        <f ca="1">IF(Long_Data[[#This Row],[Indicator Class]]="Degree",INDEX(INDIRECT("Data_Entry['"&amp;Long_Data[[#This Row],[Indicator Number]]&amp;"'_DSev_4]"),MATCH(Long_Data[[#This Row],[Key]],Data_Entry[Key],0)),"NA")</f>
        <v>0.31756756756756799</v>
      </c>
      <c r="P43">
        <f ca="1">IF(Long_Data[[#This Row],[Indicator Class]]="Degree",INDEX(INDIRECT("Data_Entry['"&amp;Long_Data[[#This Row],[Indicator Number]]&amp;"'_DSev_5]"),MATCH(Long_Data[[#This Row],[Key]],Data_Entry[Key],0)),"NA")</f>
        <v>0</v>
      </c>
      <c r="Q43" t="str">
        <f ca="1">IFERROR(IF(Long_Data[[#This Row],[Indicator Class]]="Magnitude", INDEX(INDIRECT("Data_Entry[Sev_"&amp;Long_Data[[#This Row],[Indicator Number]]&amp;"]"),MATCH(Long_Data[[#This Row],[Key]], Data_Entry[Key],0)),"NA"),"")</f>
        <v>NA</v>
      </c>
      <c r="R43">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43" s="70">
        <f ca="1">IFERROR(IF(J43="Magnitude",INDEX(INDIRECT("Data_Entry[PIN_"&amp;Long_Data[[#This Row],[Indicator Number]]&amp;"]"),MATCH(Long_Data[[#This Row],[Key]],Data_Entry[Key],0)),SUM(N43:P43)*INDEX(Baseline_Pop[Population],MATCH(Long_Data[[#This Row],[Key]],Baseline_Pop[Key],0))),"")</f>
        <v>31432</v>
      </c>
    </row>
    <row r="44" spans="2:19">
      <c r="B44">
        <v>43</v>
      </c>
      <c r="C44">
        <v>13</v>
      </c>
      <c r="D44" t="str">
        <f>IFERROR(INDEX(Data_Entry[ADM2_Pcode],MATCH('Step 4-Long Data'!C44,Data_Entry[ID],0)),"NA")</f>
        <v>AF03</v>
      </c>
      <c r="E44" t="str">
        <f>IFERROR(INDEX(Data_Entry[Key],MATCH('Step 4-Long Data'!C44,Data_Entry[ID],0)),"NA")</f>
        <v>AF03-Non_Displaced</v>
      </c>
      <c r="F44">
        <v>2</v>
      </c>
      <c r="G44" t="str">
        <f>IFERROR(INDEX(Framework[Pillar],MATCH('Step 4-Long Data'!F44,Framework[Number],0)),"")</f>
        <v>Humanitarian Conditions</v>
      </c>
      <c r="H44" t="str">
        <f>IFERROR(INDEX(Framework[Sub_Pillar],MATCH('Step 4-Long Data'!F44,Framework[Number],0)),"")</f>
        <v>Coping mechanisms</v>
      </c>
      <c r="I44" t="str">
        <f>IFERROR(INDEX(Framework[Indicator],MATCH('Step 4-Long Data'!F44,Framework[Number],0)),"")</f>
        <v>% of households exceeding higher than average debt (&gt;45,000 AFN)</v>
      </c>
      <c r="J44" t="str">
        <f>IFERROR(INDEX(Framework[Class],MATCH('Step 4-Long Data'!F44,Framework[Number],0)),"")</f>
        <v>Degree</v>
      </c>
      <c r="K44" t="str">
        <f>IFERROR(INDEX(Framework[Critical],MATCH('Step 4-Long Data'!F44,Framework[Number],0)),"")</f>
        <v>No</v>
      </c>
      <c r="L44">
        <f ca="1">IF(Long_Data[[#This Row],[Indicator Class]]="Degree",INDEX(INDIRECT("Data_Entry['"&amp;Long_Data[[#This Row],[Indicator Number]]&amp;"'_DSev_1]"),MATCH(Long_Data[[#This Row],[Key]],Data_Entry[Key],0)),"NA")</f>
        <v>4.8780487804878002E-2</v>
      </c>
      <c r="M44">
        <f ca="1">IF(Long_Data[[#This Row],[Indicator Class]]="Degree",INDEX(INDIRECT("Data_Entry['"&amp;Long_Data[[#This Row],[Indicator Number]]&amp;"'_DSev_2]"),MATCH(Long_Data[[#This Row],[Key]],Data_Entry[Key],0)),"NA")</f>
        <v>6.0975609756097594E-2</v>
      </c>
      <c r="N44">
        <f ca="1">IF(Long_Data[[#This Row],[Indicator Class]]="Degree",INDEX(INDIRECT("Data_Entry['"&amp;Long_Data[[#This Row],[Indicator Number]]&amp;"'_DSev_3]"),MATCH(Long_Data[[#This Row],[Key]],Data_Entry[Key],0)),"NA")</f>
        <v>0.20121951219512202</v>
      </c>
      <c r="O44">
        <f ca="1">IF(Long_Data[[#This Row],[Indicator Class]]="Degree",INDEX(INDIRECT("Data_Entry['"&amp;Long_Data[[#This Row],[Indicator Number]]&amp;"'_DSev_4]"),MATCH(Long_Data[[#This Row],[Key]],Data_Entry[Key],0)),"NA")</f>
        <v>0.68902439024390205</v>
      </c>
      <c r="P44">
        <f ca="1">IF(Long_Data[[#This Row],[Indicator Class]]="Degree",INDEX(INDIRECT("Data_Entry['"&amp;Long_Data[[#This Row],[Indicator Number]]&amp;"'_DSev_5]"),MATCH(Long_Data[[#This Row],[Key]],Data_Entry[Key],0)),"NA")</f>
        <v>0</v>
      </c>
      <c r="Q44" t="str">
        <f ca="1">IFERROR(IF(Long_Data[[#This Row],[Indicator Class]]="Magnitude", INDEX(INDIRECT("Data_Entry[Sev_"&amp;Long_Data[[#This Row],[Indicator Number]]&amp;"]"),MATCH(Long_Data[[#This Row],[Key]], Data_Entry[Key],0)),"NA"),"")</f>
        <v>NA</v>
      </c>
      <c r="R44">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44" s="70">
        <f ca="1">IFERROR(IF(J44="Magnitude",INDEX(INDIRECT("Data_Entry[PIN_"&amp;Long_Data[[#This Row],[Indicator Number]]&amp;"]"),MATCH(Long_Data[[#This Row],[Key]],Data_Entry[Key],0)),SUM(N44:P44)*INDEX(Baseline_Pop[Population],MATCH(Long_Data[[#This Row],[Key]],Baseline_Pop[Key],0))),"")</f>
        <v>84548.24390243899</v>
      </c>
    </row>
    <row r="45" spans="2:19">
      <c r="B45">
        <v>44</v>
      </c>
      <c r="C45">
        <v>14</v>
      </c>
      <c r="D45" t="str">
        <f>IFERROR(INDEX(Data_Entry[ADM2_Pcode],MATCH('Step 4-Long Data'!C45,Data_Entry[ID],0)),"NA")</f>
        <v>AF04</v>
      </c>
      <c r="E45" t="str">
        <f>IFERROR(INDEX(Data_Entry[Key],MATCH('Step 4-Long Data'!C45,Data_Entry[ID],0)),"NA")</f>
        <v>AF04-Non_Displaced</v>
      </c>
      <c r="F45">
        <v>2</v>
      </c>
      <c r="G45" t="str">
        <f>IFERROR(INDEX(Framework[Pillar],MATCH('Step 4-Long Data'!F45,Framework[Number],0)),"")</f>
        <v>Humanitarian Conditions</v>
      </c>
      <c r="H45" t="str">
        <f>IFERROR(INDEX(Framework[Sub_Pillar],MATCH('Step 4-Long Data'!F45,Framework[Number],0)),"")</f>
        <v>Coping mechanisms</v>
      </c>
      <c r="I45" t="str">
        <f>IFERROR(INDEX(Framework[Indicator],MATCH('Step 4-Long Data'!F45,Framework[Number],0)),"")</f>
        <v>% of households exceeding higher than average debt (&gt;45,000 AFN)</v>
      </c>
      <c r="J45" t="str">
        <f>IFERROR(INDEX(Framework[Class],MATCH('Step 4-Long Data'!F45,Framework[Number],0)),"")</f>
        <v>Degree</v>
      </c>
      <c r="K45" t="str">
        <f>IFERROR(INDEX(Framework[Critical],MATCH('Step 4-Long Data'!F45,Framework[Number],0)),"")</f>
        <v>No</v>
      </c>
      <c r="L45">
        <f ca="1">IF(Long_Data[[#This Row],[Indicator Class]]="Degree",INDEX(INDIRECT("Data_Entry['"&amp;Long_Data[[#This Row],[Indicator Number]]&amp;"'_DSev_1]"),MATCH(Long_Data[[#This Row],[Key]],Data_Entry[Key],0)),"NA")</f>
        <v>0</v>
      </c>
      <c r="M45">
        <f ca="1">IF(Long_Data[[#This Row],[Indicator Class]]="Degree",INDEX(INDIRECT("Data_Entry['"&amp;Long_Data[[#This Row],[Indicator Number]]&amp;"'_DSev_2]"),MATCH(Long_Data[[#This Row],[Key]],Data_Entry[Key],0)),"NA")</f>
        <v>1</v>
      </c>
      <c r="N45">
        <f ca="1">IF(Long_Data[[#This Row],[Indicator Class]]="Degree",INDEX(INDIRECT("Data_Entry['"&amp;Long_Data[[#This Row],[Indicator Number]]&amp;"'_DSev_3]"),MATCH(Long_Data[[#This Row],[Key]],Data_Entry[Key],0)),"NA")</f>
        <v>0</v>
      </c>
      <c r="O45">
        <f ca="1">IF(Long_Data[[#This Row],[Indicator Class]]="Degree",INDEX(INDIRECT("Data_Entry['"&amp;Long_Data[[#This Row],[Indicator Number]]&amp;"'_DSev_4]"),MATCH(Long_Data[[#This Row],[Key]],Data_Entry[Key],0)),"NA")</f>
        <v>0</v>
      </c>
      <c r="P45">
        <f ca="1">IF(Long_Data[[#This Row],[Indicator Class]]="Degree",INDEX(INDIRECT("Data_Entry['"&amp;Long_Data[[#This Row],[Indicator Number]]&amp;"'_DSev_5]"),MATCH(Long_Data[[#This Row],[Key]],Data_Entry[Key],0)),"NA")</f>
        <v>0</v>
      </c>
      <c r="Q45" t="str">
        <f ca="1">IFERROR(IF(Long_Data[[#This Row],[Indicator Class]]="Magnitude", INDEX(INDIRECT("Data_Entry[Sev_"&amp;Long_Data[[#This Row],[Indicator Number]]&amp;"]"),MATCH(Long_Data[[#This Row],[Key]], Data_Entry[Key],0)),"NA"),"")</f>
        <v>NA</v>
      </c>
      <c r="R4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45" s="70">
        <f ca="1">IFERROR(IF(J45="Magnitude",INDEX(INDIRECT("Data_Entry[PIN_"&amp;Long_Data[[#This Row],[Indicator Number]]&amp;"]"),MATCH(Long_Data[[#This Row],[Key]],Data_Entry[Key],0)),SUM(N45:P45)*INDEX(Baseline_Pop[Population],MATCH(Long_Data[[#This Row],[Key]],Baseline_Pop[Key],0))),"")</f>
        <v>0</v>
      </c>
    </row>
    <row r="46" spans="2:19">
      <c r="B46">
        <v>45</v>
      </c>
      <c r="C46">
        <v>15</v>
      </c>
      <c r="D46" t="str">
        <f>IFERROR(INDEX(Data_Entry[ADM2_Pcode],MATCH('Step 4-Long Data'!C46,Data_Entry[ID],0)),"NA")</f>
        <v>AF05</v>
      </c>
      <c r="E46" t="str">
        <f>IFERROR(INDEX(Data_Entry[Key],MATCH('Step 4-Long Data'!C46,Data_Entry[ID],0)),"NA")</f>
        <v>AF05-Non_Displaced</v>
      </c>
      <c r="F46">
        <v>2</v>
      </c>
      <c r="G46" t="str">
        <f>IFERROR(INDEX(Framework[Pillar],MATCH('Step 4-Long Data'!F46,Framework[Number],0)),"")</f>
        <v>Humanitarian Conditions</v>
      </c>
      <c r="H46" t="str">
        <f>IFERROR(INDEX(Framework[Sub_Pillar],MATCH('Step 4-Long Data'!F46,Framework[Number],0)),"")</f>
        <v>Coping mechanisms</v>
      </c>
      <c r="I46" t="str">
        <f>IFERROR(INDEX(Framework[Indicator],MATCH('Step 4-Long Data'!F46,Framework[Number],0)),"")</f>
        <v>% of households exceeding higher than average debt (&gt;45,000 AFN)</v>
      </c>
      <c r="J46" t="str">
        <f>IFERROR(INDEX(Framework[Class],MATCH('Step 4-Long Data'!F46,Framework[Number],0)),"")</f>
        <v>Degree</v>
      </c>
      <c r="K46" t="str">
        <f>IFERROR(INDEX(Framework[Critical],MATCH('Step 4-Long Data'!F46,Framework[Number],0)),"")</f>
        <v>No</v>
      </c>
      <c r="L46">
        <f ca="1">IF(Long_Data[[#This Row],[Indicator Class]]="Degree",INDEX(INDIRECT("Data_Entry['"&amp;Long_Data[[#This Row],[Indicator Number]]&amp;"'_DSev_1]"),MATCH(Long_Data[[#This Row],[Key]],Data_Entry[Key],0)),"NA")</f>
        <v>6.8104098933647605E-2</v>
      </c>
      <c r="M46">
        <f ca="1">IF(Long_Data[[#This Row],[Indicator Class]]="Degree",INDEX(INDIRECT("Data_Entry['"&amp;Long_Data[[#This Row],[Indicator Number]]&amp;"'_DSev_2]"),MATCH(Long_Data[[#This Row],[Key]],Data_Entry[Key],0)),"NA")</f>
        <v>0.311083593592621</v>
      </c>
      <c r="N46">
        <f ca="1">IF(Long_Data[[#This Row],[Indicator Class]]="Degree",INDEX(INDIRECT("Data_Entry['"&amp;Long_Data[[#This Row],[Indicator Number]]&amp;"'_DSev_3]"),MATCH(Long_Data[[#This Row],[Key]],Data_Entry[Key],0)),"NA")</f>
        <v>0.17892337894850802</v>
      </c>
      <c r="O46">
        <f ca="1">IF(Long_Data[[#This Row],[Indicator Class]]="Degree",INDEX(INDIRECT("Data_Entry['"&amp;Long_Data[[#This Row],[Indicator Number]]&amp;"'_DSev_4]"),MATCH(Long_Data[[#This Row],[Key]],Data_Entry[Key],0)),"NA")</f>
        <v>0.44188892852522299</v>
      </c>
      <c r="P46">
        <f ca="1">IF(Long_Data[[#This Row],[Indicator Class]]="Degree",INDEX(INDIRECT("Data_Entry['"&amp;Long_Data[[#This Row],[Indicator Number]]&amp;"'_DSev_5]"),MATCH(Long_Data[[#This Row],[Key]],Data_Entry[Key],0)),"NA")</f>
        <v>0</v>
      </c>
      <c r="Q46" t="str">
        <f ca="1">IFERROR(IF(Long_Data[[#This Row],[Indicator Class]]="Magnitude", INDEX(INDIRECT("Data_Entry[Sev_"&amp;Long_Data[[#This Row],[Indicator Number]]&amp;"]"),MATCH(Long_Data[[#This Row],[Key]], Data_Entry[Key],0)),"NA"),"")</f>
        <v>NA</v>
      </c>
      <c r="R4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46" s="70">
        <f ca="1">IFERROR(IF(J46="Magnitude",INDEX(INDIRECT("Data_Entry[PIN_"&amp;Long_Data[[#This Row],[Indicator Number]]&amp;"]"),MATCH(Long_Data[[#This Row],[Key]],Data_Entry[Key],0)),SUM(N46:P46)*INDEX(Baseline_Pop[Population],MATCH(Long_Data[[#This Row],[Key]],Baseline_Pop[Key],0))),"")</f>
        <v>34717.06585854599</v>
      </c>
    </row>
    <row r="47" spans="2:19">
      <c r="B47">
        <v>46</v>
      </c>
      <c r="C47">
        <v>16</v>
      </c>
      <c r="D47" t="str">
        <f>IFERROR(INDEX(Data_Entry[ADM2_Pcode],MATCH('Step 4-Long Data'!C47,Data_Entry[ID],0)),"NA")</f>
        <v>AF06</v>
      </c>
      <c r="E47" t="str">
        <f>IFERROR(INDEX(Data_Entry[Key],MATCH('Step 4-Long Data'!C47,Data_Entry[ID],0)),"NA")</f>
        <v>AF06-Non_Displaced</v>
      </c>
      <c r="F47">
        <v>2</v>
      </c>
      <c r="G47" t="str">
        <f>IFERROR(INDEX(Framework[Pillar],MATCH('Step 4-Long Data'!F47,Framework[Number],0)),"")</f>
        <v>Humanitarian Conditions</v>
      </c>
      <c r="H47" t="str">
        <f>IFERROR(INDEX(Framework[Sub_Pillar],MATCH('Step 4-Long Data'!F47,Framework[Number],0)),"")</f>
        <v>Coping mechanisms</v>
      </c>
      <c r="I47" t="str">
        <f>IFERROR(INDEX(Framework[Indicator],MATCH('Step 4-Long Data'!F47,Framework[Number],0)),"")</f>
        <v>% of households exceeding higher than average debt (&gt;45,000 AFN)</v>
      </c>
      <c r="J47" t="str">
        <f>IFERROR(INDEX(Framework[Class],MATCH('Step 4-Long Data'!F47,Framework[Number],0)),"")</f>
        <v>Degree</v>
      </c>
      <c r="K47" t="str">
        <f>IFERROR(INDEX(Framework[Critical],MATCH('Step 4-Long Data'!F47,Framework[Number],0)),"")</f>
        <v>No</v>
      </c>
      <c r="L47">
        <f ca="1">IF(Long_Data[[#This Row],[Indicator Class]]="Degree",INDEX(INDIRECT("Data_Entry['"&amp;Long_Data[[#This Row],[Indicator Number]]&amp;"'_DSev_1]"),MATCH(Long_Data[[#This Row],[Key]],Data_Entry[Key],0)),"NA")</f>
        <v>7.7251944464981903E-2</v>
      </c>
      <c r="M47">
        <f ca="1">IF(Long_Data[[#This Row],[Indicator Class]]="Degree",INDEX(INDIRECT("Data_Entry['"&amp;Long_Data[[#This Row],[Indicator Number]]&amp;"'_DSev_2]"),MATCH(Long_Data[[#This Row],[Key]],Data_Entry[Key],0)),"NA")</f>
        <v>0.667714772429577</v>
      </c>
      <c r="N47">
        <f ca="1">IF(Long_Data[[#This Row],[Indicator Class]]="Degree",INDEX(INDIRECT("Data_Entry['"&amp;Long_Data[[#This Row],[Indicator Number]]&amp;"'_DSev_3]"),MATCH(Long_Data[[#This Row],[Key]],Data_Entry[Key],0)),"NA")</f>
        <v>0.142809015551703</v>
      </c>
      <c r="O47">
        <f ca="1">IF(Long_Data[[#This Row],[Indicator Class]]="Degree",INDEX(INDIRECT("Data_Entry['"&amp;Long_Data[[#This Row],[Indicator Number]]&amp;"'_DSev_4]"),MATCH(Long_Data[[#This Row],[Key]],Data_Entry[Key],0)),"NA")</f>
        <v>0.11222426755373799</v>
      </c>
      <c r="P47">
        <f ca="1">IF(Long_Data[[#This Row],[Indicator Class]]="Degree",INDEX(INDIRECT("Data_Entry['"&amp;Long_Data[[#This Row],[Indicator Number]]&amp;"'_DSev_5]"),MATCH(Long_Data[[#This Row],[Key]],Data_Entry[Key],0)),"NA")</f>
        <v>0</v>
      </c>
      <c r="Q47" t="str">
        <f ca="1">IFERROR(IF(Long_Data[[#This Row],[Indicator Class]]="Magnitude", INDEX(INDIRECT("Data_Entry[Sev_"&amp;Long_Data[[#This Row],[Indicator Number]]&amp;"]"),MATCH(Long_Data[[#This Row],[Key]], Data_Entry[Key],0)),"NA"),"")</f>
        <v>NA</v>
      </c>
      <c r="R4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47" s="70">
        <f ca="1">IFERROR(IF(J47="Magnitude",INDEX(INDIRECT("Data_Entry[PIN_"&amp;Long_Data[[#This Row],[Indicator Number]]&amp;"]"),MATCH(Long_Data[[#This Row],[Key]],Data_Entry[Key],0)),SUM(N47:P47)*INDEX(Baseline_Pop[Population],MATCH(Long_Data[[#This Row],[Key]],Baseline_Pop[Key],0))),"")</f>
        <v>55871.926562890694</v>
      </c>
    </row>
    <row r="48" spans="2:19">
      <c r="B48">
        <v>47</v>
      </c>
      <c r="C48">
        <v>17</v>
      </c>
      <c r="D48" t="str">
        <f>IFERROR(INDEX(Data_Entry[ADM2_Pcode],MATCH('Step 4-Long Data'!C48,Data_Entry[ID],0)),"NA")</f>
        <v>AF07</v>
      </c>
      <c r="E48" t="str">
        <f>IFERROR(INDEX(Data_Entry[Key],MATCH('Step 4-Long Data'!C48,Data_Entry[ID],0)),"NA")</f>
        <v>AF07-Non_Displaced</v>
      </c>
      <c r="F48">
        <v>2</v>
      </c>
      <c r="G48" t="str">
        <f>IFERROR(INDEX(Framework[Pillar],MATCH('Step 4-Long Data'!F48,Framework[Number],0)),"")</f>
        <v>Humanitarian Conditions</v>
      </c>
      <c r="H48" t="str">
        <f>IFERROR(INDEX(Framework[Sub_Pillar],MATCH('Step 4-Long Data'!F48,Framework[Number],0)),"")</f>
        <v>Coping mechanisms</v>
      </c>
      <c r="I48" t="str">
        <f>IFERROR(INDEX(Framework[Indicator],MATCH('Step 4-Long Data'!F48,Framework[Number],0)),"")</f>
        <v>% of households exceeding higher than average debt (&gt;45,000 AFN)</v>
      </c>
      <c r="J48" t="str">
        <f>IFERROR(INDEX(Framework[Class],MATCH('Step 4-Long Data'!F48,Framework[Number],0)),"")</f>
        <v>Degree</v>
      </c>
      <c r="K48" t="str">
        <f>IFERROR(INDEX(Framework[Critical],MATCH('Step 4-Long Data'!F48,Framework[Number],0)),"")</f>
        <v>No</v>
      </c>
      <c r="L48">
        <f ca="1">IF(Long_Data[[#This Row],[Indicator Class]]="Degree",INDEX(INDIRECT("Data_Entry['"&amp;Long_Data[[#This Row],[Indicator Number]]&amp;"'_DSev_1]"),MATCH(Long_Data[[#This Row],[Key]],Data_Entry[Key],0)),"NA")</f>
        <v>0.13456255666328501</v>
      </c>
      <c r="M48">
        <f ca="1">IF(Long_Data[[#This Row],[Indicator Class]]="Degree",INDEX(INDIRECT("Data_Entry['"&amp;Long_Data[[#This Row],[Indicator Number]]&amp;"'_DSev_2]"),MATCH(Long_Data[[#This Row],[Key]],Data_Entry[Key],0)),"NA")</f>
        <v>0.40858569809563794</v>
      </c>
      <c r="N48">
        <f ca="1">IF(Long_Data[[#This Row],[Indicator Class]]="Degree",INDEX(INDIRECT("Data_Entry['"&amp;Long_Data[[#This Row],[Indicator Number]]&amp;"'_DSev_3]"),MATCH(Long_Data[[#This Row],[Key]],Data_Entry[Key],0)),"NA")</f>
        <v>0.17782069356257502</v>
      </c>
      <c r="O48">
        <f ca="1">IF(Long_Data[[#This Row],[Indicator Class]]="Degree",INDEX(INDIRECT("Data_Entry['"&amp;Long_Data[[#This Row],[Indicator Number]]&amp;"'_DSev_4]"),MATCH(Long_Data[[#This Row],[Key]],Data_Entry[Key],0)),"NA")</f>
        <v>0.27903105167850101</v>
      </c>
      <c r="P48">
        <f ca="1">IF(Long_Data[[#This Row],[Indicator Class]]="Degree",INDEX(INDIRECT("Data_Entry['"&amp;Long_Data[[#This Row],[Indicator Number]]&amp;"'_DSev_5]"),MATCH(Long_Data[[#This Row],[Key]],Data_Entry[Key],0)),"NA")</f>
        <v>0</v>
      </c>
      <c r="Q48" t="str">
        <f ca="1">IFERROR(IF(Long_Data[[#This Row],[Indicator Class]]="Magnitude", INDEX(INDIRECT("Data_Entry[Sev_"&amp;Long_Data[[#This Row],[Indicator Number]]&amp;"]"),MATCH(Long_Data[[#This Row],[Key]], Data_Entry[Key],0)),"NA"),"")</f>
        <v>NA</v>
      </c>
      <c r="R48">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48" s="70">
        <f ca="1">IFERROR(IF(J48="Magnitude",INDEX(INDIRECT("Data_Entry[PIN_"&amp;Long_Data[[#This Row],[Indicator Number]]&amp;"]"),MATCH(Long_Data[[#This Row],[Key]],Data_Entry[Key],0)),SUM(N48:P48)*INDEX(Baseline_Pop[Population],MATCH(Long_Data[[#This Row],[Key]],Baseline_Pop[Key],0))),"")</f>
        <v>29024.705078656043</v>
      </c>
    </row>
    <row r="49" spans="2:19">
      <c r="B49">
        <v>48</v>
      </c>
      <c r="C49">
        <v>18</v>
      </c>
      <c r="D49" t="str">
        <f>IFERROR(INDEX(Data_Entry[ADM2_Pcode],MATCH('Step 4-Long Data'!C49,Data_Entry[ID],0)),"NA")</f>
        <v>AF08</v>
      </c>
      <c r="E49" t="str">
        <f>IFERROR(INDEX(Data_Entry[Key],MATCH('Step 4-Long Data'!C49,Data_Entry[ID],0)),"NA")</f>
        <v>AF08-Non_Displaced</v>
      </c>
      <c r="F49">
        <v>2</v>
      </c>
      <c r="G49" t="str">
        <f>IFERROR(INDEX(Framework[Pillar],MATCH('Step 4-Long Data'!F49,Framework[Number],0)),"")</f>
        <v>Humanitarian Conditions</v>
      </c>
      <c r="H49" t="str">
        <f>IFERROR(INDEX(Framework[Sub_Pillar],MATCH('Step 4-Long Data'!F49,Framework[Number],0)),"")</f>
        <v>Coping mechanisms</v>
      </c>
      <c r="I49" t="str">
        <f>IFERROR(INDEX(Framework[Indicator],MATCH('Step 4-Long Data'!F49,Framework[Number],0)),"")</f>
        <v>% of households exceeding higher than average debt (&gt;45,000 AFN)</v>
      </c>
      <c r="J49" t="str">
        <f>IFERROR(INDEX(Framework[Class],MATCH('Step 4-Long Data'!F49,Framework[Number],0)),"")</f>
        <v>Degree</v>
      </c>
      <c r="K49" t="str">
        <f>IFERROR(INDEX(Framework[Critical],MATCH('Step 4-Long Data'!F49,Framework[Number],0)),"")</f>
        <v>No</v>
      </c>
      <c r="L49">
        <f ca="1">IF(Long_Data[[#This Row],[Indicator Class]]="Degree",INDEX(INDIRECT("Data_Entry['"&amp;Long_Data[[#This Row],[Indicator Number]]&amp;"'_DSev_1]"),MATCH(Long_Data[[#This Row],[Key]],Data_Entry[Key],0)),"NA")</f>
        <v>0.16</v>
      </c>
      <c r="M49">
        <f ca="1">IF(Long_Data[[#This Row],[Indicator Class]]="Degree",INDEX(INDIRECT("Data_Entry['"&amp;Long_Data[[#This Row],[Indicator Number]]&amp;"'_DSev_2]"),MATCH(Long_Data[[#This Row],[Key]],Data_Entry[Key],0)),"NA")</f>
        <v>0.45333333333333298</v>
      </c>
      <c r="N49">
        <f ca="1">IF(Long_Data[[#This Row],[Indicator Class]]="Degree",INDEX(INDIRECT("Data_Entry['"&amp;Long_Data[[#This Row],[Indicator Number]]&amp;"'_DSev_3]"),MATCH(Long_Data[[#This Row],[Key]],Data_Entry[Key],0)),"NA")</f>
        <v>0.17333333333333301</v>
      </c>
      <c r="O49">
        <f ca="1">IF(Long_Data[[#This Row],[Indicator Class]]="Degree",INDEX(INDIRECT("Data_Entry['"&amp;Long_Data[[#This Row],[Indicator Number]]&amp;"'_DSev_4]"),MATCH(Long_Data[[#This Row],[Key]],Data_Entry[Key],0)),"NA")</f>
        <v>0.21333333333333301</v>
      </c>
      <c r="P49">
        <f ca="1">IF(Long_Data[[#This Row],[Indicator Class]]="Degree",INDEX(INDIRECT("Data_Entry['"&amp;Long_Data[[#This Row],[Indicator Number]]&amp;"'_DSev_5]"),MATCH(Long_Data[[#This Row],[Key]],Data_Entry[Key],0)),"NA")</f>
        <v>0</v>
      </c>
      <c r="Q49" t="str">
        <f ca="1">IFERROR(IF(Long_Data[[#This Row],[Indicator Class]]="Magnitude", INDEX(INDIRECT("Data_Entry[Sev_"&amp;Long_Data[[#This Row],[Indicator Number]]&amp;"]"),MATCH(Long_Data[[#This Row],[Key]], Data_Entry[Key],0)),"NA"),"")</f>
        <v>NA</v>
      </c>
      <c r="R4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49" s="70">
        <f ca="1">IFERROR(IF(J49="Magnitude",INDEX(INDIRECT("Data_Entry[PIN_"&amp;Long_Data[[#This Row],[Indicator Number]]&amp;"]"),MATCH(Long_Data[[#This Row],[Key]],Data_Entry[Key],0)),SUM(N49:P49)*INDEX(Baseline_Pop[Population],MATCH(Long_Data[[#This Row],[Key]],Baseline_Pop[Key],0))),"")</f>
        <v>8458.7199999999866</v>
      </c>
    </row>
    <row r="50" spans="2:19">
      <c r="B50">
        <v>49</v>
      </c>
      <c r="C50">
        <v>19</v>
      </c>
      <c r="D50" t="str">
        <f>IFERROR(INDEX(Data_Entry[ADM2_Pcode],MATCH('Step 4-Long Data'!C50,Data_Entry[ID],0)),"NA")</f>
        <v>AF09</v>
      </c>
      <c r="E50" t="str">
        <f>IFERROR(INDEX(Data_Entry[Key],MATCH('Step 4-Long Data'!C50,Data_Entry[ID],0)),"NA")</f>
        <v>AF09-Non_Displaced</v>
      </c>
      <c r="F50">
        <v>2</v>
      </c>
      <c r="G50" t="str">
        <f>IFERROR(INDEX(Framework[Pillar],MATCH('Step 4-Long Data'!F50,Framework[Number],0)),"")</f>
        <v>Humanitarian Conditions</v>
      </c>
      <c r="H50" t="str">
        <f>IFERROR(INDEX(Framework[Sub_Pillar],MATCH('Step 4-Long Data'!F50,Framework[Number],0)),"")</f>
        <v>Coping mechanisms</v>
      </c>
      <c r="I50" t="str">
        <f>IFERROR(INDEX(Framework[Indicator],MATCH('Step 4-Long Data'!F50,Framework[Number],0)),"")</f>
        <v>% of households exceeding higher than average debt (&gt;45,000 AFN)</v>
      </c>
      <c r="J50" t="str">
        <f>IFERROR(INDEX(Framework[Class],MATCH('Step 4-Long Data'!F50,Framework[Number],0)),"")</f>
        <v>Degree</v>
      </c>
      <c r="K50" t="str">
        <f>IFERROR(INDEX(Framework[Critical],MATCH('Step 4-Long Data'!F50,Framework[Number],0)),"")</f>
        <v>No</v>
      </c>
      <c r="L50">
        <f ca="1">IF(Long_Data[[#This Row],[Indicator Class]]="Degree",INDEX(INDIRECT("Data_Entry['"&amp;Long_Data[[#This Row],[Indicator Number]]&amp;"'_DSev_1]"),MATCH(Long_Data[[#This Row],[Key]],Data_Entry[Key],0)),"NA")</f>
        <v>2.2388493007297502E-2</v>
      </c>
      <c r="M50">
        <f ca="1">IF(Long_Data[[#This Row],[Indicator Class]]="Degree",INDEX(INDIRECT("Data_Entry['"&amp;Long_Data[[#This Row],[Indicator Number]]&amp;"'_DSev_2]"),MATCH(Long_Data[[#This Row],[Key]],Data_Entry[Key],0)),"NA")</f>
        <v>0.281330815600628</v>
      </c>
      <c r="N50">
        <f ca="1">IF(Long_Data[[#This Row],[Indicator Class]]="Degree",INDEX(INDIRECT("Data_Entry['"&amp;Long_Data[[#This Row],[Indicator Number]]&amp;"'_DSev_3]"),MATCH(Long_Data[[#This Row],[Key]],Data_Entry[Key],0)),"NA")</f>
        <v>0.201728897768511</v>
      </c>
      <c r="O50">
        <f ca="1">IF(Long_Data[[#This Row],[Indicator Class]]="Degree",INDEX(INDIRECT("Data_Entry['"&amp;Long_Data[[#This Row],[Indicator Number]]&amp;"'_DSev_4]"),MATCH(Long_Data[[#This Row],[Key]],Data_Entry[Key],0)),"NA")</f>
        <v>0.494551793623563</v>
      </c>
      <c r="P50">
        <f ca="1">IF(Long_Data[[#This Row],[Indicator Class]]="Degree",INDEX(INDIRECT("Data_Entry['"&amp;Long_Data[[#This Row],[Indicator Number]]&amp;"'_DSev_5]"),MATCH(Long_Data[[#This Row],[Key]],Data_Entry[Key],0)),"NA")</f>
        <v>0</v>
      </c>
      <c r="Q50" t="str">
        <f ca="1">IFERROR(IF(Long_Data[[#This Row],[Indicator Class]]="Magnitude", INDEX(INDIRECT("Data_Entry[Sev_"&amp;Long_Data[[#This Row],[Indicator Number]]&amp;"]"),MATCH(Long_Data[[#This Row],[Key]], Data_Entry[Key],0)),"NA"),"")</f>
        <v>NA</v>
      </c>
      <c r="R5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50" s="70">
        <f ca="1">IFERROR(IF(J50="Magnitude",INDEX(INDIRECT("Data_Entry[PIN_"&amp;Long_Data[[#This Row],[Indicator Number]]&amp;"]"),MATCH(Long_Data[[#This Row],[Key]],Data_Entry[Key],0)),SUM(N50:P50)*INDEX(Baseline_Pop[Population],MATCH(Long_Data[[#This Row],[Key]],Baseline_Pop[Key],0))),"")</f>
        <v>90950.96903239828</v>
      </c>
    </row>
    <row r="51" spans="2:19">
      <c r="B51">
        <v>50</v>
      </c>
      <c r="C51">
        <v>20</v>
      </c>
      <c r="D51" t="str">
        <f>IFERROR(INDEX(Data_Entry[ADM2_Pcode],MATCH('Step 4-Long Data'!C51,Data_Entry[ID],0)),"NA")</f>
        <v>AF10</v>
      </c>
      <c r="E51" t="str">
        <f>IFERROR(INDEX(Data_Entry[Key],MATCH('Step 4-Long Data'!C51,Data_Entry[ID],0)),"NA")</f>
        <v>AF10-Non_Displaced</v>
      </c>
      <c r="F51">
        <v>2</v>
      </c>
      <c r="G51" t="str">
        <f>IFERROR(INDEX(Framework[Pillar],MATCH('Step 4-Long Data'!F51,Framework[Number],0)),"")</f>
        <v>Humanitarian Conditions</v>
      </c>
      <c r="H51" t="str">
        <f>IFERROR(INDEX(Framework[Sub_Pillar],MATCH('Step 4-Long Data'!F51,Framework[Number],0)),"")</f>
        <v>Coping mechanisms</v>
      </c>
      <c r="I51" t="str">
        <f>IFERROR(INDEX(Framework[Indicator],MATCH('Step 4-Long Data'!F51,Framework[Number],0)),"")</f>
        <v>% of households exceeding higher than average debt (&gt;45,000 AFN)</v>
      </c>
      <c r="J51" t="str">
        <f>IFERROR(INDEX(Framework[Class],MATCH('Step 4-Long Data'!F51,Framework[Number],0)),"")</f>
        <v>Degree</v>
      </c>
      <c r="K51" t="str">
        <f>IFERROR(INDEX(Framework[Critical],MATCH('Step 4-Long Data'!F51,Framework[Number],0)),"")</f>
        <v>No</v>
      </c>
      <c r="L51">
        <f ca="1">IF(Long_Data[[#This Row],[Indicator Class]]="Degree",INDEX(INDIRECT("Data_Entry['"&amp;Long_Data[[#This Row],[Indicator Number]]&amp;"'_DSev_1]"),MATCH(Long_Data[[#This Row],[Key]],Data_Entry[Key],0)),"NA")</f>
        <v>2.4242424242424197E-2</v>
      </c>
      <c r="M51">
        <f ca="1">IF(Long_Data[[#This Row],[Indicator Class]]="Degree",INDEX(INDIRECT("Data_Entry['"&amp;Long_Data[[#This Row],[Indicator Number]]&amp;"'_DSev_2]"),MATCH(Long_Data[[#This Row],[Key]],Data_Entry[Key],0)),"NA")</f>
        <v>0.20606060606060597</v>
      </c>
      <c r="N51">
        <f ca="1">IF(Long_Data[[#This Row],[Indicator Class]]="Degree",INDEX(INDIRECT("Data_Entry['"&amp;Long_Data[[#This Row],[Indicator Number]]&amp;"'_DSev_3]"),MATCH(Long_Data[[#This Row],[Key]],Data_Entry[Key],0)),"NA")</f>
        <v>0.21212121212121202</v>
      </c>
      <c r="O51">
        <f ca="1">IF(Long_Data[[#This Row],[Indicator Class]]="Degree",INDEX(INDIRECT("Data_Entry['"&amp;Long_Data[[#This Row],[Indicator Number]]&amp;"'_DSev_4]"),MATCH(Long_Data[[#This Row],[Key]],Data_Entry[Key],0)),"NA")</f>
        <v>0.55757575757575806</v>
      </c>
      <c r="P51">
        <f ca="1">IF(Long_Data[[#This Row],[Indicator Class]]="Degree",INDEX(INDIRECT("Data_Entry['"&amp;Long_Data[[#This Row],[Indicator Number]]&amp;"'_DSev_5]"),MATCH(Long_Data[[#This Row],[Key]],Data_Entry[Key],0)),"NA")</f>
        <v>0</v>
      </c>
      <c r="Q51" t="str">
        <f ca="1">IFERROR(IF(Long_Data[[#This Row],[Indicator Class]]="Magnitude", INDEX(INDIRECT("Data_Entry[Sev_"&amp;Long_Data[[#This Row],[Indicator Number]]&amp;"]"),MATCH(Long_Data[[#This Row],[Key]], Data_Entry[Key],0)),"NA"),"")</f>
        <v>NA</v>
      </c>
      <c r="R51">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51" s="70">
        <f ca="1">IFERROR(IF(J51="Magnitude",INDEX(INDIRECT("Data_Entry[PIN_"&amp;Long_Data[[#This Row],[Indicator Number]]&amp;"]"),MATCH(Long_Data[[#This Row],[Key]],Data_Entry[Key],0)),SUM(N51:P51)*INDEX(Baseline_Pop[Population],MATCH(Long_Data[[#This Row],[Key]],Baseline_Pop[Key],0))),"")</f>
        <v>49105.127272727295</v>
      </c>
    </row>
    <row r="52" spans="2:19">
      <c r="B52">
        <v>51</v>
      </c>
      <c r="C52">
        <v>21</v>
      </c>
      <c r="D52" t="str">
        <f>IFERROR(INDEX(Data_Entry[ADM2_Pcode],MATCH('Step 4-Long Data'!C52,Data_Entry[ID],0)),"NA")</f>
        <v>AF01</v>
      </c>
      <c r="E52" t="str">
        <f>IFERROR(INDEX(Data_Entry[Key],MATCH('Step 4-Long Data'!C52,Data_Entry[ID],0)),"NA")</f>
        <v>AF01-Migrants</v>
      </c>
      <c r="F52">
        <v>2</v>
      </c>
      <c r="G52" t="str">
        <f>IFERROR(INDEX(Framework[Pillar],MATCH('Step 4-Long Data'!F52,Framework[Number],0)),"")</f>
        <v>Humanitarian Conditions</v>
      </c>
      <c r="H52" t="str">
        <f>IFERROR(INDEX(Framework[Sub_Pillar],MATCH('Step 4-Long Data'!F52,Framework[Number],0)),"")</f>
        <v>Coping mechanisms</v>
      </c>
      <c r="I52" t="str">
        <f>IFERROR(INDEX(Framework[Indicator],MATCH('Step 4-Long Data'!F52,Framework[Number],0)),"")</f>
        <v>% of households exceeding higher than average debt (&gt;45,000 AFN)</v>
      </c>
      <c r="J52" t="str">
        <f>IFERROR(INDEX(Framework[Class],MATCH('Step 4-Long Data'!F52,Framework[Number],0)),"")</f>
        <v>Degree</v>
      </c>
      <c r="K52" t="str">
        <f>IFERROR(INDEX(Framework[Critical],MATCH('Step 4-Long Data'!F52,Framework[Number],0)),"")</f>
        <v>No</v>
      </c>
      <c r="L52">
        <f ca="1">IF(Long_Data[[#This Row],[Indicator Class]]="Degree",INDEX(INDIRECT("Data_Entry['"&amp;Long_Data[[#This Row],[Indicator Number]]&amp;"'_DSev_1]"),MATCH(Long_Data[[#This Row],[Key]],Data_Entry[Key],0)),"NA")</f>
        <v>0.21621621621621601</v>
      </c>
      <c r="M52">
        <f ca="1">IF(Long_Data[[#This Row],[Indicator Class]]="Degree",INDEX(INDIRECT("Data_Entry['"&amp;Long_Data[[#This Row],[Indicator Number]]&amp;"'_DSev_2]"),MATCH(Long_Data[[#This Row],[Key]],Data_Entry[Key],0)),"NA")</f>
        <v>0.76576576576576594</v>
      </c>
      <c r="N52">
        <f ca="1">IF(Long_Data[[#This Row],[Indicator Class]]="Degree",INDEX(INDIRECT("Data_Entry['"&amp;Long_Data[[#This Row],[Indicator Number]]&amp;"'_DSev_3]"),MATCH(Long_Data[[#This Row],[Key]],Data_Entry[Key],0)),"NA")</f>
        <v>1.8018018018018001E-2</v>
      </c>
      <c r="O52">
        <f ca="1">IF(Long_Data[[#This Row],[Indicator Class]]="Degree",INDEX(INDIRECT("Data_Entry['"&amp;Long_Data[[#This Row],[Indicator Number]]&amp;"'_DSev_4]"),MATCH(Long_Data[[#This Row],[Key]],Data_Entry[Key],0)),"NA")</f>
        <v>0</v>
      </c>
      <c r="P52">
        <f ca="1">IF(Long_Data[[#This Row],[Indicator Class]]="Degree",INDEX(INDIRECT("Data_Entry['"&amp;Long_Data[[#This Row],[Indicator Number]]&amp;"'_DSev_5]"),MATCH(Long_Data[[#This Row],[Key]],Data_Entry[Key],0)),"NA")</f>
        <v>0</v>
      </c>
      <c r="Q52" t="str">
        <f ca="1">IFERROR(IF(Long_Data[[#This Row],[Indicator Class]]="Magnitude", INDEX(INDIRECT("Data_Entry[Sev_"&amp;Long_Data[[#This Row],[Indicator Number]]&amp;"]"),MATCH(Long_Data[[#This Row],[Key]], Data_Entry[Key],0)),"NA"),"")</f>
        <v>NA</v>
      </c>
      <c r="R5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52" s="70">
        <f ca="1">IFERROR(IF(J52="Magnitude",INDEX(INDIRECT("Data_Entry[PIN_"&amp;Long_Data[[#This Row],[Indicator Number]]&amp;"]"),MATCH(Long_Data[[#This Row],[Key]],Data_Entry[Key],0)),SUM(N52:P52)*INDEX(Baseline_Pop[Population],MATCH(Long_Data[[#This Row],[Key]],Baseline_Pop[Key],0))),"")</f>
        <v>24145.999999999978</v>
      </c>
    </row>
    <row r="53" spans="2:19">
      <c r="B53">
        <v>52</v>
      </c>
      <c r="C53">
        <v>22</v>
      </c>
      <c r="D53" t="str">
        <f>IFERROR(INDEX(Data_Entry[ADM2_Pcode],MATCH('Step 4-Long Data'!C53,Data_Entry[ID],0)),"NA")</f>
        <v>AF02</v>
      </c>
      <c r="E53" t="str">
        <f>IFERROR(INDEX(Data_Entry[Key],MATCH('Step 4-Long Data'!C53,Data_Entry[ID],0)),"NA")</f>
        <v>AF02-Migrants</v>
      </c>
      <c r="F53">
        <v>2</v>
      </c>
      <c r="G53" t="str">
        <f>IFERROR(INDEX(Framework[Pillar],MATCH('Step 4-Long Data'!F53,Framework[Number],0)),"")</f>
        <v>Humanitarian Conditions</v>
      </c>
      <c r="H53" t="str">
        <f>IFERROR(INDEX(Framework[Sub_Pillar],MATCH('Step 4-Long Data'!F53,Framework[Number],0)),"")</f>
        <v>Coping mechanisms</v>
      </c>
      <c r="I53" t="str">
        <f>IFERROR(INDEX(Framework[Indicator],MATCH('Step 4-Long Data'!F53,Framework[Number],0)),"")</f>
        <v>% of households exceeding higher than average debt (&gt;45,000 AFN)</v>
      </c>
      <c r="J53" t="str">
        <f>IFERROR(INDEX(Framework[Class],MATCH('Step 4-Long Data'!F53,Framework[Number],0)),"")</f>
        <v>Degree</v>
      </c>
      <c r="K53" t="str">
        <f>IFERROR(INDEX(Framework[Critical],MATCH('Step 4-Long Data'!F53,Framework[Number],0)),"")</f>
        <v>No</v>
      </c>
      <c r="L53">
        <f ca="1">IF(Long_Data[[#This Row],[Indicator Class]]="Degree",INDEX(INDIRECT("Data_Entry['"&amp;Long_Data[[#This Row],[Indicator Number]]&amp;"'_DSev_1]"),MATCH(Long_Data[[#This Row],[Key]],Data_Entry[Key],0)),"NA")</f>
        <v>7.4324324324324301E-2</v>
      </c>
      <c r="M53">
        <f ca="1">IF(Long_Data[[#This Row],[Indicator Class]]="Degree",INDEX(INDIRECT("Data_Entry['"&amp;Long_Data[[#This Row],[Indicator Number]]&amp;"'_DSev_2]"),MATCH(Long_Data[[#This Row],[Key]],Data_Entry[Key],0)),"NA")</f>
        <v>0.42567567567567599</v>
      </c>
      <c r="N53">
        <f ca="1">IF(Long_Data[[#This Row],[Indicator Class]]="Degree",INDEX(INDIRECT("Data_Entry['"&amp;Long_Data[[#This Row],[Indicator Number]]&amp;"'_DSev_3]"),MATCH(Long_Data[[#This Row],[Key]],Data_Entry[Key],0)),"NA")</f>
        <v>0.18243243243243198</v>
      </c>
      <c r="O53">
        <f ca="1">IF(Long_Data[[#This Row],[Indicator Class]]="Degree",INDEX(INDIRECT("Data_Entry['"&amp;Long_Data[[#This Row],[Indicator Number]]&amp;"'_DSev_4]"),MATCH(Long_Data[[#This Row],[Key]],Data_Entry[Key],0)),"NA")</f>
        <v>0.31756756756756799</v>
      </c>
      <c r="P53">
        <f ca="1">IF(Long_Data[[#This Row],[Indicator Class]]="Degree",INDEX(INDIRECT("Data_Entry['"&amp;Long_Data[[#This Row],[Indicator Number]]&amp;"'_DSev_5]"),MATCH(Long_Data[[#This Row],[Key]],Data_Entry[Key],0)),"NA")</f>
        <v>0</v>
      </c>
      <c r="Q53" t="str">
        <f ca="1">IFERROR(IF(Long_Data[[#This Row],[Indicator Class]]="Magnitude", INDEX(INDIRECT("Data_Entry[Sev_"&amp;Long_Data[[#This Row],[Indicator Number]]&amp;"]"),MATCH(Long_Data[[#This Row],[Key]], Data_Entry[Key],0)),"NA"),"")</f>
        <v>NA</v>
      </c>
      <c r="R53">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53" s="70">
        <f ca="1">IFERROR(IF(J53="Magnitude",INDEX(INDIRECT("Data_Entry[PIN_"&amp;Long_Data[[#This Row],[Indicator Number]]&amp;"]"),MATCH(Long_Data[[#This Row],[Key]],Data_Entry[Key],0)),SUM(N53:P53)*INDEX(Baseline_Pop[Population],MATCH(Long_Data[[#This Row],[Key]],Baseline_Pop[Key],0))),"")</f>
        <v>62864</v>
      </c>
    </row>
    <row r="54" spans="2:19">
      <c r="B54">
        <v>53</v>
      </c>
      <c r="C54">
        <v>23</v>
      </c>
      <c r="D54" t="str">
        <f>IFERROR(INDEX(Data_Entry[ADM2_Pcode],MATCH('Step 4-Long Data'!C54,Data_Entry[ID],0)),"NA")</f>
        <v>AF03</v>
      </c>
      <c r="E54" t="str">
        <f>IFERROR(INDEX(Data_Entry[Key],MATCH('Step 4-Long Data'!C54,Data_Entry[ID],0)),"NA")</f>
        <v>AF03-Migrants</v>
      </c>
      <c r="F54">
        <v>2</v>
      </c>
      <c r="G54" t="str">
        <f>IFERROR(INDEX(Framework[Pillar],MATCH('Step 4-Long Data'!F54,Framework[Number],0)),"")</f>
        <v>Humanitarian Conditions</v>
      </c>
      <c r="H54" t="str">
        <f>IFERROR(INDEX(Framework[Sub_Pillar],MATCH('Step 4-Long Data'!F54,Framework[Number],0)),"")</f>
        <v>Coping mechanisms</v>
      </c>
      <c r="I54" t="str">
        <f>IFERROR(INDEX(Framework[Indicator],MATCH('Step 4-Long Data'!F54,Framework[Number],0)),"")</f>
        <v>% of households exceeding higher than average debt (&gt;45,000 AFN)</v>
      </c>
      <c r="J54" t="str">
        <f>IFERROR(INDEX(Framework[Class],MATCH('Step 4-Long Data'!F54,Framework[Number],0)),"")</f>
        <v>Degree</v>
      </c>
      <c r="K54" t="str">
        <f>IFERROR(INDEX(Framework[Critical],MATCH('Step 4-Long Data'!F54,Framework[Number],0)),"")</f>
        <v>No</v>
      </c>
      <c r="L54">
        <f ca="1">IF(Long_Data[[#This Row],[Indicator Class]]="Degree",INDEX(INDIRECT("Data_Entry['"&amp;Long_Data[[#This Row],[Indicator Number]]&amp;"'_DSev_1]"),MATCH(Long_Data[[#This Row],[Key]],Data_Entry[Key],0)),"NA")</f>
        <v>4.8780487804878002E-2</v>
      </c>
      <c r="M54">
        <f ca="1">IF(Long_Data[[#This Row],[Indicator Class]]="Degree",INDEX(INDIRECT("Data_Entry['"&amp;Long_Data[[#This Row],[Indicator Number]]&amp;"'_DSev_2]"),MATCH(Long_Data[[#This Row],[Key]],Data_Entry[Key],0)),"NA")</f>
        <v>6.0975609756097594E-2</v>
      </c>
      <c r="N54">
        <f ca="1">IF(Long_Data[[#This Row],[Indicator Class]]="Degree",INDEX(INDIRECT("Data_Entry['"&amp;Long_Data[[#This Row],[Indicator Number]]&amp;"'_DSev_3]"),MATCH(Long_Data[[#This Row],[Key]],Data_Entry[Key],0)),"NA")</f>
        <v>0.20121951219512202</v>
      </c>
      <c r="O54">
        <f ca="1">IF(Long_Data[[#This Row],[Indicator Class]]="Degree",INDEX(INDIRECT("Data_Entry['"&amp;Long_Data[[#This Row],[Indicator Number]]&amp;"'_DSev_4]"),MATCH(Long_Data[[#This Row],[Key]],Data_Entry[Key],0)),"NA")</f>
        <v>0.68902439024390205</v>
      </c>
      <c r="P54">
        <f ca="1">IF(Long_Data[[#This Row],[Indicator Class]]="Degree",INDEX(INDIRECT("Data_Entry['"&amp;Long_Data[[#This Row],[Indicator Number]]&amp;"'_DSev_5]"),MATCH(Long_Data[[#This Row],[Key]],Data_Entry[Key],0)),"NA")</f>
        <v>0</v>
      </c>
      <c r="Q54" t="str">
        <f ca="1">IFERROR(IF(Long_Data[[#This Row],[Indicator Class]]="Magnitude", INDEX(INDIRECT("Data_Entry[Sev_"&amp;Long_Data[[#This Row],[Indicator Number]]&amp;"]"),MATCH(Long_Data[[#This Row],[Key]], Data_Entry[Key],0)),"NA"),"")</f>
        <v>NA</v>
      </c>
      <c r="R54">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54" s="70">
        <f ca="1">IFERROR(IF(J54="Magnitude",INDEX(INDIRECT("Data_Entry[PIN_"&amp;Long_Data[[#This Row],[Indicator Number]]&amp;"]"),MATCH(Long_Data[[#This Row],[Key]],Data_Entry[Key],0)),SUM(N54:P54)*INDEX(Baseline_Pop[Population],MATCH(Long_Data[[#This Row],[Key]],Baseline_Pop[Key],0))),"")</f>
        <v>169096.48780487798</v>
      </c>
    </row>
    <row r="55" spans="2:19">
      <c r="B55">
        <v>54</v>
      </c>
      <c r="C55">
        <v>24</v>
      </c>
      <c r="D55" t="str">
        <f>IFERROR(INDEX(Data_Entry[ADM2_Pcode],MATCH('Step 4-Long Data'!C55,Data_Entry[ID],0)),"NA")</f>
        <v>AF04</v>
      </c>
      <c r="E55" t="str">
        <f>IFERROR(INDEX(Data_Entry[Key],MATCH('Step 4-Long Data'!C55,Data_Entry[ID],0)),"NA")</f>
        <v>AF04-Migrants</v>
      </c>
      <c r="F55">
        <v>2</v>
      </c>
      <c r="G55" t="str">
        <f>IFERROR(INDEX(Framework[Pillar],MATCH('Step 4-Long Data'!F55,Framework[Number],0)),"")</f>
        <v>Humanitarian Conditions</v>
      </c>
      <c r="H55" t="str">
        <f>IFERROR(INDEX(Framework[Sub_Pillar],MATCH('Step 4-Long Data'!F55,Framework[Number],0)),"")</f>
        <v>Coping mechanisms</v>
      </c>
      <c r="I55" t="str">
        <f>IFERROR(INDEX(Framework[Indicator],MATCH('Step 4-Long Data'!F55,Framework[Number],0)),"")</f>
        <v>% of households exceeding higher than average debt (&gt;45,000 AFN)</v>
      </c>
      <c r="J55" t="str">
        <f>IFERROR(INDEX(Framework[Class],MATCH('Step 4-Long Data'!F55,Framework[Number],0)),"")</f>
        <v>Degree</v>
      </c>
      <c r="K55" t="str">
        <f>IFERROR(INDEX(Framework[Critical],MATCH('Step 4-Long Data'!F55,Framework[Number],0)),"")</f>
        <v>No</v>
      </c>
      <c r="L55">
        <f ca="1">IF(Long_Data[[#This Row],[Indicator Class]]="Degree",INDEX(INDIRECT("Data_Entry['"&amp;Long_Data[[#This Row],[Indicator Number]]&amp;"'_DSev_1]"),MATCH(Long_Data[[#This Row],[Key]],Data_Entry[Key],0)),"NA")</f>
        <v>0</v>
      </c>
      <c r="M55">
        <f ca="1">IF(Long_Data[[#This Row],[Indicator Class]]="Degree",INDEX(INDIRECT("Data_Entry['"&amp;Long_Data[[#This Row],[Indicator Number]]&amp;"'_DSev_2]"),MATCH(Long_Data[[#This Row],[Key]],Data_Entry[Key],0)),"NA")</f>
        <v>1</v>
      </c>
      <c r="N55">
        <f ca="1">IF(Long_Data[[#This Row],[Indicator Class]]="Degree",INDEX(INDIRECT("Data_Entry['"&amp;Long_Data[[#This Row],[Indicator Number]]&amp;"'_DSev_3]"),MATCH(Long_Data[[#This Row],[Key]],Data_Entry[Key],0)),"NA")</f>
        <v>0</v>
      </c>
      <c r="O55">
        <f ca="1">IF(Long_Data[[#This Row],[Indicator Class]]="Degree",INDEX(INDIRECT("Data_Entry['"&amp;Long_Data[[#This Row],[Indicator Number]]&amp;"'_DSev_4]"),MATCH(Long_Data[[#This Row],[Key]],Data_Entry[Key],0)),"NA")</f>
        <v>0</v>
      </c>
      <c r="P55">
        <f ca="1">IF(Long_Data[[#This Row],[Indicator Class]]="Degree",INDEX(INDIRECT("Data_Entry['"&amp;Long_Data[[#This Row],[Indicator Number]]&amp;"'_DSev_5]"),MATCH(Long_Data[[#This Row],[Key]],Data_Entry[Key],0)),"NA")</f>
        <v>0</v>
      </c>
      <c r="Q55" t="str">
        <f ca="1">IFERROR(IF(Long_Data[[#This Row],[Indicator Class]]="Magnitude", INDEX(INDIRECT("Data_Entry[Sev_"&amp;Long_Data[[#This Row],[Indicator Number]]&amp;"]"),MATCH(Long_Data[[#This Row],[Key]], Data_Entry[Key],0)),"NA"),"")</f>
        <v>NA</v>
      </c>
      <c r="R5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55" s="70">
        <f ca="1">IFERROR(IF(J55="Magnitude",INDEX(INDIRECT("Data_Entry[PIN_"&amp;Long_Data[[#This Row],[Indicator Number]]&amp;"]"),MATCH(Long_Data[[#This Row],[Key]],Data_Entry[Key],0)),SUM(N55:P55)*INDEX(Baseline_Pop[Population],MATCH(Long_Data[[#This Row],[Key]],Baseline_Pop[Key],0))),"")</f>
        <v>0</v>
      </c>
    </row>
    <row r="56" spans="2:19">
      <c r="B56">
        <v>55</v>
      </c>
      <c r="C56">
        <v>25</v>
      </c>
      <c r="D56" t="str">
        <f>IFERROR(INDEX(Data_Entry[ADM2_Pcode],MATCH('Step 4-Long Data'!C56,Data_Entry[ID],0)),"NA")</f>
        <v>AF05</v>
      </c>
      <c r="E56" t="str">
        <f>IFERROR(INDEX(Data_Entry[Key],MATCH('Step 4-Long Data'!C56,Data_Entry[ID],0)),"NA")</f>
        <v>AF05-Migrants</v>
      </c>
      <c r="F56">
        <v>2</v>
      </c>
      <c r="G56" t="str">
        <f>IFERROR(INDEX(Framework[Pillar],MATCH('Step 4-Long Data'!F56,Framework[Number],0)),"")</f>
        <v>Humanitarian Conditions</v>
      </c>
      <c r="H56" t="str">
        <f>IFERROR(INDEX(Framework[Sub_Pillar],MATCH('Step 4-Long Data'!F56,Framework[Number],0)),"")</f>
        <v>Coping mechanisms</v>
      </c>
      <c r="I56" t="str">
        <f>IFERROR(INDEX(Framework[Indicator],MATCH('Step 4-Long Data'!F56,Framework[Number],0)),"")</f>
        <v>% of households exceeding higher than average debt (&gt;45,000 AFN)</v>
      </c>
      <c r="J56" t="str">
        <f>IFERROR(INDEX(Framework[Class],MATCH('Step 4-Long Data'!F56,Framework[Number],0)),"")</f>
        <v>Degree</v>
      </c>
      <c r="K56" t="str">
        <f>IFERROR(INDEX(Framework[Critical],MATCH('Step 4-Long Data'!F56,Framework[Number],0)),"")</f>
        <v>No</v>
      </c>
      <c r="L56">
        <f ca="1">IF(Long_Data[[#This Row],[Indicator Class]]="Degree",INDEX(INDIRECT("Data_Entry['"&amp;Long_Data[[#This Row],[Indicator Number]]&amp;"'_DSev_1]"),MATCH(Long_Data[[#This Row],[Key]],Data_Entry[Key],0)),"NA")</f>
        <v>6.8104098933647605E-2</v>
      </c>
      <c r="M56">
        <f ca="1">IF(Long_Data[[#This Row],[Indicator Class]]="Degree",INDEX(INDIRECT("Data_Entry['"&amp;Long_Data[[#This Row],[Indicator Number]]&amp;"'_DSev_2]"),MATCH(Long_Data[[#This Row],[Key]],Data_Entry[Key],0)),"NA")</f>
        <v>0.311083593592621</v>
      </c>
      <c r="N56">
        <f ca="1">IF(Long_Data[[#This Row],[Indicator Class]]="Degree",INDEX(INDIRECT("Data_Entry['"&amp;Long_Data[[#This Row],[Indicator Number]]&amp;"'_DSev_3]"),MATCH(Long_Data[[#This Row],[Key]],Data_Entry[Key],0)),"NA")</f>
        <v>0.17892337894850802</v>
      </c>
      <c r="O56">
        <f ca="1">IF(Long_Data[[#This Row],[Indicator Class]]="Degree",INDEX(INDIRECT("Data_Entry['"&amp;Long_Data[[#This Row],[Indicator Number]]&amp;"'_DSev_4]"),MATCH(Long_Data[[#This Row],[Key]],Data_Entry[Key],0)),"NA")</f>
        <v>0.44188892852522299</v>
      </c>
      <c r="P56">
        <f ca="1">IF(Long_Data[[#This Row],[Indicator Class]]="Degree",INDEX(INDIRECT("Data_Entry['"&amp;Long_Data[[#This Row],[Indicator Number]]&amp;"'_DSev_5]"),MATCH(Long_Data[[#This Row],[Key]],Data_Entry[Key],0)),"NA")</f>
        <v>0</v>
      </c>
      <c r="Q56" t="str">
        <f ca="1">IFERROR(IF(Long_Data[[#This Row],[Indicator Class]]="Magnitude", INDEX(INDIRECT("Data_Entry[Sev_"&amp;Long_Data[[#This Row],[Indicator Number]]&amp;"]"),MATCH(Long_Data[[#This Row],[Key]], Data_Entry[Key],0)),"NA"),"")</f>
        <v>NA</v>
      </c>
      <c r="R5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56" s="70">
        <f ca="1">IFERROR(IF(J56="Magnitude",INDEX(INDIRECT("Data_Entry[PIN_"&amp;Long_Data[[#This Row],[Indicator Number]]&amp;"]"),MATCH(Long_Data[[#This Row],[Key]],Data_Entry[Key],0)),SUM(N56:P56)*INDEX(Baseline_Pop[Population],MATCH(Long_Data[[#This Row],[Key]],Baseline_Pop[Key],0))),"")</f>
        <v>69433.510904784504</v>
      </c>
    </row>
    <row r="57" spans="2:19">
      <c r="B57">
        <v>56</v>
      </c>
      <c r="C57">
        <v>26</v>
      </c>
      <c r="D57" t="str">
        <f>IFERROR(INDEX(Data_Entry[ADM2_Pcode],MATCH('Step 4-Long Data'!C57,Data_Entry[ID],0)),"NA")</f>
        <v>AF06</v>
      </c>
      <c r="E57" t="str">
        <f>IFERROR(INDEX(Data_Entry[Key],MATCH('Step 4-Long Data'!C57,Data_Entry[ID],0)),"NA")</f>
        <v>AF06-Migrants</v>
      </c>
      <c r="F57">
        <v>2</v>
      </c>
      <c r="G57" t="str">
        <f>IFERROR(INDEX(Framework[Pillar],MATCH('Step 4-Long Data'!F57,Framework[Number],0)),"")</f>
        <v>Humanitarian Conditions</v>
      </c>
      <c r="H57" t="str">
        <f>IFERROR(INDEX(Framework[Sub_Pillar],MATCH('Step 4-Long Data'!F57,Framework[Number],0)),"")</f>
        <v>Coping mechanisms</v>
      </c>
      <c r="I57" t="str">
        <f>IFERROR(INDEX(Framework[Indicator],MATCH('Step 4-Long Data'!F57,Framework[Number],0)),"")</f>
        <v>% of households exceeding higher than average debt (&gt;45,000 AFN)</v>
      </c>
      <c r="J57" t="str">
        <f>IFERROR(INDEX(Framework[Class],MATCH('Step 4-Long Data'!F57,Framework[Number],0)),"")</f>
        <v>Degree</v>
      </c>
      <c r="K57" t="str">
        <f>IFERROR(INDEX(Framework[Critical],MATCH('Step 4-Long Data'!F57,Framework[Number],0)),"")</f>
        <v>No</v>
      </c>
      <c r="L57">
        <f ca="1">IF(Long_Data[[#This Row],[Indicator Class]]="Degree",INDEX(INDIRECT("Data_Entry['"&amp;Long_Data[[#This Row],[Indicator Number]]&amp;"'_DSev_1]"),MATCH(Long_Data[[#This Row],[Key]],Data_Entry[Key],0)),"NA")</f>
        <v>7.7251944464981903E-2</v>
      </c>
      <c r="M57">
        <f ca="1">IF(Long_Data[[#This Row],[Indicator Class]]="Degree",INDEX(INDIRECT("Data_Entry['"&amp;Long_Data[[#This Row],[Indicator Number]]&amp;"'_DSev_2]"),MATCH(Long_Data[[#This Row],[Key]],Data_Entry[Key],0)),"NA")</f>
        <v>0.667714772429577</v>
      </c>
      <c r="N57">
        <f ca="1">IF(Long_Data[[#This Row],[Indicator Class]]="Degree",INDEX(INDIRECT("Data_Entry['"&amp;Long_Data[[#This Row],[Indicator Number]]&amp;"'_DSev_3]"),MATCH(Long_Data[[#This Row],[Key]],Data_Entry[Key],0)),"NA")</f>
        <v>0.142809015551703</v>
      </c>
      <c r="O57">
        <f ca="1">IF(Long_Data[[#This Row],[Indicator Class]]="Degree",INDEX(INDIRECT("Data_Entry['"&amp;Long_Data[[#This Row],[Indicator Number]]&amp;"'_DSev_4]"),MATCH(Long_Data[[#This Row],[Key]],Data_Entry[Key],0)),"NA")</f>
        <v>0.11222426755373799</v>
      </c>
      <c r="P57">
        <f ca="1">IF(Long_Data[[#This Row],[Indicator Class]]="Degree",INDEX(INDIRECT("Data_Entry['"&amp;Long_Data[[#This Row],[Indicator Number]]&amp;"'_DSev_5]"),MATCH(Long_Data[[#This Row],[Key]],Data_Entry[Key],0)),"NA")</f>
        <v>0</v>
      </c>
      <c r="Q57" t="str">
        <f ca="1">IFERROR(IF(Long_Data[[#This Row],[Indicator Class]]="Magnitude", INDEX(INDIRECT("Data_Entry[Sev_"&amp;Long_Data[[#This Row],[Indicator Number]]&amp;"]"),MATCH(Long_Data[[#This Row],[Key]], Data_Entry[Key],0)),"NA"),"")</f>
        <v>NA</v>
      </c>
      <c r="R5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57" s="70">
        <f ca="1">IFERROR(IF(J57="Magnitude",INDEX(INDIRECT("Data_Entry[PIN_"&amp;Long_Data[[#This Row],[Indicator Number]]&amp;"]"),MATCH(Long_Data[[#This Row],[Key]],Data_Entry[Key],0)),SUM(N57:P57)*INDEX(Baseline_Pop[Population],MATCH(Long_Data[[#This Row],[Key]],Baseline_Pop[Key],0))),"")</f>
        <v>111743.85312578139</v>
      </c>
    </row>
    <row r="58" spans="2:19">
      <c r="B58">
        <v>57</v>
      </c>
      <c r="C58">
        <v>27</v>
      </c>
      <c r="D58" t="str">
        <f>IFERROR(INDEX(Data_Entry[ADM2_Pcode],MATCH('Step 4-Long Data'!C58,Data_Entry[ID],0)),"NA")</f>
        <v>AF07</v>
      </c>
      <c r="E58" t="str">
        <f>IFERROR(INDEX(Data_Entry[Key],MATCH('Step 4-Long Data'!C58,Data_Entry[ID],0)),"NA")</f>
        <v>AF07-Migrants</v>
      </c>
      <c r="F58">
        <v>2</v>
      </c>
      <c r="G58" t="str">
        <f>IFERROR(INDEX(Framework[Pillar],MATCH('Step 4-Long Data'!F58,Framework[Number],0)),"")</f>
        <v>Humanitarian Conditions</v>
      </c>
      <c r="H58" t="str">
        <f>IFERROR(INDEX(Framework[Sub_Pillar],MATCH('Step 4-Long Data'!F58,Framework[Number],0)),"")</f>
        <v>Coping mechanisms</v>
      </c>
      <c r="I58" t="str">
        <f>IFERROR(INDEX(Framework[Indicator],MATCH('Step 4-Long Data'!F58,Framework[Number],0)),"")</f>
        <v>% of households exceeding higher than average debt (&gt;45,000 AFN)</v>
      </c>
      <c r="J58" t="str">
        <f>IFERROR(INDEX(Framework[Class],MATCH('Step 4-Long Data'!F58,Framework[Number],0)),"")</f>
        <v>Degree</v>
      </c>
      <c r="K58" t="str">
        <f>IFERROR(INDEX(Framework[Critical],MATCH('Step 4-Long Data'!F58,Framework[Number],0)),"")</f>
        <v>No</v>
      </c>
      <c r="L58">
        <f ca="1">IF(Long_Data[[#This Row],[Indicator Class]]="Degree",INDEX(INDIRECT("Data_Entry['"&amp;Long_Data[[#This Row],[Indicator Number]]&amp;"'_DSev_1]"),MATCH(Long_Data[[#This Row],[Key]],Data_Entry[Key],0)),"NA")</f>
        <v>0.13456255666328501</v>
      </c>
      <c r="M58">
        <f ca="1">IF(Long_Data[[#This Row],[Indicator Class]]="Degree",INDEX(INDIRECT("Data_Entry['"&amp;Long_Data[[#This Row],[Indicator Number]]&amp;"'_DSev_2]"),MATCH(Long_Data[[#This Row],[Key]],Data_Entry[Key],0)),"NA")</f>
        <v>0.40858569809563794</v>
      </c>
      <c r="N58">
        <f ca="1">IF(Long_Data[[#This Row],[Indicator Class]]="Degree",INDEX(INDIRECT("Data_Entry['"&amp;Long_Data[[#This Row],[Indicator Number]]&amp;"'_DSev_3]"),MATCH(Long_Data[[#This Row],[Key]],Data_Entry[Key],0)),"NA")</f>
        <v>0.17782069356257502</v>
      </c>
      <c r="O58">
        <f ca="1">IF(Long_Data[[#This Row],[Indicator Class]]="Degree",INDEX(INDIRECT("Data_Entry['"&amp;Long_Data[[#This Row],[Indicator Number]]&amp;"'_DSev_4]"),MATCH(Long_Data[[#This Row],[Key]],Data_Entry[Key],0)),"NA")</f>
        <v>0.27903105167850101</v>
      </c>
      <c r="P58">
        <f ca="1">IF(Long_Data[[#This Row],[Indicator Class]]="Degree",INDEX(INDIRECT("Data_Entry['"&amp;Long_Data[[#This Row],[Indicator Number]]&amp;"'_DSev_5]"),MATCH(Long_Data[[#This Row],[Key]],Data_Entry[Key],0)),"NA")</f>
        <v>0</v>
      </c>
      <c r="Q58" t="str">
        <f ca="1">IFERROR(IF(Long_Data[[#This Row],[Indicator Class]]="Magnitude", INDEX(INDIRECT("Data_Entry[Sev_"&amp;Long_Data[[#This Row],[Indicator Number]]&amp;"]"),MATCH(Long_Data[[#This Row],[Key]], Data_Entry[Key],0)),"NA"),"")</f>
        <v>NA</v>
      </c>
      <c r="R58">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58" s="70">
        <f ca="1">IFERROR(IF(J58="Magnitude",INDEX(INDIRECT("Data_Entry[PIN_"&amp;Long_Data[[#This Row],[Indicator Number]]&amp;"]"),MATCH(Long_Data[[#This Row],[Key]],Data_Entry[Key],0)),SUM(N58:P58)*INDEX(Baseline_Pop[Population],MATCH(Long_Data[[#This Row],[Key]],Baseline_Pop[Key],0))),"")</f>
        <v>58048.953305566843</v>
      </c>
    </row>
    <row r="59" spans="2:19">
      <c r="B59">
        <v>58</v>
      </c>
      <c r="C59">
        <v>28</v>
      </c>
      <c r="D59" t="str">
        <f>IFERROR(INDEX(Data_Entry[ADM2_Pcode],MATCH('Step 4-Long Data'!C59,Data_Entry[ID],0)),"NA")</f>
        <v>AF08</v>
      </c>
      <c r="E59" t="str">
        <f>IFERROR(INDEX(Data_Entry[Key],MATCH('Step 4-Long Data'!C59,Data_Entry[ID],0)),"NA")</f>
        <v>AF08-Migrants</v>
      </c>
      <c r="F59">
        <v>2</v>
      </c>
      <c r="G59" t="str">
        <f>IFERROR(INDEX(Framework[Pillar],MATCH('Step 4-Long Data'!F59,Framework[Number],0)),"")</f>
        <v>Humanitarian Conditions</v>
      </c>
      <c r="H59" t="str">
        <f>IFERROR(INDEX(Framework[Sub_Pillar],MATCH('Step 4-Long Data'!F59,Framework[Number],0)),"")</f>
        <v>Coping mechanisms</v>
      </c>
      <c r="I59" t="str">
        <f>IFERROR(INDEX(Framework[Indicator],MATCH('Step 4-Long Data'!F59,Framework[Number],0)),"")</f>
        <v>% of households exceeding higher than average debt (&gt;45,000 AFN)</v>
      </c>
      <c r="J59" t="str">
        <f>IFERROR(INDEX(Framework[Class],MATCH('Step 4-Long Data'!F59,Framework[Number],0)),"")</f>
        <v>Degree</v>
      </c>
      <c r="K59" t="str">
        <f>IFERROR(INDEX(Framework[Critical],MATCH('Step 4-Long Data'!F59,Framework[Number],0)),"")</f>
        <v>No</v>
      </c>
      <c r="L59">
        <f ca="1">IF(Long_Data[[#This Row],[Indicator Class]]="Degree",INDEX(INDIRECT("Data_Entry['"&amp;Long_Data[[#This Row],[Indicator Number]]&amp;"'_DSev_1]"),MATCH(Long_Data[[#This Row],[Key]],Data_Entry[Key],0)),"NA")</f>
        <v>0.16</v>
      </c>
      <c r="M59">
        <f ca="1">IF(Long_Data[[#This Row],[Indicator Class]]="Degree",INDEX(INDIRECT("Data_Entry['"&amp;Long_Data[[#This Row],[Indicator Number]]&amp;"'_DSev_2]"),MATCH(Long_Data[[#This Row],[Key]],Data_Entry[Key],0)),"NA")</f>
        <v>0.45333333333333298</v>
      </c>
      <c r="N59">
        <f ca="1">IF(Long_Data[[#This Row],[Indicator Class]]="Degree",INDEX(INDIRECT("Data_Entry['"&amp;Long_Data[[#This Row],[Indicator Number]]&amp;"'_DSev_3]"),MATCH(Long_Data[[#This Row],[Key]],Data_Entry[Key],0)),"NA")</f>
        <v>0.17333333333333301</v>
      </c>
      <c r="O59">
        <f ca="1">IF(Long_Data[[#This Row],[Indicator Class]]="Degree",INDEX(INDIRECT("Data_Entry['"&amp;Long_Data[[#This Row],[Indicator Number]]&amp;"'_DSev_4]"),MATCH(Long_Data[[#This Row],[Key]],Data_Entry[Key],0)),"NA")</f>
        <v>0.21333333333333301</v>
      </c>
      <c r="P59">
        <f ca="1">IF(Long_Data[[#This Row],[Indicator Class]]="Degree",INDEX(INDIRECT("Data_Entry['"&amp;Long_Data[[#This Row],[Indicator Number]]&amp;"'_DSev_5]"),MATCH(Long_Data[[#This Row],[Key]],Data_Entry[Key],0)),"NA")</f>
        <v>0</v>
      </c>
      <c r="Q59" t="str">
        <f ca="1">IFERROR(IF(Long_Data[[#This Row],[Indicator Class]]="Magnitude", INDEX(INDIRECT("Data_Entry[Sev_"&amp;Long_Data[[#This Row],[Indicator Number]]&amp;"]"),MATCH(Long_Data[[#This Row],[Key]], Data_Entry[Key],0)),"NA"),"")</f>
        <v>NA</v>
      </c>
      <c r="R5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59" s="70">
        <f ca="1">IFERROR(IF(J59="Magnitude",INDEX(INDIRECT("Data_Entry[PIN_"&amp;Long_Data[[#This Row],[Indicator Number]]&amp;"]"),MATCH(Long_Data[[#This Row],[Key]],Data_Entry[Key],0)),SUM(N59:P59)*INDEX(Baseline_Pop[Population],MATCH(Long_Data[[#This Row],[Key]],Baseline_Pop[Key],0))),"")</f>
        <v>16917.826666666639</v>
      </c>
    </row>
    <row r="60" spans="2:19">
      <c r="B60">
        <v>59</v>
      </c>
      <c r="C60">
        <v>29</v>
      </c>
      <c r="D60" t="str">
        <f>IFERROR(INDEX(Data_Entry[ADM2_Pcode],MATCH('Step 4-Long Data'!C60,Data_Entry[ID],0)),"NA")</f>
        <v>AF09</v>
      </c>
      <c r="E60" t="str">
        <f>IFERROR(INDEX(Data_Entry[Key],MATCH('Step 4-Long Data'!C60,Data_Entry[ID],0)),"NA")</f>
        <v>AF09-Migrants</v>
      </c>
      <c r="F60">
        <v>2</v>
      </c>
      <c r="G60" t="str">
        <f>IFERROR(INDEX(Framework[Pillar],MATCH('Step 4-Long Data'!F60,Framework[Number],0)),"")</f>
        <v>Humanitarian Conditions</v>
      </c>
      <c r="H60" t="str">
        <f>IFERROR(INDEX(Framework[Sub_Pillar],MATCH('Step 4-Long Data'!F60,Framework[Number],0)),"")</f>
        <v>Coping mechanisms</v>
      </c>
      <c r="I60" t="str">
        <f>IFERROR(INDEX(Framework[Indicator],MATCH('Step 4-Long Data'!F60,Framework[Number],0)),"")</f>
        <v>% of households exceeding higher than average debt (&gt;45,000 AFN)</v>
      </c>
      <c r="J60" t="str">
        <f>IFERROR(INDEX(Framework[Class],MATCH('Step 4-Long Data'!F60,Framework[Number],0)),"")</f>
        <v>Degree</v>
      </c>
      <c r="K60" t="str">
        <f>IFERROR(INDEX(Framework[Critical],MATCH('Step 4-Long Data'!F60,Framework[Number],0)),"")</f>
        <v>No</v>
      </c>
      <c r="L60">
        <f ca="1">IF(Long_Data[[#This Row],[Indicator Class]]="Degree",INDEX(INDIRECT("Data_Entry['"&amp;Long_Data[[#This Row],[Indicator Number]]&amp;"'_DSev_1]"),MATCH(Long_Data[[#This Row],[Key]],Data_Entry[Key],0)),"NA")</f>
        <v>2.2388493007297502E-2</v>
      </c>
      <c r="M60">
        <f ca="1">IF(Long_Data[[#This Row],[Indicator Class]]="Degree",INDEX(INDIRECT("Data_Entry['"&amp;Long_Data[[#This Row],[Indicator Number]]&amp;"'_DSev_2]"),MATCH(Long_Data[[#This Row],[Key]],Data_Entry[Key],0)),"NA")</f>
        <v>0.281330815600628</v>
      </c>
      <c r="N60">
        <f ca="1">IF(Long_Data[[#This Row],[Indicator Class]]="Degree",INDEX(INDIRECT("Data_Entry['"&amp;Long_Data[[#This Row],[Indicator Number]]&amp;"'_DSev_3]"),MATCH(Long_Data[[#This Row],[Key]],Data_Entry[Key],0)),"NA")</f>
        <v>0.201728897768511</v>
      </c>
      <c r="O60">
        <f ca="1">IF(Long_Data[[#This Row],[Indicator Class]]="Degree",INDEX(INDIRECT("Data_Entry['"&amp;Long_Data[[#This Row],[Indicator Number]]&amp;"'_DSev_4]"),MATCH(Long_Data[[#This Row],[Key]],Data_Entry[Key],0)),"NA")</f>
        <v>0.494551793623563</v>
      </c>
      <c r="P60">
        <f ca="1">IF(Long_Data[[#This Row],[Indicator Class]]="Degree",INDEX(INDIRECT("Data_Entry['"&amp;Long_Data[[#This Row],[Indicator Number]]&amp;"'_DSev_5]"),MATCH(Long_Data[[#This Row],[Key]],Data_Entry[Key],0)),"NA")</f>
        <v>0</v>
      </c>
      <c r="Q60" t="str">
        <f ca="1">IFERROR(IF(Long_Data[[#This Row],[Indicator Class]]="Magnitude", INDEX(INDIRECT("Data_Entry[Sev_"&amp;Long_Data[[#This Row],[Indicator Number]]&amp;"]"),MATCH(Long_Data[[#This Row],[Key]], Data_Entry[Key],0)),"NA"),"")</f>
        <v>NA</v>
      </c>
      <c r="R6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60" s="70">
        <f ca="1">IFERROR(IF(J60="Magnitude",INDEX(INDIRECT("Data_Entry[PIN_"&amp;Long_Data[[#This Row],[Indicator Number]]&amp;"]"),MATCH(Long_Data[[#This Row],[Key]],Data_Entry[Key],0)),SUM(N60:P60)*INDEX(Baseline_Pop[Population],MATCH(Long_Data[[#This Row],[Key]],Baseline_Pop[Key],0))),"")</f>
        <v>181902.63434548795</v>
      </c>
    </row>
    <row r="61" spans="2:19">
      <c r="B61">
        <v>60</v>
      </c>
      <c r="C61">
        <v>30</v>
      </c>
      <c r="D61" t="str">
        <f>IFERROR(INDEX(Data_Entry[ADM2_Pcode],MATCH('Step 4-Long Data'!C61,Data_Entry[ID],0)),"NA")</f>
        <v>AF10</v>
      </c>
      <c r="E61" t="str">
        <f>IFERROR(INDEX(Data_Entry[Key],MATCH('Step 4-Long Data'!C61,Data_Entry[ID],0)),"NA")</f>
        <v>AF10-Migrants</v>
      </c>
      <c r="F61">
        <v>2</v>
      </c>
      <c r="G61" t="str">
        <f>IFERROR(INDEX(Framework[Pillar],MATCH('Step 4-Long Data'!F61,Framework[Number],0)),"")</f>
        <v>Humanitarian Conditions</v>
      </c>
      <c r="H61" t="str">
        <f>IFERROR(INDEX(Framework[Sub_Pillar],MATCH('Step 4-Long Data'!F61,Framework[Number],0)),"")</f>
        <v>Coping mechanisms</v>
      </c>
      <c r="I61" t="str">
        <f>IFERROR(INDEX(Framework[Indicator],MATCH('Step 4-Long Data'!F61,Framework[Number],0)),"")</f>
        <v>% of households exceeding higher than average debt (&gt;45,000 AFN)</v>
      </c>
      <c r="J61" t="str">
        <f>IFERROR(INDEX(Framework[Class],MATCH('Step 4-Long Data'!F61,Framework[Number],0)),"")</f>
        <v>Degree</v>
      </c>
      <c r="K61" t="str">
        <f>IFERROR(INDEX(Framework[Critical],MATCH('Step 4-Long Data'!F61,Framework[Number],0)),"")</f>
        <v>No</v>
      </c>
      <c r="L61">
        <f ca="1">IF(Long_Data[[#This Row],[Indicator Class]]="Degree",INDEX(INDIRECT("Data_Entry['"&amp;Long_Data[[#This Row],[Indicator Number]]&amp;"'_DSev_1]"),MATCH(Long_Data[[#This Row],[Key]],Data_Entry[Key],0)),"NA")</f>
        <v>2.4242424242424197E-2</v>
      </c>
      <c r="M61">
        <f ca="1">IF(Long_Data[[#This Row],[Indicator Class]]="Degree",INDEX(INDIRECT("Data_Entry['"&amp;Long_Data[[#This Row],[Indicator Number]]&amp;"'_DSev_2]"),MATCH(Long_Data[[#This Row],[Key]],Data_Entry[Key],0)),"NA")</f>
        <v>0.20606060606060597</v>
      </c>
      <c r="N61">
        <f ca="1">IF(Long_Data[[#This Row],[Indicator Class]]="Degree",INDEX(INDIRECT("Data_Entry['"&amp;Long_Data[[#This Row],[Indicator Number]]&amp;"'_DSev_3]"),MATCH(Long_Data[[#This Row],[Key]],Data_Entry[Key],0)),"NA")</f>
        <v>0.21212121212121202</v>
      </c>
      <c r="O61">
        <f ca="1">IF(Long_Data[[#This Row],[Indicator Class]]="Degree",INDEX(INDIRECT("Data_Entry['"&amp;Long_Data[[#This Row],[Indicator Number]]&amp;"'_DSev_4]"),MATCH(Long_Data[[#This Row],[Key]],Data_Entry[Key],0)),"NA")</f>
        <v>0.55757575757575806</v>
      </c>
      <c r="P61">
        <f ca="1">IF(Long_Data[[#This Row],[Indicator Class]]="Degree",INDEX(INDIRECT("Data_Entry['"&amp;Long_Data[[#This Row],[Indicator Number]]&amp;"'_DSev_5]"),MATCH(Long_Data[[#This Row],[Key]],Data_Entry[Key],0)),"NA")</f>
        <v>0</v>
      </c>
      <c r="Q61" t="str">
        <f ca="1">IFERROR(IF(Long_Data[[#This Row],[Indicator Class]]="Magnitude", INDEX(INDIRECT("Data_Entry[Sev_"&amp;Long_Data[[#This Row],[Indicator Number]]&amp;"]"),MATCH(Long_Data[[#This Row],[Key]], Data_Entry[Key],0)),"NA"),"")</f>
        <v>NA</v>
      </c>
      <c r="R61">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61" s="70">
        <f ca="1">IFERROR(IF(J61="Magnitude",INDEX(INDIRECT("Data_Entry[PIN_"&amp;Long_Data[[#This Row],[Indicator Number]]&amp;"]"),MATCH(Long_Data[[#This Row],[Key]],Data_Entry[Key],0)),SUM(N61:P61)*INDEX(Baseline_Pop[Population],MATCH(Long_Data[[#This Row],[Key]],Baseline_Pop[Key],0))),"")</f>
        <v>98211.02424242429</v>
      </c>
    </row>
    <row r="62" spans="2:19">
      <c r="B62">
        <v>61</v>
      </c>
      <c r="C62">
        <v>1</v>
      </c>
      <c r="D62" t="str">
        <f>IFERROR(INDEX(Data_Entry[ADM2_Pcode],MATCH('Step 4-Long Data'!C62,Data_Entry[ID],0)),"NA")</f>
        <v>AF01</v>
      </c>
      <c r="E62" t="str">
        <f>IFERROR(INDEX(Data_Entry[Key],MATCH('Step 4-Long Data'!C62,Data_Entry[ID],0)),"NA")</f>
        <v>AF01-All_Others</v>
      </c>
      <c r="F62">
        <v>3</v>
      </c>
      <c r="G62" t="str">
        <f>IFERROR(INDEX(Framework[Pillar],MATCH('Step 4-Long Data'!F62,Framework[Number],0)),"")</f>
        <v>Humanitarian Conditions</v>
      </c>
      <c r="H62" t="str">
        <f>IFERROR(INDEX(Framework[Sub_Pillar],MATCH('Step 4-Long Data'!F62,Framework[Number],0)),"")</f>
        <v>Coping mechanisms</v>
      </c>
      <c r="I62" t="str">
        <f>IFERROR(INDEX(Framework[Indicator],MATCH('Step 4-Long Data'!F62,Framework[Number],0)),"")</f>
        <v>% of households know how to access humanitarian assistance (e.g. where to go and who to contact?) if they were to need it and feedback or complaint mechanisms to reach aid providers about community needs, assistance received or problems with assistance</v>
      </c>
      <c r="J62" t="str">
        <f>IFERROR(INDEX(Framework[Class],MATCH('Step 4-Long Data'!F62,Framework[Number],0)),"")</f>
        <v>Degree</v>
      </c>
      <c r="K62" t="str">
        <f>IFERROR(INDEX(Framework[Critical],MATCH('Step 4-Long Data'!F62,Framework[Number],0)),"")</f>
        <v>No</v>
      </c>
      <c r="L62">
        <f ca="1">IF(Long_Data[[#This Row],[Indicator Class]]="Degree",INDEX(INDIRECT("Data_Entry['"&amp;Long_Data[[#This Row],[Indicator Number]]&amp;"'_DSev_1]"),MATCH(Long_Data[[#This Row],[Key]],Data_Entry[Key],0)),"NA")</f>
        <v>6.4935064935064901E-2</v>
      </c>
      <c r="M62">
        <f ca="1">IF(Long_Data[[#This Row],[Indicator Class]]="Degree",INDEX(INDIRECT("Data_Entry['"&amp;Long_Data[[#This Row],[Indicator Number]]&amp;"'_DSev_2]"),MATCH(Long_Data[[#This Row],[Key]],Data_Entry[Key],0)),"NA")</f>
        <v>0.493506493506494</v>
      </c>
      <c r="N62">
        <f ca="1">IF(Long_Data[[#This Row],[Indicator Class]]="Degree",INDEX(INDIRECT("Data_Entry['"&amp;Long_Data[[#This Row],[Indicator Number]]&amp;"'_DSev_3]"),MATCH(Long_Data[[#This Row],[Key]],Data_Entry[Key],0)),"NA")</f>
        <v>0.44155844155844198</v>
      </c>
      <c r="O62">
        <f ca="1">IF(Long_Data[[#This Row],[Indicator Class]]="Degree",INDEX(INDIRECT("Data_Entry['"&amp;Long_Data[[#This Row],[Indicator Number]]&amp;"'_DSev_4]"),MATCH(Long_Data[[#This Row],[Key]],Data_Entry[Key],0)),"NA")</f>
        <v>0</v>
      </c>
      <c r="P62">
        <f ca="1">IF(Long_Data[[#This Row],[Indicator Class]]="Degree",INDEX(INDIRECT("Data_Entry['"&amp;Long_Data[[#This Row],[Indicator Number]]&amp;"'_DSev_5]"),MATCH(Long_Data[[#This Row],[Key]],Data_Entry[Key],0)),"NA")</f>
        <v>0</v>
      </c>
      <c r="Q62" t="str">
        <f ca="1">IFERROR(IF(Long_Data[[#This Row],[Indicator Class]]="Magnitude", INDEX(INDIRECT("Data_Entry[Sev_"&amp;Long_Data[[#This Row],[Indicator Number]]&amp;"]"),MATCH(Long_Data[[#This Row],[Key]], Data_Entry[Key],0)),"NA"),"")</f>
        <v>NA</v>
      </c>
      <c r="R6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2" s="70">
        <f ca="1">IFERROR(IF(J62="Magnitude",INDEX(INDIRECT("Data_Entry[PIN_"&amp;Long_Data[[#This Row],[Indicator Number]]&amp;"]"),MATCH(Long_Data[[#This Row],[Key]],Data_Entry[Key],0)),SUM(N62:P62)*INDEX(Baseline_Pop[Population],MATCH(Long_Data[[#This Row],[Key]],Baseline_Pop[Key],0))),"")</f>
        <v>2071068.4935064956</v>
      </c>
    </row>
    <row r="63" spans="2:19">
      <c r="B63">
        <v>62</v>
      </c>
      <c r="C63">
        <v>2</v>
      </c>
      <c r="D63" t="str">
        <f>IFERROR(INDEX(Data_Entry[ADM2_Pcode],MATCH('Step 4-Long Data'!C63,Data_Entry[ID],0)),"NA")</f>
        <v>AF02</v>
      </c>
      <c r="E63" t="str">
        <f>IFERROR(INDEX(Data_Entry[Key],MATCH('Step 4-Long Data'!C63,Data_Entry[ID],0)),"NA")</f>
        <v>AF02-All_Others</v>
      </c>
      <c r="F63">
        <v>3</v>
      </c>
      <c r="G63" t="str">
        <f>IFERROR(INDEX(Framework[Pillar],MATCH('Step 4-Long Data'!F63,Framework[Number],0)),"")</f>
        <v>Humanitarian Conditions</v>
      </c>
      <c r="H63" t="str">
        <f>IFERROR(INDEX(Framework[Sub_Pillar],MATCH('Step 4-Long Data'!F63,Framework[Number],0)),"")</f>
        <v>Coping mechanisms</v>
      </c>
      <c r="I63" t="str">
        <f>IFERROR(INDEX(Framework[Indicator],MATCH('Step 4-Long Data'!F63,Framework[Number],0)),"")</f>
        <v>% of households know how to access humanitarian assistance (e.g. where to go and who to contact?) if they were to need it and feedback or complaint mechanisms to reach aid providers about community needs, assistance received or problems with assistance</v>
      </c>
      <c r="J63" t="str">
        <f>IFERROR(INDEX(Framework[Class],MATCH('Step 4-Long Data'!F63,Framework[Number],0)),"")</f>
        <v>Degree</v>
      </c>
      <c r="K63" t="str">
        <f>IFERROR(INDEX(Framework[Critical],MATCH('Step 4-Long Data'!F63,Framework[Number],0)),"")</f>
        <v>No</v>
      </c>
      <c r="L63">
        <f ca="1">IF(Long_Data[[#This Row],[Indicator Class]]="Degree",INDEX(INDIRECT("Data_Entry['"&amp;Long_Data[[#This Row],[Indicator Number]]&amp;"'_DSev_1]"),MATCH(Long_Data[[#This Row],[Key]],Data_Entry[Key],0)),"NA")</f>
        <v>0.16666666666666699</v>
      </c>
      <c r="M63">
        <f ca="1">IF(Long_Data[[#This Row],[Indicator Class]]="Degree",INDEX(INDIRECT("Data_Entry['"&amp;Long_Data[[#This Row],[Indicator Number]]&amp;"'_DSev_2]"),MATCH(Long_Data[[#This Row],[Key]],Data_Entry[Key],0)),"NA")</f>
        <v>0.21153846153846201</v>
      </c>
      <c r="N63">
        <f ca="1">IF(Long_Data[[#This Row],[Indicator Class]]="Degree",INDEX(INDIRECT("Data_Entry['"&amp;Long_Data[[#This Row],[Indicator Number]]&amp;"'_DSev_3]"),MATCH(Long_Data[[#This Row],[Key]],Data_Entry[Key],0)),"NA")</f>
        <v>0.62179487179487192</v>
      </c>
      <c r="O63">
        <f ca="1">IF(Long_Data[[#This Row],[Indicator Class]]="Degree",INDEX(INDIRECT("Data_Entry['"&amp;Long_Data[[#This Row],[Indicator Number]]&amp;"'_DSev_4]"),MATCH(Long_Data[[#This Row],[Key]],Data_Entry[Key],0)),"NA")</f>
        <v>0</v>
      </c>
      <c r="P63">
        <f ca="1">IF(Long_Data[[#This Row],[Indicator Class]]="Degree",INDEX(INDIRECT("Data_Entry['"&amp;Long_Data[[#This Row],[Indicator Number]]&amp;"'_DSev_5]"),MATCH(Long_Data[[#This Row],[Key]],Data_Entry[Key],0)),"NA")</f>
        <v>0</v>
      </c>
      <c r="Q63" t="str">
        <f ca="1">IFERROR(IF(Long_Data[[#This Row],[Indicator Class]]="Magnitude", INDEX(INDIRECT("Data_Entry[Sev_"&amp;Long_Data[[#This Row],[Indicator Number]]&amp;"]"),MATCH(Long_Data[[#This Row],[Key]], Data_Entry[Key],0)),"NA"),"")</f>
        <v>NA</v>
      </c>
      <c r="R6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3" s="70">
        <f ca="1">IFERROR(IF(J63="Magnitude",INDEX(INDIRECT("Data_Entry[PIN_"&amp;Long_Data[[#This Row],[Indicator Number]]&amp;"]"),MATCH(Long_Data[[#This Row],[Key]],Data_Entry[Key],0)),SUM(N63:P63)*INDEX(Baseline_Pop[Population],MATCH(Long_Data[[#This Row],[Key]],Baseline_Pop[Key],0))),"")</f>
        <v>273618.967948718</v>
      </c>
    </row>
    <row r="64" spans="2:19">
      <c r="B64">
        <v>63</v>
      </c>
      <c r="C64">
        <v>3</v>
      </c>
      <c r="D64" t="str">
        <f>IFERROR(INDEX(Data_Entry[ADM2_Pcode],MATCH('Step 4-Long Data'!C64,Data_Entry[ID],0)),"NA")</f>
        <v>AF03</v>
      </c>
      <c r="E64" t="str">
        <f>IFERROR(INDEX(Data_Entry[Key],MATCH('Step 4-Long Data'!C64,Data_Entry[ID],0)),"NA")</f>
        <v>AF03-All_Others</v>
      </c>
      <c r="F64">
        <v>3</v>
      </c>
      <c r="G64" t="str">
        <f>IFERROR(INDEX(Framework[Pillar],MATCH('Step 4-Long Data'!F64,Framework[Number],0)),"")</f>
        <v>Humanitarian Conditions</v>
      </c>
      <c r="H64" t="str">
        <f>IFERROR(INDEX(Framework[Sub_Pillar],MATCH('Step 4-Long Data'!F64,Framework[Number],0)),"")</f>
        <v>Coping mechanisms</v>
      </c>
      <c r="I64" t="str">
        <f>IFERROR(INDEX(Framework[Indicator],MATCH('Step 4-Long Data'!F64,Framework[Number],0)),"")</f>
        <v>% of households know how to access humanitarian assistance (e.g. where to go and who to contact?) if they were to need it and feedback or complaint mechanisms to reach aid providers about community needs, assistance received or problems with assistance</v>
      </c>
      <c r="J64" t="str">
        <f>IFERROR(INDEX(Framework[Class],MATCH('Step 4-Long Data'!F64,Framework[Number],0)),"")</f>
        <v>Degree</v>
      </c>
      <c r="K64" t="str">
        <f>IFERROR(INDEX(Framework[Critical],MATCH('Step 4-Long Data'!F64,Framework[Number],0)),"")</f>
        <v>No</v>
      </c>
      <c r="L64">
        <f ca="1">IF(Long_Data[[#This Row],[Indicator Class]]="Degree",INDEX(INDIRECT("Data_Entry['"&amp;Long_Data[[#This Row],[Indicator Number]]&amp;"'_DSev_1]"),MATCH(Long_Data[[#This Row],[Key]],Data_Entry[Key],0)),"NA")</f>
        <v>0</v>
      </c>
      <c r="M64">
        <f ca="1">IF(Long_Data[[#This Row],[Indicator Class]]="Degree",INDEX(INDIRECT("Data_Entry['"&amp;Long_Data[[#This Row],[Indicator Number]]&amp;"'_DSev_2]"),MATCH(Long_Data[[#This Row],[Key]],Data_Entry[Key],0)),"NA")</f>
        <v>1.8292682926829298E-2</v>
      </c>
      <c r="N64">
        <f ca="1">IF(Long_Data[[#This Row],[Indicator Class]]="Degree",INDEX(INDIRECT("Data_Entry['"&amp;Long_Data[[#This Row],[Indicator Number]]&amp;"'_DSev_3]"),MATCH(Long_Data[[#This Row],[Key]],Data_Entry[Key],0)),"NA")</f>
        <v>0.98170731707317105</v>
      </c>
      <c r="O64">
        <f ca="1">IF(Long_Data[[#This Row],[Indicator Class]]="Degree",INDEX(INDIRECT("Data_Entry['"&amp;Long_Data[[#This Row],[Indicator Number]]&amp;"'_DSev_4]"),MATCH(Long_Data[[#This Row],[Key]],Data_Entry[Key],0)),"NA")</f>
        <v>0</v>
      </c>
      <c r="P64">
        <f ca="1">IF(Long_Data[[#This Row],[Indicator Class]]="Degree",INDEX(INDIRECT("Data_Entry['"&amp;Long_Data[[#This Row],[Indicator Number]]&amp;"'_DSev_5]"),MATCH(Long_Data[[#This Row],[Key]],Data_Entry[Key],0)),"NA")</f>
        <v>0</v>
      </c>
      <c r="Q64" t="str">
        <f ca="1">IFERROR(IF(Long_Data[[#This Row],[Indicator Class]]="Magnitude", INDEX(INDIRECT("Data_Entry[Sev_"&amp;Long_Data[[#This Row],[Indicator Number]]&amp;"]"),MATCH(Long_Data[[#This Row],[Key]], Data_Entry[Key],0)),"NA"),"")</f>
        <v>NA</v>
      </c>
      <c r="R6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4" s="70">
        <f ca="1">IFERROR(IF(J64="Magnitude",INDEX(INDIRECT("Data_Entry[PIN_"&amp;Long_Data[[#This Row],[Indicator Number]]&amp;"]"),MATCH(Long_Data[[#This Row],[Key]],Data_Entry[Key],0)),SUM(N64:P64)*INDEX(Baseline_Pop[Population],MATCH(Long_Data[[#This Row],[Key]],Baseline_Pop[Key],0))),"")</f>
        <v>652643.93292682944</v>
      </c>
    </row>
    <row r="65" spans="2:19">
      <c r="B65">
        <v>64</v>
      </c>
      <c r="C65">
        <v>4</v>
      </c>
      <c r="D65" t="str">
        <f>IFERROR(INDEX(Data_Entry[ADM2_Pcode],MATCH('Step 4-Long Data'!C65,Data_Entry[ID],0)),"NA")</f>
        <v>AF04</v>
      </c>
      <c r="E65" t="str">
        <f>IFERROR(INDEX(Data_Entry[Key],MATCH('Step 4-Long Data'!C65,Data_Entry[ID],0)),"NA")</f>
        <v>AF04-All_Others</v>
      </c>
      <c r="F65">
        <v>3</v>
      </c>
      <c r="G65" t="str">
        <f>IFERROR(INDEX(Framework[Pillar],MATCH('Step 4-Long Data'!F65,Framework[Number],0)),"")</f>
        <v>Humanitarian Conditions</v>
      </c>
      <c r="H65" t="str">
        <f>IFERROR(INDEX(Framework[Sub_Pillar],MATCH('Step 4-Long Data'!F65,Framework[Number],0)),"")</f>
        <v>Coping mechanisms</v>
      </c>
      <c r="I65" t="str">
        <f>IFERROR(INDEX(Framework[Indicator],MATCH('Step 4-Long Data'!F65,Framework[Number],0)),"")</f>
        <v>% of households know how to access humanitarian assistance (e.g. where to go and who to contact?) if they were to need it and feedback or complaint mechanisms to reach aid providers about community needs, assistance received or problems with assistance</v>
      </c>
      <c r="J65" t="str">
        <f>IFERROR(INDEX(Framework[Class],MATCH('Step 4-Long Data'!F65,Framework[Number],0)),"")</f>
        <v>Degree</v>
      </c>
      <c r="K65" t="str">
        <f>IFERROR(INDEX(Framework[Critical],MATCH('Step 4-Long Data'!F65,Framework[Number],0)),"")</f>
        <v>No</v>
      </c>
      <c r="L65">
        <f ca="1">IF(Long_Data[[#This Row],[Indicator Class]]="Degree",INDEX(INDIRECT("Data_Entry['"&amp;Long_Data[[#This Row],[Indicator Number]]&amp;"'_DSev_1]"),MATCH(Long_Data[[#This Row],[Key]],Data_Entry[Key],0)),"NA")</f>
        <v>0</v>
      </c>
      <c r="M65">
        <f ca="1">IF(Long_Data[[#This Row],[Indicator Class]]="Degree",INDEX(INDIRECT("Data_Entry['"&amp;Long_Data[[#This Row],[Indicator Number]]&amp;"'_DSev_2]"),MATCH(Long_Data[[#This Row],[Key]],Data_Entry[Key],0)),"NA")</f>
        <v>0</v>
      </c>
      <c r="N65">
        <f ca="1">IF(Long_Data[[#This Row],[Indicator Class]]="Degree",INDEX(INDIRECT("Data_Entry['"&amp;Long_Data[[#This Row],[Indicator Number]]&amp;"'_DSev_3]"),MATCH(Long_Data[[#This Row],[Key]],Data_Entry[Key],0)),"NA")</f>
        <v>1</v>
      </c>
      <c r="O65">
        <f ca="1">IF(Long_Data[[#This Row],[Indicator Class]]="Degree",INDEX(INDIRECT("Data_Entry['"&amp;Long_Data[[#This Row],[Indicator Number]]&amp;"'_DSev_4]"),MATCH(Long_Data[[#This Row],[Key]],Data_Entry[Key],0)),"NA")</f>
        <v>0</v>
      </c>
      <c r="P65">
        <f ca="1">IF(Long_Data[[#This Row],[Indicator Class]]="Degree",INDEX(INDIRECT("Data_Entry['"&amp;Long_Data[[#This Row],[Indicator Number]]&amp;"'_DSev_5]"),MATCH(Long_Data[[#This Row],[Key]],Data_Entry[Key],0)),"NA")</f>
        <v>0</v>
      </c>
      <c r="Q65" t="str">
        <f ca="1">IFERROR(IF(Long_Data[[#This Row],[Indicator Class]]="Magnitude", INDEX(INDIRECT("Data_Entry[Sev_"&amp;Long_Data[[#This Row],[Indicator Number]]&amp;"]"),MATCH(Long_Data[[#This Row],[Key]], Data_Entry[Key],0)),"NA"),"")</f>
        <v>NA</v>
      </c>
      <c r="R6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5" s="70">
        <f ca="1">IFERROR(IF(J65="Magnitude",INDEX(INDIRECT("Data_Entry[PIN_"&amp;Long_Data[[#This Row],[Indicator Number]]&amp;"]"),MATCH(Long_Data[[#This Row],[Key]],Data_Entry[Key],0)),SUM(N65:P65)*INDEX(Baseline_Pop[Population],MATCH(Long_Data[[#This Row],[Key]],Baseline_Pop[Key],0))),"")</f>
        <v>595013</v>
      </c>
    </row>
    <row r="66" spans="2:19">
      <c r="B66">
        <v>65</v>
      </c>
      <c r="C66">
        <v>5</v>
      </c>
      <c r="D66" t="str">
        <f>IFERROR(INDEX(Data_Entry[ADM2_Pcode],MATCH('Step 4-Long Data'!C66,Data_Entry[ID],0)),"NA")</f>
        <v>AF05</v>
      </c>
      <c r="E66" t="str">
        <f>IFERROR(INDEX(Data_Entry[Key],MATCH('Step 4-Long Data'!C66,Data_Entry[ID],0)),"NA")</f>
        <v>AF05-All_Others</v>
      </c>
      <c r="F66">
        <v>3</v>
      </c>
      <c r="G66" t="str">
        <f>IFERROR(INDEX(Framework[Pillar],MATCH('Step 4-Long Data'!F66,Framework[Number],0)),"")</f>
        <v>Humanitarian Conditions</v>
      </c>
      <c r="H66" t="str">
        <f>IFERROR(INDEX(Framework[Sub_Pillar],MATCH('Step 4-Long Data'!F66,Framework[Number],0)),"")</f>
        <v>Coping mechanisms</v>
      </c>
      <c r="I66" t="str">
        <f>IFERROR(INDEX(Framework[Indicator],MATCH('Step 4-Long Data'!F66,Framework[Number],0)),"")</f>
        <v>% of households know how to access humanitarian assistance (e.g. where to go and who to contact?) if they were to need it and feedback or complaint mechanisms to reach aid providers about community needs, assistance received or problems with assistance</v>
      </c>
      <c r="J66" t="str">
        <f>IFERROR(INDEX(Framework[Class],MATCH('Step 4-Long Data'!F66,Framework[Number],0)),"")</f>
        <v>Degree</v>
      </c>
      <c r="K66" t="str">
        <f>IFERROR(INDEX(Framework[Critical],MATCH('Step 4-Long Data'!F66,Framework[Number],0)),"")</f>
        <v>No</v>
      </c>
      <c r="L66">
        <f ca="1">IF(Long_Data[[#This Row],[Indicator Class]]="Degree",INDEX(INDIRECT("Data_Entry['"&amp;Long_Data[[#This Row],[Indicator Number]]&amp;"'_DSev_1]"),MATCH(Long_Data[[#This Row],[Key]],Data_Entry[Key],0)),"NA")</f>
        <v>5.4144069348260803E-3</v>
      </c>
      <c r="M66">
        <f ca="1">IF(Long_Data[[#This Row],[Indicator Class]]="Degree",INDEX(INDIRECT("Data_Entry['"&amp;Long_Data[[#This Row],[Indicator Number]]&amp;"'_DSev_2]"),MATCH(Long_Data[[#This Row],[Key]],Data_Entry[Key],0)),"NA")</f>
        <v>0.13935864232994802</v>
      </c>
      <c r="N66">
        <f ca="1">IF(Long_Data[[#This Row],[Indicator Class]]="Degree",INDEX(INDIRECT("Data_Entry['"&amp;Long_Data[[#This Row],[Indicator Number]]&amp;"'_DSev_3]"),MATCH(Long_Data[[#This Row],[Key]],Data_Entry[Key],0)),"NA")</f>
        <v>0.85522695073522603</v>
      </c>
      <c r="O66">
        <f ca="1">IF(Long_Data[[#This Row],[Indicator Class]]="Degree",INDEX(INDIRECT("Data_Entry['"&amp;Long_Data[[#This Row],[Indicator Number]]&amp;"'_DSev_4]"),MATCH(Long_Data[[#This Row],[Key]],Data_Entry[Key],0)),"NA")</f>
        <v>0</v>
      </c>
      <c r="P66">
        <f ca="1">IF(Long_Data[[#This Row],[Indicator Class]]="Degree",INDEX(INDIRECT("Data_Entry['"&amp;Long_Data[[#This Row],[Indicator Number]]&amp;"'_DSev_5]"),MATCH(Long_Data[[#This Row],[Key]],Data_Entry[Key],0)),"NA")</f>
        <v>0</v>
      </c>
      <c r="Q66" t="str">
        <f ca="1">IFERROR(IF(Long_Data[[#This Row],[Indicator Class]]="Magnitude", INDEX(INDIRECT("Data_Entry[Sev_"&amp;Long_Data[[#This Row],[Indicator Number]]&amp;"]"),MATCH(Long_Data[[#This Row],[Key]], Data_Entry[Key],0)),"NA"),"")</f>
        <v>NA</v>
      </c>
      <c r="R6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6" s="70">
        <f ca="1">IFERROR(IF(J66="Magnitude",INDEX(INDIRECT("Data_Entry[PIN_"&amp;Long_Data[[#This Row],[Indicator Number]]&amp;"]"),MATCH(Long_Data[[#This Row],[Key]],Data_Entry[Key],0)),SUM(N66:P66)*INDEX(Baseline_Pop[Population],MATCH(Long_Data[[#This Row],[Key]],Baseline_Pop[Key],0))),"")</f>
        <v>334779.44509225496</v>
      </c>
    </row>
    <row r="67" spans="2:19">
      <c r="B67">
        <v>66</v>
      </c>
      <c r="C67">
        <v>6</v>
      </c>
      <c r="D67" t="str">
        <f>IFERROR(INDEX(Data_Entry[ADM2_Pcode],MATCH('Step 4-Long Data'!C67,Data_Entry[ID],0)),"NA")</f>
        <v>AF06</v>
      </c>
      <c r="E67" t="str">
        <f>IFERROR(INDEX(Data_Entry[Key],MATCH('Step 4-Long Data'!C67,Data_Entry[ID],0)),"NA")</f>
        <v>AF06-All_Others</v>
      </c>
      <c r="F67">
        <v>3</v>
      </c>
      <c r="G67" t="str">
        <f>IFERROR(INDEX(Framework[Pillar],MATCH('Step 4-Long Data'!F67,Framework[Number],0)),"")</f>
        <v>Humanitarian Conditions</v>
      </c>
      <c r="H67" t="str">
        <f>IFERROR(INDEX(Framework[Sub_Pillar],MATCH('Step 4-Long Data'!F67,Framework[Number],0)),"")</f>
        <v>Coping mechanisms</v>
      </c>
      <c r="I67" t="str">
        <f>IFERROR(INDEX(Framework[Indicator],MATCH('Step 4-Long Data'!F67,Framework[Number],0)),"")</f>
        <v>% of households know how to access humanitarian assistance (e.g. where to go and who to contact?) if they were to need it and feedback or complaint mechanisms to reach aid providers about community needs, assistance received or problems with assistance</v>
      </c>
      <c r="J67" t="str">
        <f>IFERROR(INDEX(Framework[Class],MATCH('Step 4-Long Data'!F67,Framework[Number],0)),"")</f>
        <v>Degree</v>
      </c>
      <c r="K67" t="str">
        <f>IFERROR(INDEX(Framework[Critical],MATCH('Step 4-Long Data'!F67,Framework[Number],0)),"")</f>
        <v>No</v>
      </c>
      <c r="L67">
        <f ca="1">IF(Long_Data[[#This Row],[Indicator Class]]="Degree",INDEX(INDIRECT("Data_Entry['"&amp;Long_Data[[#This Row],[Indicator Number]]&amp;"'_DSev_1]"),MATCH(Long_Data[[#This Row],[Key]],Data_Entry[Key],0)),"NA")</f>
        <v>0</v>
      </c>
      <c r="M67">
        <f ca="1">IF(Long_Data[[#This Row],[Indicator Class]]="Degree",INDEX(INDIRECT("Data_Entry['"&amp;Long_Data[[#This Row],[Indicator Number]]&amp;"'_DSev_2]"),MATCH(Long_Data[[#This Row],[Key]],Data_Entry[Key],0)),"NA")</f>
        <v>4.6919667118269198E-2</v>
      </c>
      <c r="N67">
        <f ca="1">IF(Long_Data[[#This Row],[Indicator Class]]="Degree",INDEX(INDIRECT("Data_Entry['"&amp;Long_Data[[#This Row],[Indicator Number]]&amp;"'_DSev_3]"),MATCH(Long_Data[[#This Row],[Key]],Data_Entry[Key],0)),"NA")</f>
        <v>0.95308033288173111</v>
      </c>
      <c r="O67">
        <f ca="1">IF(Long_Data[[#This Row],[Indicator Class]]="Degree",INDEX(INDIRECT("Data_Entry['"&amp;Long_Data[[#This Row],[Indicator Number]]&amp;"'_DSev_4]"),MATCH(Long_Data[[#This Row],[Key]],Data_Entry[Key],0)),"NA")</f>
        <v>0</v>
      </c>
      <c r="P67">
        <f ca="1">IF(Long_Data[[#This Row],[Indicator Class]]="Degree",INDEX(INDIRECT("Data_Entry['"&amp;Long_Data[[#This Row],[Indicator Number]]&amp;"'_DSev_5]"),MATCH(Long_Data[[#This Row],[Key]],Data_Entry[Key],0)),"NA")</f>
        <v>0</v>
      </c>
      <c r="Q67" t="str">
        <f ca="1">IFERROR(IF(Long_Data[[#This Row],[Indicator Class]]="Magnitude", INDEX(INDIRECT("Data_Entry[Sev_"&amp;Long_Data[[#This Row],[Indicator Number]]&amp;"]"),MATCH(Long_Data[[#This Row],[Key]], Data_Entry[Key],0)),"NA"),"")</f>
        <v>NA</v>
      </c>
      <c r="R6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7" s="70">
        <f ca="1">IFERROR(IF(J67="Magnitude",INDEX(INDIRECT("Data_Entry[PIN_"&amp;Long_Data[[#This Row],[Indicator Number]]&amp;"]"),MATCH(Long_Data[[#This Row],[Key]],Data_Entry[Key],0)),SUM(N67:P67)*INDEX(Baseline_Pop[Population],MATCH(Long_Data[[#This Row],[Key]],Baseline_Pop[Key],0))),"")</f>
        <v>1461586.81368745</v>
      </c>
    </row>
    <row r="68" spans="2:19">
      <c r="B68">
        <v>67</v>
      </c>
      <c r="C68">
        <v>7</v>
      </c>
      <c r="D68" t="str">
        <f>IFERROR(INDEX(Data_Entry[ADM2_Pcode],MATCH('Step 4-Long Data'!C68,Data_Entry[ID],0)),"NA")</f>
        <v>AF07</v>
      </c>
      <c r="E68" t="str">
        <f>IFERROR(INDEX(Data_Entry[Key],MATCH('Step 4-Long Data'!C68,Data_Entry[ID],0)),"NA")</f>
        <v>AF07-All_Others</v>
      </c>
      <c r="F68">
        <v>3</v>
      </c>
      <c r="G68" t="str">
        <f>IFERROR(INDEX(Framework[Pillar],MATCH('Step 4-Long Data'!F68,Framework[Number],0)),"")</f>
        <v>Humanitarian Conditions</v>
      </c>
      <c r="H68" t="str">
        <f>IFERROR(INDEX(Framework[Sub_Pillar],MATCH('Step 4-Long Data'!F68,Framework[Number],0)),"")</f>
        <v>Coping mechanisms</v>
      </c>
      <c r="I68" t="str">
        <f>IFERROR(INDEX(Framework[Indicator],MATCH('Step 4-Long Data'!F68,Framework[Number],0)),"")</f>
        <v>% of households know how to access humanitarian assistance (e.g. where to go and who to contact?) if they were to need it and feedback or complaint mechanisms to reach aid providers about community needs, assistance received or problems with assistance</v>
      </c>
      <c r="J68" t="str">
        <f>IFERROR(INDEX(Framework[Class],MATCH('Step 4-Long Data'!F68,Framework[Number],0)),"")</f>
        <v>Degree</v>
      </c>
      <c r="K68" t="str">
        <f>IFERROR(INDEX(Framework[Critical],MATCH('Step 4-Long Data'!F68,Framework[Number],0)),"")</f>
        <v>No</v>
      </c>
      <c r="L68">
        <f ca="1">IF(Long_Data[[#This Row],[Indicator Class]]="Degree",INDEX(INDIRECT("Data_Entry['"&amp;Long_Data[[#This Row],[Indicator Number]]&amp;"'_DSev_1]"),MATCH(Long_Data[[#This Row],[Key]],Data_Entry[Key],0)),"NA")</f>
        <v>0.298687020860469</v>
      </c>
      <c r="M68">
        <f ca="1">IF(Long_Data[[#This Row],[Indicator Class]]="Degree",INDEX(INDIRECT("Data_Entry['"&amp;Long_Data[[#This Row],[Indicator Number]]&amp;"'_DSev_2]"),MATCH(Long_Data[[#This Row],[Key]],Data_Entry[Key],0)),"NA")</f>
        <v>0.189432812661469</v>
      </c>
      <c r="N68">
        <f ca="1">IF(Long_Data[[#This Row],[Indicator Class]]="Degree",INDEX(INDIRECT("Data_Entry['"&amp;Long_Data[[#This Row],[Indicator Number]]&amp;"'_DSev_3]"),MATCH(Long_Data[[#This Row],[Key]],Data_Entry[Key],0)),"NA")</f>
        <v>0.511880166478062</v>
      </c>
      <c r="O68">
        <f ca="1">IF(Long_Data[[#This Row],[Indicator Class]]="Degree",INDEX(INDIRECT("Data_Entry['"&amp;Long_Data[[#This Row],[Indicator Number]]&amp;"'_DSev_4]"),MATCH(Long_Data[[#This Row],[Key]],Data_Entry[Key],0)),"NA")</f>
        <v>0</v>
      </c>
      <c r="P68">
        <f ca="1">IF(Long_Data[[#This Row],[Indicator Class]]="Degree",INDEX(INDIRECT("Data_Entry['"&amp;Long_Data[[#This Row],[Indicator Number]]&amp;"'_DSev_5]"),MATCH(Long_Data[[#This Row],[Key]],Data_Entry[Key],0)),"NA")</f>
        <v>0</v>
      </c>
      <c r="Q68" t="str">
        <f ca="1">IFERROR(IF(Long_Data[[#This Row],[Indicator Class]]="Magnitude", INDEX(INDIRECT("Data_Entry[Sev_"&amp;Long_Data[[#This Row],[Indicator Number]]&amp;"]"),MATCH(Long_Data[[#This Row],[Key]], Data_Entry[Key],0)),"NA"),"")</f>
        <v>NA</v>
      </c>
      <c r="R6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8" s="70">
        <f ca="1">IFERROR(IF(J68="Magnitude",INDEX(INDIRECT("Data_Entry[PIN_"&amp;Long_Data[[#This Row],[Indicator Number]]&amp;"]"),MATCH(Long_Data[[#This Row],[Key]],Data_Entry[Key],0)),SUM(N68:P68)*INDEX(Baseline_Pop[Population],MATCH(Long_Data[[#This Row],[Key]],Baseline_Pop[Key],0))),"")</f>
        <v>227644.3713964567</v>
      </c>
    </row>
    <row r="69" spans="2:19">
      <c r="B69">
        <v>68</v>
      </c>
      <c r="C69">
        <v>8</v>
      </c>
      <c r="D69" t="str">
        <f>IFERROR(INDEX(Data_Entry[ADM2_Pcode],MATCH('Step 4-Long Data'!C69,Data_Entry[ID],0)),"NA")</f>
        <v>AF08</v>
      </c>
      <c r="E69" t="str">
        <f>IFERROR(INDEX(Data_Entry[Key],MATCH('Step 4-Long Data'!C69,Data_Entry[ID],0)),"NA")</f>
        <v>AF08-All_Others</v>
      </c>
      <c r="F69">
        <v>3</v>
      </c>
      <c r="G69" t="str">
        <f>IFERROR(INDEX(Framework[Pillar],MATCH('Step 4-Long Data'!F69,Framework[Number],0)),"")</f>
        <v>Humanitarian Conditions</v>
      </c>
      <c r="H69" t="str">
        <f>IFERROR(INDEX(Framework[Sub_Pillar],MATCH('Step 4-Long Data'!F69,Framework[Number],0)),"")</f>
        <v>Coping mechanisms</v>
      </c>
      <c r="I69" t="str">
        <f>IFERROR(INDEX(Framework[Indicator],MATCH('Step 4-Long Data'!F69,Framework[Number],0)),"")</f>
        <v>% of households know how to access humanitarian assistance (e.g. where to go and who to contact?) if they were to need it and feedback or complaint mechanisms to reach aid providers about community needs, assistance received or problems with assistance</v>
      </c>
      <c r="J69" t="str">
        <f>IFERROR(INDEX(Framework[Class],MATCH('Step 4-Long Data'!F69,Framework[Number],0)),"")</f>
        <v>Degree</v>
      </c>
      <c r="K69" t="str">
        <f>IFERROR(INDEX(Framework[Critical],MATCH('Step 4-Long Data'!F69,Framework[Number],0)),"")</f>
        <v>No</v>
      </c>
      <c r="L69">
        <f ca="1">IF(Long_Data[[#This Row],[Indicator Class]]="Degree",INDEX(INDIRECT("Data_Entry['"&amp;Long_Data[[#This Row],[Indicator Number]]&amp;"'_DSev_1]"),MATCH(Long_Data[[#This Row],[Key]],Data_Entry[Key],0)),"NA")</f>
        <v>0</v>
      </c>
      <c r="M69">
        <f ca="1">IF(Long_Data[[#This Row],[Indicator Class]]="Degree",INDEX(INDIRECT("Data_Entry['"&amp;Long_Data[[#This Row],[Indicator Number]]&amp;"'_DSev_2]"),MATCH(Long_Data[[#This Row],[Key]],Data_Entry[Key],0)),"NA")</f>
        <v>0.11377245508981999</v>
      </c>
      <c r="N69">
        <f ca="1">IF(Long_Data[[#This Row],[Indicator Class]]="Degree",INDEX(INDIRECT("Data_Entry['"&amp;Long_Data[[#This Row],[Indicator Number]]&amp;"'_DSev_3]"),MATCH(Long_Data[[#This Row],[Key]],Data_Entry[Key],0)),"NA")</f>
        <v>0.88622754491017997</v>
      </c>
      <c r="O69">
        <f ca="1">IF(Long_Data[[#This Row],[Indicator Class]]="Degree",INDEX(INDIRECT("Data_Entry['"&amp;Long_Data[[#This Row],[Indicator Number]]&amp;"'_DSev_4]"),MATCH(Long_Data[[#This Row],[Key]],Data_Entry[Key],0)),"NA")</f>
        <v>0</v>
      </c>
      <c r="P69">
        <f ca="1">IF(Long_Data[[#This Row],[Indicator Class]]="Degree",INDEX(INDIRECT("Data_Entry['"&amp;Long_Data[[#This Row],[Indicator Number]]&amp;"'_DSev_5]"),MATCH(Long_Data[[#This Row],[Key]],Data_Entry[Key],0)),"NA")</f>
        <v>0</v>
      </c>
      <c r="Q69" t="str">
        <f ca="1">IFERROR(IF(Long_Data[[#This Row],[Indicator Class]]="Magnitude", INDEX(INDIRECT("Data_Entry[Sev_"&amp;Long_Data[[#This Row],[Indicator Number]]&amp;"]"),MATCH(Long_Data[[#This Row],[Key]], Data_Entry[Key],0)),"NA"),"")</f>
        <v>NA</v>
      </c>
      <c r="R6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69" s="70">
        <f ca="1">IFERROR(IF(J69="Magnitude",INDEX(INDIRECT("Data_Entry[PIN_"&amp;Long_Data[[#This Row],[Indicator Number]]&amp;"]"),MATCH(Long_Data[[#This Row],[Key]],Data_Entry[Key],0)),SUM(N69:P69)*INDEX(Baseline_Pop[Population],MATCH(Long_Data[[#This Row],[Key]],Baseline_Pop[Key],0))),"")</f>
        <v>135711.56886227551</v>
      </c>
    </row>
    <row r="70" spans="2:19">
      <c r="B70">
        <v>69</v>
      </c>
      <c r="C70">
        <v>9</v>
      </c>
      <c r="D70" t="str">
        <f>IFERROR(INDEX(Data_Entry[ADM2_Pcode],MATCH('Step 4-Long Data'!C70,Data_Entry[ID],0)),"NA")</f>
        <v>AF09</v>
      </c>
      <c r="E70" t="str">
        <f>IFERROR(INDEX(Data_Entry[Key],MATCH('Step 4-Long Data'!C70,Data_Entry[ID],0)),"NA")</f>
        <v>AF09-All_Others</v>
      </c>
      <c r="F70">
        <v>3</v>
      </c>
      <c r="G70" t="str">
        <f>IFERROR(INDEX(Framework[Pillar],MATCH('Step 4-Long Data'!F70,Framework[Number],0)),"")</f>
        <v>Humanitarian Conditions</v>
      </c>
      <c r="H70" t="str">
        <f>IFERROR(INDEX(Framework[Sub_Pillar],MATCH('Step 4-Long Data'!F70,Framework[Number],0)),"")</f>
        <v>Coping mechanisms</v>
      </c>
      <c r="I70" t="str">
        <f>IFERROR(INDEX(Framework[Indicator],MATCH('Step 4-Long Data'!F70,Framework[Number],0)),"")</f>
        <v>% of households know how to access humanitarian assistance (e.g. where to go and who to contact?) if they were to need it and feedback or complaint mechanisms to reach aid providers about community needs, assistance received or problems with assistance</v>
      </c>
      <c r="J70" t="str">
        <f>IFERROR(INDEX(Framework[Class],MATCH('Step 4-Long Data'!F70,Framework[Number],0)),"")</f>
        <v>Degree</v>
      </c>
      <c r="K70" t="str">
        <f>IFERROR(INDEX(Framework[Critical],MATCH('Step 4-Long Data'!F70,Framework[Number],0)),"")</f>
        <v>No</v>
      </c>
      <c r="L70">
        <f ca="1">IF(Long_Data[[#This Row],[Indicator Class]]="Degree",INDEX(INDIRECT("Data_Entry['"&amp;Long_Data[[#This Row],[Indicator Number]]&amp;"'_DSev_1]"),MATCH(Long_Data[[#This Row],[Key]],Data_Entry[Key],0)),"NA")</f>
        <v>0.44460241346045204</v>
      </c>
      <c r="M70">
        <f ca="1">IF(Long_Data[[#This Row],[Indicator Class]]="Degree",INDEX(INDIRECT("Data_Entry['"&amp;Long_Data[[#This Row],[Indicator Number]]&amp;"'_DSev_2]"),MATCH(Long_Data[[#This Row],[Key]],Data_Entry[Key],0)),"NA")</f>
        <v>0.114273161947643</v>
      </c>
      <c r="N70">
        <f ca="1">IF(Long_Data[[#This Row],[Indicator Class]]="Degree",INDEX(INDIRECT("Data_Entry['"&amp;Long_Data[[#This Row],[Indicator Number]]&amp;"'_DSev_3]"),MATCH(Long_Data[[#This Row],[Key]],Data_Entry[Key],0)),"NA")</f>
        <v>0.44112442459190498</v>
      </c>
      <c r="O70">
        <f ca="1">IF(Long_Data[[#This Row],[Indicator Class]]="Degree",INDEX(INDIRECT("Data_Entry['"&amp;Long_Data[[#This Row],[Indicator Number]]&amp;"'_DSev_4]"),MATCH(Long_Data[[#This Row],[Key]],Data_Entry[Key],0)),"NA")</f>
        <v>0</v>
      </c>
      <c r="P70">
        <f ca="1">IF(Long_Data[[#This Row],[Indicator Class]]="Degree",INDEX(INDIRECT("Data_Entry['"&amp;Long_Data[[#This Row],[Indicator Number]]&amp;"'_DSev_5]"),MATCH(Long_Data[[#This Row],[Key]],Data_Entry[Key],0)),"NA")</f>
        <v>0</v>
      </c>
      <c r="Q70" t="str">
        <f ca="1">IFERROR(IF(Long_Data[[#This Row],[Indicator Class]]="Magnitude", INDEX(INDIRECT("Data_Entry[Sev_"&amp;Long_Data[[#This Row],[Indicator Number]]&amp;"]"),MATCH(Long_Data[[#This Row],[Key]], Data_Entry[Key],0)),"NA"),"")</f>
        <v>NA</v>
      </c>
      <c r="R7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0" s="70">
        <f ca="1">IFERROR(IF(J70="Magnitude",INDEX(INDIRECT("Data_Entry[PIN_"&amp;Long_Data[[#This Row],[Indicator Number]]&amp;"]"),MATCH(Long_Data[[#This Row],[Key]],Data_Entry[Key],0)),SUM(N70:P70)*INDEX(Baseline_Pop[Population],MATCH(Long_Data[[#This Row],[Key]],Baseline_Pop[Key],0))),"")</f>
        <v>403350.94011410017</v>
      </c>
    </row>
    <row r="71" spans="2:19">
      <c r="B71">
        <v>70</v>
      </c>
      <c r="C71">
        <v>10</v>
      </c>
      <c r="D71" t="str">
        <f>IFERROR(INDEX(Data_Entry[ADM2_Pcode],MATCH('Step 4-Long Data'!C71,Data_Entry[ID],0)),"NA")</f>
        <v>AF10</v>
      </c>
      <c r="E71" t="str">
        <f>IFERROR(INDEX(Data_Entry[Key],MATCH('Step 4-Long Data'!C71,Data_Entry[ID],0)),"NA")</f>
        <v>AF10-All_Others</v>
      </c>
      <c r="F71">
        <v>3</v>
      </c>
      <c r="G71" t="str">
        <f>IFERROR(INDEX(Framework[Pillar],MATCH('Step 4-Long Data'!F71,Framework[Number],0)),"")</f>
        <v>Humanitarian Conditions</v>
      </c>
      <c r="H71" t="str">
        <f>IFERROR(INDEX(Framework[Sub_Pillar],MATCH('Step 4-Long Data'!F71,Framework[Number],0)),"")</f>
        <v>Coping mechanisms</v>
      </c>
      <c r="I71" t="str">
        <f>IFERROR(INDEX(Framework[Indicator],MATCH('Step 4-Long Data'!F71,Framework[Number],0)),"")</f>
        <v>% of households know how to access humanitarian assistance (e.g. where to go and who to contact?) if they were to need it and feedback or complaint mechanisms to reach aid providers about community needs, assistance received or problems with assistance</v>
      </c>
      <c r="J71" t="str">
        <f>IFERROR(INDEX(Framework[Class],MATCH('Step 4-Long Data'!F71,Framework[Number],0)),"")</f>
        <v>Degree</v>
      </c>
      <c r="K71" t="str">
        <f>IFERROR(INDEX(Framework[Critical],MATCH('Step 4-Long Data'!F71,Framework[Number],0)),"")</f>
        <v>No</v>
      </c>
      <c r="L71">
        <f ca="1">IF(Long_Data[[#This Row],[Indicator Class]]="Degree",INDEX(INDIRECT("Data_Entry['"&amp;Long_Data[[#This Row],[Indicator Number]]&amp;"'_DSev_1]"),MATCH(Long_Data[[#This Row],[Key]],Data_Entry[Key],0)),"NA")</f>
        <v>8.99470899470899E-2</v>
      </c>
      <c r="M71">
        <f ca="1">IF(Long_Data[[#This Row],[Indicator Class]]="Degree",INDEX(INDIRECT("Data_Entry['"&amp;Long_Data[[#This Row],[Indicator Number]]&amp;"'_DSev_2]"),MATCH(Long_Data[[#This Row],[Key]],Data_Entry[Key],0)),"NA")</f>
        <v>0.20105820105820102</v>
      </c>
      <c r="N71">
        <f ca="1">IF(Long_Data[[#This Row],[Indicator Class]]="Degree",INDEX(INDIRECT("Data_Entry['"&amp;Long_Data[[#This Row],[Indicator Number]]&amp;"'_DSev_3]"),MATCH(Long_Data[[#This Row],[Key]],Data_Entry[Key],0)),"NA")</f>
        <v>0.70899470899470896</v>
      </c>
      <c r="O71">
        <f ca="1">IF(Long_Data[[#This Row],[Indicator Class]]="Degree",INDEX(INDIRECT("Data_Entry['"&amp;Long_Data[[#This Row],[Indicator Number]]&amp;"'_DSev_4]"),MATCH(Long_Data[[#This Row],[Key]],Data_Entry[Key],0)),"NA")</f>
        <v>0</v>
      </c>
      <c r="P71">
        <f ca="1">IF(Long_Data[[#This Row],[Indicator Class]]="Degree",INDEX(INDIRECT("Data_Entry['"&amp;Long_Data[[#This Row],[Indicator Number]]&amp;"'_DSev_5]"),MATCH(Long_Data[[#This Row],[Key]],Data_Entry[Key],0)),"NA")</f>
        <v>0</v>
      </c>
      <c r="Q71" t="str">
        <f ca="1">IFERROR(IF(Long_Data[[#This Row],[Indicator Class]]="Magnitude", INDEX(INDIRECT("Data_Entry[Sev_"&amp;Long_Data[[#This Row],[Indicator Number]]&amp;"]"),MATCH(Long_Data[[#This Row],[Key]], Data_Entry[Key],0)),"NA"),"")</f>
        <v>NA</v>
      </c>
      <c r="R7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1" s="70">
        <f ca="1">IFERROR(IF(J71="Magnitude",INDEX(INDIRECT("Data_Entry[PIN_"&amp;Long_Data[[#This Row],[Indicator Number]]&amp;"]"),MATCH(Long_Data[[#This Row],[Key]],Data_Entry[Key],0)),SUM(N71:P71)*INDEX(Baseline_Pop[Population],MATCH(Long_Data[[#This Row],[Key]],Baseline_Pop[Key],0))),"")</f>
        <v>316628.52910052909</v>
      </c>
    </row>
    <row r="72" spans="2:19">
      <c r="B72">
        <v>71</v>
      </c>
      <c r="C72">
        <v>11</v>
      </c>
      <c r="D72" t="str">
        <f>IFERROR(INDEX(Data_Entry[ADM2_Pcode],MATCH('Step 4-Long Data'!C72,Data_Entry[ID],0)),"NA")</f>
        <v>AF01</v>
      </c>
      <c r="E72" t="str">
        <f>IFERROR(INDEX(Data_Entry[Key],MATCH('Step 4-Long Data'!C72,Data_Entry[ID],0)),"NA")</f>
        <v>AF01-Non_Displaced</v>
      </c>
      <c r="F72">
        <v>3</v>
      </c>
      <c r="G72" t="str">
        <f>IFERROR(INDEX(Framework[Pillar],MATCH('Step 4-Long Data'!F72,Framework[Number],0)),"")</f>
        <v>Humanitarian Conditions</v>
      </c>
      <c r="H72" t="str">
        <f>IFERROR(INDEX(Framework[Sub_Pillar],MATCH('Step 4-Long Data'!F72,Framework[Number],0)),"")</f>
        <v>Coping mechanisms</v>
      </c>
      <c r="I72" t="str">
        <f>IFERROR(INDEX(Framework[Indicator],MATCH('Step 4-Long Data'!F72,Framework[Number],0)),"")</f>
        <v>% of households know how to access humanitarian assistance (e.g. where to go and who to contact?) if they were to need it and feedback or complaint mechanisms to reach aid providers about community needs, assistance received or problems with assistance</v>
      </c>
      <c r="J72" t="str">
        <f>IFERROR(INDEX(Framework[Class],MATCH('Step 4-Long Data'!F72,Framework[Number],0)),"")</f>
        <v>Degree</v>
      </c>
      <c r="K72" t="str">
        <f>IFERROR(INDEX(Framework[Critical],MATCH('Step 4-Long Data'!F72,Framework[Number],0)),"")</f>
        <v>No</v>
      </c>
      <c r="L72">
        <f ca="1">IF(Long_Data[[#This Row],[Indicator Class]]="Degree",INDEX(INDIRECT("Data_Entry['"&amp;Long_Data[[#This Row],[Indicator Number]]&amp;"'_DSev_1]"),MATCH(Long_Data[[#This Row],[Key]],Data_Entry[Key],0)),"NA")</f>
        <v>6.4935064935064901E-2</v>
      </c>
      <c r="M72">
        <f ca="1">IF(Long_Data[[#This Row],[Indicator Class]]="Degree",INDEX(INDIRECT("Data_Entry['"&amp;Long_Data[[#This Row],[Indicator Number]]&amp;"'_DSev_2]"),MATCH(Long_Data[[#This Row],[Key]],Data_Entry[Key],0)),"NA")</f>
        <v>0.493506493506494</v>
      </c>
      <c r="N72">
        <f ca="1">IF(Long_Data[[#This Row],[Indicator Class]]="Degree",INDEX(INDIRECT("Data_Entry['"&amp;Long_Data[[#This Row],[Indicator Number]]&amp;"'_DSev_3]"),MATCH(Long_Data[[#This Row],[Key]],Data_Entry[Key],0)),"NA")</f>
        <v>0.44155844155844198</v>
      </c>
      <c r="O72">
        <f ca="1">IF(Long_Data[[#This Row],[Indicator Class]]="Degree",INDEX(INDIRECT("Data_Entry['"&amp;Long_Data[[#This Row],[Indicator Number]]&amp;"'_DSev_4]"),MATCH(Long_Data[[#This Row],[Key]],Data_Entry[Key],0)),"NA")</f>
        <v>0</v>
      </c>
      <c r="P72">
        <f ca="1">IF(Long_Data[[#This Row],[Indicator Class]]="Degree",INDEX(INDIRECT("Data_Entry['"&amp;Long_Data[[#This Row],[Indicator Number]]&amp;"'_DSev_5]"),MATCH(Long_Data[[#This Row],[Key]],Data_Entry[Key],0)),"NA")</f>
        <v>0</v>
      </c>
      <c r="Q72" t="str">
        <f ca="1">IFERROR(IF(Long_Data[[#This Row],[Indicator Class]]="Magnitude", INDEX(INDIRECT("Data_Entry[Sev_"&amp;Long_Data[[#This Row],[Indicator Number]]&amp;"]"),MATCH(Long_Data[[#This Row],[Key]], Data_Entry[Key],0)),"NA"),"")</f>
        <v>NA</v>
      </c>
      <c r="R7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2" s="70">
        <f ca="1">IFERROR(IF(J72="Magnitude",INDEX(INDIRECT("Data_Entry[PIN_"&amp;Long_Data[[#This Row],[Indicator Number]]&amp;"]"),MATCH(Long_Data[[#This Row],[Key]],Data_Entry[Key],0)),SUM(N72:P72)*INDEX(Baseline_Pop[Population],MATCH(Long_Data[[#This Row],[Key]],Baseline_Pop[Key],0))),"")</f>
        <v>295867.11688311718</v>
      </c>
    </row>
    <row r="73" spans="2:19">
      <c r="B73">
        <v>72</v>
      </c>
      <c r="C73">
        <v>12</v>
      </c>
      <c r="D73" t="str">
        <f>IFERROR(INDEX(Data_Entry[ADM2_Pcode],MATCH('Step 4-Long Data'!C73,Data_Entry[ID],0)),"NA")</f>
        <v>AF02</v>
      </c>
      <c r="E73" t="str">
        <f>IFERROR(INDEX(Data_Entry[Key],MATCH('Step 4-Long Data'!C73,Data_Entry[ID],0)),"NA")</f>
        <v>AF02-Non_Displaced</v>
      </c>
      <c r="F73">
        <v>3</v>
      </c>
      <c r="G73" t="str">
        <f>IFERROR(INDEX(Framework[Pillar],MATCH('Step 4-Long Data'!F73,Framework[Number],0)),"")</f>
        <v>Humanitarian Conditions</v>
      </c>
      <c r="H73" t="str">
        <f>IFERROR(INDEX(Framework[Sub_Pillar],MATCH('Step 4-Long Data'!F73,Framework[Number],0)),"")</f>
        <v>Coping mechanisms</v>
      </c>
      <c r="I73" t="str">
        <f>IFERROR(INDEX(Framework[Indicator],MATCH('Step 4-Long Data'!F73,Framework[Number],0)),"")</f>
        <v>% of households know how to access humanitarian assistance (e.g. where to go and who to contact?) if they were to need it and feedback or complaint mechanisms to reach aid providers about community needs, assistance received or problems with assistance</v>
      </c>
      <c r="J73" t="str">
        <f>IFERROR(INDEX(Framework[Class],MATCH('Step 4-Long Data'!F73,Framework[Number],0)),"")</f>
        <v>Degree</v>
      </c>
      <c r="K73" t="str">
        <f>IFERROR(INDEX(Framework[Critical],MATCH('Step 4-Long Data'!F73,Framework[Number],0)),"")</f>
        <v>No</v>
      </c>
      <c r="L73">
        <f ca="1">IF(Long_Data[[#This Row],[Indicator Class]]="Degree",INDEX(INDIRECT("Data_Entry['"&amp;Long_Data[[#This Row],[Indicator Number]]&amp;"'_DSev_1]"),MATCH(Long_Data[[#This Row],[Key]],Data_Entry[Key],0)),"NA")</f>
        <v>0.16666666666666699</v>
      </c>
      <c r="M73">
        <f ca="1">IF(Long_Data[[#This Row],[Indicator Class]]="Degree",INDEX(INDIRECT("Data_Entry['"&amp;Long_Data[[#This Row],[Indicator Number]]&amp;"'_DSev_2]"),MATCH(Long_Data[[#This Row],[Key]],Data_Entry[Key],0)),"NA")</f>
        <v>0.21153846153846201</v>
      </c>
      <c r="N73">
        <f ca="1">IF(Long_Data[[#This Row],[Indicator Class]]="Degree",INDEX(INDIRECT("Data_Entry['"&amp;Long_Data[[#This Row],[Indicator Number]]&amp;"'_DSev_3]"),MATCH(Long_Data[[#This Row],[Key]],Data_Entry[Key],0)),"NA")</f>
        <v>0.62179487179487192</v>
      </c>
      <c r="O73">
        <f ca="1">IF(Long_Data[[#This Row],[Indicator Class]]="Degree",INDEX(INDIRECT("Data_Entry['"&amp;Long_Data[[#This Row],[Indicator Number]]&amp;"'_DSev_4]"),MATCH(Long_Data[[#This Row],[Key]],Data_Entry[Key],0)),"NA")</f>
        <v>0</v>
      </c>
      <c r="P73">
        <f ca="1">IF(Long_Data[[#This Row],[Indicator Class]]="Degree",INDEX(INDIRECT("Data_Entry['"&amp;Long_Data[[#This Row],[Indicator Number]]&amp;"'_DSev_5]"),MATCH(Long_Data[[#This Row],[Key]],Data_Entry[Key],0)),"NA")</f>
        <v>0</v>
      </c>
      <c r="Q73" t="str">
        <f ca="1">IFERROR(IF(Long_Data[[#This Row],[Indicator Class]]="Magnitude", INDEX(INDIRECT("Data_Entry[Sev_"&amp;Long_Data[[#This Row],[Indicator Number]]&amp;"]"),MATCH(Long_Data[[#This Row],[Key]], Data_Entry[Key],0)),"NA"),"")</f>
        <v>NA</v>
      </c>
      <c r="R7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3" s="70">
        <f ca="1">IFERROR(IF(J73="Magnitude",INDEX(INDIRECT("Data_Entry[PIN_"&amp;Long_Data[[#This Row],[Indicator Number]]&amp;"]"),MATCH(Long_Data[[#This Row],[Key]],Data_Entry[Key],0)),SUM(N73:P73)*INDEX(Baseline_Pop[Population],MATCH(Long_Data[[#This Row],[Key]],Baseline_Pop[Key],0))),"")</f>
        <v>39088.512820512828</v>
      </c>
    </row>
    <row r="74" spans="2:19">
      <c r="B74">
        <v>73</v>
      </c>
      <c r="C74">
        <v>13</v>
      </c>
      <c r="D74" t="str">
        <f>IFERROR(INDEX(Data_Entry[ADM2_Pcode],MATCH('Step 4-Long Data'!C74,Data_Entry[ID],0)),"NA")</f>
        <v>AF03</v>
      </c>
      <c r="E74" t="str">
        <f>IFERROR(INDEX(Data_Entry[Key],MATCH('Step 4-Long Data'!C74,Data_Entry[ID],0)),"NA")</f>
        <v>AF03-Non_Displaced</v>
      </c>
      <c r="F74">
        <v>3</v>
      </c>
      <c r="G74" t="str">
        <f>IFERROR(INDEX(Framework[Pillar],MATCH('Step 4-Long Data'!F74,Framework[Number],0)),"")</f>
        <v>Humanitarian Conditions</v>
      </c>
      <c r="H74" t="str">
        <f>IFERROR(INDEX(Framework[Sub_Pillar],MATCH('Step 4-Long Data'!F74,Framework[Number],0)),"")</f>
        <v>Coping mechanisms</v>
      </c>
      <c r="I74" t="str">
        <f>IFERROR(INDEX(Framework[Indicator],MATCH('Step 4-Long Data'!F74,Framework[Number],0)),"")</f>
        <v>% of households know how to access humanitarian assistance (e.g. where to go and who to contact?) if they were to need it and feedback or complaint mechanisms to reach aid providers about community needs, assistance received or problems with assistance</v>
      </c>
      <c r="J74" t="str">
        <f>IFERROR(INDEX(Framework[Class],MATCH('Step 4-Long Data'!F74,Framework[Number],0)),"")</f>
        <v>Degree</v>
      </c>
      <c r="K74" t="str">
        <f>IFERROR(INDEX(Framework[Critical],MATCH('Step 4-Long Data'!F74,Framework[Number],0)),"")</f>
        <v>No</v>
      </c>
      <c r="L74">
        <f ca="1">IF(Long_Data[[#This Row],[Indicator Class]]="Degree",INDEX(INDIRECT("Data_Entry['"&amp;Long_Data[[#This Row],[Indicator Number]]&amp;"'_DSev_1]"),MATCH(Long_Data[[#This Row],[Key]],Data_Entry[Key],0)),"NA")</f>
        <v>0</v>
      </c>
      <c r="M74">
        <f ca="1">IF(Long_Data[[#This Row],[Indicator Class]]="Degree",INDEX(INDIRECT("Data_Entry['"&amp;Long_Data[[#This Row],[Indicator Number]]&amp;"'_DSev_2]"),MATCH(Long_Data[[#This Row],[Key]],Data_Entry[Key],0)),"NA")</f>
        <v>1.8292682926829298E-2</v>
      </c>
      <c r="N74">
        <f ca="1">IF(Long_Data[[#This Row],[Indicator Class]]="Degree",INDEX(INDIRECT("Data_Entry['"&amp;Long_Data[[#This Row],[Indicator Number]]&amp;"'_DSev_3]"),MATCH(Long_Data[[#This Row],[Key]],Data_Entry[Key],0)),"NA")</f>
        <v>0.98170731707317105</v>
      </c>
      <c r="O74">
        <f ca="1">IF(Long_Data[[#This Row],[Indicator Class]]="Degree",INDEX(INDIRECT("Data_Entry['"&amp;Long_Data[[#This Row],[Indicator Number]]&amp;"'_DSev_4]"),MATCH(Long_Data[[#This Row],[Key]],Data_Entry[Key],0)),"NA")</f>
        <v>0</v>
      </c>
      <c r="P74">
        <f ca="1">IF(Long_Data[[#This Row],[Indicator Class]]="Degree",INDEX(INDIRECT("Data_Entry['"&amp;Long_Data[[#This Row],[Indicator Number]]&amp;"'_DSev_5]"),MATCH(Long_Data[[#This Row],[Key]],Data_Entry[Key],0)),"NA")</f>
        <v>0</v>
      </c>
      <c r="Q74" t="str">
        <f ca="1">IFERROR(IF(Long_Data[[#This Row],[Indicator Class]]="Magnitude", INDEX(INDIRECT("Data_Entry[Sev_"&amp;Long_Data[[#This Row],[Indicator Number]]&amp;"]"),MATCH(Long_Data[[#This Row],[Key]], Data_Entry[Key],0)),"NA"),"")</f>
        <v>NA</v>
      </c>
      <c r="R7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4" s="70">
        <f ca="1">IFERROR(IF(J74="Magnitude",INDEX(INDIRECT("Data_Entry[PIN_"&amp;Long_Data[[#This Row],[Indicator Number]]&amp;"]"),MATCH(Long_Data[[#This Row],[Key]],Data_Entry[Key],0)),SUM(N74:P74)*INDEX(Baseline_Pop[Population],MATCH(Long_Data[[#This Row],[Key]],Baseline_Pop[Key],0))),"")</f>
        <v>93234.707317073204</v>
      </c>
    </row>
    <row r="75" spans="2:19">
      <c r="B75">
        <v>74</v>
      </c>
      <c r="C75">
        <v>14</v>
      </c>
      <c r="D75" t="str">
        <f>IFERROR(INDEX(Data_Entry[ADM2_Pcode],MATCH('Step 4-Long Data'!C75,Data_Entry[ID],0)),"NA")</f>
        <v>AF04</v>
      </c>
      <c r="E75" t="str">
        <f>IFERROR(INDEX(Data_Entry[Key],MATCH('Step 4-Long Data'!C75,Data_Entry[ID],0)),"NA")</f>
        <v>AF04-Non_Displaced</v>
      </c>
      <c r="F75">
        <v>3</v>
      </c>
      <c r="G75" t="str">
        <f>IFERROR(INDEX(Framework[Pillar],MATCH('Step 4-Long Data'!F75,Framework[Number],0)),"")</f>
        <v>Humanitarian Conditions</v>
      </c>
      <c r="H75" t="str">
        <f>IFERROR(INDEX(Framework[Sub_Pillar],MATCH('Step 4-Long Data'!F75,Framework[Number],0)),"")</f>
        <v>Coping mechanisms</v>
      </c>
      <c r="I75" t="str">
        <f>IFERROR(INDEX(Framework[Indicator],MATCH('Step 4-Long Data'!F75,Framework[Number],0)),"")</f>
        <v>% of households know how to access humanitarian assistance (e.g. where to go and who to contact?) if they were to need it and feedback or complaint mechanisms to reach aid providers about community needs, assistance received or problems with assistance</v>
      </c>
      <c r="J75" t="str">
        <f>IFERROR(INDEX(Framework[Class],MATCH('Step 4-Long Data'!F75,Framework[Number],0)),"")</f>
        <v>Degree</v>
      </c>
      <c r="K75" t="str">
        <f>IFERROR(INDEX(Framework[Critical],MATCH('Step 4-Long Data'!F75,Framework[Number],0)),"")</f>
        <v>No</v>
      </c>
      <c r="L75">
        <f ca="1">IF(Long_Data[[#This Row],[Indicator Class]]="Degree",INDEX(INDIRECT("Data_Entry['"&amp;Long_Data[[#This Row],[Indicator Number]]&amp;"'_DSev_1]"),MATCH(Long_Data[[#This Row],[Key]],Data_Entry[Key],0)),"NA")</f>
        <v>0</v>
      </c>
      <c r="M75">
        <f ca="1">IF(Long_Data[[#This Row],[Indicator Class]]="Degree",INDEX(INDIRECT("Data_Entry['"&amp;Long_Data[[#This Row],[Indicator Number]]&amp;"'_DSev_2]"),MATCH(Long_Data[[#This Row],[Key]],Data_Entry[Key],0)),"NA")</f>
        <v>0</v>
      </c>
      <c r="N75">
        <f ca="1">IF(Long_Data[[#This Row],[Indicator Class]]="Degree",INDEX(INDIRECT("Data_Entry['"&amp;Long_Data[[#This Row],[Indicator Number]]&amp;"'_DSev_3]"),MATCH(Long_Data[[#This Row],[Key]],Data_Entry[Key],0)),"NA")</f>
        <v>1</v>
      </c>
      <c r="O75">
        <f ca="1">IF(Long_Data[[#This Row],[Indicator Class]]="Degree",INDEX(INDIRECT("Data_Entry['"&amp;Long_Data[[#This Row],[Indicator Number]]&amp;"'_DSev_4]"),MATCH(Long_Data[[#This Row],[Key]],Data_Entry[Key],0)),"NA")</f>
        <v>0</v>
      </c>
      <c r="P75">
        <f ca="1">IF(Long_Data[[#This Row],[Indicator Class]]="Degree",INDEX(INDIRECT("Data_Entry['"&amp;Long_Data[[#This Row],[Indicator Number]]&amp;"'_DSev_5]"),MATCH(Long_Data[[#This Row],[Key]],Data_Entry[Key],0)),"NA")</f>
        <v>0</v>
      </c>
      <c r="Q75" t="str">
        <f ca="1">IFERROR(IF(Long_Data[[#This Row],[Indicator Class]]="Magnitude", INDEX(INDIRECT("Data_Entry[Sev_"&amp;Long_Data[[#This Row],[Indicator Number]]&amp;"]"),MATCH(Long_Data[[#This Row],[Key]], Data_Entry[Key],0)),"NA"),"")</f>
        <v>NA</v>
      </c>
      <c r="R7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5" s="70">
        <f ca="1">IFERROR(IF(J75="Magnitude",INDEX(INDIRECT("Data_Entry[PIN_"&amp;Long_Data[[#This Row],[Indicator Number]]&amp;"]"),MATCH(Long_Data[[#This Row],[Key]],Data_Entry[Key],0)),SUM(N75:P75)*INDEX(Baseline_Pop[Population],MATCH(Long_Data[[#This Row],[Key]],Baseline_Pop[Key],0))),"")</f>
        <v>85002</v>
      </c>
    </row>
    <row r="76" spans="2:19">
      <c r="B76">
        <v>75</v>
      </c>
      <c r="C76">
        <v>15</v>
      </c>
      <c r="D76" t="str">
        <f>IFERROR(INDEX(Data_Entry[ADM2_Pcode],MATCH('Step 4-Long Data'!C76,Data_Entry[ID],0)),"NA")</f>
        <v>AF05</v>
      </c>
      <c r="E76" t="str">
        <f>IFERROR(INDEX(Data_Entry[Key],MATCH('Step 4-Long Data'!C76,Data_Entry[ID],0)),"NA")</f>
        <v>AF05-Non_Displaced</v>
      </c>
      <c r="F76">
        <v>3</v>
      </c>
      <c r="G76" t="str">
        <f>IFERROR(INDEX(Framework[Pillar],MATCH('Step 4-Long Data'!F76,Framework[Number],0)),"")</f>
        <v>Humanitarian Conditions</v>
      </c>
      <c r="H76" t="str">
        <f>IFERROR(INDEX(Framework[Sub_Pillar],MATCH('Step 4-Long Data'!F76,Framework[Number],0)),"")</f>
        <v>Coping mechanisms</v>
      </c>
      <c r="I76" t="str">
        <f>IFERROR(INDEX(Framework[Indicator],MATCH('Step 4-Long Data'!F76,Framework[Number],0)),"")</f>
        <v>% of households know how to access humanitarian assistance (e.g. where to go and who to contact?) if they were to need it and feedback or complaint mechanisms to reach aid providers about community needs, assistance received or problems with assistance</v>
      </c>
      <c r="J76" t="str">
        <f>IFERROR(INDEX(Framework[Class],MATCH('Step 4-Long Data'!F76,Framework[Number],0)),"")</f>
        <v>Degree</v>
      </c>
      <c r="K76" t="str">
        <f>IFERROR(INDEX(Framework[Critical],MATCH('Step 4-Long Data'!F76,Framework[Number],0)),"")</f>
        <v>No</v>
      </c>
      <c r="L76">
        <f ca="1">IF(Long_Data[[#This Row],[Indicator Class]]="Degree",INDEX(INDIRECT("Data_Entry['"&amp;Long_Data[[#This Row],[Indicator Number]]&amp;"'_DSev_1]"),MATCH(Long_Data[[#This Row],[Key]],Data_Entry[Key],0)),"NA")</f>
        <v>5.4144069348260803E-3</v>
      </c>
      <c r="M76">
        <f ca="1">IF(Long_Data[[#This Row],[Indicator Class]]="Degree",INDEX(INDIRECT("Data_Entry['"&amp;Long_Data[[#This Row],[Indicator Number]]&amp;"'_DSev_2]"),MATCH(Long_Data[[#This Row],[Key]],Data_Entry[Key],0)),"NA")</f>
        <v>0.13935864232994802</v>
      </c>
      <c r="N76">
        <f ca="1">IF(Long_Data[[#This Row],[Indicator Class]]="Degree",INDEX(INDIRECT("Data_Entry['"&amp;Long_Data[[#This Row],[Indicator Number]]&amp;"'_DSev_3]"),MATCH(Long_Data[[#This Row],[Key]],Data_Entry[Key],0)),"NA")</f>
        <v>0.85522695073522603</v>
      </c>
      <c r="O76">
        <f ca="1">IF(Long_Data[[#This Row],[Indicator Class]]="Degree",INDEX(INDIRECT("Data_Entry['"&amp;Long_Data[[#This Row],[Indicator Number]]&amp;"'_DSev_4]"),MATCH(Long_Data[[#This Row],[Key]],Data_Entry[Key],0)),"NA")</f>
        <v>0</v>
      </c>
      <c r="P76">
        <f ca="1">IF(Long_Data[[#This Row],[Indicator Class]]="Degree",INDEX(INDIRECT("Data_Entry['"&amp;Long_Data[[#This Row],[Indicator Number]]&amp;"'_DSev_5]"),MATCH(Long_Data[[#This Row],[Key]],Data_Entry[Key],0)),"NA")</f>
        <v>0</v>
      </c>
      <c r="Q76" t="str">
        <f ca="1">IFERROR(IF(Long_Data[[#This Row],[Indicator Class]]="Magnitude", INDEX(INDIRECT("Data_Entry[Sev_"&amp;Long_Data[[#This Row],[Indicator Number]]&amp;"]"),MATCH(Long_Data[[#This Row],[Key]], Data_Entry[Key],0)),"NA"),"")</f>
        <v>NA</v>
      </c>
      <c r="R7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6" s="70">
        <f ca="1">IFERROR(IF(J76="Magnitude",INDEX(INDIRECT("Data_Entry[PIN_"&amp;Long_Data[[#This Row],[Indicator Number]]&amp;"]"),MATCH(Long_Data[[#This Row],[Key]],Data_Entry[Key],0)),SUM(N76:P76)*INDEX(Baseline_Pop[Population],MATCH(Long_Data[[#This Row],[Key]],Baseline_Pop[Key],0))),"")</f>
        <v>47826.001539015313</v>
      </c>
    </row>
    <row r="77" spans="2:19">
      <c r="B77">
        <v>76</v>
      </c>
      <c r="C77">
        <v>16</v>
      </c>
      <c r="D77" t="str">
        <f>IFERROR(INDEX(Data_Entry[ADM2_Pcode],MATCH('Step 4-Long Data'!C77,Data_Entry[ID],0)),"NA")</f>
        <v>AF06</v>
      </c>
      <c r="E77" t="str">
        <f>IFERROR(INDEX(Data_Entry[Key],MATCH('Step 4-Long Data'!C77,Data_Entry[ID],0)),"NA")</f>
        <v>AF06-Non_Displaced</v>
      </c>
      <c r="F77">
        <v>3</v>
      </c>
      <c r="G77" t="str">
        <f>IFERROR(INDEX(Framework[Pillar],MATCH('Step 4-Long Data'!F77,Framework[Number],0)),"")</f>
        <v>Humanitarian Conditions</v>
      </c>
      <c r="H77" t="str">
        <f>IFERROR(INDEX(Framework[Sub_Pillar],MATCH('Step 4-Long Data'!F77,Framework[Number],0)),"")</f>
        <v>Coping mechanisms</v>
      </c>
      <c r="I77" t="str">
        <f>IFERROR(INDEX(Framework[Indicator],MATCH('Step 4-Long Data'!F77,Framework[Number],0)),"")</f>
        <v>% of households know how to access humanitarian assistance (e.g. where to go and who to contact?) if they were to need it and feedback or complaint mechanisms to reach aid providers about community needs, assistance received or problems with assistance</v>
      </c>
      <c r="J77" t="str">
        <f>IFERROR(INDEX(Framework[Class],MATCH('Step 4-Long Data'!F77,Framework[Number],0)),"")</f>
        <v>Degree</v>
      </c>
      <c r="K77" t="str">
        <f>IFERROR(INDEX(Framework[Critical],MATCH('Step 4-Long Data'!F77,Framework[Number],0)),"")</f>
        <v>No</v>
      </c>
      <c r="L77">
        <f ca="1">IF(Long_Data[[#This Row],[Indicator Class]]="Degree",INDEX(INDIRECT("Data_Entry['"&amp;Long_Data[[#This Row],[Indicator Number]]&amp;"'_DSev_1]"),MATCH(Long_Data[[#This Row],[Key]],Data_Entry[Key],0)),"NA")</f>
        <v>0</v>
      </c>
      <c r="M77">
        <f ca="1">IF(Long_Data[[#This Row],[Indicator Class]]="Degree",INDEX(INDIRECT("Data_Entry['"&amp;Long_Data[[#This Row],[Indicator Number]]&amp;"'_DSev_2]"),MATCH(Long_Data[[#This Row],[Key]],Data_Entry[Key],0)),"NA")</f>
        <v>4.6919667118269198E-2</v>
      </c>
      <c r="N77">
        <f ca="1">IF(Long_Data[[#This Row],[Indicator Class]]="Degree",INDEX(INDIRECT("Data_Entry['"&amp;Long_Data[[#This Row],[Indicator Number]]&amp;"'_DSev_3]"),MATCH(Long_Data[[#This Row],[Key]],Data_Entry[Key],0)),"NA")</f>
        <v>0.95308033288173111</v>
      </c>
      <c r="O77">
        <f ca="1">IF(Long_Data[[#This Row],[Indicator Class]]="Degree",INDEX(INDIRECT("Data_Entry['"&amp;Long_Data[[#This Row],[Indicator Number]]&amp;"'_DSev_4]"),MATCH(Long_Data[[#This Row],[Key]],Data_Entry[Key],0)),"NA")</f>
        <v>0</v>
      </c>
      <c r="P77">
        <f ca="1">IF(Long_Data[[#This Row],[Indicator Class]]="Degree",INDEX(INDIRECT("Data_Entry['"&amp;Long_Data[[#This Row],[Indicator Number]]&amp;"'_DSev_5]"),MATCH(Long_Data[[#This Row],[Key]],Data_Entry[Key],0)),"NA")</f>
        <v>0</v>
      </c>
      <c r="Q77" t="str">
        <f ca="1">IFERROR(IF(Long_Data[[#This Row],[Indicator Class]]="Magnitude", INDEX(INDIRECT("Data_Entry[Sev_"&amp;Long_Data[[#This Row],[Indicator Number]]&amp;"]"),MATCH(Long_Data[[#This Row],[Key]], Data_Entry[Key],0)),"NA"),"")</f>
        <v>NA</v>
      </c>
      <c r="R7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7" s="70">
        <f ca="1">IFERROR(IF(J77="Magnitude",INDEX(INDIRECT("Data_Entry[PIN_"&amp;Long_Data[[#This Row],[Indicator Number]]&amp;"]"),MATCH(Long_Data[[#This Row],[Key]],Data_Entry[Key],0)),SUM(N77:P77)*INDEX(Baseline_Pop[Population],MATCH(Long_Data[[#This Row],[Key]],Baseline_Pop[Key],0))),"")</f>
        <v>208797.980086731</v>
      </c>
    </row>
    <row r="78" spans="2:19">
      <c r="B78">
        <v>77</v>
      </c>
      <c r="C78">
        <v>17</v>
      </c>
      <c r="D78" t="str">
        <f>IFERROR(INDEX(Data_Entry[ADM2_Pcode],MATCH('Step 4-Long Data'!C78,Data_Entry[ID],0)),"NA")</f>
        <v>AF07</v>
      </c>
      <c r="E78" t="str">
        <f>IFERROR(INDEX(Data_Entry[Key],MATCH('Step 4-Long Data'!C78,Data_Entry[ID],0)),"NA")</f>
        <v>AF07-Non_Displaced</v>
      </c>
      <c r="F78">
        <v>3</v>
      </c>
      <c r="G78" t="str">
        <f>IFERROR(INDEX(Framework[Pillar],MATCH('Step 4-Long Data'!F78,Framework[Number],0)),"")</f>
        <v>Humanitarian Conditions</v>
      </c>
      <c r="H78" t="str">
        <f>IFERROR(INDEX(Framework[Sub_Pillar],MATCH('Step 4-Long Data'!F78,Framework[Number],0)),"")</f>
        <v>Coping mechanisms</v>
      </c>
      <c r="I78" t="str">
        <f>IFERROR(INDEX(Framework[Indicator],MATCH('Step 4-Long Data'!F78,Framework[Number],0)),"")</f>
        <v>% of households know how to access humanitarian assistance (e.g. where to go and who to contact?) if they were to need it and feedback or complaint mechanisms to reach aid providers about community needs, assistance received or problems with assistance</v>
      </c>
      <c r="J78" t="str">
        <f>IFERROR(INDEX(Framework[Class],MATCH('Step 4-Long Data'!F78,Framework[Number],0)),"")</f>
        <v>Degree</v>
      </c>
      <c r="K78" t="str">
        <f>IFERROR(INDEX(Framework[Critical],MATCH('Step 4-Long Data'!F78,Framework[Number],0)),"")</f>
        <v>No</v>
      </c>
      <c r="L78">
        <f ca="1">IF(Long_Data[[#This Row],[Indicator Class]]="Degree",INDEX(INDIRECT("Data_Entry['"&amp;Long_Data[[#This Row],[Indicator Number]]&amp;"'_DSev_1]"),MATCH(Long_Data[[#This Row],[Key]],Data_Entry[Key],0)),"NA")</f>
        <v>0.298687020860469</v>
      </c>
      <c r="M78">
        <f ca="1">IF(Long_Data[[#This Row],[Indicator Class]]="Degree",INDEX(INDIRECT("Data_Entry['"&amp;Long_Data[[#This Row],[Indicator Number]]&amp;"'_DSev_2]"),MATCH(Long_Data[[#This Row],[Key]],Data_Entry[Key],0)),"NA")</f>
        <v>0.189432812661469</v>
      </c>
      <c r="N78">
        <f ca="1">IF(Long_Data[[#This Row],[Indicator Class]]="Degree",INDEX(INDIRECT("Data_Entry['"&amp;Long_Data[[#This Row],[Indicator Number]]&amp;"'_DSev_3]"),MATCH(Long_Data[[#This Row],[Key]],Data_Entry[Key],0)),"NA")</f>
        <v>0.511880166478062</v>
      </c>
      <c r="O78">
        <f ca="1">IF(Long_Data[[#This Row],[Indicator Class]]="Degree",INDEX(INDIRECT("Data_Entry['"&amp;Long_Data[[#This Row],[Indicator Number]]&amp;"'_DSev_4]"),MATCH(Long_Data[[#This Row],[Key]],Data_Entry[Key],0)),"NA")</f>
        <v>0</v>
      </c>
      <c r="P78">
        <f ca="1">IF(Long_Data[[#This Row],[Indicator Class]]="Degree",INDEX(INDIRECT("Data_Entry['"&amp;Long_Data[[#This Row],[Indicator Number]]&amp;"'_DSev_5]"),MATCH(Long_Data[[#This Row],[Key]],Data_Entry[Key],0)),"NA")</f>
        <v>0</v>
      </c>
      <c r="Q78" t="str">
        <f ca="1">IFERROR(IF(Long_Data[[#This Row],[Indicator Class]]="Magnitude", INDEX(INDIRECT("Data_Entry[Sev_"&amp;Long_Data[[#This Row],[Indicator Number]]&amp;"]"),MATCH(Long_Data[[#This Row],[Key]], Data_Entry[Key],0)),"NA"),"")</f>
        <v>NA</v>
      </c>
      <c r="R7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8" s="70">
        <f ca="1">IFERROR(IF(J78="Magnitude",INDEX(INDIRECT("Data_Entry[PIN_"&amp;Long_Data[[#This Row],[Indicator Number]]&amp;"]"),MATCH(Long_Data[[#This Row],[Key]],Data_Entry[Key],0)),SUM(N78:P78)*INDEX(Baseline_Pop[Population],MATCH(Long_Data[[#This Row],[Key]],Baseline_Pop[Key],0))),"")</f>
        <v>32520.770736684237</v>
      </c>
    </row>
    <row r="79" spans="2:19">
      <c r="B79">
        <v>78</v>
      </c>
      <c r="C79">
        <v>18</v>
      </c>
      <c r="D79" t="str">
        <f>IFERROR(INDEX(Data_Entry[ADM2_Pcode],MATCH('Step 4-Long Data'!C79,Data_Entry[ID],0)),"NA")</f>
        <v>AF08</v>
      </c>
      <c r="E79" t="str">
        <f>IFERROR(INDEX(Data_Entry[Key],MATCH('Step 4-Long Data'!C79,Data_Entry[ID],0)),"NA")</f>
        <v>AF08-Non_Displaced</v>
      </c>
      <c r="F79">
        <v>3</v>
      </c>
      <c r="G79" t="str">
        <f>IFERROR(INDEX(Framework[Pillar],MATCH('Step 4-Long Data'!F79,Framework[Number],0)),"")</f>
        <v>Humanitarian Conditions</v>
      </c>
      <c r="H79" t="str">
        <f>IFERROR(INDEX(Framework[Sub_Pillar],MATCH('Step 4-Long Data'!F79,Framework[Number],0)),"")</f>
        <v>Coping mechanisms</v>
      </c>
      <c r="I79" t="str">
        <f>IFERROR(INDEX(Framework[Indicator],MATCH('Step 4-Long Data'!F79,Framework[Number],0)),"")</f>
        <v>% of households know how to access humanitarian assistance (e.g. where to go and who to contact?) if they were to need it and feedback or complaint mechanisms to reach aid providers about community needs, assistance received or problems with assistance</v>
      </c>
      <c r="J79" t="str">
        <f>IFERROR(INDEX(Framework[Class],MATCH('Step 4-Long Data'!F79,Framework[Number],0)),"")</f>
        <v>Degree</v>
      </c>
      <c r="K79" t="str">
        <f>IFERROR(INDEX(Framework[Critical],MATCH('Step 4-Long Data'!F79,Framework[Number],0)),"")</f>
        <v>No</v>
      </c>
      <c r="L79">
        <f ca="1">IF(Long_Data[[#This Row],[Indicator Class]]="Degree",INDEX(INDIRECT("Data_Entry['"&amp;Long_Data[[#This Row],[Indicator Number]]&amp;"'_DSev_1]"),MATCH(Long_Data[[#This Row],[Key]],Data_Entry[Key],0)),"NA")</f>
        <v>0</v>
      </c>
      <c r="M79">
        <f ca="1">IF(Long_Data[[#This Row],[Indicator Class]]="Degree",INDEX(INDIRECT("Data_Entry['"&amp;Long_Data[[#This Row],[Indicator Number]]&amp;"'_DSev_2]"),MATCH(Long_Data[[#This Row],[Key]],Data_Entry[Key],0)),"NA")</f>
        <v>0.11377245508981999</v>
      </c>
      <c r="N79">
        <f ca="1">IF(Long_Data[[#This Row],[Indicator Class]]="Degree",INDEX(INDIRECT("Data_Entry['"&amp;Long_Data[[#This Row],[Indicator Number]]&amp;"'_DSev_3]"),MATCH(Long_Data[[#This Row],[Key]],Data_Entry[Key],0)),"NA")</f>
        <v>0.88622754491017997</v>
      </c>
      <c r="O79">
        <f ca="1">IF(Long_Data[[#This Row],[Indicator Class]]="Degree",INDEX(INDIRECT("Data_Entry['"&amp;Long_Data[[#This Row],[Indicator Number]]&amp;"'_DSev_4]"),MATCH(Long_Data[[#This Row],[Key]],Data_Entry[Key],0)),"NA")</f>
        <v>0</v>
      </c>
      <c r="P79">
        <f ca="1">IF(Long_Data[[#This Row],[Indicator Class]]="Degree",INDEX(INDIRECT("Data_Entry['"&amp;Long_Data[[#This Row],[Indicator Number]]&amp;"'_DSev_5]"),MATCH(Long_Data[[#This Row],[Key]],Data_Entry[Key],0)),"NA")</f>
        <v>0</v>
      </c>
      <c r="Q79" t="str">
        <f ca="1">IFERROR(IF(Long_Data[[#This Row],[Indicator Class]]="Magnitude", INDEX(INDIRECT("Data_Entry[Sev_"&amp;Long_Data[[#This Row],[Indicator Number]]&amp;"]"),MATCH(Long_Data[[#This Row],[Key]], Data_Entry[Key],0)),"NA"),"")</f>
        <v>NA</v>
      </c>
      <c r="R7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79" s="70">
        <f ca="1">IFERROR(IF(J79="Magnitude",INDEX(INDIRECT("Data_Entry[PIN_"&amp;Long_Data[[#This Row],[Indicator Number]]&amp;"]"),MATCH(Long_Data[[#This Row],[Key]],Data_Entry[Key],0)),SUM(N79:P79)*INDEX(Baseline_Pop[Population],MATCH(Long_Data[[#This Row],[Key]],Baseline_Pop[Key],0))),"")</f>
        <v>19387.113772455097</v>
      </c>
    </row>
    <row r="80" spans="2:19">
      <c r="B80">
        <v>79</v>
      </c>
      <c r="C80">
        <v>19</v>
      </c>
      <c r="D80" t="str">
        <f>IFERROR(INDEX(Data_Entry[ADM2_Pcode],MATCH('Step 4-Long Data'!C80,Data_Entry[ID],0)),"NA")</f>
        <v>AF09</v>
      </c>
      <c r="E80" t="str">
        <f>IFERROR(INDEX(Data_Entry[Key],MATCH('Step 4-Long Data'!C80,Data_Entry[ID],0)),"NA")</f>
        <v>AF09-Non_Displaced</v>
      </c>
      <c r="F80">
        <v>3</v>
      </c>
      <c r="G80" t="str">
        <f>IFERROR(INDEX(Framework[Pillar],MATCH('Step 4-Long Data'!F80,Framework[Number],0)),"")</f>
        <v>Humanitarian Conditions</v>
      </c>
      <c r="H80" t="str">
        <f>IFERROR(INDEX(Framework[Sub_Pillar],MATCH('Step 4-Long Data'!F80,Framework[Number],0)),"")</f>
        <v>Coping mechanisms</v>
      </c>
      <c r="I80" t="str">
        <f>IFERROR(INDEX(Framework[Indicator],MATCH('Step 4-Long Data'!F80,Framework[Number],0)),"")</f>
        <v>% of households know how to access humanitarian assistance (e.g. where to go and who to contact?) if they were to need it and feedback or complaint mechanisms to reach aid providers about community needs, assistance received or problems with assistance</v>
      </c>
      <c r="J80" t="str">
        <f>IFERROR(INDEX(Framework[Class],MATCH('Step 4-Long Data'!F80,Framework[Number],0)),"")</f>
        <v>Degree</v>
      </c>
      <c r="K80" t="str">
        <f>IFERROR(INDEX(Framework[Critical],MATCH('Step 4-Long Data'!F80,Framework[Number],0)),"")</f>
        <v>No</v>
      </c>
      <c r="L80">
        <f ca="1">IF(Long_Data[[#This Row],[Indicator Class]]="Degree",INDEX(INDIRECT("Data_Entry['"&amp;Long_Data[[#This Row],[Indicator Number]]&amp;"'_DSev_1]"),MATCH(Long_Data[[#This Row],[Key]],Data_Entry[Key],0)),"NA")</f>
        <v>0.44460241346045204</v>
      </c>
      <c r="M80">
        <f ca="1">IF(Long_Data[[#This Row],[Indicator Class]]="Degree",INDEX(INDIRECT("Data_Entry['"&amp;Long_Data[[#This Row],[Indicator Number]]&amp;"'_DSev_2]"),MATCH(Long_Data[[#This Row],[Key]],Data_Entry[Key],0)),"NA")</f>
        <v>0.114273161947643</v>
      </c>
      <c r="N80">
        <f ca="1">IF(Long_Data[[#This Row],[Indicator Class]]="Degree",INDEX(INDIRECT("Data_Entry['"&amp;Long_Data[[#This Row],[Indicator Number]]&amp;"'_DSev_3]"),MATCH(Long_Data[[#This Row],[Key]],Data_Entry[Key],0)),"NA")</f>
        <v>0.44112442459190498</v>
      </c>
      <c r="O80">
        <f ca="1">IF(Long_Data[[#This Row],[Indicator Class]]="Degree",INDEX(INDIRECT("Data_Entry['"&amp;Long_Data[[#This Row],[Indicator Number]]&amp;"'_DSev_4]"),MATCH(Long_Data[[#This Row],[Key]],Data_Entry[Key],0)),"NA")</f>
        <v>0</v>
      </c>
      <c r="P80">
        <f ca="1">IF(Long_Data[[#This Row],[Indicator Class]]="Degree",INDEX(INDIRECT("Data_Entry['"&amp;Long_Data[[#This Row],[Indicator Number]]&amp;"'_DSev_5]"),MATCH(Long_Data[[#This Row],[Key]],Data_Entry[Key],0)),"NA")</f>
        <v>0</v>
      </c>
      <c r="Q80" t="str">
        <f ca="1">IFERROR(IF(Long_Data[[#This Row],[Indicator Class]]="Magnitude", INDEX(INDIRECT("Data_Entry[Sev_"&amp;Long_Data[[#This Row],[Indicator Number]]&amp;"]"),MATCH(Long_Data[[#This Row],[Key]], Data_Entry[Key],0)),"NA"),"")</f>
        <v>NA</v>
      </c>
      <c r="R8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0" s="70">
        <f ca="1">IFERROR(IF(J80="Magnitude",INDEX(INDIRECT("Data_Entry[PIN_"&amp;Long_Data[[#This Row],[Indicator Number]]&amp;"]"),MATCH(Long_Data[[#This Row],[Key]],Data_Entry[Key],0)),SUM(N80:P80)*INDEX(Baseline_Pop[Population],MATCH(Long_Data[[#This Row],[Key]],Baseline_Pop[Key],0))),"")</f>
        <v>57621.436837892994</v>
      </c>
    </row>
    <row r="81" spans="2:19">
      <c r="B81">
        <v>80</v>
      </c>
      <c r="C81">
        <v>20</v>
      </c>
      <c r="D81" t="str">
        <f>IFERROR(INDEX(Data_Entry[ADM2_Pcode],MATCH('Step 4-Long Data'!C81,Data_Entry[ID],0)),"NA")</f>
        <v>AF10</v>
      </c>
      <c r="E81" t="str">
        <f>IFERROR(INDEX(Data_Entry[Key],MATCH('Step 4-Long Data'!C81,Data_Entry[ID],0)),"NA")</f>
        <v>AF10-Non_Displaced</v>
      </c>
      <c r="F81">
        <v>3</v>
      </c>
      <c r="G81" t="str">
        <f>IFERROR(INDEX(Framework[Pillar],MATCH('Step 4-Long Data'!F81,Framework[Number],0)),"")</f>
        <v>Humanitarian Conditions</v>
      </c>
      <c r="H81" t="str">
        <f>IFERROR(INDEX(Framework[Sub_Pillar],MATCH('Step 4-Long Data'!F81,Framework[Number],0)),"")</f>
        <v>Coping mechanisms</v>
      </c>
      <c r="I81" t="str">
        <f>IFERROR(INDEX(Framework[Indicator],MATCH('Step 4-Long Data'!F81,Framework[Number],0)),"")</f>
        <v>% of households know how to access humanitarian assistance (e.g. where to go and who to contact?) if they were to need it and feedback or complaint mechanisms to reach aid providers about community needs, assistance received or problems with assistance</v>
      </c>
      <c r="J81" t="str">
        <f>IFERROR(INDEX(Framework[Class],MATCH('Step 4-Long Data'!F81,Framework[Number],0)),"")</f>
        <v>Degree</v>
      </c>
      <c r="K81" t="str">
        <f>IFERROR(INDEX(Framework[Critical],MATCH('Step 4-Long Data'!F81,Framework[Number],0)),"")</f>
        <v>No</v>
      </c>
      <c r="L81">
        <f ca="1">IF(Long_Data[[#This Row],[Indicator Class]]="Degree",INDEX(INDIRECT("Data_Entry['"&amp;Long_Data[[#This Row],[Indicator Number]]&amp;"'_DSev_1]"),MATCH(Long_Data[[#This Row],[Key]],Data_Entry[Key],0)),"NA")</f>
        <v>8.99470899470899E-2</v>
      </c>
      <c r="M81">
        <f ca="1">IF(Long_Data[[#This Row],[Indicator Class]]="Degree",INDEX(INDIRECT("Data_Entry['"&amp;Long_Data[[#This Row],[Indicator Number]]&amp;"'_DSev_2]"),MATCH(Long_Data[[#This Row],[Key]],Data_Entry[Key],0)),"NA")</f>
        <v>0.20105820105820102</v>
      </c>
      <c r="N81">
        <f ca="1">IF(Long_Data[[#This Row],[Indicator Class]]="Degree",INDEX(INDIRECT("Data_Entry['"&amp;Long_Data[[#This Row],[Indicator Number]]&amp;"'_DSev_3]"),MATCH(Long_Data[[#This Row],[Key]],Data_Entry[Key],0)),"NA")</f>
        <v>0.70899470899470896</v>
      </c>
      <c r="O81">
        <f ca="1">IF(Long_Data[[#This Row],[Indicator Class]]="Degree",INDEX(INDIRECT("Data_Entry['"&amp;Long_Data[[#This Row],[Indicator Number]]&amp;"'_DSev_4]"),MATCH(Long_Data[[#This Row],[Key]],Data_Entry[Key],0)),"NA")</f>
        <v>0</v>
      </c>
      <c r="P81">
        <f ca="1">IF(Long_Data[[#This Row],[Indicator Class]]="Degree",INDEX(INDIRECT("Data_Entry['"&amp;Long_Data[[#This Row],[Indicator Number]]&amp;"'_DSev_5]"),MATCH(Long_Data[[#This Row],[Key]],Data_Entry[Key],0)),"NA")</f>
        <v>0</v>
      </c>
      <c r="Q81" t="str">
        <f ca="1">IFERROR(IF(Long_Data[[#This Row],[Indicator Class]]="Magnitude", INDEX(INDIRECT("Data_Entry[Sev_"&amp;Long_Data[[#This Row],[Indicator Number]]&amp;"]"),MATCH(Long_Data[[#This Row],[Key]], Data_Entry[Key],0)),"NA"),"")</f>
        <v>NA</v>
      </c>
      <c r="R8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1" s="70">
        <f ca="1">IFERROR(IF(J81="Magnitude",INDEX(INDIRECT("Data_Entry[PIN_"&amp;Long_Data[[#This Row],[Indicator Number]]&amp;"]"),MATCH(Long_Data[[#This Row],[Key]],Data_Entry[Key],0)),SUM(N81:P81)*INDEX(Baseline_Pop[Population],MATCH(Long_Data[[#This Row],[Key]],Baseline_Pop[Key],0))),"")</f>
        <v>45232.444444444445</v>
      </c>
    </row>
    <row r="82" spans="2:19">
      <c r="B82">
        <v>81</v>
      </c>
      <c r="C82">
        <v>21</v>
      </c>
      <c r="D82" t="str">
        <f>IFERROR(INDEX(Data_Entry[ADM2_Pcode],MATCH('Step 4-Long Data'!C82,Data_Entry[ID],0)),"NA")</f>
        <v>AF01</v>
      </c>
      <c r="E82" t="str">
        <f>IFERROR(INDEX(Data_Entry[Key],MATCH('Step 4-Long Data'!C82,Data_Entry[ID],0)),"NA")</f>
        <v>AF01-Migrants</v>
      </c>
      <c r="F82">
        <v>3</v>
      </c>
      <c r="G82" t="str">
        <f>IFERROR(INDEX(Framework[Pillar],MATCH('Step 4-Long Data'!F82,Framework[Number],0)),"")</f>
        <v>Humanitarian Conditions</v>
      </c>
      <c r="H82" t="str">
        <f>IFERROR(INDEX(Framework[Sub_Pillar],MATCH('Step 4-Long Data'!F82,Framework[Number],0)),"")</f>
        <v>Coping mechanisms</v>
      </c>
      <c r="I82" t="str">
        <f>IFERROR(INDEX(Framework[Indicator],MATCH('Step 4-Long Data'!F82,Framework[Number],0)),"")</f>
        <v>% of households know how to access humanitarian assistance (e.g. where to go and who to contact?) if they were to need it and feedback or complaint mechanisms to reach aid providers about community needs, assistance received or problems with assistance</v>
      </c>
      <c r="J82" t="str">
        <f>IFERROR(INDEX(Framework[Class],MATCH('Step 4-Long Data'!F82,Framework[Number],0)),"")</f>
        <v>Degree</v>
      </c>
      <c r="K82" t="str">
        <f>IFERROR(INDEX(Framework[Critical],MATCH('Step 4-Long Data'!F82,Framework[Number],0)),"")</f>
        <v>No</v>
      </c>
      <c r="L82">
        <f ca="1">IF(Long_Data[[#This Row],[Indicator Class]]="Degree",INDEX(INDIRECT("Data_Entry['"&amp;Long_Data[[#This Row],[Indicator Number]]&amp;"'_DSev_1]"),MATCH(Long_Data[[#This Row],[Key]],Data_Entry[Key],0)),"NA")</f>
        <v>6.4935064935064901E-2</v>
      </c>
      <c r="M82">
        <f ca="1">IF(Long_Data[[#This Row],[Indicator Class]]="Degree",INDEX(INDIRECT("Data_Entry['"&amp;Long_Data[[#This Row],[Indicator Number]]&amp;"'_DSev_2]"),MATCH(Long_Data[[#This Row],[Key]],Data_Entry[Key],0)),"NA")</f>
        <v>0.493506493506494</v>
      </c>
      <c r="N82">
        <f ca="1">IF(Long_Data[[#This Row],[Indicator Class]]="Degree",INDEX(INDIRECT("Data_Entry['"&amp;Long_Data[[#This Row],[Indicator Number]]&amp;"'_DSev_3]"),MATCH(Long_Data[[#This Row],[Key]],Data_Entry[Key],0)),"NA")</f>
        <v>0.44155844155844198</v>
      </c>
      <c r="O82">
        <f ca="1">IF(Long_Data[[#This Row],[Indicator Class]]="Degree",INDEX(INDIRECT("Data_Entry['"&amp;Long_Data[[#This Row],[Indicator Number]]&amp;"'_DSev_4]"),MATCH(Long_Data[[#This Row],[Key]],Data_Entry[Key],0)),"NA")</f>
        <v>0</v>
      </c>
      <c r="P82">
        <f ca="1">IF(Long_Data[[#This Row],[Indicator Class]]="Degree",INDEX(INDIRECT("Data_Entry['"&amp;Long_Data[[#This Row],[Indicator Number]]&amp;"'_DSev_5]"),MATCH(Long_Data[[#This Row],[Key]],Data_Entry[Key],0)),"NA")</f>
        <v>0</v>
      </c>
      <c r="Q82" t="str">
        <f ca="1">IFERROR(IF(Long_Data[[#This Row],[Indicator Class]]="Magnitude", INDEX(INDIRECT("Data_Entry[Sev_"&amp;Long_Data[[#This Row],[Indicator Number]]&amp;"]"),MATCH(Long_Data[[#This Row],[Key]], Data_Entry[Key],0)),"NA"),"")</f>
        <v>NA</v>
      </c>
      <c r="R8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2" s="70">
        <f ca="1">IFERROR(IF(J82="Magnitude",INDEX(INDIRECT("Data_Entry[PIN_"&amp;Long_Data[[#This Row],[Indicator Number]]&amp;"]"),MATCH(Long_Data[[#This Row],[Key]],Data_Entry[Key],0)),SUM(N82:P82)*INDEX(Baseline_Pop[Population],MATCH(Long_Data[[#This Row],[Key]],Baseline_Pop[Key],0))),"")</f>
        <v>591733.79220779275</v>
      </c>
    </row>
    <row r="83" spans="2:19">
      <c r="B83">
        <v>82</v>
      </c>
      <c r="C83">
        <v>22</v>
      </c>
      <c r="D83" t="str">
        <f>IFERROR(INDEX(Data_Entry[ADM2_Pcode],MATCH('Step 4-Long Data'!C83,Data_Entry[ID],0)),"NA")</f>
        <v>AF02</v>
      </c>
      <c r="E83" t="str">
        <f>IFERROR(INDEX(Data_Entry[Key],MATCH('Step 4-Long Data'!C83,Data_Entry[ID],0)),"NA")</f>
        <v>AF02-Migrants</v>
      </c>
      <c r="F83">
        <v>3</v>
      </c>
      <c r="G83" t="str">
        <f>IFERROR(INDEX(Framework[Pillar],MATCH('Step 4-Long Data'!F83,Framework[Number],0)),"")</f>
        <v>Humanitarian Conditions</v>
      </c>
      <c r="H83" t="str">
        <f>IFERROR(INDEX(Framework[Sub_Pillar],MATCH('Step 4-Long Data'!F83,Framework[Number],0)),"")</f>
        <v>Coping mechanisms</v>
      </c>
      <c r="I83" t="str">
        <f>IFERROR(INDEX(Framework[Indicator],MATCH('Step 4-Long Data'!F83,Framework[Number],0)),"")</f>
        <v>% of households know how to access humanitarian assistance (e.g. where to go and who to contact?) if they were to need it and feedback or complaint mechanisms to reach aid providers about community needs, assistance received or problems with assistance</v>
      </c>
      <c r="J83" t="str">
        <f>IFERROR(INDEX(Framework[Class],MATCH('Step 4-Long Data'!F83,Framework[Number],0)),"")</f>
        <v>Degree</v>
      </c>
      <c r="K83" t="str">
        <f>IFERROR(INDEX(Framework[Critical],MATCH('Step 4-Long Data'!F83,Framework[Number],0)),"")</f>
        <v>No</v>
      </c>
      <c r="L83">
        <f ca="1">IF(Long_Data[[#This Row],[Indicator Class]]="Degree",INDEX(INDIRECT("Data_Entry['"&amp;Long_Data[[#This Row],[Indicator Number]]&amp;"'_DSev_1]"),MATCH(Long_Data[[#This Row],[Key]],Data_Entry[Key],0)),"NA")</f>
        <v>0.16666666666666699</v>
      </c>
      <c r="M83">
        <f ca="1">IF(Long_Data[[#This Row],[Indicator Class]]="Degree",INDEX(INDIRECT("Data_Entry['"&amp;Long_Data[[#This Row],[Indicator Number]]&amp;"'_DSev_2]"),MATCH(Long_Data[[#This Row],[Key]],Data_Entry[Key],0)),"NA")</f>
        <v>0.21153846153846201</v>
      </c>
      <c r="N83">
        <f ca="1">IF(Long_Data[[#This Row],[Indicator Class]]="Degree",INDEX(INDIRECT("Data_Entry['"&amp;Long_Data[[#This Row],[Indicator Number]]&amp;"'_DSev_3]"),MATCH(Long_Data[[#This Row],[Key]],Data_Entry[Key],0)),"NA")</f>
        <v>0.62179487179487192</v>
      </c>
      <c r="O83">
        <f ca="1">IF(Long_Data[[#This Row],[Indicator Class]]="Degree",INDEX(INDIRECT("Data_Entry['"&amp;Long_Data[[#This Row],[Indicator Number]]&amp;"'_DSev_4]"),MATCH(Long_Data[[#This Row],[Key]],Data_Entry[Key],0)),"NA")</f>
        <v>0</v>
      </c>
      <c r="P83">
        <f ca="1">IF(Long_Data[[#This Row],[Indicator Class]]="Degree",INDEX(INDIRECT("Data_Entry['"&amp;Long_Data[[#This Row],[Indicator Number]]&amp;"'_DSev_5]"),MATCH(Long_Data[[#This Row],[Key]],Data_Entry[Key],0)),"NA")</f>
        <v>0</v>
      </c>
      <c r="Q83" t="str">
        <f ca="1">IFERROR(IF(Long_Data[[#This Row],[Indicator Class]]="Magnitude", INDEX(INDIRECT("Data_Entry[Sev_"&amp;Long_Data[[#This Row],[Indicator Number]]&amp;"]"),MATCH(Long_Data[[#This Row],[Key]], Data_Entry[Key],0)),"NA"),"")</f>
        <v>NA</v>
      </c>
      <c r="R8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3" s="70">
        <f ca="1">IFERROR(IF(J83="Magnitude",INDEX(INDIRECT("Data_Entry[PIN_"&amp;Long_Data[[#This Row],[Indicator Number]]&amp;"]"),MATCH(Long_Data[[#This Row],[Key]],Data_Entry[Key],0)),SUM(N83:P83)*INDEX(Baseline_Pop[Population],MATCH(Long_Data[[#This Row],[Key]],Baseline_Pop[Key],0))),"")</f>
        <v>78177.025641025655</v>
      </c>
    </row>
    <row r="84" spans="2:19">
      <c r="B84">
        <v>83</v>
      </c>
      <c r="C84">
        <v>23</v>
      </c>
      <c r="D84" t="str">
        <f>IFERROR(INDEX(Data_Entry[ADM2_Pcode],MATCH('Step 4-Long Data'!C84,Data_Entry[ID],0)),"NA")</f>
        <v>AF03</v>
      </c>
      <c r="E84" t="str">
        <f>IFERROR(INDEX(Data_Entry[Key],MATCH('Step 4-Long Data'!C84,Data_Entry[ID],0)),"NA")</f>
        <v>AF03-Migrants</v>
      </c>
      <c r="F84">
        <v>3</v>
      </c>
      <c r="G84" t="str">
        <f>IFERROR(INDEX(Framework[Pillar],MATCH('Step 4-Long Data'!F84,Framework[Number],0)),"")</f>
        <v>Humanitarian Conditions</v>
      </c>
      <c r="H84" t="str">
        <f>IFERROR(INDEX(Framework[Sub_Pillar],MATCH('Step 4-Long Data'!F84,Framework[Number],0)),"")</f>
        <v>Coping mechanisms</v>
      </c>
      <c r="I84" t="str">
        <f>IFERROR(INDEX(Framework[Indicator],MATCH('Step 4-Long Data'!F84,Framework[Number],0)),"")</f>
        <v>% of households know how to access humanitarian assistance (e.g. where to go and who to contact?) if they were to need it and feedback or complaint mechanisms to reach aid providers about community needs, assistance received or problems with assistance</v>
      </c>
      <c r="J84" t="str">
        <f>IFERROR(INDEX(Framework[Class],MATCH('Step 4-Long Data'!F84,Framework[Number],0)),"")</f>
        <v>Degree</v>
      </c>
      <c r="K84" t="str">
        <f>IFERROR(INDEX(Framework[Critical],MATCH('Step 4-Long Data'!F84,Framework[Number],0)),"")</f>
        <v>No</v>
      </c>
      <c r="L84">
        <f ca="1">IF(Long_Data[[#This Row],[Indicator Class]]="Degree",INDEX(INDIRECT("Data_Entry['"&amp;Long_Data[[#This Row],[Indicator Number]]&amp;"'_DSev_1]"),MATCH(Long_Data[[#This Row],[Key]],Data_Entry[Key],0)),"NA")</f>
        <v>0</v>
      </c>
      <c r="M84">
        <f ca="1">IF(Long_Data[[#This Row],[Indicator Class]]="Degree",INDEX(INDIRECT("Data_Entry['"&amp;Long_Data[[#This Row],[Indicator Number]]&amp;"'_DSev_2]"),MATCH(Long_Data[[#This Row],[Key]],Data_Entry[Key],0)),"NA")</f>
        <v>1.8292682926829298E-2</v>
      </c>
      <c r="N84">
        <f ca="1">IF(Long_Data[[#This Row],[Indicator Class]]="Degree",INDEX(INDIRECT("Data_Entry['"&amp;Long_Data[[#This Row],[Indicator Number]]&amp;"'_DSev_3]"),MATCH(Long_Data[[#This Row],[Key]],Data_Entry[Key],0)),"NA")</f>
        <v>0.98170731707317105</v>
      </c>
      <c r="O84">
        <f ca="1">IF(Long_Data[[#This Row],[Indicator Class]]="Degree",INDEX(INDIRECT("Data_Entry['"&amp;Long_Data[[#This Row],[Indicator Number]]&amp;"'_DSev_4]"),MATCH(Long_Data[[#This Row],[Key]],Data_Entry[Key],0)),"NA")</f>
        <v>0</v>
      </c>
      <c r="P84">
        <f ca="1">IF(Long_Data[[#This Row],[Indicator Class]]="Degree",INDEX(INDIRECT("Data_Entry['"&amp;Long_Data[[#This Row],[Indicator Number]]&amp;"'_DSev_5]"),MATCH(Long_Data[[#This Row],[Key]],Data_Entry[Key],0)),"NA")</f>
        <v>0</v>
      </c>
      <c r="Q84" t="str">
        <f ca="1">IFERROR(IF(Long_Data[[#This Row],[Indicator Class]]="Magnitude", INDEX(INDIRECT("Data_Entry[Sev_"&amp;Long_Data[[#This Row],[Indicator Number]]&amp;"]"),MATCH(Long_Data[[#This Row],[Key]], Data_Entry[Key],0)),"NA"),"")</f>
        <v>NA</v>
      </c>
      <c r="R8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4" s="70">
        <f ca="1">IFERROR(IF(J84="Magnitude",INDEX(INDIRECT("Data_Entry[PIN_"&amp;Long_Data[[#This Row],[Indicator Number]]&amp;"]"),MATCH(Long_Data[[#This Row],[Key]],Data_Entry[Key],0)),SUM(N84:P84)*INDEX(Baseline_Pop[Population],MATCH(Long_Data[[#This Row],[Key]],Baseline_Pop[Key],0))),"")</f>
        <v>186469.41463414641</v>
      </c>
    </row>
    <row r="85" spans="2:19">
      <c r="B85">
        <v>84</v>
      </c>
      <c r="C85">
        <v>24</v>
      </c>
      <c r="D85" t="str">
        <f>IFERROR(INDEX(Data_Entry[ADM2_Pcode],MATCH('Step 4-Long Data'!C85,Data_Entry[ID],0)),"NA")</f>
        <v>AF04</v>
      </c>
      <c r="E85" t="str">
        <f>IFERROR(INDEX(Data_Entry[Key],MATCH('Step 4-Long Data'!C85,Data_Entry[ID],0)),"NA")</f>
        <v>AF04-Migrants</v>
      </c>
      <c r="F85">
        <v>3</v>
      </c>
      <c r="G85" t="str">
        <f>IFERROR(INDEX(Framework[Pillar],MATCH('Step 4-Long Data'!F85,Framework[Number],0)),"")</f>
        <v>Humanitarian Conditions</v>
      </c>
      <c r="H85" t="str">
        <f>IFERROR(INDEX(Framework[Sub_Pillar],MATCH('Step 4-Long Data'!F85,Framework[Number],0)),"")</f>
        <v>Coping mechanisms</v>
      </c>
      <c r="I85" t="str">
        <f>IFERROR(INDEX(Framework[Indicator],MATCH('Step 4-Long Data'!F85,Framework[Number],0)),"")</f>
        <v>% of households know how to access humanitarian assistance (e.g. where to go and who to contact?) if they were to need it and feedback or complaint mechanisms to reach aid providers about community needs, assistance received or problems with assistance</v>
      </c>
      <c r="J85" t="str">
        <f>IFERROR(INDEX(Framework[Class],MATCH('Step 4-Long Data'!F85,Framework[Number],0)),"")</f>
        <v>Degree</v>
      </c>
      <c r="K85" t="str">
        <f>IFERROR(INDEX(Framework[Critical],MATCH('Step 4-Long Data'!F85,Framework[Number],0)),"")</f>
        <v>No</v>
      </c>
      <c r="L85">
        <f ca="1">IF(Long_Data[[#This Row],[Indicator Class]]="Degree",INDEX(INDIRECT("Data_Entry['"&amp;Long_Data[[#This Row],[Indicator Number]]&amp;"'_DSev_1]"),MATCH(Long_Data[[#This Row],[Key]],Data_Entry[Key],0)),"NA")</f>
        <v>0</v>
      </c>
      <c r="M85">
        <f ca="1">IF(Long_Data[[#This Row],[Indicator Class]]="Degree",INDEX(INDIRECT("Data_Entry['"&amp;Long_Data[[#This Row],[Indicator Number]]&amp;"'_DSev_2]"),MATCH(Long_Data[[#This Row],[Key]],Data_Entry[Key],0)),"NA")</f>
        <v>0</v>
      </c>
      <c r="N85">
        <f ca="1">IF(Long_Data[[#This Row],[Indicator Class]]="Degree",INDEX(INDIRECT("Data_Entry['"&amp;Long_Data[[#This Row],[Indicator Number]]&amp;"'_DSev_3]"),MATCH(Long_Data[[#This Row],[Key]],Data_Entry[Key],0)),"NA")</f>
        <v>1</v>
      </c>
      <c r="O85">
        <f ca="1">IF(Long_Data[[#This Row],[Indicator Class]]="Degree",INDEX(INDIRECT("Data_Entry['"&amp;Long_Data[[#This Row],[Indicator Number]]&amp;"'_DSev_4]"),MATCH(Long_Data[[#This Row],[Key]],Data_Entry[Key],0)),"NA")</f>
        <v>0</v>
      </c>
      <c r="P85">
        <f ca="1">IF(Long_Data[[#This Row],[Indicator Class]]="Degree",INDEX(INDIRECT("Data_Entry['"&amp;Long_Data[[#This Row],[Indicator Number]]&amp;"'_DSev_5]"),MATCH(Long_Data[[#This Row],[Key]],Data_Entry[Key],0)),"NA")</f>
        <v>0</v>
      </c>
      <c r="Q85" t="str">
        <f ca="1">IFERROR(IF(Long_Data[[#This Row],[Indicator Class]]="Magnitude", INDEX(INDIRECT("Data_Entry[Sev_"&amp;Long_Data[[#This Row],[Indicator Number]]&amp;"]"),MATCH(Long_Data[[#This Row],[Key]], Data_Entry[Key],0)),"NA"),"")</f>
        <v>NA</v>
      </c>
      <c r="R8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5" s="70">
        <f ca="1">IFERROR(IF(J85="Magnitude",INDEX(INDIRECT("Data_Entry[PIN_"&amp;Long_Data[[#This Row],[Indicator Number]]&amp;"]"),MATCH(Long_Data[[#This Row],[Key]],Data_Entry[Key],0)),SUM(N85:P85)*INDEX(Baseline_Pop[Population],MATCH(Long_Data[[#This Row],[Key]],Baseline_Pop[Key],0))),"")</f>
        <v>170004</v>
      </c>
    </row>
    <row r="86" spans="2:19">
      <c r="B86">
        <v>85</v>
      </c>
      <c r="C86">
        <v>25</v>
      </c>
      <c r="D86" t="str">
        <f>IFERROR(INDEX(Data_Entry[ADM2_Pcode],MATCH('Step 4-Long Data'!C86,Data_Entry[ID],0)),"NA")</f>
        <v>AF05</v>
      </c>
      <c r="E86" t="str">
        <f>IFERROR(INDEX(Data_Entry[Key],MATCH('Step 4-Long Data'!C86,Data_Entry[ID],0)),"NA")</f>
        <v>AF05-Migrants</v>
      </c>
      <c r="F86">
        <v>3</v>
      </c>
      <c r="G86" t="str">
        <f>IFERROR(INDEX(Framework[Pillar],MATCH('Step 4-Long Data'!F86,Framework[Number],0)),"")</f>
        <v>Humanitarian Conditions</v>
      </c>
      <c r="H86" t="str">
        <f>IFERROR(INDEX(Framework[Sub_Pillar],MATCH('Step 4-Long Data'!F86,Framework[Number],0)),"")</f>
        <v>Coping mechanisms</v>
      </c>
      <c r="I86" t="str">
        <f>IFERROR(INDEX(Framework[Indicator],MATCH('Step 4-Long Data'!F86,Framework[Number],0)),"")</f>
        <v>% of households know how to access humanitarian assistance (e.g. where to go and who to contact?) if they were to need it and feedback or complaint mechanisms to reach aid providers about community needs, assistance received or problems with assistance</v>
      </c>
      <c r="J86" t="str">
        <f>IFERROR(INDEX(Framework[Class],MATCH('Step 4-Long Data'!F86,Framework[Number],0)),"")</f>
        <v>Degree</v>
      </c>
      <c r="K86" t="str">
        <f>IFERROR(INDEX(Framework[Critical],MATCH('Step 4-Long Data'!F86,Framework[Number],0)),"")</f>
        <v>No</v>
      </c>
      <c r="L86">
        <f ca="1">IF(Long_Data[[#This Row],[Indicator Class]]="Degree",INDEX(INDIRECT("Data_Entry['"&amp;Long_Data[[#This Row],[Indicator Number]]&amp;"'_DSev_1]"),MATCH(Long_Data[[#This Row],[Key]],Data_Entry[Key],0)),"NA")</f>
        <v>5.4144069348260803E-3</v>
      </c>
      <c r="M86">
        <f ca="1">IF(Long_Data[[#This Row],[Indicator Class]]="Degree",INDEX(INDIRECT("Data_Entry['"&amp;Long_Data[[#This Row],[Indicator Number]]&amp;"'_DSev_2]"),MATCH(Long_Data[[#This Row],[Key]],Data_Entry[Key],0)),"NA")</f>
        <v>0.13935864232994802</v>
      </c>
      <c r="N86">
        <f ca="1">IF(Long_Data[[#This Row],[Indicator Class]]="Degree",INDEX(INDIRECT("Data_Entry['"&amp;Long_Data[[#This Row],[Indicator Number]]&amp;"'_DSev_3]"),MATCH(Long_Data[[#This Row],[Key]],Data_Entry[Key],0)),"NA")</f>
        <v>0.85522695073522603</v>
      </c>
      <c r="O86">
        <f ca="1">IF(Long_Data[[#This Row],[Indicator Class]]="Degree",INDEX(INDIRECT("Data_Entry['"&amp;Long_Data[[#This Row],[Indicator Number]]&amp;"'_DSev_4]"),MATCH(Long_Data[[#This Row],[Key]],Data_Entry[Key],0)),"NA")</f>
        <v>0</v>
      </c>
      <c r="P86">
        <f ca="1">IF(Long_Data[[#This Row],[Indicator Class]]="Degree",INDEX(INDIRECT("Data_Entry['"&amp;Long_Data[[#This Row],[Indicator Number]]&amp;"'_DSev_5]"),MATCH(Long_Data[[#This Row],[Key]],Data_Entry[Key],0)),"NA")</f>
        <v>0</v>
      </c>
      <c r="Q86" t="str">
        <f ca="1">IFERROR(IF(Long_Data[[#This Row],[Indicator Class]]="Magnitude", INDEX(INDIRECT("Data_Entry[Sev_"&amp;Long_Data[[#This Row],[Indicator Number]]&amp;"]"),MATCH(Long_Data[[#This Row],[Key]], Data_Entry[Key],0)),"NA"),"")</f>
        <v>NA</v>
      </c>
      <c r="R8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6" s="70">
        <f ca="1">IFERROR(IF(J86="Magnitude",INDEX(INDIRECT("Data_Entry[PIN_"&amp;Long_Data[[#This Row],[Indicator Number]]&amp;"]"),MATCH(Long_Data[[#This Row],[Key]],Data_Entry[Key],0)),SUM(N86:P86)*INDEX(Baseline_Pop[Population],MATCH(Long_Data[[#This Row],[Key]],Baseline_Pop[Key],0))),"")</f>
        <v>95651.147851079892</v>
      </c>
    </row>
    <row r="87" spans="2:19">
      <c r="B87">
        <v>86</v>
      </c>
      <c r="C87">
        <v>26</v>
      </c>
      <c r="D87" t="str">
        <f>IFERROR(INDEX(Data_Entry[ADM2_Pcode],MATCH('Step 4-Long Data'!C87,Data_Entry[ID],0)),"NA")</f>
        <v>AF06</v>
      </c>
      <c r="E87" t="str">
        <f>IFERROR(INDEX(Data_Entry[Key],MATCH('Step 4-Long Data'!C87,Data_Entry[ID],0)),"NA")</f>
        <v>AF06-Migrants</v>
      </c>
      <c r="F87">
        <v>3</v>
      </c>
      <c r="G87" t="str">
        <f>IFERROR(INDEX(Framework[Pillar],MATCH('Step 4-Long Data'!F87,Framework[Number],0)),"")</f>
        <v>Humanitarian Conditions</v>
      </c>
      <c r="H87" t="str">
        <f>IFERROR(INDEX(Framework[Sub_Pillar],MATCH('Step 4-Long Data'!F87,Framework[Number],0)),"")</f>
        <v>Coping mechanisms</v>
      </c>
      <c r="I87" t="str">
        <f>IFERROR(INDEX(Framework[Indicator],MATCH('Step 4-Long Data'!F87,Framework[Number],0)),"")</f>
        <v>% of households know how to access humanitarian assistance (e.g. where to go and who to contact?) if they were to need it and feedback or complaint mechanisms to reach aid providers about community needs, assistance received or problems with assistance</v>
      </c>
      <c r="J87" t="str">
        <f>IFERROR(INDEX(Framework[Class],MATCH('Step 4-Long Data'!F87,Framework[Number],0)),"")</f>
        <v>Degree</v>
      </c>
      <c r="K87" t="str">
        <f>IFERROR(INDEX(Framework[Critical],MATCH('Step 4-Long Data'!F87,Framework[Number],0)),"")</f>
        <v>No</v>
      </c>
      <c r="L87">
        <f ca="1">IF(Long_Data[[#This Row],[Indicator Class]]="Degree",INDEX(INDIRECT("Data_Entry['"&amp;Long_Data[[#This Row],[Indicator Number]]&amp;"'_DSev_1]"),MATCH(Long_Data[[#This Row],[Key]],Data_Entry[Key],0)),"NA")</f>
        <v>0</v>
      </c>
      <c r="M87">
        <f ca="1">IF(Long_Data[[#This Row],[Indicator Class]]="Degree",INDEX(INDIRECT("Data_Entry['"&amp;Long_Data[[#This Row],[Indicator Number]]&amp;"'_DSev_2]"),MATCH(Long_Data[[#This Row],[Key]],Data_Entry[Key],0)),"NA")</f>
        <v>4.6919667118269198E-2</v>
      </c>
      <c r="N87">
        <f ca="1">IF(Long_Data[[#This Row],[Indicator Class]]="Degree",INDEX(INDIRECT("Data_Entry['"&amp;Long_Data[[#This Row],[Indicator Number]]&amp;"'_DSev_3]"),MATCH(Long_Data[[#This Row],[Key]],Data_Entry[Key],0)),"NA")</f>
        <v>0.95308033288173111</v>
      </c>
      <c r="O87">
        <f ca="1">IF(Long_Data[[#This Row],[Indicator Class]]="Degree",INDEX(INDIRECT("Data_Entry['"&amp;Long_Data[[#This Row],[Indicator Number]]&amp;"'_DSev_4]"),MATCH(Long_Data[[#This Row],[Key]],Data_Entry[Key],0)),"NA")</f>
        <v>0</v>
      </c>
      <c r="P87">
        <f ca="1">IF(Long_Data[[#This Row],[Indicator Class]]="Degree",INDEX(INDIRECT("Data_Entry['"&amp;Long_Data[[#This Row],[Indicator Number]]&amp;"'_DSev_5]"),MATCH(Long_Data[[#This Row],[Key]],Data_Entry[Key],0)),"NA")</f>
        <v>0</v>
      </c>
      <c r="Q87" t="str">
        <f ca="1">IFERROR(IF(Long_Data[[#This Row],[Indicator Class]]="Magnitude", INDEX(INDIRECT("Data_Entry[Sev_"&amp;Long_Data[[#This Row],[Indicator Number]]&amp;"]"),MATCH(Long_Data[[#This Row],[Key]], Data_Entry[Key],0)),"NA"),"")</f>
        <v>NA</v>
      </c>
      <c r="R8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7" s="70">
        <f ca="1">IFERROR(IF(J87="Magnitude",INDEX(INDIRECT("Data_Entry[PIN_"&amp;Long_Data[[#This Row],[Indicator Number]]&amp;"]"),MATCH(Long_Data[[#This Row],[Key]],Data_Entry[Key],0)),SUM(N87:P87)*INDEX(Baseline_Pop[Population],MATCH(Long_Data[[#This Row],[Key]],Baseline_Pop[Key],0))),"")</f>
        <v>417595.96017346199</v>
      </c>
    </row>
    <row r="88" spans="2:19">
      <c r="B88">
        <v>87</v>
      </c>
      <c r="C88">
        <v>27</v>
      </c>
      <c r="D88" t="str">
        <f>IFERROR(INDEX(Data_Entry[ADM2_Pcode],MATCH('Step 4-Long Data'!C88,Data_Entry[ID],0)),"NA")</f>
        <v>AF07</v>
      </c>
      <c r="E88" t="str">
        <f>IFERROR(INDEX(Data_Entry[Key],MATCH('Step 4-Long Data'!C88,Data_Entry[ID],0)),"NA")</f>
        <v>AF07-Migrants</v>
      </c>
      <c r="F88">
        <v>3</v>
      </c>
      <c r="G88" t="str">
        <f>IFERROR(INDEX(Framework[Pillar],MATCH('Step 4-Long Data'!F88,Framework[Number],0)),"")</f>
        <v>Humanitarian Conditions</v>
      </c>
      <c r="H88" t="str">
        <f>IFERROR(INDEX(Framework[Sub_Pillar],MATCH('Step 4-Long Data'!F88,Framework[Number],0)),"")</f>
        <v>Coping mechanisms</v>
      </c>
      <c r="I88" t="str">
        <f>IFERROR(INDEX(Framework[Indicator],MATCH('Step 4-Long Data'!F88,Framework[Number],0)),"")</f>
        <v>% of households know how to access humanitarian assistance (e.g. where to go and who to contact?) if they were to need it and feedback or complaint mechanisms to reach aid providers about community needs, assistance received or problems with assistance</v>
      </c>
      <c r="J88" t="str">
        <f>IFERROR(INDEX(Framework[Class],MATCH('Step 4-Long Data'!F88,Framework[Number],0)),"")</f>
        <v>Degree</v>
      </c>
      <c r="K88" t="str">
        <f>IFERROR(INDEX(Framework[Critical],MATCH('Step 4-Long Data'!F88,Framework[Number],0)),"")</f>
        <v>No</v>
      </c>
      <c r="L88">
        <f ca="1">IF(Long_Data[[#This Row],[Indicator Class]]="Degree",INDEX(INDIRECT("Data_Entry['"&amp;Long_Data[[#This Row],[Indicator Number]]&amp;"'_DSev_1]"),MATCH(Long_Data[[#This Row],[Key]],Data_Entry[Key],0)),"NA")</f>
        <v>0.298687020860469</v>
      </c>
      <c r="M88">
        <f ca="1">IF(Long_Data[[#This Row],[Indicator Class]]="Degree",INDEX(INDIRECT("Data_Entry['"&amp;Long_Data[[#This Row],[Indicator Number]]&amp;"'_DSev_2]"),MATCH(Long_Data[[#This Row],[Key]],Data_Entry[Key],0)),"NA")</f>
        <v>0.189432812661469</v>
      </c>
      <c r="N88">
        <f ca="1">IF(Long_Data[[#This Row],[Indicator Class]]="Degree",INDEX(INDIRECT("Data_Entry['"&amp;Long_Data[[#This Row],[Indicator Number]]&amp;"'_DSev_3]"),MATCH(Long_Data[[#This Row],[Key]],Data_Entry[Key],0)),"NA")</f>
        <v>0.511880166478062</v>
      </c>
      <c r="O88">
        <f ca="1">IF(Long_Data[[#This Row],[Indicator Class]]="Degree",INDEX(INDIRECT("Data_Entry['"&amp;Long_Data[[#This Row],[Indicator Number]]&amp;"'_DSev_4]"),MATCH(Long_Data[[#This Row],[Key]],Data_Entry[Key],0)),"NA")</f>
        <v>0</v>
      </c>
      <c r="P88">
        <f ca="1">IF(Long_Data[[#This Row],[Indicator Class]]="Degree",INDEX(INDIRECT("Data_Entry['"&amp;Long_Data[[#This Row],[Indicator Number]]&amp;"'_DSev_5]"),MATCH(Long_Data[[#This Row],[Key]],Data_Entry[Key],0)),"NA")</f>
        <v>0</v>
      </c>
      <c r="Q88" t="str">
        <f ca="1">IFERROR(IF(Long_Data[[#This Row],[Indicator Class]]="Magnitude", INDEX(INDIRECT("Data_Entry[Sev_"&amp;Long_Data[[#This Row],[Indicator Number]]&amp;"]"),MATCH(Long_Data[[#This Row],[Key]], Data_Entry[Key],0)),"NA"),"")</f>
        <v>NA</v>
      </c>
      <c r="R8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8" s="70">
        <f ca="1">IFERROR(IF(J88="Magnitude",INDEX(INDIRECT("Data_Entry[PIN_"&amp;Long_Data[[#This Row],[Indicator Number]]&amp;"]"),MATCH(Long_Data[[#This Row],[Key]],Data_Entry[Key],0)),SUM(N88:P88)*INDEX(Baseline_Pop[Population],MATCH(Long_Data[[#This Row],[Key]],Baseline_Pop[Key],0))),"")</f>
        <v>65041.029593201994</v>
      </c>
    </row>
    <row r="89" spans="2:19">
      <c r="B89">
        <v>88</v>
      </c>
      <c r="C89">
        <v>28</v>
      </c>
      <c r="D89" t="str">
        <f>IFERROR(INDEX(Data_Entry[ADM2_Pcode],MATCH('Step 4-Long Data'!C89,Data_Entry[ID],0)),"NA")</f>
        <v>AF08</v>
      </c>
      <c r="E89" t="str">
        <f>IFERROR(INDEX(Data_Entry[Key],MATCH('Step 4-Long Data'!C89,Data_Entry[ID],0)),"NA")</f>
        <v>AF08-Migrants</v>
      </c>
      <c r="F89">
        <v>3</v>
      </c>
      <c r="G89" t="str">
        <f>IFERROR(INDEX(Framework[Pillar],MATCH('Step 4-Long Data'!F89,Framework[Number],0)),"")</f>
        <v>Humanitarian Conditions</v>
      </c>
      <c r="H89" t="str">
        <f>IFERROR(INDEX(Framework[Sub_Pillar],MATCH('Step 4-Long Data'!F89,Framework[Number],0)),"")</f>
        <v>Coping mechanisms</v>
      </c>
      <c r="I89" t="str">
        <f>IFERROR(INDEX(Framework[Indicator],MATCH('Step 4-Long Data'!F89,Framework[Number],0)),"")</f>
        <v>% of households know how to access humanitarian assistance (e.g. where to go and who to contact?) if they were to need it and feedback or complaint mechanisms to reach aid providers about community needs, assistance received or problems with assistance</v>
      </c>
      <c r="J89" t="str">
        <f>IFERROR(INDEX(Framework[Class],MATCH('Step 4-Long Data'!F89,Framework[Number],0)),"")</f>
        <v>Degree</v>
      </c>
      <c r="K89" t="str">
        <f>IFERROR(INDEX(Framework[Critical],MATCH('Step 4-Long Data'!F89,Framework[Number],0)),"")</f>
        <v>No</v>
      </c>
      <c r="L89">
        <f ca="1">IF(Long_Data[[#This Row],[Indicator Class]]="Degree",INDEX(INDIRECT("Data_Entry['"&amp;Long_Data[[#This Row],[Indicator Number]]&amp;"'_DSev_1]"),MATCH(Long_Data[[#This Row],[Key]],Data_Entry[Key],0)),"NA")</f>
        <v>0</v>
      </c>
      <c r="M89">
        <f ca="1">IF(Long_Data[[#This Row],[Indicator Class]]="Degree",INDEX(INDIRECT("Data_Entry['"&amp;Long_Data[[#This Row],[Indicator Number]]&amp;"'_DSev_2]"),MATCH(Long_Data[[#This Row],[Key]],Data_Entry[Key],0)),"NA")</f>
        <v>0.11377245508981999</v>
      </c>
      <c r="N89">
        <f ca="1">IF(Long_Data[[#This Row],[Indicator Class]]="Degree",INDEX(INDIRECT("Data_Entry['"&amp;Long_Data[[#This Row],[Indicator Number]]&amp;"'_DSev_3]"),MATCH(Long_Data[[#This Row],[Key]],Data_Entry[Key],0)),"NA")</f>
        <v>0.88622754491017997</v>
      </c>
      <c r="O89">
        <f ca="1">IF(Long_Data[[#This Row],[Indicator Class]]="Degree",INDEX(INDIRECT("Data_Entry['"&amp;Long_Data[[#This Row],[Indicator Number]]&amp;"'_DSev_4]"),MATCH(Long_Data[[#This Row],[Key]],Data_Entry[Key],0)),"NA")</f>
        <v>0</v>
      </c>
      <c r="P89">
        <f ca="1">IF(Long_Data[[#This Row],[Indicator Class]]="Degree",INDEX(INDIRECT("Data_Entry['"&amp;Long_Data[[#This Row],[Indicator Number]]&amp;"'_DSev_5]"),MATCH(Long_Data[[#This Row],[Key]],Data_Entry[Key],0)),"NA")</f>
        <v>0</v>
      </c>
      <c r="Q89" t="str">
        <f ca="1">IFERROR(IF(Long_Data[[#This Row],[Indicator Class]]="Magnitude", INDEX(INDIRECT("Data_Entry[Sev_"&amp;Long_Data[[#This Row],[Indicator Number]]&amp;"]"),MATCH(Long_Data[[#This Row],[Key]], Data_Entry[Key],0)),"NA"),"")</f>
        <v>NA</v>
      </c>
      <c r="R8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89" s="70">
        <f ca="1">IFERROR(IF(J89="Magnitude",INDEX(INDIRECT("Data_Entry[PIN_"&amp;Long_Data[[#This Row],[Indicator Number]]&amp;"]"),MATCH(Long_Data[[#This Row],[Key]],Data_Entry[Key],0)),SUM(N89:P89)*INDEX(Baseline_Pop[Population],MATCH(Long_Data[[#This Row],[Key]],Baseline_Pop[Key],0))),"")</f>
        <v>38775.113772455101</v>
      </c>
    </row>
    <row r="90" spans="2:19">
      <c r="B90">
        <v>89</v>
      </c>
      <c r="C90">
        <v>29</v>
      </c>
      <c r="D90" t="str">
        <f>IFERROR(INDEX(Data_Entry[ADM2_Pcode],MATCH('Step 4-Long Data'!C90,Data_Entry[ID],0)),"NA")</f>
        <v>AF09</v>
      </c>
      <c r="E90" t="str">
        <f>IFERROR(INDEX(Data_Entry[Key],MATCH('Step 4-Long Data'!C90,Data_Entry[ID],0)),"NA")</f>
        <v>AF09-Migrants</v>
      </c>
      <c r="F90">
        <v>3</v>
      </c>
      <c r="G90" t="str">
        <f>IFERROR(INDEX(Framework[Pillar],MATCH('Step 4-Long Data'!F90,Framework[Number],0)),"")</f>
        <v>Humanitarian Conditions</v>
      </c>
      <c r="H90" t="str">
        <f>IFERROR(INDEX(Framework[Sub_Pillar],MATCH('Step 4-Long Data'!F90,Framework[Number],0)),"")</f>
        <v>Coping mechanisms</v>
      </c>
      <c r="I90" t="str">
        <f>IFERROR(INDEX(Framework[Indicator],MATCH('Step 4-Long Data'!F90,Framework[Number],0)),"")</f>
        <v>% of households know how to access humanitarian assistance (e.g. where to go and who to contact?) if they were to need it and feedback or complaint mechanisms to reach aid providers about community needs, assistance received or problems with assistance</v>
      </c>
      <c r="J90" t="str">
        <f>IFERROR(INDEX(Framework[Class],MATCH('Step 4-Long Data'!F90,Framework[Number],0)),"")</f>
        <v>Degree</v>
      </c>
      <c r="K90" t="str">
        <f>IFERROR(INDEX(Framework[Critical],MATCH('Step 4-Long Data'!F90,Framework[Number],0)),"")</f>
        <v>No</v>
      </c>
      <c r="L90">
        <f ca="1">IF(Long_Data[[#This Row],[Indicator Class]]="Degree",INDEX(INDIRECT("Data_Entry['"&amp;Long_Data[[#This Row],[Indicator Number]]&amp;"'_DSev_1]"),MATCH(Long_Data[[#This Row],[Key]],Data_Entry[Key],0)),"NA")</f>
        <v>0.44460241346045204</v>
      </c>
      <c r="M90">
        <f ca="1">IF(Long_Data[[#This Row],[Indicator Class]]="Degree",INDEX(INDIRECT("Data_Entry['"&amp;Long_Data[[#This Row],[Indicator Number]]&amp;"'_DSev_2]"),MATCH(Long_Data[[#This Row],[Key]],Data_Entry[Key],0)),"NA")</f>
        <v>0.114273161947643</v>
      </c>
      <c r="N90">
        <f ca="1">IF(Long_Data[[#This Row],[Indicator Class]]="Degree",INDEX(INDIRECT("Data_Entry['"&amp;Long_Data[[#This Row],[Indicator Number]]&amp;"'_DSev_3]"),MATCH(Long_Data[[#This Row],[Key]],Data_Entry[Key],0)),"NA")</f>
        <v>0.44112442459190498</v>
      </c>
      <c r="O90">
        <f ca="1">IF(Long_Data[[#This Row],[Indicator Class]]="Degree",INDEX(INDIRECT("Data_Entry['"&amp;Long_Data[[#This Row],[Indicator Number]]&amp;"'_DSev_4]"),MATCH(Long_Data[[#This Row],[Key]],Data_Entry[Key],0)),"NA")</f>
        <v>0</v>
      </c>
      <c r="P90">
        <f ca="1">IF(Long_Data[[#This Row],[Indicator Class]]="Degree",INDEX(INDIRECT("Data_Entry['"&amp;Long_Data[[#This Row],[Indicator Number]]&amp;"'_DSev_5]"),MATCH(Long_Data[[#This Row],[Key]],Data_Entry[Key],0)),"NA")</f>
        <v>0</v>
      </c>
      <c r="Q90" t="str">
        <f ca="1">IFERROR(IF(Long_Data[[#This Row],[Indicator Class]]="Magnitude", INDEX(INDIRECT("Data_Entry[Sev_"&amp;Long_Data[[#This Row],[Indicator Number]]&amp;"]"),MATCH(Long_Data[[#This Row],[Key]], Data_Entry[Key],0)),"NA"),"")</f>
        <v>NA</v>
      </c>
      <c r="R9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90" s="70">
        <f ca="1">IFERROR(IF(J90="Magnitude",INDEX(INDIRECT("Data_Entry[PIN_"&amp;Long_Data[[#This Row],[Indicator Number]]&amp;"]"),MATCH(Long_Data[[#This Row],[Key]],Data_Entry[Key],0)),SUM(N90:P90)*INDEX(Baseline_Pop[Population],MATCH(Long_Data[[#This Row],[Key]],Baseline_Pop[Key],0))),"")</f>
        <v>115243.31480021059</v>
      </c>
    </row>
    <row r="91" spans="2:19">
      <c r="B91">
        <v>90</v>
      </c>
      <c r="C91">
        <v>30</v>
      </c>
      <c r="D91" t="str">
        <f>IFERROR(INDEX(Data_Entry[ADM2_Pcode],MATCH('Step 4-Long Data'!C91,Data_Entry[ID],0)),"NA")</f>
        <v>AF10</v>
      </c>
      <c r="E91" t="str">
        <f>IFERROR(INDEX(Data_Entry[Key],MATCH('Step 4-Long Data'!C91,Data_Entry[ID],0)),"NA")</f>
        <v>AF10-Migrants</v>
      </c>
      <c r="F91">
        <v>3</v>
      </c>
      <c r="G91" t="str">
        <f>IFERROR(INDEX(Framework[Pillar],MATCH('Step 4-Long Data'!F91,Framework[Number],0)),"")</f>
        <v>Humanitarian Conditions</v>
      </c>
      <c r="H91" t="str">
        <f>IFERROR(INDEX(Framework[Sub_Pillar],MATCH('Step 4-Long Data'!F91,Framework[Number],0)),"")</f>
        <v>Coping mechanisms</v>
      </c>
      <c r="I91" t="str">
        <f>IFERROR(INDEX(Framework[Indicator],MATCH('Step 4-Long Data'!F91,Framework[Number],0)),"")</f>
        <v>% of households know how to access humanitarian assistance (e.g. where to go and who to contact?) if they were to need it and feedback or complaint mechanisms to reach aid providers about community needs, assistance received or problems with assistance</v>
      </c>
      <c r="J91" t="str">
        <f>IFERROR(INDEX(Framework[Class],MATCH('Step 4-Long Data'!F91,Framework[Number],0)),"")</f>
        <v>Degree</v>
      </c>
      <c r="K91" t="str">
        <f>IFERROR(INDEX(Framework[Critical],MATCH('Step 4-Long Data'!F91,Framework[Number],0)),"")</f>
        <v>No</v>
      </c>
      <c r="L91">
        <f ca="1">IF(Long_Data[[#This Row],[Indicator Class]]="Degree",INDEX(INDIRECT("Data_Entry['"&amp;Long_Data[[#This Row],[Indicator Number]]&amp;"'_DSev_1]"),MATCH(Long_Data[[#This Row],[Key]],Data_Entry[Key],0)),"NA")</f>
        <v>8.99470899470899E-2</v>
      </c>
      <c r="M91">
        <f ca="1">IF(Long_Data[[#This Row],[Indicator Class]]="Degree",INDEX(INDIRECT("Data_Entry['"&amp;Long_Data[[#This Row],[Indicator Number]]&amp;"'_DSev_2]"),MATCH(Long_Data[[#This Row],[Key]],Data_Entry[Key],0)),"NA")</f>
        <v>0.20105820105820102</v>
      </c>
      <c r="N91">
        <f ca="1">IF(Long_Data[[#This Row],[Indicator Class]]="Degree",INDEX(INDIRECT("Data_Entry['"&amp;Long_Data[[#This Row],[Indicator Number]]&amp;"'_DSev_3]"),MATCH(Long_Data[[#This Row],[Key]],Data_Entry[Key],0)),"NA")</f>
        <v>0.70899470899470896</v>
      </c>
      <c r="O91">
        <f ca="1">IF(Long_Data[[#This Row],[Indicator Class]]="Degree",INDEX(INDIRECT("Data_Entry['"&amp;Long_Data[[#This Row],[Indicator Number]]&amp;"'_DSev_4]"),MATCH(Long_Data[[#This Row],[Key]],Data_Entry[Key],0)),"NA")</f>
        <v>0</v>
      </c>
      <c r="P91">
        <f ca="1">IF(Long_Data[[#This Row],[Indicator Class]]="Degree",INDEX(INDIRECT("Data_Entry['"&amp;Long_Data[[#This Row],[Indicator Number]]&amp;"'_DSev_5]"),MATCH(Long_Data[[#This Row],[Key]],Data_Entry[Key],0)),"NA")</f>
        <v>0</v>
      </c>
      <c r="Q91" t="str">
        <f ca="1">IFERROR(IF(Long_Data[[#This Row],[Indicator Class]]="Magnitude", INDEX(INDIRECT("Data_Entry[Sev_"&amp;Long_Data[[#This Row],[Indicator Number]]&amp;"]"),MATCH(Long_Data[[#This Row],[Key]], Data_Entry[Key],0)),"NA"),"")</f>
        <v>NA</v>
      </c>
      <c r="R9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91" s="70">
        <f ca="1">IFERROR(IF(J91="Magnitude",INDEX(INDIRECT("Data_Entry[PIN_"&amp;Long_Data[[#This Row],[Indicator Number]]&amp;"]"),MATCH(Long_Data[[#This Row],[Key]],Data_Entry[Key],0)),SUM(N91:P91)*INDEX(Baseline_Pop[Population],MATCH(Long_Data[[#This Row],[Key]],Baseline_Pop[Key],0))),"")</f>
        <v>90465.597883597875</v>
      </c>
    </row>
    <row r="92" spans="2:19">
      <c r="B92">
        <v>91</v>
      </c>
      <c r="C92">
        <v>1</v>
      </c>
      <c r="D92" t="str">
        <f>IFERROR(INDEX(Data_Entry[ADM2_Pcode],MATCH('Step 4-Long Data'!C92,Data_Entry[ID],0)),"NA")</f>
        <v>AF01</v>
      </c>
      <c r="E92" t="str">
        <f>IFERROR(INDEX(Data_Entry[Key],MATCH('Step 4-Long Data'!C92,Data_Entry[ID],0)),"NA")</f>
        <v>AF01-All_Others</v>
      </c>
      <c r="F92">
        <v>4</v>
      </c>
      <c r="G92" t="str">
        <f>IFERROR(INDEX(Framework[Pillar],MATCH('Step 4-Long Data'!F92,Framework[Number],0)),"")</f>
        <v>Humanitarian Conditions</v>
      </c>
      <c r="H92" t="str">
        <f>IFERROR(INDEX(Framework[Sub_Pillar],MATCH('Step 4-Long Data'!F92,Framework[Number],0)),"")</f>
        <v>Living standards</v>
      </c>
      <c r="I92" t="str">
        <f>IFERROR(INDEX(Framework[Indicator],MATCH('Step 4-Long Data'!F92,Framework[Number],0)),"")</f>
        <v>% HHs without access to essential services (including health, education, markets, and improved water sources)</v>
      </c>
      <c r="J92" t="str">
        <f>IFERROR(INDEX(Framework[Class],MATCH('Step 4-Long Data'!F92,Framework[Number],0)),"")</f>
        <v>Degree</v>
      </c>
      <c r="K92" t="str">
        <f>IFERROR(INDEX(Framework[Critical],MATCH('Step 4-Long Data'!F92,Framework[Number],0)),"")</f>
        <v>No</v>
      </c>
      <c r="L92">
        <f ca="1">IF(Long_Data[[#This Row],[Indicator Class]]="Degree",INDEX(INDIRECT("Data_Entry['"&amp;Long_Data[[#This Row],[Indicator Number]]&amp;"'_DSev_1]"),MATCH(Long_Data[[#This Row],[Key]],Data_Entry[Key],0)),"NA")</f>
        <v>0.37009999999999998</v>
      </c>
      <c r="M92">
        <f ca="1">IF(Long_Data[[#This Row],[Indicator Class]]="Degree",INDEX(INDIRECT("Data_Entry['"&amp;Long_Data[[#This Row],[Indicator Number]]&amp;"'_DSev_2]"),MATCH(Long_Data[[#This Row],[Key]],Data_Entry[Key],0)),"NA")</f>
        <v>0.48049999999999998</v>
      </c>
      <c r="N92">
        <f ca="1">IF(Long_Data[[#This Row],[Indicator Class]]="Degree",INDEX(INDIRECT("Data_Entry['"&amp;Long_Data[[#This Row],[Indicator Number]]&amp;"'_DSev_3]"),MATCH(Long_Data[[#This Row],[Key]],Data_Entry[Key],0)),"NA")</f>
        <v>0.13640000000000002</v>
      </c>
      <c r="O92">
        <f ca="1">IF(Long_Data[[#This Row],[Indicator Class]]="Degree",INDEX(INDIRECT("Data_Entry['"&amp;Long_Data[[#This Row],[Indicator Number]]&amp;"'_DSev_4]"),MATCH(Long_Data[[#This Row],[Key]],Data_Entry[Key],0)),"NA")</f>
        <v>1.3000000000000001E-2</v>
      </c>
      <c r="P92">
        <f ca="1">IF(Long_Data[[#This Row],[Indicator Class]]="Degree",INDEX(INDIRECT("Data_Entry['"&amp;Long_Data[[#This Row],[Indicator Number]]&amp;"'_DSev_5]"),MATCH(Long_Data[[#This Row],[Key]],Data_Entry[Key],0)),"NA")</f>
        <v>0</v>
      </c>
      <c r="Q92" t="str">
        <f ca="1">IFERROR(IF(Long_Data[[#This Row],[Indicator Class]]="Magnitude", INDEX(INDIRECT("Data_Entry[Sev_"&amp;Long_Data[[#This Row],[Indicator Number]]&amp;"]"),MATCH(Long_Data[[#This Row],[Key]], Data_Entry[Key],0)),"NA"),"")</f>
        <v>NA</v>
      </c>
      <c r="R9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92" s="70">
        <f ca="1">IFERROR(IF(J92="Magnitude",INDEX(INDIRECT("Data_Entry[PIN_"&amp;Long_Data[[#This Row],[Indicator Number]]&amp;"]"),MATCH(Long_Data[[#This Row],[Key]],Data_Entry[Key],0)),SUM(N92:P92)*INDEX(Baseline_Pop[Population],MATCH(Long_Data[[#This Row],[Key]],Baseline_Pop[Key],0))),"")</f>
        <v>700739.9334000001</v>
      </c>
    </row>
    <row r="93" spans="2:19">
      <c r="B93">
        <v>92</v>
      </c>
      <c r="C93">
        <v>2</v>
      </c>
      <c r="D93" t="str">
        <f>IFERROR(INDEX(Data_Entry[ADM2_Pcode],MATCH('Step 4-Long Data'!C93,Data_Entry[ID],0)),"NA")</f>
        <v>AF02</v>
      </c>
      <c r="E93" t="str">
        <f>IFERROR(INDEX(Data_Entry[Key],MATCH('Step 4-Long Data'!C93,Data_Entry[ID],0)),"NA")</f>
        <v>AF02-All_Others</v>
      </c>
      <c r="F93">
        <v>4</v>
      </c>
      <c r="G93" t="str">
        <f>IFERROR(INDEX(Framework[Pillar],MATCH('Step 4-Long Data'!F93,Framework[Number],0)),"")</f>
        <v>Humanitarian Conditions</v>
      </c>
      <c r="H93" t="str">
        <f>IFERROR(INDEX(Framework[Sub_Pillar],MATCH('Step 4-Long Data'!F93,Framework[Number],0)),"")</f>
        <v>Living standards</v>
      </c>
      <c r="I93" t="str">
        <f>IFERROR(INDEX(Framework[Indicator],MATCH('Step 4-Long Data'!F93,Framework[Number],0)),"")</f>
        <v>% HHs without access to essential services (including health, education, markets, and improved water sources)</v>
      </c>
      <c r="J93" t="str">
        <f>IFERROR(INDEX(Framework[Class],MATCH('Step 4-Long Data'!F93,Framework[Number],0)),"")</f>
        <v>Degree</v>
      </c>
      <c r="K93" t="str">
        <f>IFERROR(INDEX(Framework[Critical],MATCH('Step 4-Long Data'!F93,Framework[Number],0)),"")</f>
        <v>No</v>
      </c>
      <c r="L93">
        <f ca="1">IF(Long_Data[[#This Row],[Indicator Class]]="Degree",INDEX(INDIRECT("Data_Entry['"&amp;Long_Data[[#This Row],[Indicator Number]]&amp;"'_DSev_1]"),MATCH(Long_Data[[#This Row],[Key]],Data_Entry[Key],0)),"NA")</f>
        <v>0.23079999999999998</v>
      </c>
      <c r="M93">
        <f ca="1">IF(Long_Data[[#This Row],[Indicator Class]]="Degree",INDEX(INDIRECT("Data_Entry['"&amp;Long_Data[[#This Row],[Indicator Number]]&amp;"'_DSev_2]"),MATCH(Long_Data[[#This Row],[Key]],Data_Entry[Key],0)),"NA")</f>
        <v>0.32049999999999995</v>
      </c>
      <c r="N93">
        <f ca="1">IF(Long_Data[[#This Row],[Indicator Class]]="Degree",INDEX(INDIRECT("Data_Entry['"&amp;Long_Data[[#This Row],[Indicator Number]]&amp;"'_DSev_3]"),MATCH(Long_Data[[#This Row],[Key]],Data_Entry[Key],0)),"NA")</f>
        <v>0.35899999999999999</v>
      </c>
      <c r="O93">
        <f ca="1">IF(Long_Data[[#This Row],[Indicator Class]]="Degree",INDEX(INDIRECT("Data_Entry['"&amp;Long_Data[[#This Row],[Indicator Number]]&amp;"'_DSev_4]"),MATCH(Long_Data[[#This Row],[Key]],Data_Entry[Key],0)),"NA")</f>
        <v>8.9700000000000002E-2</v>
      </c>
      <c r="P93">
        <f ca="1">IF(Long_Data[[#This Row],[Indicator Class]]="Degree",INDEX(INDIRECT("Data_Entry['"&amp;Long_Data[[#This Row],[Indicator Number]]&amp;"'_DSev_5]"),MATCH(Long_Data[[#This Row],[Key]],Data_Entry[Key],0)),"NA")</f>
        <v>0</v>
      </c>
      <c r="Q93" t="str">
        <f ca="1">IFERROR(IF(Long_Data[[#This Row],[Indicator Class]]="Magnitude", INDEX(INDIRECT("Data_Entry[Sev_"&amp;Long_Data[[#This Row],[Indicator Number]]&amp;"]"),MATCH(Long_Data[[#This Row],[Key]], Data_Entry[Key],0)),"NA"),"")</f>
        <v>NA</v>
      </c>
      <c r="R9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93" s="70">
        <f ca="1">IFERROR(IF(J93="Magnitude",INDEX(INDIRECT("Data_Entry[PIN_"&amp;Long_Data[[#This Row],[Indicator Number]]&amp;"]"),MATCH(Long_Data[[#This Row],[Key]],Data_Entry[Key],0)),SUM(N93:P93)*INDEX(Baseline_Pop[Population],MATCH(Long_Data[[#This Row],[Key]],Baseline_Pop[Key],0))),"")</f>
        <v>197449.0889</v>
      </c>
    </row>
    <row r="94" spans="2:19">
      <c r="B94">
        <v>93</v>
      </c>
      <c r="C94">
        <v>3</v>
      </c>
      <c r="D94" t="str">
        <f>IFERROR(INDEX(Data_Entry[ADM2_Pcode],MATCH('Step 4-Long Data'!C94,Data_Entry[ID],0)),"NA")</f>
        <v>AF03</v>
      </c>
      <c r="E94" t="str">
        <f>IFERROR(INDEX(Data_Entry[Key],MATCH('Step 4-Long Data'!C94,Data_Entry[ID],0)),"NA")</f>
        <v>AF03-All_Others</v>
      </c>
      <c r="F94">
        <v>4</v>
      </c>
      <c r="G94" t="str">
        <f>IFERROR(INDEX(Framework[Pillar],MATCH('Step 4-Long Data'!F94,Framework[Number],0)),"")</f>
        <v>Humanitarian Conditions</v>
      </c>
      <c r="H94" t="str">
        <f>IFERROR(INDEX(Framework[Sub_Pillar],MATCH('Step 4-Long Data'!F94,Framework[Number],0)),"")</f>
        <v>Living standards</v>
      </c>
      <c r="I94" t="str">
        <f>IFERROR(INDEX(Framework[Indicator],MATCH('Step 4-Long Data'!F94,Framework[Number],0)),"")</f>
        <v>% HHs without access to essential services (including health, education, markets, and improved water sources)</v>
      </c>
      <c r="J94" t="str">
        <f>IFERROR(INDEX(Framework[Class],MATCH('Step 4-Long Data'!F94,Framework[Number],0)),"")</f>
        <v>Degree</v>
      </c>
      <c r="K94" t="str">
        <f>IFERROR(INDEX(Framework[Critical],MATCH('Step 4-Long Data'!F94,Framework[Number],0)),"")</f>
        <v>No</v>
      </c>
      <c r="L94">
        <f ca="1">IF(Long_Data[[#This Row],[Indicator Class]]="Degree",INDEX(INDIRECT("Data_Entry['"&amp;Long_Data[[#This Row],[Indicator Number]]&amp;"'_DSev_1]"),MATCH(Long_Data[[#This Row],[Key]],Data_Entry[Key],0)),"NA")</f>
        <v>9.7600000000000006E-2</v>
      </c>
      <c r="M94">
        <f ca="1">IF(Long_Data[[#This Row],[Indicator Class]]="Degree",INDEX(INDIRECT("Data_Entry['"&amp;Long_Data[[#This Row],[Indicator Number]]&amp;"'_DSev_2]"),MATCH(Long_Data[[#This Row],[Key]],Data_Entry[Key],0)),"NA")</f>
        <v>0.77439999999999998</v>
      </c>
      <c r="N94">
        <f ca="1">IF(Long_Data[[#This Row],[Indicator Class]]="Degree",INDEX(INDIRECT("Data_Entry['"&amp;Long_Data[[#This Row],[Indicator Number]]&amp;"'_DSev_3]"),MATCH(Long_Data[[#This Row],[Key]],Data_Entry[Key],0)),"NA")</f>
        <v>0.128</v>
      </c>
      <c r="O94">
        <f ca="1">IF(Long_Data[[#This Row],[Indicator Class]]="Degree",INDEX(INDIRECT("Data_Entry['"&amp;Long_Data[[#This Row],[Indicator Number]]&amp;"'_DSev_4]"),MATCH(Long_Data[[#This Row],[Key]],Data_Entry[Key],0)),"NA")</f>
        <v>0</v>
      </c>
      <c r="P94">
        <f ca="1">IF(Long_Data[[#This Row],[Indicator Class]]="Degree",INDEX(INDIRECT("Data_Entry['"&amp;Long_Data[[#This Row],[Indicator Number]]&amp;"'_DSev_5]"),MATCH(Long_Data[[#This Row],[Key]],Data_Entry[Key],0)),"NA")</f>
        <v>0</v>
      </c>
      <c r="Q94" t="str">
        <f ca="1">IFERROR(IF(Long_Data[[#This Row],[Indicator Class]]="Magnitude", INDEX(INDIRECT("Data_Entry[Sev_"&amp;Long_Data[[#This Row],[Indicator Number]]&amp;"]"),MATCH(Long_Data[[#This Row],[Key]], Data_Entry[Key],0)),"NA"),"")</f>
        <v>NA</v>
      </c>
      <c r="R94">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94" s="70">
        <f ca="1">IFERROR(IF(J94="Magnitude",INDEX(INDIRECT("Data_Entry[PIN_"&amp;Long_Data[[#This Row],[Indicator Number]]&amp;"]"),MATCH(Long_Data[[#This Row],[Key]],Data_Entry[Key],0)),SUM(N94:P94)*INDEX(Baseline_Pop[Population],MATCH(Long_Data[[#This Row],[Key]],Baseline_Pop[Key],0))),"")</f>
        <v>85095.040000000008</v>
      </c>
    </row>
    <row r="95" spans="2:19">
      <c r="B95">
        <v>94</v>
      </c>
      <c r="C95">
        <v>4</v>
      </c>
      <c r="D95" t="str">
        <f>IFERROR(INDEX(Data_Entry[ADM2_Pcode],MATCH('Step 4-Long Data'!C95,Data_Entry[ID],0)),"NA")</f>
        <v>AF04</v>
      </c>
      <c r="E95" t="str">
        <f>IFERROR(INDEX(Data_Entry[Key],MATCH('Step 4-Long Data'!C95,Data_Entry[ID],0)),"NA")</f>
        <v>AF04-All_Others</v>
      </c>
      <c r="F95">
        <v>4</v>
      </c>
      <c r="G95" t="str">
        <f>IFERROR(INDEX(Framework[Pillar],MATCH('Step 4-Long Data'!F95,Framework[Number],0)),"")</f>
        <v>Humanitarian Conditions</v>
      </c>
      <c r="H95" t="str">
        <f>IFERROR(INDEX(Framework[Sub_Pillar],MATCH('Step 4-Long Data'!F95,Framework[Number],0)),"")</f>
        <v>Living standards</v>
      </c>
      <c r="I95" t="str">
        <f>IFERROR(INDEX(Framework[Indicator],MATCH('Step 4-Long Data'!F95,Framework[Number],0)),"")</f>
        <v>% HHs without access to essential services (including health, education, markets, and improved water sources)</v>
      </c>
      <c r="J95" t="str">
        <f>IFERROR(INDEX(Framework[Class],MATCH('Step 4-Long Data'!F95,Framework[Number],0)),"")</f>
        <v>Degree</v>
      </c>
      <c r="K95" t="str">
        <f>IFERROR(INDEX(Framework[Critical],MATCH('Step 4-Long Data'!F95,Framework[Number],0)),"")</f>
        <v>No</v>
      </c>
      <c r="L95">
        <f ca="1">IF(Long_Data[[#This Row],[Indicator Class]]="Degree",INDEX(INDIRECT("Data_Entry['"&amp;Long_Data[[#This Row],[Indicator Number]]&amp;"'_DSev_1]"),MATCH(Long_Data[[#This Row],[Key]],Data_Entry[Key],0)),"NA")</f>
        <v>0.48859999999999998</v>
      </c>
      <c r="M95">
        <f ca="1">IF(Long_Data[[#This Row],[Indicator Class]]="Degree",INDEX(INDIRECT("Data_Entry['"&amp;Long_Data[[#This Row],[Indicator Number]]&amp;"'_DSev_2]"),MATCH(Long_Data[[#This Row],[Key]],Data_Entry[Key],0)),"NA")</f>
        <v>0.4093</v>
      </c>
      <c r="N95">
        <f ca="1">IF(Long_Data[[#This Row],[Indicator Class]]="Degree",INDEX(INDIRECT("Data_Entry['"&amp;Long_Data[[#This Row],[Indicator Number]]&amp;"'_DSev_3]"),MATCH(Long_Data[[#This Row],[Key]],Data_Entry[Key],0)),"NA")</f>
        <v>9.01E-2</v>
      </c>
      <c r="O95">
        <f ca="1">IF(Long_Data[[#This Row],[Indicator Class]]="Degree",INDEX(INDIRECT("Data_Entry['"&amp;Long_Data[[#This Row],[Indicator Number]]&amp;"'_DSev_4]"),MATCH(Long_Data[[#This Row],[Key]],Data_Entry[Key],0)),"NA")</f>
        <v>1.2E-2</v>
      </c>
      <c r="P95">
        <f ca="1">IF(Long_Data[[#This Row],[Indicator Class]]="Degree",INDEX(INDIRECT("Data_Entry['"&amp;Long_Data[[#This Row],[Indicator Number]]&amp;"'_DSev_5]"),MATCH(Long_Data[[#This Row],[Key]],Data_Entry[Key],0)),"NA")</f>
        <v>0</v>
      </c>
      <c r="Q95" t="str">
        <f ca="1">IFERROR(IF(Long_Data[[#This Row],[Indicator Class]]="Magnitude", INDEX(INDIRECT("Data_Entry[Sev_"&amp;Long_Data[[#This Row],[Indicator Number]]&amp;"]"),MATCH(Long_Data[[#This Row],[Key]], Data_Entry[Key],0)),"NA"),"")</f>
        <v>NA</v>
      </c>
      <c r="R9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95" s="70">
        <f ca="1">IFERROR(IF(J95="Magnitude",INDEX(INDIRECT("Data_Entry[PIN_"&amp;Long_Data[[#This Row],[Indicator Number]]&amp;"]"),MATCH(Long_Data[[#This Row],[Key]],Data_Entry[Key],0)),SUM(N95:P95)*INDEX(Baseline_Pop[Population],MATCH(Long_Data[[#This Row],[Key]],Baseline_Pop[Key],0))),"")</f>
        <v>60750.827299999997</v>
      </c>
    </row>
    <row r="96" spans="2:19">
      <c r="B96">
        <v>95</v>
      </c>
      <c r="C96">
        <v>5</v>
      </c>
      <c r="D96" t="str">
        <f>IFERROR(INDEX(Data_Entry[ADM2_Pcode],MATCH('Step 4-Long Data'!C96,Data_Entry[ID],0)),"NA")</f>
        <v>AF05</v>
      </c>
      <c r="E96" t="str">
        <f>IFERROR(INDEX(Data_Entry[Key],MATCH('Step 4-Long Data'!C96,Data_Entry[ID],0)),"NA")</f>
        <v>AF05-All_Others</v>
      </c>
      <c r="F96">
        <v>4</v>
      </c>
      <c r="G96" t="str">
        <f>IFERROR(INDEX(Framework[Pillar],MATCH('Step 4-Long Data'!F96,Framework[Number],0)),"")</f>
        <v>Humanitarian Conditions</v>
      </c>
      <c r="H96" t="str">
        <f>IFERROR(INDEX(Framework[Sub_Pillar],MATCH('Step 4-Long Data'!F96,Framework[Number],0)),"")</f>
        <v>Living standards</v>
      </c>
      <c r="I96" t="str">
        <f>IFERROR(INDEX(Framework[Indicator],MATCH('Step 4-Long Data'!F96,Framework[Number],0)),"")</f>
        <v>% HHs without access to essential services (including health, education, markets, and improved water sources)</v>
      </c>
      <c r="J96" t="str">
        <f>IFERROR(INDEX(Framework[Class],MATCH('Step 4-Long Data'!F96,Framework[Number],0)),"")</f>
        <v>Degree</v>
      </c>
      <c r="K96" t="str">
        <f>IFERROR(INDEX(Framework[Critical],MATCH('Step 4-Long Data'!F96,Framework[Number],0)),"")</f>
        <v>No</v>
      </c>
      <c r="L96">
        <f ca="1">IF(Long_Data[[#This Row],[Indicator Class]]="Degree",INDEX(INDIRECT("Data_Entry['"&amp;Long_Data[[#This Row],[Indicator Number]]&amp;"'_DSev_1]"),MATCH(Long_Data[[#This Row],[Key]],Data_Entry[Key],0)),"NA")</f>
        <v>0.29449999999999998</v>
      </c>
      <c r="M96">
        <f ca="1">IF(Long_Data[[#This Row],[Indicator Class]]="Degree",INDEX(INDIRECT("Data_Entry['"&amp;Long_Data[[#This Row],[Indicator Number]]&amp;"'_DSev_2]"),MATCH(Long_Data[[#This Row],[Key]],Data_Entry[Key],0)),"NA")</f>
        <v>0.41500000000000004</v>
      </c>
      <c r="N96">
        <f ca="1">IF(Long_Data[[#This Row],[Indicator Class]]="Degree",INDEX(INDIRECT("Data_Entry['"&amp;Long_Data[[#This Row],[Indicator Number]]&amp;"'_DSev_3]"),MATCH(Long_Data[[#This Row],[Key]],Data_Entry[Key],0)),"NA")</f>
        <v>0.26450000000000001</v>
      </c>
      <c r="O96">
        <f ca="1">IF(Long_Data[[#This Row],[Indicator Class]]="Degree",INDEX(INDIRECT("Data_Entry['"&amp;Long_Data[[#This Row],[Indicator Number]]&amp;"'_DSev_4]"),MATCH(Long_Data[[#This Row],[Key]],Data_Entry[Key],0)),"NA")</f>
        <v>2.0899999999999998E-2</v>
      </c>
      <c r="P96">
        <f ca="1">IF(Long_Data[[#This Row],[Indicator Class]]="Degree",INDEX(INDIRECT("Data_Entry['"&amp;Long_Data[[#This Row],[Indicator Number]]&amp;"'_DSev_5]"),MATCH(Long_Data[[#This Row],[Key]],Data_Entry[Key],0)),"NA")</f>
        <v>5.1000000000000004E-3</v>
      </c>
      <c r="Q96" t="str">
        <f ca="1">IFERROR(IF(Long_Data[[#This Row],[Indicator Class]]="Magnitude", INDEX(INDIRECT("Data_Entry[Sev_"&amp;Long_Data[[#This Row],[Indicator Number]]&amp;"]"),MATCH(Long_Data[[#This Row],[Key]], Data_Entry[Key],0)),"NA"),"")</f>
        <v>NA</v>
      </c>
      <c r="R9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96" s="70">
        <f ca="1">IFERROR(IF(J96="Magnitude",INDEX(INDIRECT("Data_Entry[PIN_"&amp;Long_Data[[#This Row],[Indicator Number]]&amp;"]"),MATCH(Long_Data[[#This Row],[Key]],Data_Entry[Key],0)),SUM(N96:P96)*INDEX(Baseline_Pop[Population],MATCH(Long_Data[[#This Row],[Key]],Baseline_Pop[Key],0))),"")</f>
        <v>113716.51549999999</v>
      </c>
    </row>
    <row r="97" spans="2:19">
      <c r="B97">
        <v>96</v>
      </c>
      <c r="C97">
        <v>6</v>
      </c>
      <c r="D97" t="str">
        <f>IFERROR(INDEX(Data_Entry[ADM2_Pcode],MATCH('Step 4-Long Data'!C97,Data_Entry[ID],0)),"NA")</f>
        <v>AF06</v>
      </c>
      <c r="E97" t="str">
        <f>IFERROR(INDEX(Data_Entry[Key],MATCH('Step 4-Long Data'!C97,Data_Entry[ID],0)),"NA")</f>
        <v>AF06-All_Others</v>
      </c>
      <c r="F97">
        <v>4</v>
      </c>
      <c r="G97" t="str">
        <f>IFERROR(INDEX(Framework[Pillar],MATCH('Step 4-Long Data'!F97,Framework[Number],0)),"")</f>
        <v>Humanitarian Conditions</v>
      </c>
      <c r="H97" t="str">
        <f>IFERROR(INDEX(Framework[Sub_Pillar],MATCH('Step 4-Long Data'!F97,Framework[Number],0)),"")</f>
        <v>Living standards</v>
      </c>
      <c r="I97" t="str">
        <f>IFERROR(INDEX(Framework[Indicator],MATCH('Step 4-Long Data'!F97,Framework[Number],0)),"")</f>
        <v>% HHs without access to essential services (including health, education, markets, and improved water sources)</v>
      </c>
      <c r="J97" t="str">
        <f>IFERROR(INDEX(Framework[Class],MATCH('Step 4-Long Data'!F97,Framework[Number],0)),"")</f>
        <v>Degree</v>
      </c>
      <c r="K97" t="str">
        <f>IFERROR(INDEX(Framework[Critical],MATCH('Step 4-Long Data'!F97,Framework[Number],0)),"")</f>
        <v>No</v>
      </c>
      <c r="L97">
        <f ca="1">IF(Long_Data[[#This Row],[Indicator Class]]="Degree",INDEX(INDIRECT("Data_Entry['"&amp;Long_Data[[#This Row],[Indicator Number]]&amp;"'_DSev_1]"),MATCH(Long_Data[[#This Row],[Key]],Data_Entry[Key],0)),"NA")</f>
        <v>0.31329999999999997</v>
      </c>
      <c r="M97">
        <f ca="1">IF(Long_Data[[#This Row],[Indicator Class]]="Degree",INDEX(INDIRECT("Data_Entry['"&amp;Long_Data[[#This Row],[Indicator Number]]&amp;"'_DSev_2]"),MATCH(Long_Data[[#This Row],[Key]],Data_Entry[Key],0)),"NA")</f>
        <v>0.45040000000000002</v>
      </c>
      <c r="N97">
        <f ca="1">IF(Long_Data[[#This Row],[Indicator Class]]="Degree",INDEX(INDIRECT("Data_Entry['"&amp;Long_Data[[#This Row],[Indicator Number]]&amp;"'_DSev_3]"),MATCH(Long_Data[[#This Row],[Key]],Data_Entry[Key],0)),"NA")</f>
        <v>0.1706</v>
      </c>
      <c r="O97">
        <f ca="1">IF(Long_Data[[#This Row],[Indicator Class]]="Degree",INDEX(INDIRECT("Data_Entry['"&amp;Long_Data[[#This Row],[Indicator Number]]&amp;"'_DSev_4]"),MATCH(Long_Data[[#This Row],[Key]],Data_Entry[Key],0)),"NA")</f>
        <v>5.3899999999999997E-2</v>
      </c>
      <c r="P97">
        <f ca="1">IF(Long_Data[[#This Row],[Indicator Class]]="Degree",INDEX(INDIRECT("Data_Entry['"&amp;Long_Data[[#This Row],[Indicator Number]]&amp;"'_DSev_5]"),MATCH(Long_Data[[#This Row],[Key]],Data_Entry[Key],0)),"NA")</f>
        <v>1.18E-2</v>
      </c>
      <c r="Q97" t="str">
        <f ca="1">IFERROR(IF(Long_Data[[#This Row],[Indicator Class]]="Magnitude", INDEX(INDIRECT("Data_Entry[Sev_"&amp;Long_Data[[#This Row],[Indicator Number]]&amp;"]"),MATCH(Long_Data[[#This Row],[Key]], Data_Entry[Key],0)),"NA"),"")</f>
        <v>NA</v>
      </c>
      <c r="R97">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97" s="70">
        <f ca="1">IFERROR(IF(J97="Magnitude",INDEX(INDIRECT("Data_Entry[PIN_"&amp;Long_Data[[#This Row],[Indicator Number]]&amp;"]"),MATCH(Long_Data[[#This Row],[Key]],Data_Entry[Key],0)),SUM(N97:P97)*INDEX(Baseline_Pop[Population],MATCH(Long_Data[[#This Row],[Key]],Baseline_Pop[Key],0))),"")</f>
        <v>362375.50200000004</v>
      </c>
    </row>
    <row r="98" spans="2:19">
      <c r="B98">
        <v>97</v>
      </c>
      <c r="C98">
        <v>7</v>
      </c>
      <c r="D98" t="str">
        <f>IFERROR(INDEX(Data_Entry[ADM2_Pcode],MATCH('Step 4-Long Data'!C98,Data_Entry[ID],0)),"NA")</f>
        <v>AF07</v>
      </c>
      <c r="E98" t="str">
        <f>IFERROR(INDEX(Data_Entry[Key],MATCH('Step 4-Long Data'!C98,Data_Entry[ID],0)),"NA")</f>
        <v>AF07-All_Others</v>
      </c>
      <c r="F98">
        <v>4</v>
      </c>
      <c r="G98" t="str">
        <f>IFERROR(INDEX(Framework[Pillar],MATCH('Step 4-Long Data'!F98,Framework[Number],0)),"")</f>
        <v>Humanitarian Conditions</v>
      </c>
      <c r="H98" t="str">
        <f>IFERROR(INDEX(Framework[Sub_Pillar],MATCH('Step 4-Long Data'!F98,Framework[Number],0)),"")</f>
        <v>Living standards</v>
      </c>
      <c r="I98" t="str">
        <f>IFERROR(INDEX(Framework[Indicator],MATCH('Step 4-Long Data'!F98,Framework[Number],0)),"")</f>
        <v>% HHs without access to essential services (including health, education, markets, and improved water sources)</v>
      </c>
      <c r="J98" t="str">
        <f>IFERROR(INDEX(Framework[Class],MATCH('Step 4-Long Data'!F98,Framework[Number],0)),"")</f>
        <v>Degree</v>
      </c>
      <c r="K98" t="str">
        <f>IFERROR(INDEX(Framework[Critical],MATCH('Step 4-Long Data'!F98,Framework[Number],0)),"")</f>
        <v>No</v>
      </c>
      <c r="L98">
        <f ca="1">IF(Long_Data[[#This Row],[Indicator Class]]="Degree",INDEX(INDIRECT("Data_Entry['"&amp;Long_Data[[#This Row],[Indicator Number]]&amp;"'_DSev_1]"),MATCH(Long_Data[[#This Row],[Key]],Data_Entry[Key],0)),"NA")</f>
        <v>0.44930000000000003</v>
      </c>
      <c r="M98">
        <f ca="1">IF(Long_Data[[#This Row],[Indicator Class]]="Degree",INDEX(INDIRECT("Data_Entry['"&amp;Long_Data[[#This Row],[Indicator Number]]&amp;"'_DSev_2]"),MATCH(Long_Data[[#This Row],[Key]],Data_Entry[Key],0)),"NA")</f>
        <v>0.45060000000000006</v>
      </c>
      <c r="N98">
        <f ca="1">IF(Long_Data[[#This Row],[Indicator Class]]="Degree",INDEX(INDIRECT("Data_Entry['"&amp;Long_Data[[#This Row],[Indicator Number]]&amp;"'_DSev_3]"),MATCH(Long_Data[[#This Row],[Key]],Data_Entry[Key],0)),"NA")</f>
        <v>8.1099999999999992E-2</v>
      </c>
      <c r="O98">
        <f ca="1">IF(Long_Data[[#This Row],[Indicator Class]]="Degree",INDEX(INDIRECT("Data_Entry['"&amp;Long_Data[[#This Row],[Indicator Number]]&amp;"'_DSev_4]"),MATCH(Long_Data[[#This Row],[Key]],Data_Entry[Key],0)),"NA")</f>
        <v>1.89E-2</v>
      </c>
      <c r="P98">
        <f ca="1">IF(Long_Data[[#This Row],[Indicator Class]]="Degree",INDEX(INDIRECT("Data_Entry['"&amp;Long_Data[[#This Row],[Indicator Number]]&amp;"'_DSev_5]"),MATCH(Long_Data[[#This Row],[Key]],Data_Entry[Key],0)),"NA")</f>
        <v>0</v>
      </c>
      <c r="Q98" t="str">
        <f ca="1">IFERROR(IF(Long_Data[[#This Row],[Indicator Class]]="Magnitude", INDEX(INDIRECT("Data_Entry[Sev_"&amp;Long_Data[[#This Row],[Indicator Number]]&amp;"]"),MATCH(Long_Data[[#This Row],[Key]], Data_Entry[Key],0)),"NA"),"")</f>
        <v>NA</v>
      </c>
      <c r="R9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98" s="70">
        <f ca="1">IFERROR(IF(J98="Magnitude",INDEX(INDIRECT("Data_Entry[PIN_"&amp;Long_Data[[#This Row],[Indicator Number]]&amp;"]"),MATCH(Long_Data[[#This Row],[Key]],Data_Entry[Key],0)),SUM(N98:P98)*INDEX(Baseline_Pop[Population],MATCH(Long_Data[[#This Row],[Key]],Baseline_Pop[Key],0))),"")</f>
        <v>44472.2</v>
      </c>
    </row>
    <row r="99" spans="2:19">
      <c r="B99">
        <v>98</v>
      </c>
      <c r="C99">
        <v>8</v>
      </c>
      <c r="D99" t="str">
        <f>IFERROR(INDEX(Data_Entry[ADM2_Pcode],MATCH('Step 4-Long Data'!C99,Data_Entry[ID],0)),"NA")</f>
        <v>AF08</v>
      </c>
      <c r="E99" t="str">
        <f>IFERROR(INDEX(Data_Entry[Key],MATCH('Step 4-Long Data'!C99,Data_Entry[ID],0)),"NA")</f>
        <v>AF08-All_Others</v>
      </c>
      <c r="F99">
        <v>4</v>
      </c>
      <c r="G99" t="str">
        <f>IFERROR(INDEX(Framework[Pillar],MATCH('Step 4-Long Data'!F99,Framework[Number],0)),"")</f>
        <v>Humanitarian Conditions</v>
      </c>
      <c r="H99" t="str">
        <f>IFERROR(INDEX(Framework[Sub_Pillar],MATCH('Step 4-Long Data'!F99,Framework[Number],0)),"")</f>
        <v>Living standards</v>
      </c>
      <c r="I99" t="str">
        <f>IFERROR(INDEX(Framework[Indicator],MATCH('Step 4-Long Data'!F99,Framework[Number],0)),"")</f>
        <v>% HHs without access to essential services (including health, education, markets, and improved water sources)</v>
      </c>
      <c r="J99" t="str">
        <f>IFERROR(INDEX(Framework[Class],MATCH('Step 4-Long Data'!F99,Framework[Number],0)),"")</f>
        <v>Degree</v>
      </c>
      <c r="K99" t="str">
        <f>IFERROR(INDEX(Framework[Critical],MATCH('Step 4-Long Data'!F99,Framework[Number],0)),"")</f>
        <v>No</v>
      </c>
      <c r="L99">
        <f ca="1">IF(Long_Data[[#This Row],[Indicator Class]]="Degree",INDEX(INDIRECT("Data_Entry['"&amp;Long_Data[[#This Row],[Indicator Number]]&amp;"'_DSev_1]"),MATCH(Long_Data[[#This Row],[Key]],Data_Entry[Key],0)),"NA")</f>
        <v>0.19760000000000003</v>
      </c>
      <c r="M99">
        <f ca="1">IF(Long_Data[[#This Row],[Indicator Class]]="Degree",INDEX(INDIRECT("Data_Entry['"&amp;Long_Data[[#This Row],[Indicator Number]]&amp;"'_DSev_2]"),MATCH(Long_Data[[#This Row],[Key]],Data_Entry[Key],0)),"NA")</f>
        <v>0.39520000000000005</v>
      </c>
      <c r="N99">
        <f ca="1">IF(Long_Data[[#This Row],[Indicator Class]]="Degree",INDEX(INDIRECT("Data_Entry['"&amp;Long_Data[[#This Row],[Indicator Number]]&amp;"'_DSev_3]"),MATCH(Long_Data[[#This Row],[Key]],Data_Entry[Key],0)),"NA")</f>
        <v>0.3473</v>
      </c>
      <c r="O99">
        <f ca="1">IF(Long_Data[[#This Row],[Indicator Class]]="Degree",INDEX(INDIRECT("Data_Entry['"&amp;Long_Data[[#This Row],[Indicator Number]]&amp;"'_DSev_4]"),MATCH(Long_Data[[#This Row],[Key]],Data_Entry[Key],0)),"NA")</f>
        <v>5.9900000000000002E-2</v>
      </c>
      <c r="P99">
        <f ca="1">IF(Long_Data[[#This Row],[Indicator Class]]="Degree",INDEX(INDIRECT("Data_Entry['"&amp;Long_Data[[#This Row],[Indicator Number]]&amp;"'_DSev_5]"),MATCH(Long_Data[[#This Row],[Key]],Data_Entry[Key],0)),"NA")</f>
        <v>0</v>
      </c>
      <c r="Q99" t="str">
        <f ca="1">IFERROR(IF(Long_Data[[#This Row],[Indicator Class]]="Magnitude", INDEX(INDIRECT("Data_Entry[Sev_"&amp;Long_Data[[#This Row],[Indicator Number]]&amp;"]"),MATCH(Long_Data[[#This Row],[Key]], Data_Entry[Key],0)),"NA"),"")</f>
        <v>NA</v>
      </c>
      <c r="R9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99" s="70">
        <f ca="1">IFERROR(IF(J99="Magnitude",INDEX(INDIRECT("Data_Entry[PIN_"&amp;Long_Data[[#This Row],[Indicator Number]]&amp;"]"),MATCH(Long_Data[[#This Row],[Key]],Data_Entry[Key],0)),SUM(N99:P99)*INDEX(Baseline_Pop[Population],MATCH(Long_Data[[#This Row],[Key]],Baseline_Pop[Key],0))),"")</f>
        <v>62356.164799999999</v>
      </c>
    </row>
    <row r="100" spans="2:19">
      <c r="B100">
        <v>99</v>
      </c>
      <c r="C100">
        <v>9</v>
      </c>
      <c r="D100" t="str">
        <f>IFERROR(INDEX(Data_Entry[ADM2_Pcode],MATCH('Step 4-Long Data'!C100,Data_Entry[ID],0)),"NA")</f>
        <v>AF09</v>
      </c>
      <c r="E100" t="str">
        <f>IFERROR(INDEX(Data_Entry[Key],MATCH('Step 4-Long Data'!C100,Data_Entry[ID],0)),"NA")</f>
        <v>AF09-All_Others</v>
      </c>
      <c r="F100">
        <v>4</v>
      </c>
      <c r="G100" t="str">
        <f>IFERROR(INDEX(Framework[Pillar],MATCH('Step 4-Long Data'!F100,Framework[Number],0)),"")</f>
        <v>Humanitarian Conditions</v>
      </c>
      <c r="H100" t="str">
        <f>IFERROR(INDEX(Framework[Sub_Pillar],MATCH('Step 4-Long Data'!F100,Framework[Number],0)),"")</f>
        <v>Living standards</v>
      </c>
      <c r="I100" t="str">
        <f>IFERROR(INDEX(Framework[Indicator],MATCH('Step 4-Long Data'!F100,Framework[Number],0)),"")</f>
        <v>% HHs without access to essential services (including health, education, markets, and improved water sources)</v>
      </c>
      <c r="J100" t="str">
        <f>IFERROR(INDEX(Framework[Class],MATCH('Step 4-Long Data'!F100,Framework[Number],0)),"")</f>
        <v>Degree</v>
      </c>
      <c r="K100" t="str">
        <f>IFERROR(INDEX(Framework[Critical],MATCH('Step 4-Long Data'!F100,Framework[Number],0)),"")</f>
        <v>No</v>
      </c>
      <c r="L100">
        <f ca="1">IF(Long_Data[[#This Row],[Indicator Class]]="Degree",INDEX(INDIRECT("Data_Entry['"&amp;Long_Data[[#This Row],[Indicator Number]]&amp;"'_DSev_1]"),MATCH(Long_Data[[#This Row],[Key]],Data_Entry[Key],0)),"NA")</f>
        <v>7.7899999999999997E-2</v>
      </c>
      <c r="M100">
        <f ca="1">IF(Long_Data[[#This Row],[Indicator Class]]="Degree",INDEX(INDIRECT("Data_Entry['"&amp;Long_Data[[#This Row],[Indicator Number]]&amp;"'_DSev_2]"),MATCH(Long_Data[[#This Row],[Key]],Data_Entry[Key],0)),"NA")</f>
        <v>0.22500000000000001</v>
      </c>
      <c r="N100">
        <f ca="1">IF(Long_Data[[#This Row],[Indicator Class]]="Degree",INDEX(INDIRECT("Data_Entry['"&amp;Long_Data[[#This Row],[Indicator Number]]&amp;"'_DSev_3]"),MATCH(Long_Data[[#This Row],[Key]],Data_Entry[Key],0)),"NA")</f>
        <v>0.29730000000000001</v>
      </c>
      <c r="O100">
        <f ca="1">IF(Long_Data[[#This Row],[Indicator Class]]="Degree",INDEX(INDIRECT("Data_Entry['"&amp;Long_Data[[#This Row],[Indicator Number]]&amp;"'_DSev_4]"),MATCH(Long_Data[[#This Row],[Key]],Data_Entry[Key],0)),"NA")</f>
        <v>0.21690000000000001</v>
      </c>
      <c r="P100">
        <f ca="1">IF(Long_Data[[#This Row],[Indicator Class]]="Degree",INDEX(INDIRECT("Data_Entry['"&amp;Long_Data[[#This Row],[Indicator Number]]&amp;"'_DSev_5]"),MATCH(Long_Data[[#This Row],[Key]],Data_Entry[Key],0)),"NA")</f>
        <v>0.18290000000000001</v>
      </c>
      <c r="Q100" t="str">
        <f ca="1">IFERROR(IF(Long_Data[[#This Row],[Indicator Class]]="Magnitude", INDEX(INDIRECT("Data_Entry[Sev_"&amp;Long_Data[[#This Row],[Indicator Number]]&amp;"]"),MATCH(Long_Data[[#This Row],[Key]], Data_Entry[Key],0)),"NA"),"")</f>
        <v>NA</v>
      </c>
      <c r="R10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00" s="70">
        <f ca="1">IFERROR(IF(J100="Magnitude",INDEX(INDIRECT("Data_Entry[PIN_"&amp;Long_Data[[#This Row],[Indicator Number]]&amp;"]"),MATCH(Long_Data[[#This Row],[Key]],Data_Entry[Key],0)),SUM(N100:P100)*INDEX(Baseline_Pop[Population],MATCH(Long_Data[[#This Row],[Key]],Baseline_Pop[Key],0))),"")</f>
        <v>637407.32700000005</v>
      </c>
    </row>
    <row r="101" spans="2:19">
      <c r="B101">
        <v>100</v>
      </c>
      <c r="C101">
        <v>10</v>
      </c>
      <c r="D101" t="str">
        <f>IFERROR(INDEX(Data_Entry[ADM2_Pcode],MATCH('Step 4-Long Data'!C101,Data_Entry[ID],0)),"NA")</f>
        <v>AF10</v>
      </c>
      <c r="E101" t="str">
        <f>IFERROR(INDEX(Data_Entry[Key],MATCH('Step 4-Long Data'!C101,Data_Entry[ID],0)),"NA")</f>
        <v>AF10-All_Others</v>
      </c>
      <c r="F101">
        <v>4</v>
      </c>
      <c r="G101" t="str">
        <f>IFERROR(INDEX(Framework[Pillar],MATCH('Step 4-Long Data'!F101,Framework[Number],0)),"")</f>
        <v>Humanitarian Conditions</v>
      </c>
      <c r="H101" t="str">
        <f>IFERROR(INDEX(Framework[Sub_Pillar],MATCH('Step 4-Long Data'!F101,Framework[Number],0)),"")</f>
        <v>Living standards</v>
      </c>
      <c r="I101" t="str">
        <f>IFERROR(INDEX(Framework[Indicator],MATCH('Step 4-Long Data'!F101,Framework[Number],0)),"")</f>
        <v>% HHs without access to essential services (including health, education, markets, and improved water sources)</v>
      </c>
      <c r="J101" t="str">
        <f>IFERROR(INDEX(Framework[Class],MATCH('Step 4-Long Data'!F101,Framework[Number],0)),"")</f>
        <v>Degree</v>
      </c>
      <c r="K101" t="str">
        <f>IFERROR(INDEX(Framework[Critical],MATCH('Step 4-Long Data'!F101,Framework[Number],0)),"")</f>
        <v>No</v>
      </c>
      <c r="L101">
        <f ca="1">IF(Long_Data[[#This Row],[Indicator Class]]="Degree",INDEX(INDIRECT("Data_Entry['"&amp;Long_Data[[#This Row],[Indicator Number]]&amp;"'_DSev_1]"),MATCH(Long_Data[[#This Row],[Key]],Data_Entry[Key],0)),"NA")</f>
        <v>0.35450000000000004</v>
      </c>
      <c r="M101">
        <f ca="1">IF(Long_Data[[#This Row],[Indicator Class]]="Degree",INDEX(INDIRECT("Data_Entry['"&amp;Long_Data[[#This Row],[Indicator Number]]&amp;"'_DSev_2]"),MATCH(Long_Data[[#This Row],[Key]],Data_Entry[Key],0)),"NA")</f>
        <v>0.47619999999999996</v>
      </c>
      <c r="N101">
        <f ca="1">IF(Long_Data[[#This Row],[Indicator Class]]="Degree",INDEX(INDIRECT("Data_Entry['"&amp;Long_Data[[#This Row],[Indicator Number]]&amp;"'_DSev_3]"),MATCH(Long_Data[[#This Row],[Key]],Data_Entry[Key],0)),"NA")</f>
        <v>0.15870000000000001</v>
      </c>
      <c r="O101">
        <f ca="1">IF(Long_Data[[#This Row],[Indicator Class]]="Degree",INDEX(INDIRECT("Data_Entry['"&amp;Long_Data[[#This Row],[Indicator Number]]&amp;"'_DSev_4]"),MATCH(Long_Data[[#This Row],[Key]],Data_Entry[Key],0)),"NA")</f>
        <v>1.06E-2</v>
      </c>
      <c r="P101">
        <f ca="1">IF(Long_Data[[#This Row],[Indicator Class]]="Degree",INDEX(INDIRECT("Data_Entry['"&amp;Long_Data[[#This Row],[Indicator Number]]&amp;"'_DSev_5]"),MATCH(Long_Data[[#This Row],[Key]],Data_Entry[Key],0)),"NA")</f>
        <v>0</v>
      </c>
      <c r="Q101" t="str">
        <f ca="1">IFERROR(IF(Long_Data[[#This Row],[Indicator Class]]="Magnitude", INDEX(INDIRECT("Data_Entry[Sev_"&amp;Long_Data[[#This Row],[Indicator Number]]&amp;"]"),MATCH(Long_Data[[#This Row],[Key]], Data_Entry[Key],0)),"NA"),"")</f>
        <v>NA</v>
      </c>
      <c r="R10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1" s="70">
        <f ca="1">IFERROR(IF(J101="Magnitude",INDEX(INDIRECT("Data_Entry[PIN_"&amp;Long_Data[[#This Row],[Indicator Number]]&amp;"]"),MATCH(Long_Data[[#This Row],[Key]],Data_Entry[Key],0)),SUM(N101:P101)*INDEX(Baseline_Pop[Population],MATCH(Long_Data[[#This Row],[Key]],Baseline_Pop[Key],0))),"")</f>
        <v>75607.348400000003</v>
      </c>
    </row>
    <row r="102" spans="2:19">
      <c r="B102">
        <v>101</v>
      </c>
      <c r="C102">
        <v>11</v>
      </c>
      <c r="D102" t="str">
        <f>IFERROR(INDEX(Data_Entry[ADM2_Pcode],MATCH('Step 4-Long Data'!C102,Data_Entry[ID],0)),"NA")</f>
        <v>AF01</v>
      </c>
      <c r="E102" t="str">
        <f>IFERROR(INDEX(Data_Entry[Key],MATCH('Step 4-Long Data'!C102,Data_Entry[ID],0)),"NA")</f>
        <v>AF01-Non_Displaced</v>
      </c>
      <c r="F102">
        <v>4</v>
      </c>
      <c r="G102" t="str">
        <f>IFERROR(INDEX(Framework[Pillar],MATCH('Step 4-Long Data'!F102,Framework[Number],0)),"")</f>
        <v>Humanitarian Conditions</v>
      </c>
      <c r="H102" t="str">
        <f>IFERROR(INDEX(Framework[Sub_Pillar],MATCH('Step 4-Long Data'!F102,Framework[Number],0)),"")</f>
        <v>Living standards</v>
      </c>
      <c r="I102" t="str">
        <f>IFERROR(INDEX(Framework[Indicator],MATCH('Step 4-Long Data'!F102,Framework[Number],0)),"")</f>
        <v>% HHs without access to essential services (including health, education, markets, and improved water sources)</v>
      </c>
      <c r="J102" t="str">
        <f>IFERROR(INDEX(Framework[Class],MATCH('Step 4-Long Data'!F102,Framework[Number],0)),"")</f>
        <v>Degree</v>
      </c>
      <c r="K102" t="str">
        <f>IFERROR(INDEX(Framework[Critical],MATCH('Step 4-Long Data'!F102,Framework[Number],0)),"")</f>
        <v>No</v>
      </c>
      <c r="L102">
        <f ca="1">IF(Long_Data[[#This Row],[Indicator Class]]="Degree",INDEX(INDIRECT("Data_Entry['"&amp;Long_Data[[#This Row],[Indicator Number]]&amp;"'_DSev_1]"),MATCH(Long_Data[[#This Row],[Key]],Data_Entry[Key],0)),"NA")</f>
        <v>0.37009999999999998</v>
      </c>
      <c r="M102">
        <f ca="1">IF(Long_Data[[#This Row],[Indicator Class]]="Degree",INDEX(INDIRECT("Data_Entry['"&amp;Long_Data[[#This Row],[Indicator Number]]&amp;"'_DSev_2]"),MATCH(Long_Data[[#This Row],[Key]],Data_Entry[Key],0)),"NA")</f>
        <v>0.48049999999999998</v>
      </c>
      <c r="N102">
        <f ca="1">IF(Long_Data[[#This Row],[Indicator Class]]="Degree",INDEX(INDIRECT("Data_Entry['"&amp;Long_Data[[#This Row],[Indicator Number]]&amp;"'_DSev_3]"),MATCH(Long_Data[[#This Row],[Key]],Data_Entry[Key],0)),"NA")</f>
        <v>0.13640000000000002</v>
      </c>
      <c r="O102">
        <f ca="1">IF(Long_Data[[#This Row],[Indicator Class]]="Degree",INDEX(INDIRECT("Data_Entry['"&amp;Long_Data[[#This Row],[Indicator Number]]&amp;"'_DSev_4]"),MATCH(Long_Data[[#This Row],[Key]],Data_Entry[Key],0)),"NA")</f>
        <v>1.3000000000000001E-2</v>
      </c>
      <c r="P102">
        <f ca="1">IF(Long_Data[[#This Row],[Indicator Class]]="Degree",INDEX(INDIRECT("Data_Entry['"&amp;Long_Data[[#This Row],[Indicator Number]]&amp;"'_DSev_5]"),MATCH(Long_Data[[#This Row],[Key]],Data_Entry[Key],0)),"NA")</f>
        <v>0</v>
      </c>
      <c r="Q102" t="str">
        <f ca="1">IFERROR(IF(Long_Data[[#This Row],[Indicator Class]]="Magnitude", INDEX(INDIRECT("Data_Entry[Sev_"&amp;Long_Data[[#This Row],[Indicator Number]]&amp;"]"),MATCH(Long_Data[[#This Row],[Key]], Data_Entry[Key],0)),"NA"),"")</f>
        <v>NA</v>
      </c>
      <c r="R10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2" s="70">
        <f ca="1">IFERROR(IF(J102="Magnitude",INDEX(INDIRECT("Data_Entry[PIN_"&amp;Long_Data[[#This Row],[Indicator Number]]&amp;"]"),MATCH(Long_Data[[#This Row],[Key]],Data_Entry[Key],0)),SUM(N102:P102)*INDEX(Baseline_Pop[Population],MATCH(Long_Data[[#This Row],[Key]],Baseline_Pop[Key],0))),"")</f>
        <v>100105.76880000002</v>
      </c>
    </row>
    <row r="103" spans="2:19">
      <c r="B103">
        <v>102</v>
      </c>
      <c r="C103">
        <v>12</v>
      </c>
      <c r="D103" t="str">
        <f>IFERROR(INDEX(Data_Entry[ADM2_Pcode],MATCH('Step 4-Long Data'!C103,Data_Entry[ID],0)),"NA")</f>
        <v>AF02</v>
      </c>
      <c r="E103" t="str">
        <f>IFERROR(INDEX(Data_Entry[Key],MATCH('Step 4-Long Data'!C103,Data_Entry[ID],0)),"NA")</f>
        <v>AF02-Non_Displaced</v>
      </c>
      <c r="F103">
        <v>4</v>
      </c>
      <c r="G103" t="str">
        <f>IFERROR(INDEX(Framework[Pillar],MATCH('Step 4-Long Data'!F103,Framework[Number],0)),"")</f>
        <v>Humanitarian Conditions</v>
      </c>
      <c r="H103" t="str">
        <f>IFERROR(INDEX(Framework[Sub_Pillar],MATCH('Step 4-Long Data'!F103,Framework[Number],0)),"")</f>
        <v>Living standards</v>
      </c>
      <c r="I103" t="str">
        <f>IFERROR(INDEX(Framework[Indicator],MATCH('Step 4-Long Data'!F103,Framework[Number],0)),"")</f>
        <v>% HHs without access to essential services (including health, education, markets, and improved water sources)</v>
      </c>
      <c r="J103" t="str">
        <f>IFERROR(INDEX(Framework[Class],MATCH('Step 4-Long Data'!F103,Framework[Number],0)),"")</f>
        <v>Degree</v>
      </c>
      <c r="K103" t="str">
        <f>IFERROR(INDEX(Framework[Critical],MATCH('Step 4-Long Data'!F103,Framework[Number],0)),"")</f>
        <v>No</v>
      </c>
      <c r="L103">
        <f ca="1">IF(Long_Data[[#This Row],[Indicator Class]]="Degree",INDEX(INDIRECT("Data_Entry['"&amp;Long_Data[[#This Row],[Indicator Number]]&amp;"'_DSev_1]"),MATCH(Long_Data[[#This Row],[Key]],Data_Entry[Key],0)),"NA")</f>
        <v>0.23079999999999998</v>
      </c>
      <c r="M103">
        <f ca="1">IF(Long_Data[[#This Row],[Indicator Class]]="Degree",INDEX(INDIRECT("Data_Entry['"&amp;Long_Data[[#This Row],[Indicator Number]]&amp;"'_DSev_2]"),MATCH(Long_Data[[#This Row],[Key]],Data_Entry[Key],0)),"NA")</f>
        <v>0.32049999999999995</v>
      </c>
      <c r="N103">
        <f ca="1">IF(Long_Data[[#This Row],[Indicator Class]]="Degree",INDEX(INDIRECT("Data_Entry['"&amp;Long_Data[[#This Row],[Indicator Number]]&amp;"'_DSev_3]"),MATCH(Long_Data[[#This Row],[Key]],Data_Entry[Key],0)),"NA")</f>
        <v>0.35899999999999999</v>
      </c>
      <c r="O103">
        <f ca="1">IF(Long_Data[[#This Row],[Indicator Class]]="Degree",INDEX(INDIRECT("Data_Entry['"&amp;Long_Data[[#This Row],[Indicator Number]]&amp;"'_DSev_4]"),MATCH(Long_Data[[#This Row],[Key]],Data_Entry[Key],0)),"NA")</f>
        <v>8.9700000000000002E-2</v>
      </c>
      <c r="P103">
        <f ca="1">IF(Long_Data[[#This Row],[Indicator Class]]="Degree",INDEX(INDIRECT("Data_Entry['"&amp;Long_Data[[#This Row],[Indicator Number]]&amp;"'_DSev_5]"),MATCH(Long_Data[[#This Row],[Key]],Data_Entry[Key],0)),"NA")</f>
        <v>0</v>
      </c>
      <c r="Q103" t="str">
        <f ca="1">IFERROR(IF(Long_Data[[#This Row],[Indicator Class]]="Magnitude", INDEX(INDIRECT("Data_Entry[Sev_"&amp;Long_Data[[#This Row],[Indicator Number]]&amp;"]"),MATCH(Long_Data[[#This Row],[Key]], Data_Entry[Key],0)),"NA"),"")</f>
        <v>NA</v>
      </c>
      <c r="R10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03" s="70">
        <f ca="1">IFERROR(IF(J103="Magnitude",INDEX(INDIRECT("Data_Entry[PIN_"&amp;Long_Data[[#This Row],[Indicator Number]]&amp;"]"),MATCH(Long_Data[[#This Row],[Key]],Data_Entry[Key],0)),SUM(N103:P103)*INDEX(Baseline_Pop[Population],MATCH(Long_Data[[#This Row],[Key]],Baseline_Pop[Key],0))),"")</f>
        <v>28207.076799999999</v>
      </c>
    </row>
    <row r="104" spans="2:19">
      <c r="B104">
        <v>103</v>
      </c>
      <c r="C104">
        <v>13</v>
      </c>
      <c r="D104" t="str">
        <f>IFERROR(INDEX(Data_Entry[ADM2_Pcode],MATCH('Step 4-Long Data'!C104,Data_Entry[ID],0)),"NA")</f>
        <v>AF03</v>
      </c>
      <c r="E104" t="str">
        <f>IFERROR(INDEX(Data_Entry[Key],MATCH('Step 4-Long Data'!C104,Data_Entry[ID],0)),"NA")</f>
        <v>AF03-Non_Displaced</v>
      </c>
      <c r="F104">
        <v>4</v>
      </c>
      <c r="G104" t="str">
        <f>IFERROR(INDEX(Framework[Pillar],MATCH('Step 4-Long Data'!F104,Framework[Number],0)),"")</f>
        <v>Humanitarian Conditions</v>
      </c>
      <c r="H104" t="str">
        <f>IFERROR(INDEX(Framework[Sub_Pillar],MATCH('Step 4-Long Data'!F104,Framework[Number],0)),"")</f>
        <v>Living standards</v>
      </c>
      <c r="I104" t="str">
        <f>IFERROR(INDEX(Framework[Indicator],MATCH('Step 4-Long Data'!F104,Framework[Number],0)),"")</f>
        <v>% HHs without access to essential services (including health, education, markets, and improved water sources)</v>
      </c>
      <c r="J104" t="str">
        <f>IFERROR(INDEX(Framework[Class],MATCH('Step 4-Long Data'!F104,Framework[Number],0)),"")</f>
        <v>Degree</v>
      </c>
      <c r="K104" t="str">
        <f>IFERROR(INDEX(Framework[Critical],MATCH('Step 4-Long Data'!F104,Framework[Number],0)),"")</f>
        <v>No</v>
      </c>
      <c r="L104">
        <f ca="1">IF(Long_Data[[#This Row],[Indicator Class]]="Degree",INDEX(INDIRECT("Data_Entry['"&amp;Long_Data[[#This Row],[Indicator Number]]&amp;"'_DSev_1]"),MATCH(Long_Data[[#This Row],[Key]],Data_Entry[Key],0)),"NA")</f>
        <v>9.7600000000000006E-2</v>
      </c>
      <c r="M104">
        <f ca="1">IF(Long_Data[[#This Row],[Indicator Class]]="Degree",INDEX(INDIRECT("Data_Entry['"&amp;Long_Data[[#This Row],[Indicator Number]]&amp;"'_DSev_2]"),MATCH(Long_Data[[#This Row],[Key]],Data_Entry[Key],0)),"NA")</f>
        <v>0.77439999999999998</v>
      </c>
      <c r="N104">
        <f ca="1">IF(Long_Data[[#This Row],[Indicator Class]]="Degree",INDEX(INDIRECT("Data_Entry['"&amp;Long_Data[[#This Row],[Indicator Number]]&amp;"'_DSev_3]"),MATCH(Long_Data[[#This Row],[Key]],Data_Entry[Key],0)),"NA")</f>
        <v>0.128</v>
      </c>
      <c r="O104">
        <f ca="1">IF(Long_Data[[#This Row],[Indicator Class]]="Degree",INDEX(INDIRECT("Data_Entry['"&amp;Long_Data[[#This Row],[Indicator Number]]&amp;"'_DSev_4]"),MATCH(Long_Data[[#This Row],[Key]],Data_Entry[Key],0)),"NA")</f>
        <v>0</v>
      </c>
      <c r="P104">
        <f ca="1">IF(Long_Data[[#This Row],[Indicator Class]]="Degree",INDEX(INDIRECT("Data_Entry['"&amp;Long_Data[[#This Row],[Indicator Number]]&amp;"'_DSev_5]"),MATCH(Long_Data[[#This Row],[Key]],Data_Entry[Key],0)),"NA")</f>
        <v>0</v>
      </c>
      <c r="Q104" t="str">
        <f ca="1">IFERROR(IF(Long_Data[[#This Row],[Indicator Class]]="Magnitude", INDEX(INDIRECT("Data_Entry[Sev_"&amp;Long_Data[[#This Row],[Indicator Number]]&amp;"]"),MATCH(Long_Data[[#This Row],[Key]], Data_Entry[Key],0)),"NA"),"")</f>
        <v>NA</v>
      </c>
      <c r="R104">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4" s="70">
        <f ca="1">IFERROR(IF(J104="Magnitude",INDEX(INDIRECT("Data_Entry[PIN_"&amp;Long_Data[[#This Row],[Indicator Number]]&amp;"]"),MATCH(Long_Data[[#This Row],[Key]],Data_Entry[Key],0)),SUM(N104:P104)*INDEX(Baseline_Pop[Population],MATCH(Long_Data[[#This Row],[Key]],Baseline_Pop[Key],0))),"")</f>
        <v>12156.416000000001</v>
      </c>
    </row>
    <row r="105" spans="2:19">
      <c r="B105">
        <v>104</v>
      </c>
      <c r="C105">
        <v>14</v>
      </c>
      <c r="D105" t="str">
        <f>IFERROR(INDEX(Data_Entry[ADM2_Pcode],MATCH('Step 4-Long Data'!C105,Data_Entry[ID],0)),"NA")</f>
        <v>AF04</v>
      </c>
      <c r="E105" t="str">
        <f>IFERROR(INDEX(Data_Entry[Key],MATCH('Step 4-Long Data'!C105,Data_Entry[ID],0)),"NA")</f>
        <v>AF04-Non_Displaced</v>
      </c>
      <c r="F105">
        <v>4</v>
      </c>
      <c r="G105" t="str">
        <f>IFERROR(INDEX(Framework[Pillar],MATCH('Step 4-Long Data'!F105,Framework[Number],0)),"")</f>
        <v>Humanitarian Conditions</v>
      </c>
      <c r="H105" t="str">
        <f>IFERROR(INDEX(Framework[Sub_Pillar],MATCH('Step 4-Long Data'!F105,Framework[Number],0)),"")</f>
        <v>Living standards</v>
      </c>
      <c r="I105" t="str">
        <f>IFERROR(INDEX(Framework[Indicator],MATCH('Step 4-Long Data'!F105,Framework[Number],0)),"")</f>
        <v>% HHs without access to essential services (including health, education, markets, and improved water sources)</v>
      </c>
      <c r="J105" t="str">
        <f>IFERROR(INDEX(Framework[Class],MATCH('Step 4-Long Data'!F105,Framework[Number],0)),"")</f>
        <v>Degree</v>
      </c>
      <c r="K105" t="str">
        <f>IFERROR(INDEX(Framework[Critical],MATCH('Step 4-Long Data'!F105,Framework[Number],0)),"")</f>
        <v>No</v>
      </c>
      <c r="L105">
        <f ca="1">IF(Long_Data[[#This Row],[Indicator Class]]="Degree",INDEX(INDIRECT("Data_Entry['"&amp;Long_Data[[#This Row],[Indicator Number]]&amp;"'_DSev_1]"),MATCH(Long_Data[[#This Row],[Key]],Data_Entry[Key],0)),"NA")</f>
        <v>0.48859999999999998</v>
      </c>
      <c r="M105">
        <f ca="1">IF(Long_Data[[#This Row],[Indicator Class]]="Degree",INDEX(INDIRECT("Data_Entry['"&amp;Long_Data[[#This Row],[Indicator Number]]&amp;"'_DSev_2]"),MATCH(Long_Data[[#This Row],[Key]],Data_Entry[Key],0)),"NA")</f>
        <v>0.4093</v>
      </c>
      <c r="N105">
        <f ca="1">IF(Long_Data[[#This Row],[Indicator Class]]="Degree",INDEX(INDIRECT("Data_Entry['"&amp;Long_Data[[#This Row],[Indicator Number]]&amp;"'_DSev_3]"),MATCH(Long_Data[[#This Row],[Key]],Data_Entry[Key],0)),"NA")</f>
        <v>9.01E-2</v>
      </c>
      <c r="O105">
        <f ca="1">IF(Long_Data[[#This Row],[Indicator Class]]="Degree",INDEX(INDIRECT("Data_Entry['"&amp;Long_Data[[#This Row],[Indicator Number]]&amp;"'_DSev_4]"),MATCH(Long_Data[[#This Row],[Key]],Data_Entry[Key],0)),"NA")</f>
        <v>1.2E-2</v>
      </c>
      <c r="P105">
        <f ca="1">IF(Long_Data[[#This Row],[Indicator Class]]="Degree",INDEX(INDIRECT("Data_Entry['"&amp;Long_Data[[#This Row],[Indicator Number]]&amp;"'_DSev_5]"),MATCH(Long_Data[[#This Row],[Key]],Data_Entry[Key],0)),"NA")</f>
        <v>0</v>
      </c>
      <c r="Q105" t="str">
        <f ca="1">IFERROR(IF(Long_Data[[#This Row],[Indicator Class]]="Magnitude", INDEX(INDIRECT("Data_Entry[Sev_"&amp;Long_Data[[#This Row],[Indicator Number]]&amp;"]"),MATCH(Long_Data[[#This Row],[Key]], Data_Entry[Key],0)),"NA"),"")</f>
        <v>NA</v>
      </c>
      <c r="R10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5" s="70">
        <f ca="1">IFERROR(IF(J105="Magnitude",INDEX(INDIRECT("Data_Entry[PIN_"&amp;Long_Data[[#This Row],[Indicator Number]]&amp;"]"),MATCH(Long_Data[[#This Row],[Key]],Data_Entry[Key],0)),SUM(N105:P105)*INDEX(Baseline_Pop[Population],MATCH(Long_Data[[#This Row],[Key]],Baseline_Pop[Key],0))),"")</f>
        <v>8678.7042000000001</v>
      </c>
    </row>
    <row r="106" spans="2:19">
      <c r="B106">
        <v>105</v>
      </c>
      <c r="C106">
        <v>15</v>
      </c>
      <c r="D106" t="str">
        <f>IFERROR(INDEX(Data_Entry[ADM2_Pcode],MATCH('Step 4-Long Data'!C106,Data_Entry[ID],0)),"NA")</f>
        <v>AF05</v>
      </c>
      <c r="E106" t="str">
        <f>IFERROR(INDEX(Data_Entry[Key],MATCH('Step 4-Long Data'!C106,Data_Entry[ID],0)),"NA")</f>
        <v>AF05-Non_Displaced</v>
      </c>
      <c r="F106">
        <v>4</v>
      </c>
      <c r="G106" t="str">
        <f>IFERROR(INDEX(Framework[Pillar],MATCH('Step 4-Long Data'!F106,Framework[Number],0)),"")</f>
        <v>Humanitarian Conditions</v>
      </c>
      <c r="H106" t="str">
        <f>IFERROR(INDEX(Framework[Sub_Pillar],MATCH('Step 4-Long Data'!F106,Framework[Number],0)),"")</f>
        <v>Living standards</v>
      </c>
      <c r="I106" t="str">
        <f>IFERROR(INDEX(Framework[Indicator],MATCH('Step 4-Long Data'!F106,Framework[Number],0)),"")</f>
        <v>% HHs without access to essential services (including health, education, markets, and improved water sources)</v>
      </c>
      <c r="J106" t="str">
        <f>IFERROR(INDEX(Framework[Class],MATCH('Step 4-Long Data'!F106,Framework[Number],0)),"")</f>
        <v>Degree</v>
      </c>
      <c r="K106" t="str">
        <f>IFERROR(INDEX(Framework[Critical],MATCH('Step 4-Long Data'!F106,Framework[Number],0)),"")</f>
        <v>No</v>
      </c>
      <c r="L106">
        <f ca="1">IF(Long_Data[[#This Row],[Indicator Class]]="Degree",INDEX(INDIRECT("Data_Entry['"&amp;Long_Data[[#This Row],[Indicator Number]]&amp;"'_DSev_1]"),MATCH(Long_Data[[#This Row],[Key]],Data_Entry[Key],0)),"NA")</f>
        <v>0.29449999999999998</v>
      </c>
      <c r="M106">
        <f ca="1">IF(Long_Data[[#This Row],[Indicator Class]]="Degree",INDEX(INDIRECT("Data_Entry['"&amp;Long_Data[[#This Row],[Indicator Number]]&amp;"'_DSev_2]"),MATCH(Long_Data[[#This Row],[Key]],Data_Entry[Key],0)),"NA")</f>
        <v>0.41500000000000004</v>
      </c>
      <c r="N106">
        <f ca="1">IF(Long_Data[[#This Row],[Indicator Class]]="Degree",INDEX(INDIRECT("Data_Entry['"&amp;Long_Data[[#This Row],[Indicator Number]]&amp;"'_DSev_3]"),MATCH(Long_Data[[#This Row],[Key]],Data_Entry[Key],0)),"NA")</f>
        <v>0.26450000000000001</v>
      </c>
      <c r="O106">
        <f ca="1">IF(Long_Data[[#This Row],[Indicator Class]]="Degree",INDEX(INDIRECT("Data_Entry['"&amp;Long_Data[[#This Row],[Indicator Number]]&amp;"'_DSev_4]"),MATCH(Long_Data[[#This Row],[Key]],Data_Entry[Key],0)),"NA")</f>
        <v>2.0899999999999998E-2</v>
      </c>
      <c r="P106">
        <f ca="1">IF(Long_Data[[#This Row],[Indicator Class]]="Degree",INDEX(INDIRECT("Data_Entry['"&amp;Long_Data[[#This Row],[Indicator Number]]&amp;"'_DSev_5]"),MATCH(Long_Data[[#This Row],[Key]],Data_Entry[Key],0)),"NA")</f>
        <v>5.1000000000000004E-3</v>
      </c>
      <c r="Q106" t="str">
        <f ca="1">IFERROR(IF(Long_Data[[#This Row],[Indicator Class]]="Magnitude", INDEX(INDIRECT("Data_Entry[Sev_"&amp;Long_Data[[#This Row],[Indicator Number]]&amp;"]"),MATCH(Long_Data[[#This Row],[Key]], Data_Entry[Key],0)),"NA"),"")</f>
        <v>NA</v>
      </c>
      <c r="R10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06" s="70">
        <f ca="1">IFERROR(IF(J106="Magnitude",INDEX(INDIRECT("Data_Entry[PIN_"&amp;Long_Data[[#This Row],[Indicator Number]]&amp;"]"),MATCH(Long_Data[[#This Row],[Key]],Data_Entry[Key],0)),SUM(N106:P106)*INDEX(Baseline_Pop[Population],MATCH(Long_Data[[#This Row],[Key]],Baseline_Pop[Key],0))),"")</f>
        <v>16245.340999999999</v>
      </c>
    </row>
    <row r="107" spans="2:19">
      <c r="B107">
        <v>106</v>
      </c>
      <c r="C107">
        <v>16</v>
      </c>
      <c r="D107" t="str">
        <f>IFERROR(INDEX(Data_Entry[ADM2_Pcode],MATCH('Step 4-Long Data'!C107,Data_Entry[ID],0)),"NA")</f>
        <v>AF06</v>
      </c>
      <c r="E107" t="str">
        <f>IFERROR(INDEX(Data_Entry[Key],MATCH('Step 4-Long Data'!C107,Data_Entry[ID],0)),"NA")</f>
        <v>AF06-Non_Displaced</v>
      </c>
      <c r="F107">
        <v>4</v>
      </c>
      <c r="G107" t="str">
        <f>IFERROR(INDEX(Framework[Pillar],MATCH('Step 4-Long Data'!F107,Framework[Number],0)),"")</f>
        <v>Humanitarian Conditions</v>
      </c>
      <c r="H107" t="str">
        <f>IFERROR(INDEX(Framework[Sub_Pillar],MATCH('Step 4-Long Data'!F107,Framework[Number],0)),"")</f>
        <v>Living standards</v>
      </c>
      <c r="I107" t="str">
        <f>IFERROR(INDEX(Framework[Indicator],MATCH('Step 4-Long Data'!F107,Framework[Number],0)),"")</f>
        <v>% HHs without access to essential services (including health, education, markets, and improved water sources)</v>
      </c>
      <c r="J107" t="str">
        <f>IFERROR(INDEX(Framework[Class],MATCH('Step 4-Long Data'!F107,Framework[Number],0)),"")</f>
        <v>Degree</v>
      </c>
      <c r="K107" t="str">
        <f>IFERROR(INDEX(Framework[Critical],MATCH('Step 4-Long Data'!F107,Framework[Number],0)),"")</f>
        <v>No</v>
      </c>
      <c r="L107">
        <f ca="1">IF(Long_Data[[#This Row],[Indicator Class]]="Degree",INDEX(INDIRECT("Data_Entry['"&amp;Long_Data[[#This Row],[Indicator Number]]&amp;"'_DSev_1]"),MATCH(Long_Data[[#This Row],[Key]],Data_Entry[Key],0)),"NA")</f>
        <v>0.31329999999999997</v>
      </c>
      <c r="M107">
        <f ca="1">IF(Long_Data[[#This Row],[Indicator Class]]="Degree",INDEX(INDIRECT("Data_Entry['"&amp;Long_Data[[#This Row],[Indicator Number]]&amp;"'_DSev_2]"),MATCH(Long_Data[[#This Row],[Key]],Data_Entry[Key],0)),"NA")</f>
        <v>0.45040000000000002</v>
      </c>
      <c r="N107">
        <f ca="1">IF(Long_Data[[#This Row],[Indicator Class]]="Degree",INDEX(INDIRECT("Data_Entry['"&amp;Long_Data[[#This Row],[Indicator Number]]&amp;"'_DSev_3]"),MATCH(Long_Data[[#This Row],[Key]],Data_Entry[Key],0)),"NA")</f>
        <v>0.1706</v>
      </c>
      <c r="O107">
        <f ca="1">IF(Long_Data[[#This Row],[Indicator Class]]="Degree",INDEX(INDIRECT("Data_Entry['"&amp;Long_Data[[#This Row],[Indicator Number]]&amp;"'_DSev_4]"),MATCH(Long_Data[[#This Row],[Key]],Data_Entry[Key],0)),"NA")</f>
        <v>5.3899999999999997E-2</v>
      </c>
      <c r="P107">
        <f ca="1">IF(Long_Data[[#This Row],[Indicator Class]]="Degree",INDEX(INDIRECT("Data_Entry['"&amp;Long_Data[[#This Row],[Indicator Number]]&amp;"'_DSev_5]"),MATCH(Long_Data[[#This Row],[Key]],Data_Entry[Key],0)),"NA")</f>
        <v>1.18E-2</v>
      </c>
      <c r="Q107" t="str">
        <f ca="1">IFERROR(IF(Long_Data[[#This Row],[Indicator Class]]="Magnitude", INDEX(INDIRECT("Data_Entry[Sev_"&amp;Long_Data[[#This Row],[Indicator Number]]&amp;"]"),MATCH(Long_Data[[#This Row],[Key]], Data_Entry[Key],0)),"NA"),"")</f>
        <v>NA</v>
      </c>
      <c r="R107">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7" s="70">
        <f ca="1">IFERROR(IF(J107="Magnitude",INDEX(INDIRECT("Data_Entry[PIN_"&amp;Long_Data[[#This Row],[Indicator Number]]&amp;"]"),MATCH(Long_Data[[#This Row],[Key]],Data_Entry[Key],0)),SUM(N107:P107)*INDEX(Baseline_Pop[Population],MATCH(Long_Data[[#This Row],[Key]],Baseline_Pop[Key],0))),"")</f>
        <v>51767.895100000002</v>
      </c>
    </row>
    <row r="108" spans="2:19">
      <c r="B108">
        <v>107</v>
      </c>
      <c r="C108">
        <v>17</v>
      </c>
      <c r="D108" t="str">
        <f>IFERROR(INDEX(Data_Entry[ADM2_Pcode],MATCH('Step 4-Long Data'!C108,Data_Entry[ID],0)),"NA")</f>
        <v>AF07</v>
      </c>
      <c r="E108" t="str">
        <f>IFERROR(INDEX(Data_Entry[Key],MATCH('Step 4-Long Data'!C108,Data_Entry[ID],0)),"NA")</f>
        <v>AF07-Non_Displaced</v>
      </c>
      <c r="F108">
        <v>4</v>
      </c>
      <c r="G108" t="str">
        <f>IFERROR(INDEX(Framework[Pillar],MATCH('Step 4-Long Data'!F108,Framework[Number],0)),"")</f>
        <v>Humanitarian Conditions</v>
      </c>
      <c r="H108" t="str">
        <f>IFERROR(INDEX(Framework[Sub_Pillar],MATCH('Step 4-Long Data'!F108,Framework[Number],0)),"")</f>
        <v>Living standards</v>
      </c>
      <c r="I108" t="str">
        <f>IFERROR(INDEX(Framework[Indicator],MATCH('Step 4-Long Data'!F108,Framework[Number],0)),"")</f>
        <v>% HHs without access to essential services (including health, education, markets, and improved water sources)</v>
      </c>
      <c r="J108" t="str">
        <f>IFERROR(INDEX(Framework[Class],MATCH('Step 4-Long Data'!F108,Framework[Number],0)),"")</f>
        <v>Degree</v>
      </c>
      <c r="K108" t="str">
        <f>IFERROR(INDEX(Framework[Critical],MATCH('Step 4-Long Data'!F108,Framework[Number],0)),"")</f>
        <v>No</v>
      </c>
      <c r="L108">
        <f ca="1">IF(Long_Data[[#This Row],[Indicator Class]]="Degree",INDEX(INDIRECT("Data_Entry['"&amp;Long_Data[[#This Row],[Indicator Number]]&amp;"'_DSev_1]"),MATCH(Long_Data[[#This Row],[Key]],Data_Entry[Key],0)),"NA")</f>
        <v>0.44930000000000003</v>
      </c>
      <c r="M108">
        <f ca="1">IF(Long_Data[[#This Row],[Indicator Class]]="Degree",INDEX(INDIRECT("Data_Entry['"&amp;Long_Data[[#This Row],[Indicator Number]]&amp;"'_DSev_2]"),MATCH(Long_Data[[#This Row],[Key]],Data_Entry[Key],0)),"NA")</f>
        <v>0.45060000000000006</v>
      </c>
      <c r="N108">
        <f ca="1">IF(Long_Data[[#This Row],[Indicator Class]]="Degree",INDEX(INDIRECT("Data_Entry['"&amp;Long_Data[[#This Row],[Indicator Number]]&amp;"'_DSev_3]"),MATCH(Long_Data[[#This Row],[Key]],Data_Entry[Key],0)),"NA")</f>
        <v>8.1099999999999992E-2</v>
      </c>
      <c r="O108">
        <f ca="1">IF(Long_Data[[#This Row],[Indicator Class]]="Degree",INDEX(INDIRECT("Data_Entry['"&amp;Long_Data[[#This Row],[Indicator Number]]&amp;"'_DSev_4]"),MATCH(Long_Data[[#This Row],[Key]],Data_Entry[Key],0)),"NA")</f>
        <v>1.89E-2</v>
      </c>
      <c r="P108">
        <f ca="1">IF(Long_Data[[#This Row],[Indicator Class]]="Degree",INDEX(INDIRECT("Data_Entry['"&amp;Long_Data[[#This Row],[Indicator Number]]&amp;"'_DSev_5]"),MATCH(Long_Data[[#This Row],[Key]],Data_Entry[Key],0)),"NA")</f>
        <v>0</v>
      </c>
      <c r="Q108" t="str">
        <f ca="1">IFERROR(IF(Long_Data[[#This Row],[Indicator Class]]="Magnitude", INDEX(INDIRECT("Data_Entry[Sev_"&amp;Long_Data[[#This Row],[Indicator Number]]&amp;"]"),MATCH(Long_Data[[#This Row],[Key]], Data_Entry[Key],0)),"NA"),"")</f>
        <v>NA</v>
      </c>
      <c r="R10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08" s="70">
        <f ca="1">IFERROR(IF(J108="Magnitude",INDEX(INDIRECT("Data_Entry[PIN_"&amp;Long_Data[[#This Row],[Indicator Number]]&amp;"]"),MATCH(Long_Data[[#This Row],[Key]],Data_Entry[Key],0)),SUM(N108:P108)*INDEX(Baseline_Pop[Population],MATCH(Long_Data[[#This Row],[Key]],Baseline_Pop[Key],0))),"")</f>
        <v>6353.2</v>
      </c>
    </row>
    <row r="109" spans="2:19">
      <c r="B109">
        <v>108</v>
      </c>
      <c r="C109">
        <v>18</v>
      </c>
      <c r="D109" t="str">
        <f>IFERROR(INDEX(Data_Entry[ADM2_Pcode],MATCH('Step 4-Long Data'!C109,Data_Entry[ID],0)),"NA")</f>
        <v>AF08</v>
      </c>
      <c r="E109" t="str">
        <f>IFERROR(INDEX(Data_Entry[Key],MATCH('Step 4-Long Data'!C109,Data_Entry[ID],0)),"NA")</f>
        <v>AF08-Non_Displaced</v>
      </c>
      <c r="F109">
        <v>4</v>
      </c>
      <c r="G109" t="str">
        <f>IFERROR(INDEX(Framework[Pillar],MATCH('Step 4-Long Data'!F109,Framework[Number],0)),"")</f>
        <v>Humanitarian Conditions</v>
      </c>
      <c r="H109" t="str">
        <f>IFERROR(INDEX(Framework[Sub_Pillar],MATCH('Step 4-Long Data'!F109,Framework[Number],0)),"")</f>
        <v>Living standards</v>
      </c>
      <c r="I109" t="str">
        <f>IFERROR(INDEX(Framework[Indicator],MATCH('Step 4-Long Data'!F109,Framework[Number],0)),"")</f>
        <v>% HHs without access to essential services (including health, education, markets, and improved water sources)</v>
      </c>
      <c r="J109" t="str">
        <f>IFERROR(INDEX(Framework[Class],MATCH('Step 4-Long Data'!F109,Framework[Number],0)),"")</f>
        <v>Degree</v>
      </c>
      <c r="K109" t="str">
        <f>IFERROR(INDEX(Framework[Critical],MATCH('Step 4-Long Data'!F109,Framework[Number],0)),"")</f>
        <v>No</v>
      </c>
      <c r="L109">
        <f ca="1">IF(Long_Data[[#This Row],[Indicator Class]]="Degree",INDEX(INDIRECT("Data_Entry['"&amp;Long_Data[[#This Row],[Indicator Number]]&amp;"'_DSev_1]"),MATCH(Long_Data[[#This Row],[Key]],Data_Entry[Key],0)),"NA")</f>
        <v>0.19760000000000003</v>
      </c>
      <c r="M109">
        <f ca="1">IF(Long_Data[[#This Row],[Indicator Class]]="Degree",INDEX(INDIRECT("Data_Entry['"&amp;Long_Data[[#This Row],[Indicator Number]]&amp;"'_DSev_2]"),MATCH(Long_Data[[#This Row],[Key]],Data_Entry[Key],0)),"NA")</f>
        <v>0.39520000000000005</v>
      </c>
      <c r="N109">
        <f ca="1">IF(Long_Data[[#This Row],[Indicator Class]]="Degree",INDEX(INDIRECT("Data_Entry['"&amp;Long_Data[[#This Row],[Indicator Number]]&amp;"'_DSev_3]"),MATCH(Long_Data[[#This Row],[Key]],Data_Entry[Key],0)),"NA")</f>
        <v>0.3473</v>
      </c>
      <c r="O109">
        <f ca="1">IF(Long_Data[[#This Row],[Indicator Class]]="Degree",INDEX(INDIRECT("Data_Entry['"&amp;Long_Data[[#This Row],[Indicator Number]]&amp;"'_DSev_4]"),MATCH(Long_Data[[#This Row],[Key]],Data_Entry[Key],0)),"NA")</f>
        <v>5.9900000000000002E-2</v>
      </c>
      <c r="P109">
        <f ca="1">IF(Long_Data[[#This Row],[Indicator Class]]="Degree",INDEX(INDIRECT("Data_Entry['"&amp;Long_Data[[#This Row],[Indicator Number]]&amp;"'_DSev_5]"),MATCH(Long_Data[[#This Row],[Key]],Data_Entry[Key],0)),"NA")</f>
        <v>0</v>
      </c>
      <c r="Q109" t="str">
        <f ca="1">IFERROR(IF(Long_Data[[#This Row],[Indicator Class]]="Magnitude", INDEX(INDIRECT("Data_Entry[Sev_"&amp;Long_Data[[#This Row],[Indicator Number]]&amp;"]"),MATCH(Long_Data[[#This Row],[Key]], Data_Entry[Key],0)),"NA"),"")</f>
        <v>NA</v>
      </c>
      <c r="R10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09" s="70">
        <f ca="1">IFERROR(IF(J109="Magnitude",INDEX(INDIRECT("Data_Entry[PIN_"&amp;Long_Data[[#This Row],[Indicator Number]]&amp;"]"),MATCH(Long_Data[[#This Row],[Key]],Data_Entry[Key],0)),SUM(N109:P109)*INDEX(Baseline_Pop[Population],MATCH(Long_Data[[#This Row],[Key]],Baseline_Pop[Key],0))),"")</f>
        <v>8907.9071999999996</v>
      </c>
    </row>
    <row r="110" spans="2:19">
      <c r="B110">
        <v>109</v>
      </c>
      <c r="C110">
        <v>19</v>
      </c>
      <c r="D110" t="str">
        <f>IFERROR(INDEX(Data_Entry[ADM2_Pcode],MATCH('Step 4-Long Data'!C110,Data_Entry[ID],0)),"NA")</f>
        <v>AF09</v>
      </c>
      <c r="E110" t="str">
        <f>IFERROR(INDEX(Data_Entry[Key],MATCH('Step 4-Long Data'!C110,Data_Entry[ID],0)),"NA")</f>
        <v>AF09-Non_Displaced</v>
      </c>
      <c r="F110">
        <v>4</v>
      </c>
      <c r="G110" t="str">
        <f>IFERROR(INDEX(Framework[Pillar],MATCH('Step 4-Long Data'!F110,Framework[Number],0)),"")</f>
        <v>Humanitarian Conditions</v>
      </c>
      <c r="H110" t="str">
        <f>IFERROR(INDEX(Framework[Sub_Pillar],MATCH('Step 4-Long Data'!F110,Framework[Number],0)),"")</f>
        <v>Living standards</v>
      </c>
      <c r="I110" t="str">
        <f>IFERROR(INDEX(Framework[Indicator],MATCH('Step 4-Long Data'!F110,Framework[Number],0)),"")</f>
        <v>% HHs without access to essential services (including health, education, markets, and improved water sources)</v>
      </c>
      <c r="J110" t="str">
        <f>IFERROR(INDEX(Framework[Class],MATCH('Step 4-Long Data'!F110,Framework[Number],0)),"")</f>
        <v>Degree</v>
      </c>
      <c r="K110" t="str">
        <f>IFERROR(INDEX(Framework[Critical],MATCH('Step 4-Long Data'!F110,Framework[Number],0)),"")</f>
        <v>No</v>
      </c>
      <c r="L110">
        <f ca="1">IF(Long_Data[[#This Row],[Indicator Class]]="Degree",INDEX(INDIRECT("Data_Entry['"&amp;Long_Data[[#This Row],[Indicator Number]]&amp;"'_DSev_1]"),MATCH(Long_Data[[#This Row],[Key]],Data_Entry[Key],0)),"NA")</f>
        <v>7.7899999999999997E-2</v>
      </c>
      <c r="M110">
        <f ca="1">IF(Long_Data[[#This Row],[Indicator Class]]="Degree",INDEX(INDIRECT("Data_Entry['"&amp;Long_Data[[#This Row],[Indicator Number]]&amp;"'_DSev_2]"),MATCH(Long_Data[[#This Row],[Key]],Data_Entry[Key],0)),"NA")</f>
        <v>0.22500000000000001</v>
      </c>
      <c r="N110">
        <f ca="1">IF(Long_Data[[#This Row],[Indicator Class]]="Degree",INDEX(INDIRECT("Data_Entry['"&amp;Long_Data[[#This Row],[Indicator Number]]&amp;"'_DSev_3]"),MATCH(Long_Data[[#This Row],[Key]],Data_Entry[Key],0)),"NA")</f>
        <v>0.29730000000000001</v>
      </c>
      <c r="O110">
        <f ca="1">IF(Long_Data[[#This Row],[Indicator Class]]="Degree",INDEX(INDIRECT("Data_Entry['"&amp;Long_Data[[#This Row],[Indicator Number]]&amp;"'_DSev_4]"),MATCH(Long_Data[[#This Row],[Key]],Data_Entry[Key],0)),"NA")</f>
        <v>0.21690000000000001</v>
      </c>
      <c r="P110">
        <f ca="1">IF(Long_Data[[#This Row],[Indicator Class]]="Degree",INDEX(INDIRECT("Data_Entry['"&amp;Long_Data[[#This Row],[Indicator Number]]&amp;"'_DSev_5]"),MATCH(Long_Data[[#This Row],[Key]],Data_Entry[Key],0)),"NA")</f>
        <v>0.18290000000000001</v>
      </c>
      <c r="Q110" t="str">
        <f ca="1">IFERROR(IF(Long_Data[[#This Row],[Indicator Class]]="Magnitude", INDEX(INDIRECT("Data_Entry[Sev_"&amp;Long_Data[[#This Row],[Indicator Number]]&amp;"]"),MATCH(Long_Data[[#This Row],[Key]], Data_Entry[Key],0)),"NA"),"")</f>
        <v>NA</v>
      </c>
      <c r="R11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10" s="70">
        <f ca="1">IFERROR(IF(J110="Magnitude",INDEX(INDIRECT("Data_Entry[PIN_"&amp;Long_Data[[#This Row],[Indicator Number]]&amp;"]"),MATCH(Long_Data[[#This Row],[Key]],Data_Entry[Key],0)),SUM(N110:P110)*INDEX(Baseline_Pop[Population],MATCH(Long_Data[[#This Row],[Key]],Baseline_Pop[Key],0))),"")</f>
        <v>91057.99040000001</v>
      </c>
    </row>
    <row r="111" spans="2:19">
      <c r="B111">
        <v>110</v>
      </c>
      <c r="C111">
        <v>20</v>
      </c>
      <c r="D111" t="str">
        <f>IFERROR(INDEX(Data_Entry[ADM2_Pcode],MATCH('Step 4-Long Data'!C111,Data_Entry[ID],0)),"NA")</f>
        <v>AF10</v>
      </c>
      <c r="E111" t="str">
        <f>IFERROR(INDEX(Data_Entry[Key],MATCH('Step 4-Long Data'!C111,Data_Entry[ID],0)),"NA")</f>
        <v>AF10-Non_Displaced</v>
      </c>
      <c r="F111">
        <v>4</v>
      </c>
      <c r="G111" t="str">
        <f>IFERROR(INDEX(Framework[Pillar],MATCH('Step 4-Long Data'!F111,Framework[Number],0)),"")</f>
        <v>Humanitarian Conditions</v>
      </c>
      <c r="H111" t="str">
        <f>IFERROR(INDEX(Framework[Sub_Pillar],MATCH('Step 4-Long Data'!F111,Framework[Number],0)),"")</f>
        <v>Living standards</v>
      </c>
      <c r="I111" t="str">
        <f>IFERROR(INDEX(Framework[Indicator],MATCH('Step 4-Long Data'!F111,Framework[Number],0)),"")</f>
        <v>% HHs without access to essential services (including health, education, markets, and improved water sources)</v>
      </c>
      <c r="J111" t="str">
        <f>IFERROR(INDEX(Framework[Class],MATCH('Step 4-Long Data'!F111,Framework[Number],0)),"")</f>
        <v>Degree</v>
      </c>
      <c r="K111" t="str">
        <f>IFERROR(INDEX(Framework[Critical],MATCH('Step 4-Long Data'!F111,Framework[Number],0)),"")</f>
        <v>No</v>
      </c>
      <c r="L111">
        <f ca="1">IF(Long_Data[[#This Row],[Indicator Class]]="Degree",INDEX(INDIRECT("Data_Entry['"&amp;Long_Data[[#This Row],[Indicator Number]]&amp;"'_DSev_1]"),MATCH(Long_Data[[#This Row],[Key]],Data_Entry[Key],0)),"NA")</f>
        <v>0.35450000000000004</v>
      </c>
      <c r="M111">
        <f ca="1">IF(Long_Data[[#This Row],[Indicator Class]]="Degree",INDEX(INDIRECT("Data_Entry['"&amp;Long_Data[[#This Row],[Indicator Number]]&amp;"'_DSev_2]"),MATCH(Long_Data[[#This Row],[Key]],Data_Entry[Key],0)),"NA")</f>
        <v>0.47619999999999996</v>
      </c>
      <c r="N111">
        <f ca="1">IF(Long_Data[[#This Row],[Indicator Class]]="Degree",INDEX(INDIRECT("Data_Entry['"&amp;Long_Data[[#This Row],[Indicator Number]]&amp;"'_DSev_3]"),MATCH(Long_Data[[#This Row],[Key]],Data_Entry[Key],0)),"NA")</f>
        <v>0.15870000000000001</v>
      </c>
      <c r="O111">
        <f ca="1">IF(Long_Data[[#This Row],[Indicator Class]]="Degree",INDEX(INDIRECT("Data_Entry['"&amp;Long_Data[[#This Row],[Indicator Number]]&amp;"'_DSev_4]"),MATCH(Long_Data[[#This Row],[Key]],Data_Entry[Key],0)),"NA")</f>
        <v>1.06E-2</v>
      </c>
      <c r="P111">
        <f ca="1">IF(Long_Data[[#This Row],[Indicator Class]]="Degree",INDEX(INDIRECT("Data_Entry['"&amp;Long_Data[[#This Row],[Indicator Number]]&amp;"'_DSev_5]"),MATCH(Long_Data[[#This Row],[Key]],Data_Entry[Key],0)),"NA")</f>
        <v>0</v>
      </c>
      <c r="Q111" t="str">
        <f ca="1">IFERROR(IF(Long_Data[[#This Row],[Indicator Class]]="Magnitude", INDEX(INDIRECT("Data_Entry[Sev_"&amp;Long_Data[[#This Row],[Indicator Number]]&amp;"]"),MATCH(Long_Data[[#This Row],[Key]], Data_Entry[Key],0)),"NA"),"")</f>
        <v>NA</v>
      </c>
      <c r="R11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1" s="70">
        <f ca="1">IFERROR(IF(J111="Magnitude",INDEX(INDIRECT("Data_Entry[PIN_"&amp;Long_Data[[#This Row],[Indicator Number]]&amp;"]"),MATCH(Long_Data[[#This Row],[Key]],Data_Entry[Key],0)),SUM(N111:P111)*INDEX(Baseline_Pop[Population],MATCH(Long_Data[[#This Row],[Key]],Baseline_Pop[Key],0))),"")</f>
        <v>10801.001400000001</v>
      </c>
    </row>
    <row r="112" spans="2:19">
      <c r="B112">
        <v>111</v>
      </c>
      <c r="C112">
        <v>21</v>
      </c>
      <c r="D112" t="str">
        <f>IFERROR(INDEX(Data_Entry[ADM2_Pcode],MATCH('Step 4-Long Data'!C112,Data_Entry[ID],0)),"NA")</f>
        <v>AF01</v>
      </c>
      <c r="E112" t="str">
        <f>IFERROR(INDEX(Data_Entry[Key],MATCH('Step 4-Long Data'!C112,Data_Entry[ID],0)),"NA")</f>
        <v>AF01-Migrants</v>
      </c>
      <c r="F112">
        <v>4</v>
      </c>
      <c r="G112" t="str">
        <f>IFERROR(INDEX(Framework[Pillar],MATCH('Step 4-Long Data'!F112,Framework[Number],0)),"")</f>
        <v>Humanitarian Conditions</v>
      </c>
      <c r="H112" t="str">
        <f>IFERROR(INDEX(Framework[Sub_Pillar],MATCH('Step 4-Long Data'!F112,Framework[Number],0)),"")</f>
        <v>Living standards</v>
      </c>
      <c r="I112" t="str">
        <f>IFERROR(INDEX(Framework[Indicator],MATCH('Step 4-Long Data'!F112,Framework[Number],0)),"")</f>
        <v>% HHs without access to essential services (including health, education, markets, and improved water sources)</v>
      </c>
      <c r="J112" t="str">
        <f>IFERROR(INDEX(Framework[Class],MATCH('Step 4-Long Data'!F112,Framework[Number],0)),"")</f>
        <v>Degree</v>
      </c>
      <c r="K112" t="str">
        <f>IFERROR(INDEX(Framework[Critical],MATCH('Step 4-Long Data'!F112,Framework[Number],0)),"")</f>
        <v>No</v>
      </c>
      <c r="L112">
        <f ca="1">IF(Long_Data[[#This Row],[Indicator Class]]="Degree",INDEX(INDIRECT("Data_Entry['"&amp;Long_Data[[#This Row],[Indicator Number]]&amp;"'_DSev_1]"),MATCH(Long_Data[[#This Row],[Key]],Data_Entry[Key],0)),"NA")</f>
        <v>0.37009999999999998</v>
      </c>
      <c r="M112">
        <f ca="1">IF(Long_Data[[#This Row],[Indicator Class]]="Degree",INDEX(INDIRECT("Data_Entry['"&amp;Long_Data[[#This Row],[Indicator Number]]&amp;"'_DSev_2]"),MATCH(Long_Data[[#This Row],[Key]],Data_Entry[Key],0)),"NA")</f>
        <v>0.48049999999999998</v>
      </c>
      <c r="N112">
        <f ca="1">IF(Long_Data[[#This Row],[Indicator Class]]="Degree",INDEX(INDIRECT("Data_Entry['"&amp;Long_Data[[#This Row],[Indicator Number]]&amp;"'_DSev_3]"),MATCH(Long_Data[[#This Row],[Key]],Data_Entry[Key],0)),"NA")</f>
        <v>0.13640000000000002</v>
      </c>
      <c r="O112">
        <f ca="1">IF(Long_Data[[#This Row],[Indicator Class]]="Degree",INDEX(INDIRECT("Data_Entry['"&amp;Long_Data[[#This Row],[Indicator Number]]&amp;"'_DSev_4]"),MATCH(Long_Data[[#This Row],[Key]],Data_Entry[Key],0)),"NA")</f>
        <v>1.3000000000000001E-2</v>
      </c>
      <c r="P112">
        <f ca="1">IF(Long_Data[[#This Row],[Indicator Class]]="Degree",INDEX(INDIRECT("Data_Entry['"&amp;Long_Data[[#This Row],[Indicator Number]]&amp;"'_DSev_5]"),MATCH(Long_Data[[#This Row],[Key]],Data_Entry[Key],0)),"NA")</f>
        <v>0</v>
      </c>
      <c r="Q112" t="str">
        <f ca="1">IFERROR(IF(Long_Data[[#This Row],[Indicator Class]]="Magnitude", INDEX(INDIRECT("Data_Entry[Sev_"&amp;Long_Data[[#This Row],[Indicator Number]]&amp;"]"),MATCH(Long_Data[[#This Row],[Key]], Data_Entry[Key],0)),"NA"),"")</f>
        <v>NA</v>
      </c>
      <c r="R11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2" s="70">
        <f ca="1">IFERROR(IF(J112="Magnitude",INDEX(INDIRECT("Data_Entry[PIN_"&amp;Long_Data[[#This Row],[Indicator Number]]&amp;"]"),MATCH(Long_Data[[#This Row],[Key]],Data_Entry[Key],0)),SUM(N112:P112)*INDEX(Baseline_Pop[Population],MATCH(Long_Data[[#This Row],[Key]],Baseline_Pop[Key],0))),"")</f>
        <v>200211.38820000004</v>
      </c>
    </row>
    <row r="113" spans="2:19">
      <c r="B113">
        <v>112</v>
      </c>
      <c r="C113">
        <v>22</v>
      </c>
      <c r="D113" t="str">
        <f>IFERROR(INDEX(Data_Entry[ADM2_Pcode],MATCH('Step 4-Long Data'!C113,Data_Entry[ID],0)),"NA")</f>
        <v>AF02</v>
      </c>
      <c r="E113" t="str">
        <f>IFERROR(INDEX(Data_Entry[Key],MATCH('Step 4-Long Data'!C113,Data_Entry[ID],0)),"NA")</f>
        <v>AF02-Migrants</v>
      </c>
      <c r="F113">
        <v>4</v>
      </c>
      <c r="G113" t="str">
        <f>IFERROR(INDEX(Framework[Pillar],MATCH('Step 4-Long Data'!F113,Framework[Number],0)),"")</f>
        <v>Humanitarian Conditions</v>
      </c>
      <c r="H113" t="str">
        <f>IFERROR(INDEX(Framework[Sub_Pillar],MATCH('Step 4-Long Data'!F113,Framework[Number],0)),"")</f>
        <v>Living standards</v>
      </c>
      <c r="I113" t="str">
        <f>IFERROR(INDEX(Framework[Indicator],MATCH('Step 4-Long Data'!F113,Framework[Number],0)),"")</f>
        <v>% HHs without access to essential services (including health, education, markets, and improved water sources)</v>
      </c>
      <c r="J113" t="str">
        <f>IFERROR(INDEX(Framework[Class],MATCH('Step 4-Long Data'!F113,Framework[Number],0)),"")</f>
        <v>Degree</v>
      </c>
      <c r="K113" t="str">
        <f>IFERROR(INDEX(Framework[Critical],MATCH('Step 4-Long Data'!F113,Framework[Number],0)),"")</f>
        <v>No</v>
      </c>
      <c r="L113">
        <f ca="1">IF(Long_Data[[#This Row],[Indicator Class]]="Degree",INDEX(INDIRECT("Data_Entry['"&amp;Long_Data[[#This Row],[Indicator Number]]&amp;"'_DSev_1]"),MATCH(Long_Data[[#This Row],[Key]],Data_Entry[Key],0)),"NA")</f>
        <v>0.23079999999999998</v>
      </c>
      <c r="M113">
        <f ca="1">IF(Long_Data[[#This Row],[Indicator Class]]="Degree",INDEX(INDIRECT("Data_Entry['"&amp;Long_Data[[#This Row],[Indicator Number]]&amp;"'_DSev_2]"),MATCH(Long_Data[[#This Row],[Key]],Data_Entry[Key],0)),"NA")</f>
        <v>0.32049999999999995</v>
      </c>
      <c r="N113">
        <f ca="1">IF(Long_Data[[#This Row],[Indicator Class]]="Degree",INDEX(INDIRECT("Data_Entry['"&amp;Long_Data[[#This Row],[Indicator Number]]&amp;"'_DSev_3]"),MATCH(Long_Data[[#This Row],[Key]],Data_Entry[Key],0)),"NA")</f>
        <v>0.35899999999999999</v>
      </c>
      <c r="O113">
        <f ca="1">IF(Long_Data[[#This Row],[Indicator Class]]="Degree",INDEX(INDIRECT("Data_Entry['"&amp;Long_Data[[#This Row],[Indicator Number]]&amp;"'_DSev_4]"),MATCH(Long_Data[[#This Row],[Key]],Data_Entry[Key],0)),"NA")</f>
        <v>8.9700000000000002E-2</v>
      </c>
      <c r="P113">
        <f ca="1">IF(Long_Data[[#This Row],[Indicator Class]]="Degree",INDEX(INDIRECT("Data_Entry['"&amp;Long_Data[[#This Row],[Indicator Number]]&amp;"'_DSev_5]"),MATCH(Long_Data[[#This Row],[Key]],Data_Entry[Key],0)),"NA")</f>
        <v>0</v>
      </c>
      <c r="Q113" t="str">
        <f ca="1">IFERROR(IF(Long_Data[[#This Row],[Indicator Class]]="Magnitude", INDEX(INDIRECT("Data_Entry[Sev_"&amp;Long_Data[[#This Row],[Indicator Number]]&amp;"]"),MATCH(Long_Data[[#This Row],[Key]], Data_Entry[Key],0)),"NA"),"")</f>
        <v>NA</v>
      </c>
      <c r="R11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13" s="70">
        <f ca="1">IFERROR(IF(J113="Magnitude",INDEX(INDIRECT("Data_Entry[PIN_"&amp;Long_Data[[#This Row],[Indicator Number]]&amp;"]"),MATCH(Long_Data[[#This Row],[Key]],Data_Entry[Key],0)),SUM(N113:P113)*INDEX(Baseline_Pop[Population],MATCH(Long_Data[[#This Row],[Key]],Baseline_Pop[Key],0))),"")</f>
        <v>56414.153599999998</v>
      </c>
    </row>
    <row r="114" spans="2:19">
      <c r="B114">
        <v>113</v>
      </c>
      <c r="C114">
        <v>23</v>
      </c>
      <c r="D114" t="str">
        <f>IFERROR(INDEX(Data_Entry[ADM2_Pcode],MATCH('Step 4-Long Data'!C114,Data_Entry[ID],0)),"NA")</f>
        <v>AF03</v>
      </c>
      <c r="E114" t="str">
        <f>IFERROR(INDEX(Data_Entry[Key],MATCH('Step 4-Long Data'!C114,Data_Entry[ID],0)),"NA")</f>
        <v>AF03-Migrants</v>
      </c>
      <c r="F114">
        <v>4</v>
      </c>
      <c r="G114" t="str">
        <f>IFERROR(INDEX(Framework[Pillar],MATCH('Step 4-Long Data'!F114,Framework[Number],0)),"")</f>
        <v>Humanitarian Conditions</v>
      </c>
      <c r="H114" t="str">
        <f>IFERROR(INDEX(Framework[Sub_Pillar],MATCH('Step 4-Long Data'!F114,Framework[Number],0)),"")</f>
        <v>Living standards</v>
      </c>
      <c r="I114" t="str">
        <f>IFERROR(INDEX(Framework[Indicator],MATCH('Step 4-Long Data'!F114,Framework[Number],0)),"")</f>
        <v>% HHs without access to essential services (including health, education, markets, and improved water sources)</v>
      </c>
      <c r="J114" t="str">
        <f>IFERROR(INDEX(Framework[Class],MATCH('Step 4-Long Data'!F114,Framework[Number],0)),"")</f>
        <v>Degree</v>
      </c>
      <c r="K114" t="str">
        <f>IFERROR(INDEX(Framework[Critical],MATCH('Step 4-Long Data'!F114,Framework[Number],0)),"")</f>
        <v>No</v>
      </c>
      <c r="L114">
        <f ca="1">IF(Long_Data[[#This Row],[Indicator Class]]="Degree",INDEX(INDIRECT("Data_Entry['"&amp;Long_Data[[#This Row],[Indicator Number]]&amp;"'_DSev_1]"),MATCH(Long_Data[[#This Row],[Key]],Data_Entry[Key],0)),"NA")</f>
        <v>9.7600000000000006E-2</v>
      </c>
      <c r="M114">
        <f ca="1">IF(Long_Data[[#This Row],[Indicator Class]]="Degree",INDEX(INDIRECT("Data_Entry['"&amp;Long_Data[[#This Row],[Indicator Number]]&amp;"'_DSev_2]"),MATCH(Long_Data[[#This Row],[Key]],Data_Entry[Key],0)),"NA")</f>
        <v>0.77439999999999998</v>
      </c>
      <c r="N114">
        <f ca="1">IF(Long_Data[[#This Row],[Indicator Class]]="Degree",INDEX(INDIRECT("Data_Entry['"&amp;Long_Data[[#This Row],[Indicator Number]]&amp;"'_DSev_3]"),MATCH(Long_Data[[#This Row],[Key]],Data_Entry[Key],0)),"NA")</f>
        <v>0.128</v>
      </c>
      <c r="O114">
        <f ca="1">IF(Long_Data[[#This Row],[Indicator Class]]="Degree",INDEX(INDIRECT("Data_Entry['"&amp;Long_Data[[#This Row],[Indicator Number]]&amp;"'_DSev_4]"),MATCH(Long_Data[[#This Row],[Key]],Data_Entry[Key],0)),"NA")</f>
        <v>0</v>
      </c>
      <c r="P114">
        <f ca="1">IF(Long_Data[[#This Row],[Indicator Class]]="Degree",INDEX(INDIRECT("Data_Entry['"&amp;Long_Data[[#This Row],[Indicator Number]]&amp;"'_DSev_5]"),MATCH(Long_Data[[#This Row],[Key]],Data_Entry[Key],0)),"NA")</f>
        <v>0</v>
      </c>
      <c r="Q114" t="str">
        <f ca="1">IFERROR(IF(Long_Data[[#This Row],[Indicator Class]]="Magnitude", INDEX(INDIRECT("Data_Entry[Sev_"&amp;Long_Data[[#This Row],[Indicator Number]]&amp;"]"),MATCH(Long_Data[[#This Row],[Key]], Data_Entry[Key],0)),"NA"),"")</f>
        <v>NA</v>
      </c>
      <c r="R114">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4" s="70">
        <f ca="1">IFERROR(IF(J114="Magnitude",INDEX(INDIRECT("Data_Entry[PIN_"&amp;Long_Data[[#This Row],[Indicator Number]]&amp;"]"),MATCH(Long_Data[[#This Row],[Key]],Data_Entry[Key],0)),SUM(N114:P114)*INDEX(Baseline_Pop[Population],MATCH(Long_Data[[#This Row],[Key]],Baseline_Pop[Key],0))),"")</f>
        <v>24312.832000000002</v>
      </c>
    </row>
    <row r="115" spans="2:19">
      <c r="B115">
        <v>114</v>
      </c>
      <c r="C115">
        <v>24</v>
      </c>
      <c r="D115" t="str">
        <f>IFERROR(INDEX(Data_Entry[ADM2_Pcode],MATCH('Step 4-Long Data'!C115,Data_Entry[ID],0)),"NA")</f>
        <v>AF04</v>
      </c>
      <c r="E115" t="str">
        <f>IFERROR(INDEX(Data_Entry[Key],MATCH('Step 4-Long Data'!C115,Data_Entry[ID],0)),"NA")</f>
        <v>AF04-Migrants</v>
      </c>
      <c r="F115">
        <v>4</v>
      </c>
      <c r="G115" t="str">
        <f>IFERROR(INDEX(Framework[Pillar],MATCH('Step 4-Long Data'!F115,Framework[Number],0)),"")</f>
        <v>Humanitarian Conditions</v>
      </c>
      <c r="H115" t="str">
        <f>IFERROR(INDEX(Framework[Sub_Pillar],MATCH('Step 4-Long Data'!F115,Framework[Number],0)),"")</f>
        <v>Living standards</v>
      </c>
      <c r="I115" t="str">
        <f>IFERROR(INDEX(Framework[Indicator],MATCH('Step 4-Long Data'!F115,Framework[Number],0)),"")</f>
        <v>% HHs without access to essential services (including health, education, markets, and improved water sources)</v>
      </c>
      <c r="J115" t="str">
        <f>IFERROR(INDEX(Framework[Class],MATCH('Step 4-Long Data'!F115,Framework[Number],0)),"")</f>
        <v>Degree</v>
      </c>
      <c r="K115" t="str">
        <f>IFERROR(INDEX(Framework[Critical],MATCH('Step 4-Long Data'!F115,Framework[Number],0)),"")</f>
        <v>No</v>
      </c>
      <c r="L115">
        <f ca="1">IF(Long_Data[[#This Row],[Indicator Class]]="Degree",INDEX(INDIRECT("Data_Entry['"&amp;Long_Data[[#This Row],[Indicator Number]]&amp;"'_DSev_1]"),MATCH(Long_Data[[#This Row],[Key]],Data_Entry[Key],0)),"NA")</f>
        <v>0.48859999999999998</v>
      </c>
      <c r="M115">
        <f ca="1">IF(Long_Data[[#This Row],[Indicator Class]]="Degree",INDEX(INDIRECT("Data_Entry['"&amp;Long_Data[[#This Row],[Indicator Number]]&amp;"'_DSev_2]"),MATCH(Long_Data[[#This Row],[Key]],Data_Entry[Key],0)),"NA")</f>
        <v>0.4093</v>
      </c>
      <c r="N115">
        <f ca="1">IF(Long_Data[[#This Row],[Indicator Class]]="Degree",INDEX(INDIRECT("Data_Entry['"&amp;Long_Data[[#This Row],[Indicator Number]]&amp;"'_DSev_3]"),MATCH(Long_Data[[#This Row],[Key]],Data_Entry[Key],0)),"NA")</f>
        <v>9.01E-2</v>
      </c>
      <c r="O115">
        <f ca="1">IF(Long_Data[[#This Row],[Indicator Class]]="Degree",INDEX(INDIRECT("Data_Entry['"&amp;Long_Data[[#This Row],[Indicator Number]]&amp;"'_DSev_4]"),MATCH(Long_Data[[#This Row],[Key]],Data_Entry[Key],0)),"NA")</f>
        <v>1.2E-2</v>
      </c>
      <c r="P115">
        <f ca="1">IF(Long_Data[[#This Row],[Indicator Class]]="Degree",INDEX(INDIRECT("Data_Entry['"&amp;Long_Data[[#This Row],[Indicator Number]]&amp;"'_DSev_5]"),MATCH(Long_Data[[#This Row],[Key]],Data_Entry[Key],0)),"NA")</f>
        <v>0</v>
      </c>
      <c r="Q115" t="str">
        <f ca="1">IFERROR(IF(Long_Data[[#This Row],[Indicator Class]]="Magnitude", INDEX(INDIRECT("Data_Entry[Sev_"&amp;Long_Data[[#This Row],[Indicator Number]]&amp;"]"),MATCH(Long_Data[[#This Row],[Key]], Data_Entry[Key],0)),"NA"),"")</f>
        <v>NA</v>
      </c>
      <c r="R115">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5" s="70">
        <f ca="1">IFERROR(IF(J115="Magnitude",INDEX(INDIRECT("Data_Entry[PIN_"&amp;Long_Data[[#This Row],[Indicator Number]]&amp;"]"),MATCH(Long_Data[[#This Row],[Key]],Data_Entry[Key],0)),SUM(N115:P115)*INDEX(Baseline_Pop[Population],MATCH(Long_Data[[#This Row],[Key]],Baseline_Pop[Key],0))),"")</f>
        <v>17357.4084</v>
      </c>
    </row>
    <row r="116" spans="2:19">
      <c r="B116">
        <v>115</v>
      </c>
      <c r="C116">
        <v>25</v>
      </c>
      <c r="D116" t="str">
        <f>IFERROR(INDEX(Data_Entry[ADM2_Pcode],MATCH('Step 4-Long Data'!C116,Data_Entry[ID],0)),"NA")</f>
        <v>AF05</v>
      </c>
      <c r="E116" t="str">
        <f>IFERROR(INDEX(Data_Entry[Key],MATCH('Step 4-Long Data'!C116,Data_Entry[ID],0)),"NA")</f>
        <v>AF05-Migrants</v>
      </c>
      <c r="F116">
        <v>4</v>
      </c>
      <c r="G116" t="str">
        <f>IFERROR(INDEX(Framework[Pillar],MATCH('Step 4-Long Data'!F116,Framework[Number],0)),"")</f>
        <v>Humanitarian Conditions</v>
      </c>
      <c r="H116" t="str">
        <f>IFERROR(INDEX(Framework[Sub_Pillar],MATCH('Step 4-Long Data'!F116,Framework[Number],0)),"")</f>
        <v>Living standards</v>
      </c>
      <c r="I116" t="str">
        <f>IFERROR(INDEX(Framework[Indicator],MATCH('Step 4-Long Data'!F116,Framework[Number],0)),"")</f>
        <v>% HHs without access to essential services (including health, education, markets, and improved water sources)</v>
      </c>
      <c r="J116" t="str">
        <f>IFERROR(INDEX(Framework[Class],MATCH('Step 4-Long Data'!F116,Framework[Number],0)),"")</f>
        <v>Degree</v>
      </c>
      <c r="K116" t="str">
        <f>IFERROR(INDEX(Framework[Critical],MATCH('Step 4-Long Data'!F116,Framework[Number],0)),"")</f>
        <v>No</v>
      </c>
      <c r="L116">
        <f ca="1">IF(Long_Data[[#This Row],[Indicator Class]]="Degree",INDEX(INDIRECT("Data_Entry['"&amp;Long_Data[[#This Row],[Indicator Number]]&amp;"'_DSev_1]"),MATCH(Long_Data[[#This Row],[Key]],Data_Entry[Key],0)),"NA")</f>
        <v>0.29449999999999998</v>
      </c>
      <c r="M116">
        <f ca="1">IF(Long_Data[[#This Row],[Indicator Class]]="Degree",INDEX(INDIRECT("Data_Entry['"&amp;Long_Data[[#This Row],[Indicator Number]]&amp;"'_DSev_2]"),MATCH(Long_Data[[#This Row],[Key]],Data_Entry[Key],0)),"NA")</f>
        <v>0.41500000000000004</v>
      </c>
      <c r="N116">
        <f ca="1">IF(Long_Data[[#This Row],[Indicator Class]]="Degree",INDEX(INDIRECT("Data_Entry['"&amp;Long_Data[[#This Row],[Indicator Number]]&amp;"'_DSev_3]"),MATCH(Long_Data[[#This Row],[Key]],Data_Entry[Key],0)),"NA")</f>
        <v>0.26450000000000001</v>
      </c>
      <c r="O116">
        <f ca="1">IF(Long_Data[[#This Row],[Indicator Class]]="Degree",INDEX(INDIRECT("Data_Entry['"&amp;Long_Data[[#This Row],[Indicator Number]]&amp;"'_DSev_4]"),MATCH(Long_Data[[#This Row],[Key]],Data_Entry[Key],0)),"NA")</f>
        <v>2.0899999999999998E-2</v>
      </c>
      <c r="P116">
        <f ca="1">IF(Long_Data[[#This Row],[Indicator Class]]="Degree",INDEX(INDIRECT("Data_Entry['"&amp;Long_Data[[#This Row],[Indicator Number]]&amp;"'_DSev_5]"),MATCH(Long_Data[[#This Row],[Key]],Data_Entry[Key],0)),"NA")</f>
        <v>5.1000000000000004E-3</v>
      </c>
      <c r="Q116" t="str">
        <f ca="1">IFERROR(IF(Long_Data[[#This Row],[Indicator Class]]="Magnitude", INDEX(INDIRECT("Data_Entry[Sev_"&amp;Long_Data[[#This Row],[Indicator Number]]&amp;"]"),MATCH(Long_Data[[#This Row],[Key]], Data_Entry[Key],0)),"NA"),"")</f>
        <v>NA</v>
      </c>
      <c r="R11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16" s="70">
        <f ca="1">IFERROR(IF(J116="Magnitude",INDEX(INDIRECT("Data_Entry[PIN_"&amp;Long_Data[[#This Row],[Indicator Number]]&amp;"]"),MATCH(Long_Data[[#This Row],[Key]],Data_Entry[Key],0)),SUM(N116:P116)*INDEX(Baseline_Pop[Population],MATCH(Long_Data[[#This Row],[Key]],Baseline_Pop[Key],0))),"")</f>
        <v>32490.391499999998</v>
      </c>
    </row>
    <row r="117" spans="2:19">
      <c r="B117">
        <v>116</v>
      </c>
      <c r="C117">
        <v>26</v>
      </c>
      <c r="D117" t="str">
        <f>IFERROR(INDEX(Data_Entry[ADM2_Pcode],MATCH('Step 4-Long Data'!C117,Data_Entry[ID],0)),"NA")</f>
        <v>AF06</v>
      </c>
      <c r="E117" t="str">
        <f>IFERROR(INDEX(Data_Entry[Key],MATCH('Step 4-Long Data'!C117,Data_Entry[ID],0)),"NA")</f>
        <v>AF06-Migrants</v>
      </c>
      <c r="F117">
        <v>4</v>
      </c>
      <c r="G117" t="str">
        <f>IFERROR(INDEX(Framework[Pillar],MATCH('Step 4-Long Data'!F117,Framework[Number],0)),"")</f>
        <v>Humanitarian Conditions</v>
      </c>
      <c r="H117" t="str">
        <f>IFERROR(INDEX(Framework[Sub_Pillar],MATCH('Step 4-Long Data'!F117,Framework[Number],0)),"")</f>
        <v>Living standards</v>
      </c>
      <c r="I117" t="str">
        <f>IFERROR(INDEX(Framework[Indicator],MATCH('Step 4-Long Data'!F117,Framework[Number],0)),"")</f>
        <v>% HHs without access to essential services (including health, education, markets, and improved water sources)</v>
      </c>
      <c r="J117" t="str">
        <f>IFERROR(INDEX(Framework[Class],MATCH('Step 4-Long Data'!F117,Framework[Number],0)),"")</f>
        <v>Degree</v>
      </c>
      <c r="K117" t="str">
        <f>IFERROR(INDEX(Framework[Critical],MATCH('Step 4-Long Data'!F117,Framework[Number],0)),"")</f>
        <v>No</v>
      </c>
      <c r="L117">
        <f ca="1">IF(Long_Data[[#This Row],[Indicator Class]]="Degree",INDEX(INDIRECT("Data_Entry['"&amp;Long_Data[[#This Row],[Indicator Number]]&amp;"'_DSev_1]"),MATCH(Long_Data[[#This Row],[Key]],Data_Entry[Key],0)),"NA")</f>
        <v>0.31329999999999997</v>
      </c>
      <c r="M117">
        <f ca="1">IF(Long_Data[[#This Row],[Indicator Class]]="Degree",INDEX(INDIRECT("Data_Entry['"&amp;Long_Data[[#This Row],[Indicator Number]]&amp;"'_DSev_2]"),MATCH(Long_Data[[#This Row],[Key]],Data_Entry[Key],0)),"NA")</f>
        <v>0.45040000000000002</v>
      </c>
      <c r="N117">
        <f ca="1">IF(Long_Data[[#This Row],[Indicator Class]]="Degree",INDEX(INDIRECT("Data_Entry['"&amp;Long_Data[[#This Row],[Indicator Number]]&amp;"'_DSev_3]"),MATCH(Long_Data[[#This Row],[Key]],Data_Entry[Key],0)),"NA")</f>
        <v>0.1706</v>
      </c>
      <c r="O117">
        <f ca="1">IF(Long_Data[[#This Row],[Indicator Class]]="Degree",INDEX(INDIRECT("Data_Entry['"&amp;Long_Data[[#This Row],[Indicator Number]]&amp;"'_DSev_4]"),MATCH(Long_Data[[#This Row],[Key]],Data_Entry[Key],0)),"NA")</f>
        <v>5.3899999999999997E-2</v>
      </c>
      <c r="P117">
        <f ca="1">IF(Long_Data[[#This Row],[Indicator Class]]="Degree",INDEX(INDIRECT("Data_Entry['"&amp;Long_Data[[#This Row],[Indicator Number]]&amp;"'_DSev_5]"),MATCH(Long_Data[[#This Row],[Key]],Data_Entry[Key],0)),"NA")</f>
        <v>1.18E-2</v>
      </c>
      <c r="Q117" t="str">
        <f ca="1">IFERROR(IF(Long_Data[[#This Row],[Indicator Class]]="Magnitude", INDEX(INDIRECT("Data_Entry[Sev_"&amp;Long_Data[[#This Row],[Indicator Number]]&amp;"]"),MATCH(Long_Data[[#This Row],[Key]], Data_Entry[Key],0)),"NA"),"")</f>
        <v>NA</v>
      </c>
      <c r="R117">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7" s="70">
        <f ca="1">IFERROR(IF(J117="Magnitude",INDEX(INDIRECT("Data_Entry[PIN_"&amp;Long_Data[[#This Row],[Indicator Number]]&amp;"]"),MATCH(Long_Data[[#This Row],[Key]],Data_Entry[Key],0)),SUM(N117:P117)*INDEX(Baseline_Pop[Population],MATCH(Long_Data[[#This Row],[Key]],Baseline_Pop[Key],0))),"")</f>
        <v>103535.7902</v>
      </c>
    </row>
    <row r="118" spans="2:19">
      <c r="B118">
        <v>117</v>
      </c>
      <c r="C118">
        <v>27</v>
      </c>
      <c r="D118" t="str">
        <f>IFERROR(INDEX(Data_Entry[ADM2_Pcode],MATCH('Step 4-Long Data'!C118,Data_Entry[ID],0)),"NA")</f>
        <v>AF07</v>
      </c>
      <c r="E118" t="str">
        <f>IFERROR(INDEX(Data_Entry[Key],MATCH('Step 4-Long Data'!C118,Data_Entry[ID],0)),"NA")</f>
        <v>AF07-Migrants</v>
      </c>
      <c r="F118">
        <v>4</v>
      </c>
      <c r="G118" t="str">
        <f>IFERROR(INDEX(Framework[Pillar],MATCH('Step 4-Long Data'!F118,Framework[Number],0)),"")</f>
        <v>Humanitarian Conditions</v>
      </c>
      <c r="H118" t="str">
        <f>IFERROR(INDEX(Framework[Sub_Pillar],MATCH('Step 4-Long Data'!F118,Framework[Number],0)),"")</f>
        <v>Living standards</v>
      </c>
      <c r="I118" t="str">
        <f>IFERROR(INDEX(Framework[Indicator],MATCH('Step 4-Long Data'!F118,Framework[Number],0)),"")</f>
        <v>% HHs without access to essential services (including health, education, markets, and improved water sources)</v>
      </c>
      <c r="J118" t="str">
        <f>IFERROR(INDEX(Framework[Class],MATCH('Step 4-Long Data'!F118,Framework[Number],0)),"")</f>
        <v>Degree</v>
      </c>
      <c r="K118" t="str">
        <f>IFERROR(INDEX(Framework[Critical],MATCH('Step 4-Long Data'!F118,Framework[Number],0)),"")</f>
        <v>No</v>
      </c>
      <c r="L118">
        <f ca="1">IF(Long_Data[[#This Row],[Indicator Class]]="Degree",INDEX(INDIRECT("Data_Entry['"&amp;Long_Data[[#This Row],[Indicator Number]]&amp;"'_DSev_1]"),MATCH(Long_Data[[#This Row],[Key]],Data_Entry[Key],0)),"NA")</f>
        <v>0.44930000000000003</v>
      </c>
      <c r="M118">
        <f ca="1">IF(Long_Data[[#This Row],[Indicator Class]]="Degree",INDEX(INDIRECT("Data_Entry['"&amp;Long_Data[[#This Row],[Indicator Number]]&amp;"'_DSev_2]"),MATCH(Long_Data[[#This Row],[Key]],Data_Entry[Key],0)),"NA")</f>
        <v>0.45060000000000006</v>
      </c>
      <c r="N118">
        <f ca="1">IF(Long_Data[[#This Row],[Indicator Class]]="Degree",INDEX(INDIRECT("Data_Entry['"&amp;Long_Data[[#This Row],[Indicator Number]]&amp;"'_DSev_3]"),MATCH(Long_Data[[#This Row],[Key]],Data_Entry[Key],0)),"NA")</f>
        <v>8.1099999999999992E-2</v>
      </c>
      <c r="O118">
        <f ca="1">IF(Long_Data[[#This Row],[Indicator Class]]="Degree",INDEX(INDIRECT("Data_Entry['"&amp;Long_Data[[#This Row],[Indicator Number]]&amp;"'_DSev_4]"),MATCH(Long_Data[[#This Row],[Key]],Data_Entry[Key],0)),"NA")</f>
        <v>1.89E-2</v>
      </c>
      <c r="P118">
        <f ca="1">IF(Long_Data[[#This Row],[Indicator Class]]="Degree",INDEX(INDIRECT("Data_Entry['"&amp;Long_Data[[#This Row],[Indicator Number]]&amp;"'_DSev_5]"),MATCH(Long_Data[[#This Row],[Key]],Data_Entry[Key],0)),"NA")</f>
        <v>0</v>
      </c>
      <c r="Q118" t="str">
        <f ca="1">IFERROR(IF(Long_Data[[#This Row],[Indicator Class]]="Magnitude", INDEX(INDIRECT("Data_Entry[Sev_"&amp;Long_Data[[#This Row],[Indicator Number]]&amp;"]"),MATCH(Long_Data[[#This Row],[Key]], Data_Entry[Key],0)),"NA"),"")</f>
        <v>NA</v>
      </c>
      <c r="R11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18" s="70">
        <f ca="1">IFERROR(IF(J118="Magnitude",INDEX(INDIRECT("Data_Entry[PIN_"&amp;Long_Data[[#This Row],[Indicator Number]]&amp;"]"),MATCH(Long_Data[[#This Row],[Key]],Data_Entry[Key],0)),SUM(N118:P118)*INDEX(Baseline_Pop[Population],MATCH(Long_Data[[#This Row],[Key]],Baseline_Pop[Key],0))),"")</f>
        <v>12706.3</v>
      </c>
    </row>
    <row r="119" spans="2:19">
      <c r="B119">
        <v>118</v>
      </c>
      <c r="C119">
        <v>28</v>
      </c>
      <c r="D119" t="str">
        <f>IFERROR(INDEX(Data_Entry[ADM2_Pcode],MATCH('Step 4-Long Data'!C119,Data_Entry[ID],0)),"NA")</f>
        <v>AF08</v>
      </c>
      <c r="E119" t="str">
        <f>IFERROR(INDEX(Data_Entry[Key],MATCH('Step 4-Long Data'!C119,Data_Entry[ID],0)),"NA")</f>
        <v>AF08-Migrants</v>
      </c>
      <c r="F119">
        <v>4</v>
      </c>
      <c r="G119" t="str">
        <f>IFERROR(INDEX(Framework[Pillar],MATCH('Step 4-Long Data'!F119,Framework[Number],0)),"")</f>
        <v>Humanitarian Conditions</v>
      </c>
      <c r="H119" t="str">
        <f>IFERROR(INDEX(Framework[Sub_Pillar],MATCH('Step 4-Long Data'!F119,Framework[Number],0)),"")</f>
        <v>Living standards</v>
      </c>
      <c r="I119" t="str">
        <f>IFERROR(INDEX(Framework[Indicator],MATCH('Step 4-Long Data'!F119,Framework[Number],0)),"")</f>
        <v>% HHs without access to essential services (including health, education, markets, and improved water sources)</v>
      </c>
      <c r="J119" t="str">
        <f>IFERROR(INDEX(Framework[Class],MATCH('Step 4-Long Data'!F119,Framework[Number],0)),"")</f>
        <v>Degree</v>
      </c>
      <c r="K119" t="str">
        <f>IFERROR(INDEX(Framework[Critical],MATCH('Step 4-Long Data'!F119,Framework[Number],0)),"")</f>
        <v>No</v>
      </c>
      <c r="L119">
        <f ca="1">IF(Long_Data[[#This Row],[Indicator Class]]="Degree",INDEX(INDIRECT("Data_Entry['"&amp;Long_Data[[#This Row],[Indicator Number]]&amp;"'_DSev_1]"),MATCH(Long_Data[[#This Row],[Key]],Data_Entry[Key],0)),"NA")</f>
        <v>0.19760000000000003</v>
      </c>
      <c r="M119">
        <f ca="1">IF(Long_Data[[#This Row],[Indicator Class]]="Degree",INDEX(INDIRECT("Data_Entry['"&amp;Long_Data[[#This Row],[Indicator Number]]&amp;"'_DSev_2]"),MATCH(Long_Data[[#This Row],[Key]],Data_Entry[Key],0)),"NA")</f>
        <v>0.39520000000000005</v>
      </c>
      <c r="N119">
        <f ca="1">IF(Long_Data[[#This Row],[Indicator Class]]="Degree",INDEX(INDIRECT("Data_Entry['"&amp;Long_Data[[#This Row],[Indicator Number]]&amp;"'_DSev_3]"),MATCH(Long_Data[[#This Row],[Key]],Data_Entry[Key],0)),"NA")</f>
        <v>0.3473</v>
      </c>
      <c r="O119">
        <f ca="1">IF(Long_Data[[#This Row],[Indicator Class]]="Degree",INDEX(INDIRECT("Data_Entry['"&amp;Long_Data[[#This Row],[Indicator Number]]&amp;"'_DSev_4]"),MATCH(Long_Data[[#This Row],[Key]],Data_Entry[Key],0)),"NA")</f>
        <v>5.9900000000000002E-2</v>
      </c>
      <c r="P119">
        <f ca="1">IF(Long_Data[[#This Row],[Indicator Class]]="Degree",INDEX(INDIRECT("Data_Entry['"&amp;Long_Data[[#This Row],[Indicator Number]]&amp;"'_DSev_5]"),MATCH(Long_Data[[#This Row],[Key]],Data_Entry[Key],0)),"NA")</f>
        <v>0</v>
      </c>
      <c r="Q119" t="str">
        <f ca="1">IFERROR(IF(Long_Data[[#This Row],[Indicator Class]]="Magnitude", INDEX(INDIRECT("Data_Entry[Sev_"&amp;Long_Data[[#This Row],[Indicator Number]]&amp;"]"),MATCH(Long_Data[[#This Row],[Key]], Data_Entry[Key],0)),"NA"),"")</f>
        <v>NA</v>
      </c>
      <c r="R11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19" s="70">
        <f ca="1">IFERROR(IF(J119="Magnitude",INDEX(INDIRECT("Data_Entry[PIN_"&amp;Long_Data[[#This Row],[Indicator Number]]&amp;"]"),MATCH(Long_Data[[#This Row],[Key]],Data_Entry[Key],0)),SUM(N119:P119)*INDEX(Baseline_Pop[Population],MATCH(Long_Data[[#This Row],[Key]],Baseline_Pop[Key],0))),"")</f>
        <v>17816.221600000001</v>
      </c>
    </row>
    <row r="120" spans="2:19">
      <c r="B120">
        <v>119</v>
      </c>
      <c r="C120">
        <v>29</v>
      </c>
      <c r="D120" t="str">
        <f>IFERROR(INDEX(Data_Entry[ADM2_Pcode],MATCH('Step 4-Long Data'!C120,Data_Entry[ID],0)),"NA")</f>
        <v>AF09</v>
      </c>
      <c r="E120" t="str">
        <f>IFERROR(INDEX(Data_Entry[Key],MATCH('Step 4-Long Data'!C120,Data_Entry[ID],0)),"NA")</f>
        <v>AF09-Migrants</v>
      </c>
      <c r="F120">
        <v>4</v>
      </c>
      <c r="G120" t="str">
        <f>IFERROR(INDEX(Framework[Pillar],MATCH('Step 4-Long Data'!F120,Framework[Number],0)),"")</f>
        <v>Humanitarian Conditions</v>
      </c>
      <c r="H120" t="str">
        <f>IFERROR(INDEX(Framework[Sub_Pillar],MATCH('Step 4-Long Data'!F120,Framework[Number],0)),"")</f>
        <v>Living standards</v>
      </c>
      <c r="I120" t="str">
        <f>IFERROR(INDEX(Framework[Indicator],MATCH('Step 4-Long Data'!F120,Framework[Number],0)),"")</f>
        <v>% HHs without access to essential services (including health, education, markets, and improved water sources)</v>
      </c>
      <c r="J120" t="str">
        <f>IFERROR(INDEX(Framework[Class],MATCH('Step 4-Long Data'!F120,Framework[Number],0)),"")</f>
        <v>Degree</v>
      </c>
      <c r="K120" t="str">
        <f>IFERROR(INDEX(Framework[Critical],MATCH('Step 4-Long Data'!F120,Framework[Number],0)),"")</f>
        <v>No</v>
      </c>
      <c r="L120">
        <f ca="1">IF(Long_Data[[#This Row],[Indicator Class]]="Degree",INDEX(INDIRECT("Data_Entry['"&amp;Long_Data[[#This Row],[Indicator Number]]&amp;"'_DSev_1]"),MATCH(Long_Data[[#This Row],[Key]],Data_Entry[Key],0)),"NA")</f>
        <v>7.7899999999999997E-2</v>
      </c>
      <c r="M120">
        <f ca="1">IF(Long_Data[[#This Row],[Indicator Class]]="Degree",INDEX(INDIRECT("Data_Entry['"&amp;Long_Data[[#This Row],[Indicator Number]]&amp;"'_DSev_2]"),MATCH(Long_Data[[#This Row],[Key]],Data_Entry[Key],0)),"NA")</f>
        <v>0.22500000000000001</v>
      </c>
      <c r="N120">
        <f ca="1">IF(Long_Data[[#This Row],[Indicator Class]]="Degree",INDEX(INDIRECT("Data_Entry['"&amp;Long_Data[[#This Row],[Indicator Number]]&amp;"'_DSev_3]"),MATCH(Long_Data[[#This Row],[Key]],Data_Entry[Key],0)),"NA")</f>
        <v>0.29730000000000001</v>
      </c>
      <c r="O120">
        <f ca="1">IF(Long_Data[[#This Row],[Indicator Class]]="Degree",INDEX(INDIRECT("Data_Entry['"&amp;Long_Data[[#This Row],[Indicator Number]]&amp;"'_DSev_4]"),MATCH(Long_Data[[#This Row],[Key]],Data_Entry[Key],0)),"NA")</f>
        <v>0.21690000000000001</v>
      </c>
      <c r="P120">
        <f ca="1">IF(Long_Data[[#This Row],[Indicator Class]]="Degree",INDEX(INDIRECT("Data_Entry['"&amp;Long_Data[[#This Row],[Indicator Number]]&amp;"'_DSev_5]"),MATCH(Long_Data[[#This Row],[Key]],Data_Entry[Key],0)),"NA")</f>
        <v>0.18290000000000001</v>
      </c>
      <c r="Q120" t="str">
        <f ca="1">IFERROR(IF(Long_Data[[#This Row],[Indicator Class]]="Magnitude", INDEX(INDIRECT("Data_Entry[Sev_"&amp;Long_Data[[#This Row],[Indicator Number]]&amp;"]"),MATCH(Long_Data[[#This Row],[Key]], Data_Entry[Key],0)),"NA"),"")</f>
        <v>NA</v>
      </c>
      <c r="R12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20" s="70">
        <f ca="1">IFERROR(IF(J120="Magnitude",INDEX(INDIRECT("Data_Entry[PIN_"&amp;Long_Data[[#This Row],[Indicator Number]]&amp;"]"),MATCH(Long_Data[[#This Row],[Key]],Data_Entry[Key],0)),SUM(N120:P120)*INDEX(Baseline_Pop[Population],MATCH(Long_Data[[#This Row],[Key]],Baseline_Pop[Key],0))),"")</f>
        <v>182116.67790000001</v>
      </c>
    </row>
    <row r="121" spans="2:19">
      <c r="B121">
        <v>120</v>
      </c>
      <c r="C121">
        <v>30</v>
      </c>
      <c r="D121" t="str">
        <f>IFERROR(INDEX(Data_Entry[ADM2_Pcode],MATCH('Step 4-Long Data'!C121,Data_Entry[ID],0)),"NA")</f>
        <v>AF10</v>
      </c>
      <c r="E121" t="str">
        <f>IFERROR(INDEX(Data_Entry[Key],MATCH('Step 4-Long Data'!C121,Data_Entry[ID],0)),"NA")</f>
        <v>AF10-Migrants</v>
      </c>
      <c r="F121">
        <v>4</v>
      </c>
      <c r="G121" t="str">
        <f>IFERROR(INDEX(Framework[Pillar],MATCH('Step 4-Long Data'!F121,Framework[Number],0)),"")</f>
        <v>Humanitarian Conditions</v>
      </c>
      <c r="H121" t="str">
        <f>IFERROR(INDEX(Framework[Sub_Pillar],MATCH('Step 4-Long Data'!F121,Framework[Number],0)),"")</f>
        <v>Living standards</v>
      </c>
      <c r="I121" t="str">
        <f>IFERROR(INDEX(Framework[Indicator],MATCH('Step 4-Long Data'!F121,Framework[Number],0)),"")</f>
        <v>% HHs without access to essential services (including health, education, markets, and improved water sources)</v>
      </c>
      <c r="J121" t="str">
        <f>IFERROR(INDEX(Framework[Class],MATCH('Step 4-Long Data'!F121,Framework[Number],0)),"")</f>
        <v>Degree</v>
      </c>
      <c r="K121" t="str">
        <f>IFERROR(INDEX(Framework[Critical],MATCH('Step 4-Long Data'!F121,Framework[Number],0)),"")</f>
        <v>No</v>
      </c>
      <c r="L121">
        <f ca="1">IF(Long_Data[[#This Row],[Indicator Class]]="Degree",INDEX(INDIRECT("Data_Entry['"&amp;Long_Data[[#This Row],[Indicator Number]]&amp;"'_DSev_1]"),MATCH(Long_Data[[#This Row],[Key]],Data_Entry[Key],0)),"NA")</f>
        <v>0.35450000000000004</v>
      </c>
      <c r="M121">
        <f ca="1">IF(Long_Data[[#This Row],[Indicator Class]]="Degree",INDEX(INDIRECT("Data_Entry['"&amp;Long_Data[[#This Row],[Indicator Number]]&amp;"'_DSev_2]"),MATCH(Long_Data[[#This Row],[Key]],Data_Entry[Key],0)),"NA")</f>
        <v>0.47619999999999996</v>
      </c>
      <c r="N121">
        <f ca="1">IF(Long_Data[[#This Row],[Indicator Class]]="Degree",INDEX(INDIRECT("Data_Entry['"&amp;Long_Data[[#This Row],[Indicator Number]]&amp;"'_DSev_3]"),MATCH(Long_Data[[#This Row],[Key]],Data_Entry[Key],0)),"NA")</f>
        <v>0.15870000000000001</v>
      </c>
      <c r="O121">
        <f ca="1">IF(Long_Data[[#This Row],[Indicator Class]]="Degree",INDEX(INDIRECT("Data_Entry['"&amp;Long_Data[[#This Row],[Indicator Number]]&amp;"'_DSev_4]"),MATCH(Long_Data[[#This Row],[Key]],Data_Entry[Key],0)),"NA")</f>
        <v>1.06E-2</v>
      </c>
      <c r="P121">
        <f ca="1">IF(Long_Data[[#This Row],[Indicator Class]]="Degree",INDEX(INDIRECT("Data_Entry['"&amp;Long_Data[[#This Row],[Indicator Number]]&amp;"'_DSev_5]"),MATCH(Long_Data[[#This Row],[Key]],Data_Entry[Key],0)),"NA")</f>
        <v>0</v>
      </c>
      <c r="Q121" t="str">
        <f ca="1">IFERROR(IF(Long_Data[[#This Row],[Indicator Class]]="Magnitude", INDEX(INDIRECT("Data_Entry[Sev_"&amp;Long_Data[[#This Row],[Indicator Number]]&amp;"]"),MATCH(Long_Data[[#This Row],[Key]], Data_Entry[Key],0)),"NA"),"")</f>
        <v>NA</v>
      </c>
      <c r="R12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21" s="70">
        <f ca="1">IFERROR(IF(J121="Magnitude",INDEX(INDIRECT("Data_Entry[PIN_"&amp;Long_Data[[#This Row],[Indicator Number]]&amp;"]"),MATCH(Long_Data[[#This Row],[Key]],Data_Entry[Key],0)),SUM(N121:P121)*INDEX(Baseline_Pop[Population],MATCH(Long_Data[[#This Row],[Key]],Baseline_Pop[Key],0))),"")</f>
        <v>21602.1721</v>
      </c>
    </row>
    <row r="122" spans="2:19">
      <c r="B122">
        <v>121</v>
      </c>
      <c r="C122">
        <v>1</v>
      </c>
      <c r="D122" t="str">
        <f>IFERROR(INDEX(Data_Entry[ADM2_Pcode],MATCH('Step 4-Long Data'!C122,Data_Entry[ID],0)),"NA")</f>
        <v>AF01</v>
      </c>
      <c r="E122" t="str">
        <f>IFERROR(INDEX(Data_Entry[Key],MATCH('Step 4-Long Data'!C122,Data_Entry[ID],0)),"NA")</f>
        <v>AF01-All_Others</v>
      </c>
      <c r="F122">
        <v>5</v>
      </c>
      <c r="G122" t="str">
        <f>IFERROR(INDEX(Framework[Pillar],MATCH('Step 4-Long Data'!F122,Framework[Number],0)),"")</f>
        <v>Humanitarian Conditions</v>
      </c>
      <c r="H122" t="str">
        <f>IFERROR(INDEX(Framework[Sub_Pillar],MATCH('Step 4-Long Data'!F122,Framework[Number],0)),"")</f>
        <v>Living standards</v>
      </c>
      <c r="I122" t="str">
        <f>IFERROR(INDEX(Framework[Indicator],MATCH('Step 4-Long Data'!F122,Framework[Number],0)),"")</f>
        <v>% of children aged 6 to 17 that attended formal schooling at least 4 days a week prior to C-19 outbreak</v>
      </c>
      <c r="J122" t="str">
        <f>IFERROR(INDEX(Framework[Class],MATCH('Step 4-Long Data'!F122,Framework[Number],0)),"")</f>
        <v>Magnitude</v>
      </c>
      <c r="K122" t="str">
        <f>IFERROR(INDEX(Framework[Critical],MATCH('Step 4-Long Data'!F122,Framework[Number],0)),"")</f>
        <v>No</v>
      </c>
      <c r="L122" t="str">
        <f ca="1">IF(Long_Data[[#This Row],[Indicator Class]]="Degree",INDEX(INDIRECT("Data_Entry['"&amp;Long_Data[[#This Row],[Indicator Number]]&amp;"'_DSev_1]"),MATCH(Long_Data[[#This Row],[Key]],Data_Entry[Key],0)),"NA")</f>
        <v>NA</v>
      </c>
      <c r="M122" t="str">
        <f ca="1">IF(Long_Data[[#This Row],[Indicator Class]]="Degree",INDEX(INDIRECT("Data_Entry['"&amp;Long_Data[[#This Row],[Indicator Number]]&amp;"'_DSev_2]"),MATCH(Long_Data[[#This Row],[Key]],Data_Entry[Key],0)),"NA")</f>
        <v>NA</v>
      </c>
      <c r="N122" t="str">
        <f ca="1">IF(Long_Data[[#This Row],[Indicator Class]]="Degree",INDEX(INDIRECT("Data_Entry['"&amp;Long_Data[[#This Row],[Indicator Number]]&amp;"'_DSev_3]"),MATCH(Long_Data[[#This Row],[Key]],Data_Entry[Key],0)),"NA")</f>
        <v>NA</v>
      </c>
      <c r="O122" t="str">
        <f ca="1">IF(Long_Data[[#This Row],[Indicator Class]]="Degree",INDEX(INDIRECT("Data_Entry['"&amp;Long_Data[[#This Row],[Indicator Number]]&amp;"'_DSev_4]"),MATCH(Long_Data[[#This Row],[Key]],Data_Entry[Key],0)),"NA")</f>
        <v>NA</v>
      </c>
      <c r="P122" t="str">
        <f ca="1">IF(Long_Data[[#This Row],[Indicator Class]]="Degree",INDEX(INDIRECT("Data_Entry['"&amp;Long_Data[[#This Row],[Indicator Number]]&amp;"'_DSev_5]"),MATCH(Long_Data[[#This Row],[Key]],Data_Entry[Key],0)),"NA")</f>
        <v>NA</v>
      </c>
      <c r="Q122">
        <f ca="1">IFERROR(IF(Long_Data[[#This Row],[Indicator Class]]="Magnitude", INDEX(INDIRECT("Data_Entry[Sev_"&amp;Long_Data[[#This Row],[Indicator Number]]&amp;"]"),MATCH(Long_Data[[#This Row],[Key]], Data_Entry[Key],0)),"NA"),"")</f>
        <v>2</v>
      </c>
      <c r="R12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22" s="70">
        <f ca="1">IFERROR(IF(J122="Magnitude",INDEX(INDIRECT("Data_Entry[PIN_"&amp;Long_Data[[#This Row],[Indicator Number]]&amp;"]"),MATCH(Long_Data[[#This Row],[Key]],Data_Entry[Key],0)),SUM(N122:P122)*INDEX(Baseline_Pop[Population],MATCH(Long_Data[[#This Row],[Key]],Baseline_Pop[Key],0))),"")</f>
        <v>0</v>
      </c>
    </row>
    <row r="123" spans="2:19">
      <c r="B123">
        <v>122</v>
      </c>
      <c r="C123">
        <v>2</v>
      </c>
      <c r="D123" t="str">
        <f>IFERROR(INDEX(Data_Entry[ADM2_Pcode],MATCH('Step 4-Long Data'!C123,Data_Entry[ID],0)),"NA")</f>
        <v>AF02</v>
      </c>
      <c r="E123" t="str">
        <f>IFERROR(INDEX(Data_Entry[Key],MATCH('Step 4-Long Data'!C123,Data_Entry[ID],0)),"NA")</f>
        <v>AF02-All_Others</v>
      </c>
      <c r="F123">
        <v>5</v>
      </c>
      <c r="G123" t="str">
        <f>IFERROR(INDEX(Framework[Pillar],MATCH('Step 4-Long Data'!F123,Framework[Number],0)),"")</f>
        <v>Humanitarian Conditions</v>
      </c>
      <c r="H123" t="str">
        <f>IFERROR(INDEX(Framework[Sub_Pillar],MATCH('Step 4-Long Data'!F123,Framework[Number],0)),"")</f>
        <v>Living standards</v>
      </c>
      <c r="I123" t="str">
        <f>IFERROR(INDEX(Framework[Indicator],MATCH('Step 4-Long Data'!F123,Framework[Number],0)),"")</f>
        <v>% of children aged 6 to 17 that attended formal schooling at least 4 days a week prior to C-19 outbreak</v>
      </c>
      <c r="J123" t="str">
        <f>IFERROR(INDEX(Framework[Class],MATCH('Step 4-Long Data'!F123,Framework[Number],0)),"")</f>
        <v>Magnitude</v>
      </c>
      <c r="K123" t="str">
        <f>IFERROR(INDEX(Framework[Critical],MATCH('Step 4-Long Data'!F123,Framework[Number],0)),"")</f>
        <v>No</v>
      </c>
      <c r="L123" t="str">
        <f ca="1">IF(Long_Data[[#This Row],[Indicator Class]]="Degree",INDEX(INDIRECT("Data_Entry['"&amp;Long_Data[[#This Row],[Indicator Number]]&amp;"'_DSev_1]"),MATCH(Long_Data[[#This Row],[Key]],Data_Entry[Key],0)),"NA")</f>
        <v>NA</v>
      </c>
      <c r="M123" t="str">
        <f ca="1">IF(Long_Data[[#This Row],[Indicator Class]]="Degree",INDEX(INDIRECT("Data_Entry['"&amp;Long_Data[[#This Row],[Indicator Number]]&amp;"'_DSev_2]"),MATCH(Long_Data[[#This Row],[Key]],Data_Entry[Key],0)),"NA")</f>
        <v>NA</v>
      </c>
      <c r="N123" t="str">
        <f ca="1">IF(Long_Data[[#This Row],[Indicator Class]]="Degree",INDEX(INDIRECT("Data_Entry['"&amp;Long_Data[[#This Row],[Indicator Number]]&amp;"'_DSev_3]"),MATCH(Long_Data[[#This Row],[Key]],Data_Entry[Key],0)),"NA")</f>
        <v>NA</v>
      </c>
      <c r="O123" t="str">
        <f ca="1">IF(Long_Data[[#This Row],[Indicator Class]]="Degree",INDEX(INDIRECT("Data_Entry['"&amp;Long_Data[[#This Row],[Indicator Number]]&amp;"'_DSev_4]"),MATCH(Long_Data[[#This Row],[Key]],Data_Entry[Key],0)),"NA")</f>
        <v>NA</v>
      </c>
      <c r="P123" t="str">
        <f ca="1">IF(Long_Data[[#This Row],[Indicator Class]]="Degree",INDEX(INDIRECT("Data_Entry['"&amp;Long_Data[[#This Row],[Indicator Number]]&amp;"'_DSev_5]"),MATCH(Long_Data[[#This Row],[Key]],Data_Entry[Key],0)),"NA")</f>
        <v>NA</v>
      </c>
      <c r="Q123">
        <f ca="1">IFERROR(IF(Long_Data[[#This Row],[Indicator Class]]="Magnitude", INDEX(INDIRECT("Data_Entry[Sev_"&amp;Long_Data[[#This Row],[Indicator Number]]&amp;"]"),MATCH(Long_Data[[#This Row],[Key]], Data_Entry[Key],0)),"NA"),"")</f>
        <v>2</v>
      </c>
      <c r="R12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23" s="70">
        <f ca="1">IFERROR(IF(J123="Magnitude",INDEX(INDIRECT("Data_Entry[PIN_"&amp;Long_Data[[#This Row],[Indicator Number]]&amp;"]"),MATCH(Long_Data[[#This Row],[Key]],Data_Entry[Key],0)),SUM(N123:P123)*INDEX(Baseline_Pop[Population],MATCH(Long_Data[[#This Row],[Key]],Baseline_Pop[Key],0))),"")</f>
        <v>0</v>
      </c>
    </row>
    <row r="124" spans="2:19">
      <c r="B124">
        <v>123</v>
      </c>
      <c r="C124">
        <v>3</v>
      </c>
      <c r="D124" t="str">
        <f>IFERROR(INDEX(Data_Entry[ADM2_Pcode],MATCH('Step 4-Long Data'!C124,Data_Entry[ID],0)),"NA")</f>
        <v>AF03</v>
      </c>
      <c r="E124" t="str">
        <f>IFERROR(INDEX(Data_Entry[Key],MATCH('Step 4-Long Data'!C124,Data_Entry[ID],0)),"NA")</f>
        <v>AF03-All_Others</v>
      </c>
      <c r="F124">
        <v>5</v>
      </c>
      <c r="G124" t="str">
        <f>IFERROR(INDEX(Framework[Pillar],MATCH('Step 4-Long Data'!F124,Framework[Number],0)),"")</f>
        <v>Humanitarian Conditions</v>
      </c>
      <c r="H124" t="str">
        <f>IFERROR(INDEX(Framework[Sub_Pillar],MATCH('Step 4-Long Data'!F124,Framework[Number],0)),"")</f>
        <v>Living standards</v>
      </c>
      <c r="I124" t="str">
        <f>IFERROR(INDEX(Framework[Indicator],MATCH('Step 4-Long Data'!F124,Framework[Number],0)),"")</f>
        <v>% of children aged 6 to 17 that attended formal schooling at least 4 days a week prior to C-19 outbreak</v>
      </c>
      <c r="J124" t="str">
        <f>IFERROR(INDEX(Framework[Class],MATCH('Step 4-Long Data'!F124,Framework[Number],0)),"")</f>
        <v>Magnitude</v>
      </c>
      <c r="K124" t="str">
        <f>IFERROR(INDEX(Framework[Critical],MATCH('Step 4-Long Data'!F124,Framework[Number],0)),"")</f>
        <v>No</v>
      </c>
      <c r="L124" t="str">
        <f ca="1">IF(Long_Data[[#This Row],[Indicator Class]]="Degree",INDEX(INDIRECT("Data_Entry['"&amp;Long_Data[[#This Row],[Indicator Number]]&amp;"'_DSev_1]"),MATCH(Long_Data[[#This Row],[Key]],Data_Entry[Key],0)),"NA")</f>
        <v>NA</v>
      </c>
      <c r="M124" t="str">
        <f ca="1">IF(Long_Data[[#This Row],[Indicator Class]]="Degree",INDEX(INDIRECT("Data_Entry['"&amp;Long_Data[[#This Row],[Indicator Number]]&amp;"'_DSev_2]"),MATCH(Long_Data[[#This Row],[Key]],Data_Entry[Key],0)),"NA")</f>
        <v>NA</v>
      </c>
      <c r="N124" t="str">
        <f ca="1">IF(Long_Data[[#This Row],[Indicator Class]]="Degree",INDEX(INDIRECT("Data_Entry['"&amp;Long_Data[[#This Row],[Indicator Number]]&amp;"'_DSev_3]"),MATCH(Long_Data[[#This Row],[Key]],Data_Entry[Key],0)),"NA")</f>
        <v>NA</v>
      </c>
      <c r="O124" t="str">
        <f ca="1">IF(Long_Data[[#This Row],[Indicator Class]]="Degree",INDEX(INDIRECT("Data_Entry['"&amp;Long_Data[[#This Row],[Indicator Number]]&amp;"'_DSev_4]"),MATCH(Long_Data[[#This Row],[Key]],Data_Entry[Key],0)),"NA")</f>
        <v>NA</v>
      </c>
      <c r="P124" t="str">
        <f ca="1">IF(Long_Data[[#This Row],[Indicator Class]]="Degree",INDEX(INDIRECT("Data_Entry['"&amp;Long_Data[[#This Row],[Indicator Number]]&amp;"'_DSev_5]"),MATCH(Long_Data[[#This Row],[Key]],Data_Entry[Key],0)),"NA")</f>
        <v>NA</v>
      </c>
      <c r="Q124">
        <f ca="1">IFERROR(IF(Long_Data[[#This Row],[Indicator Class]]="Magnitude", INDEX(INDIRECT("Data_Entry[Sev_"&amp;Long_Data[[#This Row],[Indicator Number]]&amp;"]"),MATCH(Long_Data[[#This Row],[Key]], Data_Entry[Key],0)),"NA"),"")</f>
        <v>1</v>
      </c>
      <c r="R12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24" s="70">
        <f ca="1">IFERROR(IF(J124="Magnitude",INDEX(INDIRECT("Data_Entry[PIN_"&amp;Long_Data[[#This Row],[Indicator Number]]&amp;"]"),MATCH(Long_Data[[#This Row],[Key]],Data_Entry[Key],0)),SUM(N124:P124)*INDEX(Baseline_Pop[Population],MATCH(Long_Data[[#This Row],[Key]],Baseline_Pop[Key],0))),"")</f>
        <v>0</v>
      </c>
    </row>
    <row r="125" spans="2:19">
      <c r="B125">
        <v>124</v>
      </c>
      <c r="C125">
        <v>4</v>
      </c>
      <c r="D125" t="str">
        <f>IFERROR(INDEX(Data_Entry[ADM2_Pcode],MATCH('Step 4-Long Data'!C125,Data_Entry[ID],0)),"NA")</f>
        <v>AF04</v>
      </c>
      <c r="E125" t="str">
        <f>IFERROR(INDEX(Data_Entry[Key],MATCH('Step 4-Long Data'!C125,Data_Entry[ID],0)),"NA")</f>
        <v>AF04-All_Others</v>
      </c>
      <c r="F125">
        <v>5</v>
      </c>
      <c r="G125" t="str">
        <f>IFERROR(INDEX(Framework[Pillar],MATCH('Step 4-Long Data'!F125,Framework[Number],0)),"")</f>
        <v>Humanitarian Conditions</v>
      </c>
      <c r="H125" t="str">
        <f>IFERROR(INDEX(Framework[Sub_Pillar],MATCH('Step 4-Long Data'!F125,Framework[Number],0)),"")</f>
        <v>Living standards</v>
      </c>
      <c r="I125" t="str">
        <f>IFERROR(INDEX(Framework[Indicator],MATCH('Step 4-Long Data'!F125,Framework[Number],0)),"")</f>
        <v>% of children aged 6 to 17 that attended formal schooling at least 4 days a week prior to C-19 outbreak</v>
      </c>
      <c r="J125" t="str">
        <f>IFERROR(INDEX(Framework[Class],MATCH('Step 4-Long Data'!F125,Framework[Number],0)),"")</f>
        <v>Magnitude</v>
      </c>
      <c r="K125" t="str">
        <f>IFERROR(INDEX(Framework[Critical],MATCH('Step 4-Long Data'!F125,Framework[Number],0)),"")</f>
        <v>No</v>
      </c>
      <c r="L125" t="str">
        <f ca="1">IF(Long_Data[[#This Row],[Indicator Class]]="Degree",INDEX(INDIRECT("Data_Entry['"&amp;Long_Data[[#This Row],[Indicator Number]]&amp;"'_DSev_1]"),MATCH(Long_Data[[#This Row],[Key]],Data_Entry[Key],0)),"NA")</f>
        <v>NA</v>
      </c>
      <c r="M125" t="str">
        <f ca="1">IF(Long_Data[[#This Row],[Indicator Class]]="Degree",INDEX(INDIRECT("Data_Entry['"&amp;Long_Data[[#This Row],[Indicator Number]]&amp;"'_DSev_2]"),MATCH(Long_Data[[#This Row],[Key]],Data_Entry[Key],0)),"NA")</f>
        <v>NA</v>
      </c>
      <c r="N125" t="str">
        <f ca="1">IF(Long_Data[[#This Row],[Indicator Class]]="Degree",INDEX(INDIRECT("Data_Entry['"&amp;Long_Data[[#This Row],[Indicator Number]]&amp;"'_DSev_3]"),MATCH(Long_Data[[#This Row],[Key]],Data_Entry[Key],0)),"NA")</f>
        <v>NA</v>
      </c>
      <c r="O125" t="str">
        <f ca="1">IF(Long_Data[[#This Row],[Indicator Class]]="Degree",INDEX(INDIRECT("Data_Entry['"&amp;Long_Data[[#This Row],[Indicator Number]]&amp;"'_DSev_4]"),MATCH(Long_Data[[#This Row],[Key]],Data_Entry[Key],0)),"NA")</f>
        <v>NA</v>
      </c>
      <c r="P125" t="str">
        <f ca="1">IF(Long_Data[[#This Row],[Indicator Class]]="Degree",INDEX(INDIRECT("Data_Entry['"&amp;Long_Data[[#This Row],[Indicator Number]]&amp;"'_DSev_5]"),MATCH(Long_Data[[#This Row],[Key]],Data_Entry[Key],0)),"NA")</f>
        <v>NA</v>
      </c>
      <c r="Q125">
        <f ca="1">IFERROR(IF(Long_Data[[#This Row],[Indicator Class]]="Magnitude", INDEX(INDIRECT("Data_Entry[Sev_"&amp;Long_Data[[#This Row],[Indicator Number]]&amp;"]"),MATCH(Long_Data[[#This Row],[Key]], Data_Entry[Key],0)),"NA"),"")</f>
        <v>3</v>
      </c>
      <c r="R12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25" s="70">
        <f ca="1">IFERROR(IF(J125="Magnitude",INDEX(INDIRECT("Data_Entry[PIN_"&amp;Long_Data[[#This Row],[Indicator Number]]&amp;"]"),MATCH(Long_Data[[#This Row],[Key]],Data_Entry[Key],0)),SUM(N125:P125)*INDEX(Baseline_Pop[Population],MATCH(Long_Data[[#This Row],[Key]],Baseline_Pop[Key],0))),"")</f>
        <v>0</v>
      </c>
    </row>
    <row r="126" spans="2:19">
      <c r="B126">
        <v>125</v>
      </c>
      <c r="C126">
        <v>5</v>
      </c>
      <c r="D126" t="str">
        <f>IFERROR(INDEX(Data_Entry[ADM2_Pcode],MATCH('Step 4-Long Data'!C126,Data_Entry[ID],0)),"NA")</f>
        <v>AF05</v>
      </c>
      <c r="E126" t="str">
        <f>IFERROR(INDEX(Data_Entry[Key],MATCH('Step 4-Long Data'!C126,Data_Entry[ID],0)),"NA")</f>
        <v>AF05-All_Others</v>
      </c>
      <c r="F126">
        <v>5</v>
      </c>
      <c r="G126" t="str">
        <f>IFERROR(INDEX(Framework[Pillar],MATCH('Step 4-Long Data'!F126,Framework[Number],0)),"")</f>
        <v>Humanitarian Conditions</v>
      </c>
      <c r="H126" t="str">
        <f>IFERROR(INDEX(Framework[Sub_Pillar],MATCH('Step 4-Long Data'!F126,Framework[Number],0)),"")</f>
        <v>Living standards</v>
      </c>
      <c r="I126" t="str">
        <f>IFERROR(INDEX(Framework[Indicator],MATCH('Step 4-Long Data'!F126,Framework[Number],0)),"")</f>
        <v>% of children aged 6 to 17 that attended formal schooling at least 4 days a week prior to C-19 outbreak</v>
      </c>
      <c r="J126" t="str">
        <f>IFERROR(INDEX(Framework[Class],MATCH('Step 4-Long Data'!F126,Framework[Number],0)),"")</f>
        <v>Magnitude</v>
      </c>
      <c r="K126" t="str">
        <f>IFERROR(INDEX(Framework[Critical],MATCH('Step 4-Long Data'!F126,Framework[Number],0)),"")</f>
        <v>No</v>
      </c>
      <c r="L126" t="str">
        <f ca="1">IF(Long_Data[[#This Row],[Indicator Class]]="Degree",INDEX(INDIRECT("Data_Entry['"&amp;Long_Data[[#This Row],[Indicator Number]]&amp;"'_DSev_1]"),MATCH(Long_Data[[#This Row],[Key]],Data_Entry[Key],0)),"NA")</f>
        <v>NA</v>
      </c>
      <c r="M126" t="str">
        <f ca="1">IF(Long_Data[[#This Row],[Indicator Class]]="Degree",INDEX(INDIRECT("Data_Entry['"&amp;Long_Data[[#This Row],[Indicator Number]]&amp;"'_DSev_2]"),MATCH(Long_Data[[#This Row],[Key]],Data_Entry[Key],0)),"NA")</f>
        <v>NA</v>
      </c>
      <c r="N126" t="str">
        <f ca="1">IF(Long_Data[[#This Row],[Indicator Class]]="Degree",INDEX(INDIRECT("Data_Entry['"&amp;Long_Data[[#This Row],[Indicator Number]]&amp;"'_DSev_3]"),MATCH(Long_Data[[#This Row],[Key]],Data_Entry[Key],0)),"NA")</f>
        <v>NA</v>
      </c>
      <c r="O126" t="str">
        <f ca="1">IF(Long_Data[[#This Row],[Indicator Class]]="Degree",INDEX(INDIRECT("Data_Entry['"&amp;Long_Data[[#This Row],[Indicator Number]]&amp;"'_DSev_4]"),MATCH(Long_Data[[#This Row],[Key]],Data_Entry[Key],0)),"NA")</f>
        <v>NA</v>
      </c>
      <c r="P126" t="str">
        <f ca="1">IF(Long_Data[[#This Row],[Indicator Class]]="Degree",INDEX(INDIRECT("Data_Entry['"&amp;Long_Data[[#This Row],[Indicator Number]]&amp;"'_DSev_5]"),MATCH(Long_Data[[#This Row],[Key]],Data_Entry[Key],0)),"NA")</f>
        <v>NA</v>
      </c>
      <c r="Q126">
        <f ca="1">IFERROR(IF(Long_Data[[#This Row],[Indicator Class]]="Magnitude", INDEX(INDIRECT("Data_Entry[Sev_"&amp;Long_Data[[#This Row],[Indicator Number]]&amp;"]"),MATCH(Long_Data[[#This Row],[Key]], Data_Entry[Key],0)),"NA"),"")</f>
        <v>4</v>
      </c>
      <c r="R12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26" s="70">
        <f ca="1">IFERROR(IF(J126="Magnitude",INDEX(INDIRECT("Data_Entry[PIN_"&amp;Long_Data[[#This Row],[Indicator Number]]&amp;"]"),MATCH(Long_Data[[#This Row],[Key]],Data_Entry[Key],0)),SUM(N126:P126)*INDEX(Baseline_Pop[Population],MATCH(Long_Data[[#This Row],[Key]],Baseline_Pop[Key],0))),"")</f>
        <v>0</v>
      </c>
    </row>
    <row r="127" spans="2:19">
      <c r="B127">
        <v>126</v>
      </c>
      <c r="C127">
        <v>6</v>
      </c>
      <c r="D127" t="str">
        <f>IFERROR(INDEX(Data_Entry[ADM2_Pcode],MATCH('Step 4-Long Data'!C127,Data_Entry[ID],0)),"NA")</f>
        <v>AF06</v>
      </c>
      <c r="E127" t="str">
        <f>IFERROR(INDEX(Data_Entry[Key],MATCH('Step 4-Long Data'!C127,Data_Entry[ID],0)),"NA")</f>
        <v>AF06-All_Others</v>
      </c>
      <c r="F127">
        <v>5</v>
      </c>
      <c r="G127" t="str">
        <f>IFERROR(INDEX(Framework[Pillar],MATCH('Step 4-Long Data'!F127,Framework[Number],0)),"")</f>
        <v>Humanitarian Conditions</v>
      </c>
      <c r="H127" t="str">
        <f>IFERROR(INDEX(Framework[Sub_Pillar],MATCH('Step 4-Long Data'!F127,Framework[Number],0)),"")</f>
        <v>Living standards</v>
      </c>
      <c r="I127" t="str">
        <f>IFERROR(INDEX(Framework[Indicator],MATCH('Step 4-Long Data'!F127,Framework[Number],0)),"")</f>
        <v>% of children aged 6 to 17 that attended formal schooling at least 4 days a week prior to C-19 outbreak</v>
      </c>
      <c r="J127" t="str">
        <f>IFERROR(INDEX(Framework[Class],MATCH('Step 4-Long Data'!F127,Framework[Number],0)),"")</f>
        <v>Magnitude</v>
      </c>
      <c r="K127" t="str">
        <f>IFERROR(INDEX(Framework[Critical],MATCH('Step 4-Long Data'!F127,Framework[Number],0)),"")</f>
        <v>No</v>
      </c>
      <c r="L127" t="str">
        <f ca="1">IF(Long_Data[[#This Row],[Indicator Class]]="Degree",INDEX(INDIRECT("Data_Entry['"&amp;Long_Data[[#This Row],[Indicator Number]]&amp;"'_DSev_1]"),MATCH(Long_Data[[#This Row],[Key]],Data_Entry[Key],0)),"NA")</f>
        <v>NA</v>
      </c>
      <c r="M127" t="str">
        <f ca="1">IF(Long_Data[[#This Row],[Indicator Class]]="Degree",INDEX(INDIRECT("Data_Entry['"&amp;Long_Data[[#This Row],[Indicator Number]]&amp;"'_DSev_2]"),MATCH(Long_Data[[#This Row],[Key]],Data_Entry[Key],0)),"NA")</f>
        <v>NA</v>
      </c>
      <c r="N127" t="str">
        <f ca="1">IF(Long_Data[[#This Row],[Indicator Class]]="Degree",INDEX(INDIRECT("Data_Entry['"&amp;Long_Data[[#This Row],[Indicator Number]]&amp;"'_DSev_3]"),MATCH(Long_Data[[#This Row],[Key]],Data_Entry[Key],0)),"NA")</f>
        <v>NA</v>
      </c>
      <c r="O127" t="str">
        <f ca="1">IF(Long_Data[[#This Row],[Indicator Class]]="Degree",INDEX(INDIRECT("Data_Entry['"&amp;Long_Data[[#This Row],[Indicator Number]]&amp;"'_DSev_4]"),MATCH(Long_Data[[#This Row],[Key]],Data_Entry[Key],0)),"NA")</f>
        <v>NA</v>
      </c>
      <c r="P127" t="str">
        <f ca="1">IF(Long_Data[[#This Row],[Indicator Class]]="Degree",INDEX(INDIRECT("Data_Entry['"&amp;Long_Data[[#This Row],[Indicator Number]]&amp;"'_DSev_5]"),MATCH(Long_Data[[#This Row],[Key]],Data_Entry[Key],0)),"NA")</f>
        <v>NA</v>
      </c>
      <c r="Q127">
        <f ca="1">IFERROR(IF(Long_Data[[#This Row],[Indicator Class]]="Magnitude", INDEX(INDIRECT("Data_Entry[Sev_"&amp;Long_Data[[#This Row],[Indicator Number]]&amp;"]"),MATCH(Long_Data[[#This Row],[Key]], Data_Entry[Key],0)),"NA"),"")</f>
        <v>4</v>
      </c>
      <c r="R12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27" s="70">
        <f ca="1">IFERROR(IF(J127="Magnitude",INDEX(INDIRECT("Data_Entry[PIN_"&amp;Long_Data[[#This Row],[Indicator Number]]&amp;"]"),MATCH(Long_Data[[#This Row],[Key]],Data_Entry[Key],0)),SUM(N127:P127)*INDEX(Baseline_Pop[Population],MATCH(Long_Data[[#This Row],[Key]],Baseline_Pop[Key],0))),"")</f>
        <v>0</v>
      </c>
    </row>
    <row r="128" spans="2:19">
      <c r="B128">
        <v>127</v>
      </c>
      <c r="C128">
        <v>7</v>
      </c>
      <c r="D128" t="str">
        <f>IFERROR(INDEX(Data_Entry[ADM2_Pcode],MATCH('Step 4-Long Data'!C128,Data_Entry[ID],0)),"NA")</f>
        <v>AF07</v>
      </c>
      <c r="E128" t="str">
        <f>IFERROR(INDEX(Data_Entry[Key],MATCH('Step 4-Long Data'!C128,Data_Entry[ID],0)),"NA")</f>
        <v>AF07-All_Others</v>
      </c>
      <c r="F128">
        <v>5</v>
      </c>
      <c r="G128" t="str">
        <f>IFERROR(INDEX(Framework[Pillar],MATCH('Step 4-Long Data'!F128,Framework[Number],0)),"")</f>
        <v>Humanitarian Conditions</v>
      </c>
      <c r="H128" t="str">
        <f>IFERROR(INDEX(Framework[Sub_Pillar],MATCH('Step 4-Long Data'!F128,Framework[Number],0)),"")</f>
        <v>Living standards</v>
      </c>
      <c r="I128" t="str">
        <f>IFERROR(INDEX(Framework[Indicator],MATCH('Step 4-Long Data'!F128,Framework[Number],0)),"")</f>
        <v>% of children aged 6 to 17 that attended formal schooling at least 4 days a week prior to C-19 outbreak</v>
      </c>
      <c r="J128" t="str">
        <f>IFERROR(INDEX(Framework[Class],MATCH('Step 4-Long Data'!F128,Framework[Number],0)),"")</f>
        <v>Magnitude</v>
      </c>
      <c r="K128" t="str">
        <f>IFERROR(INDEX(Framework[Critical],MATCH('Step 4-Long Data'!F128,Framework[Number],0)),"")</f>
        <v>No</v>
      </c>
      <c r="L128" t="str">
        <f ca="1">IF(Long_Data[[#This Row],[Indicator Class]]="Degree",INDEX(INDIRECT("Data_Entry['"&amp;Long_Data[[#This Row],[Indicator Number]]&amp;"'_DSev_1]"),MATCH(Long_Data[[#This Row],[Key]],Data_Entry[Key],0)),"NA")</f>
        <v>NA</v>
      </c>
      <c r="M128" t="str">
        <f ca="1">IF(Long_Data[[#This Row],[Indicator Class]]="Degree",INDEX(INDIRECT("Data_Entry['"&amp;Long_Data[[#This Row],[Indicator Number]]&amp;"'_DSev_2]"),MATCH(Long_Data[[#This Row],[Key]],Data_Entry[Key],0)),"NA")</f>
        <v>NA</v>
      </c>
      <c r="N128" t="str">
        <f ca="1">IF(Long_Data[[#This Row],[Indicator Class]]="Degree",INDEX(INDIRECT("Data_Entry['"&amp;Long_Data[[#This Row],[Indicator Number]]&amp;"'_DSev_3]"),MATCH(Long_Data[[#This Row],[Key]],Data_Entry[Key],0)),"NA")</f>
        <v>NA</v>
      </c>
      <c r="O128" t="str">
        <f ca="1">IF(Long_Data[[#This Row],[Indicator Class]]="Degree",INDEX(INDIRECT("Data_Entry['"&amp;Long_Data[[#This Row],[Indicator Number]]&amp;"'_DSev_4]"),MATCH(Long_Data[[#This Row],[Key]],Data_Entry[Key],0)),"NA")</f>
        <v>NA</v>
      </c>
      <c r="P128" t="str">
        <f ca="1">IF(Long_Data[[#This Row],[Indicator Class]]="Degree",INDEX(INDIRECT("Data_Entry['"&amp;Long_Data[[#This Row],[Indicator Number]]&amp;"'_DSev_5]"),MATCH(Long_Data[[#This Row],[Key]],Data_Entry[Key],0)),"NA")</f>
        <v>NA</v>
      </c>
      <c r="Q128">
        <f ca="1">IFERROR(IF(Long_Data[[#This Row],[Indicator Class]]="Magnitude", INDEX(INDIRECT("Data_Entry[Sev_"&amp;Long_Data[[#This Row],[Indicator Number]]&amp;"]"),MATCH(Long_Data[[#This Row],[Key]], Data_Entry[Key],0)),"NA"),"")</f>
        <v>4</v>
      </c>
      <c r="R128">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28" s="70">
        <f ca="1">IFERROR(IF(J128="Magnitude",INDEX(INDIRECT("Data_Entry[PIN_"&amp;Long_Data[[#This Row],[Indicator Number]]&amp;"]"),MATCH(Long_Data[[#This Row],[Key]],Data_Entry[Key],0)),SUM(N128:P128)*INDEX(Baseline_Pop[Population],MATCH(Long_Data[[#This Row],[Key]],Baseline_Pop[Key],0))),"")</f>
        <v>0</v>
      </c>
    </row>
    <row r="129" spans="2:19">
      <c r="B129">
        <v>128</v>
      </c>
      <c r="C129">
        <v>8</v>
      </c>
      <c r="D129" t="str">
        <f>IFERROR(INDEX(Data_Entry[ADM2_Pcode],MATCH('Step 4-Long Data'!C129,Data_Entry[ID],0)),"NA")</f>
        <v>AF08</v>
      </c>
      <c r="E129" t="str">
        <f>IFERROR(INDEX(Data_Entry[Key],MATCH('Step 4-Long Data'!C129,Data_Entry[ID],0)),"NA")</f>
        <v>AF08-All_Others</v>
      </c>
      <c r="F129">
        <v>5</v>
      </c>
      <c r="G129" t="str">
        <f>IFERROR(INDEX(Framework[Pillar],MATCH('Step 4-Long Data'!F129,Framework[Number],0)),"")</f>
        <v>Humanitarian Conditions</v>
      </c>
      <c r="H129" t="str">
        <f>IFERROR(INDEX(Framework[Sub_Pillar],MATCH('Step 4-Long Data'!F129,Framework[Number],0)),"")</f>
        <v>Living standards</v>
      </c>
      <c r="I129" t="str">
        <f>IFERROR(INDEX(Framework[Indicator],MATCH('Step 4-Long Data'!F129,Framework[Number],0)),"")</f>
        <v>% of children aged 6 to 17 that attended formal schooling at least 4 days a week prior to C-19 outbreak</v>
      </c>
      <c r="J129" t="str">
        <f>IFERROR(INDEX(Framework[Class],MATCH('Step 4-Long Data'!F129,Framework[Number],0)),"")</f>
        <v>Magnitude</v>
      </c>
      <c r="K129" t="str">
        <f>IFERROR(INDEX(Framework[Critical],MATCH('Step 4-Long Data'!F129,Framework[Number],0)),"")</f>
        <v>No</v>
      </c>
      <c r="L129" t="str">
        <f ca="1">IF(Long_Data[[#This Row],[Indicator Class]]="Degree",INDEX(INDIRECT("Data_Entry['"&amp;Long_Data[[#This Row],[Indicator Number]]&amp;"'_DSev_1]"),MATCH(Long_Data[[#This Row],[Key]],Data_Entry[Key],0)),"NA")</f>
        <v>NA</v>
      </c>
      <c r="M129" t="str">
        <f ca="1">IF(Long_Data[[#This Row],[Indicator Class]]="Degree",INDEX(INDIRECT("Data_Entry['"&amp;Long_Data[[#This Row],[Indicator Number]]&amp;"'_DSev_2]"),MATCH(Long_Data[[#This Row],[Key]],Data_Entry[Key],0)),"NA")</f>
        <v>NA</v>
      </c>
      <c r="N129" t="str">
        <f ca="1">IF(Long_Data[[#This Row],[Indicator Class]]="Degree",INDEX(INDIRECT("Data_Entry['"&amp;Long_Data[[#This Row],[Indicator Number]]&amp;"'_DSev_3]"),MATCH(Long_Data[[#This Row],[Key]],Data_Entry[Key],0)),"NA")</f>
        <v>NA</v>
      </c>
      <c r="O129" t="str">
        <f ca="1">IF(Long_Data[[#This Row],[Indicator Class]]="Degree",INDEX(INDIRECT("Data_Entry['"&amp;Long_Data[[#This Row],[Indicator Number]]&amp;"'_DSev_4]"),MATCH(Long_Data[[#This Row],[Key]],Data_Entry[Key],0)),"NA")</f>
        <v>NA</v>
      </c>
      <c r="P129" t="str">
        <f ca="1">IF(Long_Data[[#This Row],[Indicator Class]]="Degree",INDEX(INDIRECT("Data_Entry['"&amp;Long_Data[[#This Row],[Indicator Number]]&amp;"'_DSev_5]"),MATCH(Long_Data[[#This Row],[Key]],Data_Entry[Key],0)),"NA")</f>
        <v>NA</v>
      </c>
      <c r="Q129">
        <f ca="1">IFERROR(IF(Long_Data[[#This Row],[Indicator Class]]="Magnitude", INDEX(INDIRECT("Data_Entry[Sev_"&amp;Long_Data[[#This Row],[Indicator Number]]&amp;"]"),MATCH(Long_Data[[#This Row],[Key]], Data_Entry[Key],0)),"NA"),"")</f>
        <v>3</v>
      </c>
      <c r="R12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29" s="70">
        <f ca="1">IFERROR(IF(J129="Magnitude",INDEX(INDIRECT("Data_Entry[PIN_"&amp;Long_Data[[#This Row],[Indicator Number]]&amp;"]"),MATCH(Long_Data[[#This Row],[Key]],Data_Entry[Key],0)),SUM(N129:P129)*INDEX(Baseline_Pop[Population],MATCH(Long_Data[[#This Row],[Key]],Baseline_Pop[Key],0))),"")</f>
        <v>0</v>
      </c>
    </row>
    <row r="130" spans="2:19">
      <c r="B130">
        <v>129</v>
      </c>
      <c r="C130">
        <v>9</v>
      </c>
      <c r="D130" t="str">
        <f>IFERROR(INDEX(Data_Entry[ADM2_Pcode],MATCH('Step 4-Long Data'!C130,Data_Entry[ID],0)),"NA")</f>
        <v>AF09</v>
      </c>
      <c r="E130" t="str">
        <f>IFERROR(INDEX(Data_Entry[Key],MATCH('Step 4-Long Data'!C130,Data_Entry[ID],0)),"NA")</f>
        <v>AF09-All_Others</v>
      </c>
      <c r="F130">
        <v>5</v>
      </c>
      <c r="G130" t="str">
        <f>IFERROR(INDEX(Framework[Pillar],MATCH('Step 4-Long Data'!F130,Framework[Number],0)),"")</f>
        <v>Humanitarian Conditions</v>
      </c>
      <c r="H130" t="str">
        <f>IFERROR(INDEX(Framework[Sub_Pillar],MATCH('Step 4-Long Data'!F130,Framework[Number],0)),"")</f>
        <v>Living standards</v>
      </c>
      <c r="I130" t="str">
        <f>IFERROR(INDEX(Framework[Indicator],MATCH('Step 4-Long Data'!F130,Framework[Number],0)),"")</f>
        <v>% of children aged 6 to 17 that attended formal schooling at least 4 days a week prior to C-19 outbreak</v>
      </c>
      <c r="J130" t="str">
        <f>IFERROR(INDEX(Framework[Class],MATCH('Step 4-Long Data'!F130,Framework[Number],0)),"")</f>
        <v>Magnitude</v>
      </c>
      <c r="K130" t="str">
        <f>IFERROR(INDEX(Framework[Critical],MATCH('Step 4-Long Data'!F130,Framework[Number],0)),"")</f>
        <v>No</v>
      </c>
      <c r="L130" t="str">
        <f ca="1">IF(Long_Data[[#This Row],[Indicator Class]]="Degree",INDEX(INDIRECT("Data_Entry['"&amp;Long_Data[[#This Row],[Indicator Number]]&amp;"'_DSev_1]"),MATCH(Long_Data[[#This Row],[Key]],Data_Entry[Key],0)),"NA")</f>
        <v>NA</v>
      </c>
      <c r="M130" t="str">
        <f ca="1">IF(Long_Data[[#This Row],[Indicator Class]]="Degree",INDEX(INDIRECT("Data_Entry['"&amp;Long_Data[[#This Row],[Indicator Number]]&amp;"'_DSev_2]"),MATCH(Long_Data[[#This Row],[Key]],Data_Entry[Key],0)),"NA")</f>
        <v>NA</v>
      </c>
      <c r="N130" t="str">
        <f ca="1">IF(Long_Data[[#This Row],[Indicator Class]]="Degree",INDEX(INDIRECT("Data_Entry['"&amp;Long_Data[[#This Row],[Indicator Number]]&amp;"'_DSev_3]"),MATCH(Long_Data[[#This Row],[Key]],Data_Entry[Key],0)),"NA")</f>
        <v>NA</v>
      </c>
      <c r="O130" t="str">
        <f ca="1">IF(Long_Data[[#This Row],[Indicator Class]]="Degree",INDEX(INDIRECT("Data_Entry['"&amp;Long_Data[[#This Row],[Indicator Number]]&amp;"'_DSev_4]"),MATCH(Long_Data[[#This Row],[Key]],Data_Entry[Key],0)),"NA")</f>
        <v>NA</v>
      </c>
      <c r="P130" t="str">
        <f ca="1">IF(Long_Data[[#This Row],[Indicator Class]]="Degree",INDEX(INDIRECT("Data_Entry['"&amp;Long_Data[[#This Row],[Indicator Number]]&amp;"'_DSev_5]"),MATCH(Long_Data[[#This Row],[Key]],Data_Entry[Key],0)),"NA")</f>
        <v>NA</v>
      </c>
      <c r="Q130">
        <f ca="1">IFERROR(IF(Long_Data[[#This Row],[Indicator Class]]="Magnitude", INDEX(INDIRECT("Data_Entry[Sev_"&amp;Long_Data[[#This Row],[Indicator Number]]&amp;"]"),MATCH(Long_Data[[#This Row],[Key]], Data_Entry[Key],0)),"NA"),"")</f>
        <v>5</v>
      </c>
      <c r="R130">
        <f ca="1">IFERROR(IF(Long_Data[[#This Row],[Indicator Class]]="Magnitude", Long_Data[[#This Row],[Magnitude Severity]],IF(Long_Data[[#This Row],[Severity 5]]&gt;=0.25,5,IF(SUM(Long_Data[[#This Row],[Severity 4]:[Severity 5]])&gt;=0.25,4,IF(SUM(Long_Data[[#This Row],[Severity 3]:[Severity 5]])&gt;=0.25,3,IF(SUM(Long_Data[[#This Row],[Severity 2]:[Severity 5]])&gt;=0.25, 2,1))))), "")</f>
        <v>5</v>
      </c>
      <c r="S130" s="70">
        <f ca="1">IFERROR(IF(J130="Magnitude",INDEX(INDIRECT("Data_Entry[PIN_"&amp;Long_Data[[#This Row],[Indicator Number]]&amp;"]"),MATCH(Long_Data[[#This Row],[Key]],Data_Entry[Key],0)),SUM(N130:P130)*INDEX(Baseline_Pop[Population],MATCH(Long_Data[[#This Row],[Key]],Baseline_Pop[Key],0))),"")</f>
        <v>0</v>
      </c>
    </row>
    <row r="131" spans="2:19">
      <c r="B131">
        <v>130</v>
      </c>
      <c r="C131">
        <v>10</v>
      </c>
      <c r="D131" t="str">
        <f>IFERROR(INDEX(Data_Entry[ADM2_Pcode],MATCH('Step 4-Long Data'!C131,Data_Entry[ID],0)),"NA")</f>
        <v>AF10</v>
      </c>
      <c r="E131" t="str">
        <f>IFERROR(INDEX(Data_Entry[Key],MATCH('Step 4-Long Data'!C131,Data_Entry[ID],0)),"NA")</f>
        <v>AF10-All_Others</v>
      </c>
      <c r="F131">
        <v>5</v>
      </c>
      <c r="G131" t="str">
        <f>IFERROR(INDEX(Framework[Pillar],MATCH('Step 4-Long Data'!F131,Framework[Number],0)),"")</f>
        <v>Humanitarian Conditions</v>
      </c>
      <c r="H131" t="str">
        <f>IFERROR(INDEX(Framework[Sub_Pillar],MATCH('Step 4-Long Data'!F131,Framework[Number],0)),"")</f>
        <v>Living standards</v>
      </c>
      <c r="I131" t="str">
        <f>IFERROR(INDEX(Framework[Indicator],MATCH('Step 4-Long Data'!F131,Framework[Number],0)),"")</f>
        <v>% of children aged 6 to 17 that attended formal schooling at least 4 days a week prior to C-19 outbreak</v>
      </c>
      <c r="J131" t="str">
        <f>IFERROR(INDEX(Framework[Class],MATCH('Step 4-Long Data'!F131,Framework[Number],0)),"")</f>
        <v>Magnitude</v>
      </c>
      <c r="K131" t="str">
        <f>IFERROR(INDEX(Framework[Critical],MATCH('Step 4-Long Data'!F131,Framework[Number],0)),"")</f>
        <v>No</v>
      </c>
      <c r="L131" t="str">
        <f ca="1">IF(Long_Data[[#This Row],[Indicator Class]]="Degree",INDEX(INDIRECT("Data_Entry['"&amp;Long_Data[[#This Row],[Indicator Number]]&amp;"'_DSev_1]"),MATCH(Long_Data[[#This Row],[Key]],Data_Entry[Key],0)),"NA")</f>
        <v>NA</v>
      </c>
      <c r="M131" t="str">
        <f ca="1">IF(Long_Data[[#This Row],[Indicator Class]]="Degree",INDEX(INDIRECT("Data_Entry['"&amp;Long_Data[[#This Row],[Indicator Number]]&amp;"'_DSev_2]"),MATCH(Long_Data[[#This Row],[Key]],Data_Entry[Key],0)),"NA")</f>
        <v>NA</v>
      </c>
      <c r="N131" t="str">
        <f ca="1">IF(Long_Data[[#This Row],[Indicator Class]]="Degree",INDEX(INDIRECT("Data_Entry['"&amp;Long_Data[[#This Row],[Indicator Number]]&amp;"'_DSev_3]"),MATCH(Long_Data[[#This Row],[Key]],Data_Entry[Key],0)),"NA")</f>
        <v>NA</v>
      </c>
      <c r="O131" t="str">
        <f ca="1">IF(Long_Data[[#This Row],[Indicator Class]]="Degree",INDEX(INDIRECT("Data_Entry['"&amp;Long_Data[[#This Row],[Indicator Number]]&amp;"'_DSev_4]"),MATCH(Long_Data[[#This Row],[Key]],Data_Entry[Key],0)),"NA")</f>
        <v>NA</v>
      </c>
      <c r="P131" t="str">
        <f ca="1">IF(Long_Data[[#This Row],[Indicator Class]]="Degree",INDEX(INDIRECT("Data_Entry['"&amp;Long_Data[[#This Row],[Indicator Number]]&amp;"'_DSev_5]"),MATCH(Long_Data[[#This Row],[Key]],Data_Entry[Key],0)),"NA")</f>
        <v>NA</v>
      </c>
      <c r="Q131">
        <f ca="1">IFERROR(IF(Long_Data[[#This Row],[Indicator Class]]="Magnitude", INDEX(INDIRECT("Data_Entry[Sev_"&amp;Long_Data[[#This Row],[Indicator Number]]&amp;"]"),MATCH(Long_Data[[#This Row],[Key]], Data_Entry[Key],0)),"NA"),"")</f>
        <v>3</v>
      </c>
      <c r="R13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31" s="70">
        <f ca="1">IFERROR(IF(J131="Magnitude",INDEX(INDIRECT("Data_Entry[PIN_"&amp;Long_Data[[#This Row],[Indicator Number]]&amp;"]"),MATCH(Long_Data[[#This Row],[Key]],Data_Entry[Key],0)),SUM(N131:P131)*INDEX(Baseline_Pop[Population],MATCH(Long_Data[[#This Row],[Key]],Baseline_Pop[Key],0))),"")</f>
        <v>0</v>
      </c>
    </row>
    <row r="132" spans="2:19">
      <c r="B132">
        <v>131</v>
      </c>
      <c r="C132">
        <v>11</v>
      </c>
      <c r="D132" t="str">
        <f>IFERROR(INDEX(Data_Entry[ADM2_Pcode],MATCH('Step 4-Long Data'!C132,Data_Entry[ID],0)),"NA")</f>
        <v>AF01</v>
      </c>
      <c r="E132" t="str">
        <f>IFERROR(INDEX(Data_Entry[Key],MATCH('Step 4-Long Data'!C132,Data_Entry[ID],0)),"NA")</f>
        <v>AF01-Non_Displaced</v>
      </c>
      <c r="F132">
        <v>5</v>
      </c>
      <c r="G132" t="str">
        <f>IFERROR(INDEX(Framework[Pillar],MATCH('Step 4-Long Data'!F132,Framework[Number],0)),"")</f>
        <v>Humanitarian Conditions</v>
      </c>
      <c r="H132" t="str">
        <f>IFERROR(INDEX(Framework[Sub_Pillar],MATCH('Step 4-Long Data'!F132,Framework[Number],0)),"")</f>
        <v>Living standards</v>
      </c>
      <c r="I132" t="str">
        <f>IFERROR(INDEX(Framework[Indicator],MATCH('Step 4-Long Data'!F132,Framework[Number],0)),"")</f>
        <v>% of children aged 6 to 17 that attended formal schooling at least 4 days a week prior to C-19 outbreak</v>
      </c>
      <c r="J132" t="str">
        <f>IFERROR(INDEX(Framework[Class],MATCH('Step 4-Long Data'!F132,Framework[Number],0)),"")</f>
        <v>Magnitude</v>
      </c>
      <c r="K132" t="str">
        <f>IFERROR(INDEX(Framework[Critical],MATCH('Step 4-Long Data'!F132,Framework[Number],0)),"")</f>
        <v>No</v>
      </c>
      <c r="L132" t="str">
        <f ca="1">IF(Long_Data[[#This Row],[Indicator Class]]="Degree",INDEX(INDIRECT("Data_Entry['"&amp;Long_Data[[#This Row],[Indicator Number]]&amp;"'_DSev_1]"),MATCH(Long_Data[[#This Row],[Key]],Data_Entry[Key],0)),"NA")</f>
        <v>NA</v>
      </c>
      <c r="M132" t="str">
        <f ca="1">IF(Long_Data[[#This Row],[Indicator Class]]="Degree",INDEX(INDIRECT("Data_Entry['"&amp;Long_Data[[#This Row],[Indicator Number]]&amp;"'_DSev_2]"),MATCH(Long_Data[[#This Row],[Key]],Data_Entry[Key],0)),"NA")</f>
        <v>NA</v>
      </c>
      <c r="N132" t="str">
        <f ca="1">IF(Long_Data[[#This Row],[Indicator Class]]="Degree",INDEX(INDIRECT("Data_Entry['"&amp;Long_Data[[#This Row],[Indicator Number]]&amp;"'_DSev_3]"),MATCH(Long_Data[[#This Row],[Key]],Data_Entry[Key],0)),"NA")</f>
        <v>NA</v>
      </c>
      <c r="O132" t="str">
        <f ca="1">IF(Long_Data[[#This Row],[Indicator Class]]="Degree",INDEX(INDIRECT("Data_Entry['"&amp;Long_Data[[#This Row],[Indicator Number]]&amp;"'_DSev_4]"),MATCH(Long_Data[[#This Row],[Key]],Data_Entry[Key],0)),"NA")</f>
        <v>NA</v>
      </c>
      <c r="P132" t="str">
        <f ca="1">IF(Long_Data[[#This Row],[Indicator Class]]="Degree",INDEX(INDIRECT("Data_Entry['"&amp;Long_Data[[#This Row],[Indicator Number]]&amp;"'_DSev_5]"),MATCH(Long_Data[[#This Row],[Key]],Data_Entry[Key],0)),"NA")</f>
        <v>NA</v>
      </c>
      <c r="Q132">
        <f ca="1">IFERROR(IF(Long_Data[[#This Row],[Indicator Class]]="Magnitude", INDEX(INDIRECT("Data_Entry[Sev_"&amp;Long_Data[[#This Row],[Indicator Number]]&amp;"]"),MATCH(Long_Data[[#This Row],[Key]], Data_Entry[Key],0)),"NA"),"")</f>
        <v>2</v>
      </c>
      <c r="R13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32" s="70">
        <f ca="1">IFERROR(IF(J132="Magnitude",INDEX(INDIRECT("Data_Entry[PIN_"&amp;Long_Data[[#This Row],[Indicator Number]]&amp;"]"),MATCH(Long_Data[[#This Row],[Key]],Data_Entry[Key],0)),SUM(N132:P132)*INDEX(Baseline_Pop[Population],MATCH(Long_Data[[#This Row],[Key]],Baseline_Pop[Key],0))),"")</f>
        <v>0</v>
      </c>
    </row>
    <row r="133" spans="2:19">
      <c r="B133">
        <v>132</v>
      </c>
      <c r="C133">
        <v>12</v>
      </c>
      <c r="D133" t="str">
        <f>IFERROR(INDEX(Data_Entry[ADM2_Pcode],MATCH('Step 4-Long Data'!C133,Data_Entry[ID],0)),"NA")</f>
        <v>AF02</v>
      </c>
      <c r="E133" t="str">
        <f>IFERROR(INDEX(Data_Entry[Key],MATCH('Step 4-Long Data'!C133,Data_Entry[ID],0)),"NA")</f>
        <v>AF02-Non_Displaced</v>
      </c>
      <c r="F133">
        <v>5</v>
      </c>
      <c r="G133" t="str">
        <f>IFERROR(INDEX(Framework[Pillar],MATCH('Step 4-Long Data'!F133,Framework[Number],0)),"")</f>
        <v>Humanitarian Conditions</v>
      </c>
      <c r="H133" t="str">
        <f>IFERROR(INDEX(Framework[Sub_Pillar],MATCH('Step 4-Long Data'!F133,Framework[Number],0)),"")</f>
        <v>Living standards</v>
      </c>
      <c r="I133" t="str">
        <f>IFERROR(INDEX(Framework[Indicator],MATCH('Step 4-Long Data'!F133,Framework[Number],0)),"")</f>
        <v>% of children aged 6 to 17 that attended formal schooling at least 4 days a week prior to C-19 outbreak</v>
      </c>
      <c r="J133" t="str">
        <f>IFERROR(INDEX(Framework[Class],MATCH('Step 4-Long Data'!F133,Framework[Number],0)),"")</f>
        <v>Magnitude</v>
      </c>
      <c r="K133" t="str">
        <f>IFERROR(INDEX(Framework[Critical],MATCH('Step 4-Long Data'!F133,Framework[Number],0)),"")</f>
        <v>No</v>
      </c>
      <c r="L133" t="str">
        <f ca="1">IF(Long_Data[[#This Row],[Indicator Class]]="Degree",INDEX(INDIRECT("Data_Entry['"&amp;Long_Data[[#This Row],[Indicator Number]]&amp;"'_DSev_1]"),MATCH(Long_Data[[#This Row],[Key]],Data_Entry[Key],0)),"NA")</f>
        <v>NA</v>
      </c>
      <c r="M133" t="str">
        <f ca="1">IF(Long_Data[[#This Row],[Indicator Class]]="Degree",INDEX(INDIRECT("Data_Entry['"&amp;Long_Data[[#This Row],[Indicator Number]]&amp;"'_DSev_2]"),MATCH(Long_Data[[#This Row],[Key]],Data_Entry[Key],0)),"NA")</f>
        <v>NA</v>
      </c>
      <c r="N133" t="str">
        <f ca="1">IF(Long_Data[[#This Row],[Indicator Class]]="Degree",INDEX(INDIRECT("Data_Entry['"&amp;Long_Data[[#This Row],[Indicator Number]]&amp;"'_DSev_3]"),MATCH(Long_Data[[#This Row],[Key]],Data_Entry[Key],0)),"NA")</f>
        <v>NA</v>
      </c>
      <c r="O133" t="str">
        <f ca="1">IF(Long_Data[[#This Row],[Indicator Class]]="Degree",INDEX(INDIRECT("Data_Entry['"&amp;Long_Data[[#This Row],[Indicator Number]]&amp;"'_DSev_4]"),MATCH(Long_Data[[#This Row],[Key]],Data_Entry[Key],0)),"NA")</f>
        <v>NA</v>
      </c>
      <c r="P133" t="str">
        <f ca="1">IF(Long_Data[[#This Row],[Indicator Class]]="Degree",INDEX(INDIRECT("Data_Entry['"&amp;Long_Data[[#This Row],[Indicator Number]]&amp;"'_DSev_5]"),MATCH(Long_Data[[#This Row],[Key]],Data_Entry[Key],0)),"NA")</f>
        <v>NA</v>
      </c>
      <c r="Q133">
        <f ca="1">IFERROR(IF(Long_Data[[#This Row],[Indicator Class]]="Magnitude", INDEX(INDIRECT("Data_Entry[Sev_"&amp;Long_Data[[#This Row],[Indicator Number]]&amp;"]"),MATCH(Long_Data[[#This Row],[Key]], Data_Entry[Key],0)),"NA"),"")</f>
        <v>2</v>
      </c>
      <c r="R13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33" s="70">
        <f ca="1">IFERROR(IF(J133="Magnitude",INDEX(INDIRECT("Data_Entry[PIN_"&amp;Long_Data[[#This Row],[Indicator Number]]&amp;"]"),MATCH(Long_Data[[#This Row],[Key]],Data_Entry[Key],0)),SUM(N133:P133)*INDEX(Baseline_Pop[Population],MATCH(Long_Data[[#This Row],[Key]],Baseline_Pop[Key],0))),"")</f>
        <v>0</v>
      </c>
    </row>
    <row r="134" spans="2:19">
      <c r="B134">
        <v>133</v>
      </c>
      <c r="C134">
        <v>13</v>
      </c>
      <c r="D134" t="str">
        <f>IFERROR(INDEX(Data_Entry[ADM2_Pcode],MATCH('Step 4-Long Data'!C134,Data_Entry[ID],0)),"NA")</f>
        <v>AF03</v>
      </c>
      <c r="E134" t="str">
        <f>IFERROR(INDEX(Data_Entry[Key],MATCH('Step 4-Long Data'!C134,Data_Entry[ID],0)),"NA")</f>
        <v>AF03-Non_Displaced</v>
      </c>
      <c r="F134">
        <v>5</v>
      </c>
      <c r="G134" t="str">
        <f>IFERROR(INDEX(Framework[Pillar],MATCH('Step 4-Long Data'!F134,Framework[Number],0)),"")</f>
        <v>Humanitarian Conditions</v>
      </c>
      <c r="H134" t="str">
        <f>IFERROR(INDEX(Framework[Sub_Pillar],MATCH('Step 4-Long Data'!F134,Framework[Number],0)),"")</f>
        <v>Living standards</v>
      </c>
      <c r="I134" t="str">
        <f>IFERROR(INDEX(Framework[Indicator],MATCH('Step 4-Long Data'!F134,Framework[Number],0)),"")</f>
        <v>% of children aged 6 to 17 that attended formal schooling at least 4 days a week prior to C-19 outbreak</v>
      </c>
      <c r="J134" t="str">
        <f>IFERROR(INDEX(Framework[Class],MATCH('Step 4-Long Data'!F134,Framework[Number],0)),"")</f>
        <v>Magnitude</v>
      </c>
      <c r="K134" t="str">
        <f>IFERROR(INDEX(Framework[Critical],MATCH('Step 4-Long Data'!F134,Framework[Number],0)),"")</f>
        <v>No</v>
      </c>
      <c r="L134" t="str">
        <f ca="1">IF(Long_Data[[#This Row],[Indicator Class]]="Degree",INDEX(INDIRECT("Data_Entry['"&amp;Long_Data[[#This Row],[Indicator Number]]&amp;"'_DSev_1]"),MATCH(Long_Data[[#This Row],[Key]],Data_Entry[Key],0)),"NA")</f>
        <v>NA</v>
      </c>
      <c r="M134" t="str">
        <f ca="1">IF(Long_Data[[#This Row],[Indicator Class]]="Degree",INDEX(INDIRECT("Data_Entry['"&amp;Long_Data[[#This Row],[Indicator Number]]&amp;"'_DSev_2]"),MATCH(Long_Data[[#This Row],[Key]],Data_Entry[Key],0)),"NA")</f>
        <v>NA</v>
      </c>
      <c r="N134" t="str">
        <f ca="1">IF(Long_Data[[#This Row],[Indicator Class]]="Degree",INDEX(INDIRECT("Data_Entry['"&amp;Long_Data[[#This Row],[Indicator Number]]&amp;"'_DSev_3]"),MATCH(Long_Data[[#This Row],[Key]],Data_Entry[Key],0)),"NA")</f>
        <v>NA</v>
      </c>
      <c r="O134" t="str">
        <f ca="1">IF(Long_Data[[#This Row],[Indicator Class]]="Degree",INDEX(INDIRECT("Data_Entry['"&amp;Long_Data[[#This Row],[Indicator Number]]&amp;"'_DSev_4]"),MATCH(Long_Data[[#This Row],[Key]],Data_Entry[Key],0)),"NA")</f>
        <v>NA</v>
      </c>
      <c r="P134" t="str">
        <f ca="1">IF(Long_Data[[#This Row],[Indicator Class]]="Degree",INDEX(INDIRECT("Data_Entry['"&amp;Long_Data[[#This Row],[Indicator Number]]&amp;"'_DSev_5]"),MATCH(Long_Data[[#This Row],[Key]],Data_Entry[Key],0)),"NA")</f>
        <v>NA</v>
      </c>
      <c r="Q134">
        <f ca="1">IFERROR(IF(Long_Data[[#This Row],[Indicator Class]]="Magnitude", INDEX(INDIRECT("Data_Entry[Sev_"&amp;Long_Data[[#This Row],[Indicator Number]]&amp;"]"),MATCH(Long_Data[[#This Row],[Key]], Data_Entry[Key],0)),"NA"),"")</f>
        <v>1</v>
      </c>
      <c r="R13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34" s="70">
        <f ca="1">IFERROR(IF(J134="Magnitude",INDEX(INDIRECT("Data_Entry[PIN_"&amp;Long_Data[[#This Row],[Indicator Number]]&amp;"]"),MATCH(Long_Data[[#This Row],[Key]],Data_Entry[Key],0)),SUM(N134:P134)*INDEX(Baseline_Pop[Population],MATCH(Long_Data[[#This Row],[Key]],Baseline_Pop[Key],0))),"")</f>
        <v>0</v>
      </c>
    </row>
    <row r="135" spans="2:19">
      <c r="B135">
        <v>134</v>
      </c>
      <c r="C135">
        <v>14</v>
      </c>
      <c r="D135" t="str">
        <f>IFERROR(INDEX(Data_Entry[ADM2_Pcode],MATCH('Step 4-Long Data'!C135,Data_Entry[ID],0)),"NA")</f>
        <v>AF04</v>
      </c>
      <c r="E135" t="str">
        <f>IFERROR(INDEX(Data_Entry[Key],MATCH('Step 4-Long Data'!C135,Data_Entry[ID],0)),"NA")</f>
        <v>AF04-Non_Displaced</v>
      </c>
      <c r="F135">
        <v>5</v>
      </c>
      <c r="G135" t="str">
        <f>IFERROR(INDEX(Framework[Pillar],MATCH('Step 4-Long Data'!F135,Framework[Number],0)),"")</f>
        <v>Humanitarian Conditions</v>
      </c>
      <c r="H135" t="str">
        <f>IFERROR(INDEX(Framework[Sub_Pillar],MATCH('Step 4-Long Data'!F135,Framework[Number],0)),"")</f>
        <v>Living standards</v>
      </c>
      <c r="I135" t="str">
        <f>IFERROR(INDEX(Framework[Indicator],MATCH('Step 4-Long Data'!F135,Framework[Number],0)),"")</f>
        <v>% of children aged 6 to 17 that attended formal schooling at least 4 days a week prior to C-19 outbreak</v>
      </c>
      <c r="J135" t="str">
        <f>IFERROR(INDEX(Framework[Class],MATCH('Step 4-Long Data'!F135,Framework[Number],0)),"")</f>
        <v>Magnitude</v>
      </c>
      <c r="K135" t="str">
        <f>IFERROR(INDEX(Framework[Critical],MATCH('Step 4-Long Data'!F135,Framework[Number],0)),"")</f>
        <v>No</v>
      </c>
      <c r="L135" t="str">
        <f ca="1">IF(Long_Data[[#This Row],[Indicator Class]]="Degree",INDEX(INDIRECT("Data_Entry['"&amp;Long_Data[[#This Row],[Indicator Number]]&amp;"'_DSev_1]"),MATCH(Long_Data[[#This Row],[Key]],Data_Entry[Key],0)),"NA")</f>
        <v>NA</v>
      </c>
      <c r="M135" t="str">
        <f ca="1">IF(Long_Data[[#This Row],[Indicator Class]]="Degree",INDEX(INDIRECT("Data_Entry['"&amp;Long_Data[[#This Row],[Indicator Number]]&amp;"'_DSev_2]"),MATCH(Long_Data[[#This Row],[Key]],Data_Entry[Key],0)),"NA")</f>
        <v>NA</v>
      </c>
      <c r="N135" t="str">
        <f ca="1">IF(Long_Data[[#This Row],[Indicator Class]]="Degree",INDEX(INDIRECT("Data_Entry['"&amp;Long_Data[[#This Row],[Indicator Number]]&amp;"'_DSev_3]"),MATCH(Long_Data[[#This Row],[Key]],Data_Entry[Key],0)),"NA")</f>
        <v>NA</v>
      </c>
      <c r="O135" t="str">
        <f ca="1">IF(Long_Data[[#This Row],[Indicator Class]]="Degree",INDEX(INDIRECT("Data_Entry['"&amp;Long_Data[[#This Row],[Indicator Number]]&amp;"'_DSev_4]"),MATCH(Long_Data[[#This Row],[Key]],Data_Entry[Key],0)),"NA")</f>
        <v>NA</v>
      </c>
      <c r="P135" t="str">
        <f ca="1">IF(Long_Data[[#This Row],[Indicator Class]]="Degree",INDEX(INDIRECT("Data_Entry['"&amp;Long_Data[[#This Row],[Indicator Number]]&amp;"'_DSev_5]"),MATCH(Long_Data[[#This Row],[Key]],Data_Entry[Key],0)),"NA")</f>
        <v>NA</v>
      </c>
      <c r="Q135">
        <f ca="1">IFERROR(IF(Long_Data[[#This Row],[Indicator Class]]="Magnitude", INDEX(INDIRECT("Data_Entry[Sev_"&amp;Long_Data[[#This Row],[Indicator Number]]&amp;"]"),MATCH(Long_Data[[#This Row],[Key]], Data_Entry[Key],0)),"NA"),"")</f>
        <v>3</v>
      </c>
      <c r="R13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35" s="70">
        <f ca="1">IFERROR(IF(J135="Magnitude",INDEX(INDIRECT("Data_Entry[PIN_"&amp;Long_Data[[#This Row],[Indicator Number]]&amp;"]"),MATCH(Long_Data[[#This Row],[Key]],Data_Entry[Key],0)),SUM(N135:P135)*INDEX(Baseline_Pop[Population],MATCH(Long_Data[[#This Row],[Key]],Baseline_Pop[Key],0))),"")</f>
        <v>0</v>
      </c>
    </row>
    <row r="136" spans="2:19">
      <c r="B136">
        <v>135</v>
      </c>
      <c r="C136">
        <v>15</v>
      </c>
      <c r="D136" t="str">
        <f>IFERROR(INDEX(Data_Entry[ADM2_Pcode],MATCH('Step 4-Long Data'!C136,Data_Entry[ID],0)),"NA")</f>
        <v>AF05</v>
      </c>
      <c r="E136" t="str">
        <f>IFERROR(INDEX(Data_Entry[Key],MATCH('Step 4-Long Data'!C136,Data_Entry[ID],0)),"NA")</f>
        <v>AF05-Non_Displaced</v>
      </c>
      <c r="F136">
        <v>5</v>
      </c>
      <c r="G136" t="str">
        <f>IFERROR(INDEX(Framework[Pillar],MATCH('Step 4-Long Data'!F136,Framework[Number],0)),"")</f>
        <v>Humanitarian Conditions</v>
      </c>
      <c r="H136" t="str">
        <f>IFERROR(INDEX(Framework[Sub_Pillar],MATCH('Step 4-Long Data'!F136,Framework[Number],0)),"")</f>
        <v>Living standards</v>
      </c>
      <c r="I136" t="str">
        <f>IFERROR(INDEX(Framework[Indicator],MATCH('Step 4-Long Data'!F136,Framework[Number],0)),"")</f>
        <v>% of children aged 6 to 17 that attended formal schooling at least 4 days a week prior to C-19 outbreak</v>
      </c>
      <c r="J136" t="str">
        <f>IFERROR(INDEX(Framework[Class],MATCH('Step 4-Long Data'!F136,Framework[Number],0)),"")</f>
        <v>Magnitude</v>
      </c>
      <c r="K136" t="str">
        <f>IFERROR(INDEX(Framework[Critical],MATCH('Step 4-Long Data'!F136,Framework[Number],0)),"")</f>
        <v>No</v>
      </c>
      <c r="L136" t="str">
        <f ca="1">IF(Long_Data[[#This Row],[Indicator Class]]="Degree",INDEX(INDIRECT("Data_Entry['"&amp;Long_Data[[#This Row],[Indicator Number]]&amp;"'_DSev_1]"),MATCH(Long_Data[[#This Row],[Key]],Data_Entry[Key],0)),"NA")</f>
        <v>NA</v>
      </c>
      <c r="M136" t="str">
        <f ca="1">IF(Long_Data[[#This Row],[Indicator Class]]="Degree",INDEX(INDIRECT("Data_Entry['"&amp;Long_Data[[#This Row],[Indicator Number]]&amp;"'_DSev_2]"),MATCH(Long_Data[[#This Row],[Key]],Data_Entry[Key],0)),"NA")</f>
        <v>NA</v>
      </c>
      <c r="N136" t="str">
        <f ca="1">IF(Long_Data[[#This Row],[Indicator Class]]="Degree",INDEX(INDIRECT("Data_Entry['"&amp;Long_Data[[#This Row],[Indicator Number]]&amp;"'_DSev_3]"),MATCH(Long_Data[[#This Row],[Key]],Data_Entry[Key],0)),"NA")</f>
        <v>NA</v>
      </c>
      <c r="O136" t="str">
        <f ca="1">IF(Long_Data[[#This Row],[Indicator Class]]="Degree",INDEX(INDIRECT("Data_Entry['"&amp;Long_Data[[#This Row],[Indicator Number]]&amp;"'_DSev_4]"),MATCH(Long_Data[[#This Row],[Key]],Data_Entry[Key],0)),"NA")</f>
        <v>NA</v>
      </c>
      <c r="P136" t="str">
        <f ca="1">IF(Long_Data[[#This Row],[Indicator Class]]="Degree",INDEX(INDIRECT("Data_Entry['"&amp;Long_Data[[#This Row],[Indicator Number]]&amp;"'_DSev_5]"),MATCH(Long_Data[[#This Row],[Key]],Data_Entry[Key],0)),"NA")</f>
        <v>NA</v>
      </c>
      <c r="Q136">
        <f ca="1">IFERROR(IF(Long_Data[[#This Row],[Indicator Class]]="Magnitude", INDEX(INDIRECT("Data_Entry[Sev_"&amp;Long_Data[[#This Row],[Indicator Number]]&amp;"]"),MATCH(Long_Data[[#This Row],[Key]], Data_Entry[Key],0)),"NA"),"")</f>
        <v>4</v>
      </c>
      <c r="R13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36" s="70">
        <f ca="1">IFERROR(IF(J136="Magnitude",INDEX(INDIRECT("Data_Entry[PIN_"&amp;Long_Data[[#This Row],[Indicator Number]]&amp;"]"),MATCH(Long_Data[[#This Row],[Key]],Data_Entry[Key],0)),SUM(N136:P136)*INDEX(Baseline_Pop[Population],MATCH(Long_Data[[#This Row],[Key]],Baseline_Pop[Key],0))),"")</f>
        <v>0</v>
      </c>
    </row>
    <row r="137" spans="2:19">
      <c r="B137">
        <v>136</v>
      </c>
      <c r="C137">
        <v>16</v>
      </c>
      <c r="D137" t="str">
        <f>IFERROR(INDEX(Data_Entry[ADM2_Pcode],MATCH('Step 4-Long Data'!C137,Data_Entry[ID],0)),"NA")</f>
        <v>AF06</v>
      </c>
      <c r="E137" t="str">
        <f>IFERROR(INDEX(Data_Entry[Key],MATCH('Step 4-Long Data'!C137,Data_Entry[ID],0)),"NA")</f>
        <v>AF06-Non_Displaced</v>
      </c>
      <c r="F137">
        <v>5</v>
      </c>
      <c r="G137" t="str">
        <f>IFERROR(INDEX(Framework[Pillar],MATCH('Step 4-Long Data'!F137,Framework[Number],0)),"")</f>
        <v>Humanitarian Conditions</v>
      </c>
      <c r="H137" t="str">
        <f>IFERROR(INDEX(Framework[Sub_Pillar],MATCH('Step 4-Long Data'!F137,Framework[Number],0)),"")</f>
        <v>Living standards</v>
      </c>
      <c r="I137" t="str">
        <f>IFERROR(INDEX(Framework[Indicator],MATCH('Step 4-Long Data'!F137,Framework[Number],0)),"")</f>
        <v>% of children aged 6 to 17 that attended formal schooling at least 4 days a week prior to C-19 outbreak</v>
      </c>
      <c r="J137" t="str">
        <f>IFERROR(INDEX(Framework[Class],MATCH('Step 4-Long Data'!F137,Framework[Number],0)),"")</f>
        <v>Magnitude</v>
      </c>
      <c r="K137" t="str">
        <f>IFERROR(INDEX(Framework[Critical],MATCH('Step 4-Long Data'!F137,Framework[Number],0)),"")</f>
        <v>No</v>
      </c>
      <c r="L137" t="str">
        <f ca="1">IF(Long_Data[[#This Row],[Indicator Class]]="Degree",INDEX(INDIRECT("Data_Entry['"&amp;Long_Data[[#This Row],[Indicator Number]]&amp;"'_DSev_1]"),MATCH(Long_Data[[#This Row],[Key]],Data_Entry[Key],0)),"NA")</f>
        <v>NA</v>
      </c>
      <c r="M137" t="str">
        <f ca="1">IF(Long_Data[[#This Row],[Indicator Class]]="Degree",INDEX(INDIRECT("Data_Entry['"&amp;Long_Data[[#This Row],[Indicator Number]]&amp;"'_DSev_2]"),MATCH(Long_Data[[#This Row],[Key]],Data_Entry[Key],0)),"NA")</f>
        <v>NA</v>
      </c>
      <c r="N137" t="str">
        <f ca="1">IF(Long_Data[[#This Row],[Indicator Class]]="Degree",INDEX(INDIRECT("Data_Entry['"&amp;Long_Data[[#This Row],[Indicator Number]]&amp;"'_DSev_3]"),MATCH(Long_Data[[#This Row],[Key]],Data_Entry[Key],0)),"NA")</f>
        <v>NA</v>
      </c>
      <c r="O137" t="str">
        <f ca="1">IF(Long_Data[[#This Row],[Indicator Class]]="Degree",INDEX(INDIRECT("Data_Entry['"&amp;Long_Data[[#This Row],[Indicator Number]]&amp;"'_DSev_4]"),MATCH(Long_Data[[#This Row],[Key]],Data_Entry[Key],0)),"NA")</f>
        <v>NA</v>
      </c>
      <c r="P137" t="str">
        <f ca="1">IF(Long_Data[[#This Row],[Indicator Class]]="Degree",INDEX(INDIRECT("Data_Entry['"&amp;Long_Data[[#This Row],[Indicator Number]]&amp;"'_DSev_5]"),MATCH(Long_Data[[#This Row],[Key]],Data_Entry[Key],0)),"NA")</f>
        <v>NA</v>
      </c>
      <c r="Q137">
        <f ca="1">IFERROR(IF(Long_Data[[#This Row],[Indicator Class]]="Magnitude", INDEX(INDIRECT("Data_Entry[Sev_"&amp;Long_Data[[#This Row],[Indicator Number]]&amp;"]"),MATCH(Long_Data[[#This Row],[Key]], Data_Entry[Key],0)),"NA"),"")</f>
        <v>4</v>
      </c>
      <c r="R13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37" s="70">
        <f ca="1">IFERROR(IF(J137="Magnitude",INDEX(INDIRECT("Data_Entry[PIN_"&amp;Long_Data[[#This Row],[Indicator Number]]&amp;"]"),MATCH(Long_Data[[#This Row],[Key]],Data_Entry[Key],0)),SUM(N137:P137)*INDEX(Baseline_Pop[Population],MATCH(Long_Data[[#This Row],[Key]],Baseline_Pop[Key],0))),"")</f>
        <v>0</v>
      </c>
    </row>
    <row r="138" spans="2:19">
      <c r="B138">
        <v>137</v>
      </c>
      <c r="C138">
        <v>17</v>
      </c>
      <c r="D138" t="str">
        <f>IFERROR(INDEX(Data_Entry[ADM2_Pcode],MATCH('Step 4-Long Data'!C138,Data_Entry[ID],0)),"NA")</f>
        <v>AF07</v>
      </c>
      <c r="E138" t="str">
        <f>IFERROR(INDEX(Data_Entry[Key],MATCH('Step 4-Long Data'!C138,Data_Entry[ID],0)),"NA")</f>
        <v>AF07-Non_Displaced</v>
      </c>
      <c r="F138">
        <v>5</v>
      </c>
      <c r="G138" t="str">
        <f>IFERROR(INDEX(Framework[Pillar],MATCH('Step 4-Long Data'!F138,Framework[Number],0)),"")</f>
        <v>Humanitarian Conditions</v>
      </c>
      <c r="H138" t="str">
        <f>IFERROR(INDEX(Framework[Sub_Pillar],MATCH('Step 4-Long Data'!F138,Framework[Number],0)),"")</f>
        <v>Living standards</v>
      </c>
      <c r="I138" t="str">
        <f>IFERROR(INDEX(Framework[Indicator],MATCH('Step 4-Long Data'!F138,Framework[Number],0)),"")</f>
        <v>% of children aged 6 to 17 that attended formal schooling at least 4 days a week prior to C-19 outbreak</v>
      </c>
      <c r="J138" t="str">
        <f>IFERROR(INDEX(Framework[Class],MATCH('Step 4-Long Data'!F138,Framework[Number],0)),"")</f>
        <v>Magnitude</v>
      </c>
      <c r="K138" t="str">
        <f>IFERROR(INDEX(Framework[Critical],MATCH('Step 4-Long Data'!F138,Framework[Number],0)),"")</f>
        <v>No</v>
      </c>
      <c r="L138" t="str">
        <f ca="1">IF(Long_Data[[#This Row],[Indicator Class]]="Degree",INDEX(INDIRECT("Data_Entry['"&amp;Long_Data[[#This Row],[Indicator Number]]&amp;"'_DSev_1]"),MATCH(Long_Data[[#This Row],[Key]],Data_Entry[Key],0)),"NA")</f>
        <v>NA</v>
      </c>
      <c r="M138" t="str">
        <f ca="1">IF(Long_Data[[#This Row],[Indicator Class]]="Degree",INDEX(INDIRECT("Data_Entry['"&amp;Long_Data[[#This Row],[Indicator Number]]&amp;"'_DSev_2]"),MATCH(Long_Data[[#This Row],[Key]],Data_Entry[Key],0)),"NA")</f>
        <v>NA</v>
      </c>
      <c r="N138" t="str">
        <f ca="1">IF(Long_Data[[#This Row],[Indicator Class]]="Degree",INDEX(INDIRECT("Data_Entry['"&amp;Long_Data[[#This Row],[Indicator Number]]&amp;"'_DSev_3]"),MATCH(Long_Data[[#This Row],[Key]],Data_Entry[Key],0)),"NA")</f>
        <v>NA</v>
      </c>
      <c r="O138" t="str">
        <f ca="1">IF(Long_Data[[#This Row],[Indicator Class]]="Degree",INDEX(INDIRECT("Data_Entry['"&amp;Long_Data[[#This Row],[Indicator Number]]&amp;"'_DSev_4]"),MATCH(Long_Data[[#This Row],[Key]],Data_Entry[Key],0)),"NA")</f>
        <v>NA</v>
      </c>
      <c r="P138" t="str">
        <f ca="1">IF(Long_Data[[#This Row],[Indicator Class]]="Degree",INDEX(INDIRECT("Data_Entry['"&amp;Long_Data[[#This Row],[Indicator Number]]&amp;"'_DSev_5]"),MATCH(Long_Data[[#This Row],[Key]],Data_Entry[Key],0)),"NA")</f>
        <v>NA</v>
      </c>
      <c r="Q138">
        <f ca="1">IFERROR(IF(Long_Data[[#This Row],[Indicator Class]]="Magnitude", INDEX(INDIRECT("Data_Entry[Sev_"&amp;Long_Data[[#This Row],[Indicator Number]]&amp;"]"),MATCH(Long_Data[[#This Row],[Key]], Data_Entry[Key],0)),"NA"),"")</f>
        <v>4</v>
      </c>
      <c r="R138">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38" s="70">
        <f ca="1">IFERROR(IF(J138="Magnitude",INDEX(INDIRECT("Data_Entry[PIN_"&amp;Long_Data[[#This Row],[Indicator Number]]&amp;"]"),MATCH(Long_Data[[#This Row],[Key]],Data_Entry[Key],0)),SUM(N138:P138)*INDEX(Baseline_Pop[Population],MATCH(Long_Data[[#This Row],[Key]],Baseline_Pop[Key],0))),"")</f>
        <v>0</v>
      </c>
    </row>
    <row r="139" spans="2:19">
      <c r="B139">
        <v>138</v>
      </c>
      <c r="C139">
        <v>18</v>
      </c>
      <c r="D139" t="str">
        <f>IFERROR(INDEX(Data_Entry[ADM2_Pcode],MATCH('Step 4-Long Data'!C139,Data_Entry[ID],0)),"NA")</f>
        <v>AF08</v>
      </c>
      <c r="E139" t="str">
        <f>IFERROR(INDEX(Data_Entry[Key],MATCH('Step 4-Long Data'!C139,Data_Entry[ID],0)),"NA")</f>
        <v>AF08-Non_Displaced</v>
      </c>
      <c r="F139">
        <v>5</v>
      </c>
      <c r="G139" t="str">
        <f>IFERROR(INDEX(Framework[Pillar],MATCH('Step 4-Long Data'!F139,Framework[Number],0)),"")</f>
        <v>Humanitarian Conditions</v>
      </c>
      <c r="H139" t="str">
        <f>IFERROR(INDEX(Framework[Sub_Pillar],MATCH('Step 4-Long Data'!F139,Framework[Number],0)),"")</f>
        <v>Living standards</v>
      </c>
      <c r="I139" t="str">
        <f>IFERROR(INDEX(Framework[Indicator],MATCH('Step 4-Long Data'!F139,Framework[Number],0)),"")</f>
        <v>% of children aged 6 to 17 that attended formal schooling at least 4 days a week prior to C-19 outbreak</v>
      </c>
      <c r="J139" t="str">
        <f>IFERROR(INDEX(Framework[Class],MATCH('Step 4-Long Data'!F139,Framework[Number],0)),"")</f>
        <v>Magnitude</v>
      </c>
      <c r="K139" t="str">
        <f>IFERROR(INDEX(Framework[Critical],MATCH('Step 4-Long Data'!F139,Framework[Number],0)),"")</f>
        <v>No</v>
      </c>
      <c r="L139" t="str">
        <f ca="1">IF(Long_Data[[#This Row],[Indicator Class]]="Degree",INDEX(INDIRECT("Data_Entry['"&amp;Long_Data[[#This Row],[Indicator Number]]&amp;"'_DSev_1]"),MATCH(Long_Data[[#This Row],[Key]],Data_Entry[Key],0)),"NA")</f>
        <v>NA</v>
      </c>
      <c r="M139" t="str">
        <f ca="1">IF(Long_Data[[#This Row],[Indicator Class]]="Degree",INDEX(INDIRECT("Data_Entry['"&amp;Long_Data[[#This Row],[Indicator Number]]&amp;"'_DSev_2]"),MATCH(Long_Data[[#This Row],[Key]],Data_Entry[Key],0)),"NA")</f>
        <v>NA</v>
      </c>
      <c r="N139" t="str">
        <f ca="1">IF(Long_Data[[#This Row],[Indicator Class]]="Degree",INDEX(INDIRECT("Data_Entry['"&amp;Long_Data[[#This Row],[Indicator Number]]&amp;"'_DSev_3]"),MATCH(Long_Data[[#This Row],[Key]],Data_Entry[Key],0)),"NA")</f>
        <v>NA</v>
      </c>
      <c r="O139" t="str">
        <f ca="1">IF(Long_Data[[#This Row],[Indicator Class]]="Degree",INDEX(INDIRECT("Data_Entry['"&amp;Long_Data[[#This Row],[Indicator Number]]&amp;"'_DSev_4]"),MATCH(Long_Data[[#This Row],[Key]],Data_Entry[Key],0)),"NA")</f>
        <v>NA</v>
      </c>
      <c r="P139" t="str">
        <f ca="1">IF(Long_Data[[#This Row],[Indicator Class]]="Degree",INDEX(INDIRECT("Data_Entry['"&amp;Long_Data[[#This Row],[Indicator Number]]&amp;"'_DSev_5]"),MATCH(Long_Data[[#This Row],[Key]],Data_Entry[Key],0)),"NA")</f>
        <v>NA</v>
      </c>
      <c r="Q139">
        <f ca="1">IFERROR(IF(Long_Data[[#This Row],[Indicator Class]]="Magnitude", INDEX(INDIRECT("Data_Entry[Sev_"&amp;Long_Data[[#This Row],[Indicator Number]]&amp;"]"),MATCH(Long_Data[[#This Row],[Key]], Data_Entry[Key],0)),"NA"),"")</f>
        <v>3</v>
      </c>
      <c r="R13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39" s="70">
        <f ca="1">IFERROR(IF(J139="Magnitude",INDEX(INDIRECT("Data_Entry[PIN_"&amp;Long_Data[[#This Row],[Indicator Number]]&amp;"]"),MATCH(Long_Data[[#This Row],[Key]],Data_Entry[Key],0)),SUM(N139:P139)*INDEX(Baseline_Pop[Population],MATCH(Long_Data[[#This Row],[Key]],Baseline_Pop[Key],0))),"")</f>
        <v>0</v>
      </c>
    </row>
    <row r="140" spans="2:19">
      <c r="B140">
        <v>139</v>
      </c>
      <c r="C140">
        <v>19</v>
      </c>
      <c r="D140" t="str">
        <f>IFERROR(INDEX(Data_Entry[ADM2_Pcode],MATCH('Step 4-Long Data'!C140,Data_Entry[ID],0)),"NA")</f>
        <v>AF09</v>
      </c>
      <c r="E140" t="str">
        <f>IFERROR(INDEX(Data_Entry[Key],MATCH('Step 4-Long Data'!C140,Data_Entry[ID],0)),"NA")</f>
        <v>AF09-Non_Displaced</v>
      </c>
      <c r="F140">
        <v>5</v>
      </c>
      <c r="G140" t="str">
        <f>IFERROR(INDEX(Framework[Pillar],MATCH('Step 4-Long Data'!F140,Framework[Number],0)),"")</f>
        <v>Humanitarian Conditions</v>
      </c>
      <c r="H140" t="str">
        <f>IFERROR(INDEX(Framework[Sub_Pillar],MATCH('Step 4-Long Data'!F140,Framework[Number],0)),"")</f>
        <v>Living standards</v>
      </c>
      <c r="I140" t="str">
        <f>IFERROR(INDEX(Framework[Indicator],MATCH('Step 4-Long Data'!F140,Framework[Number],0)),"")</f>
        <v>% of children aged 6 to 17 that attended formal schooling at least 4 days a week prior to C-19 outbreak</v>
      </c>
      <c r="J140" t="str">
        <f>IFERROR(INDEX(Framework[Class],MATCH('Step 4-Long Data'!F140,Framework[Number],0)),"")</f>
        <v>Magnitude</v>
      </c>
      <c r="K140" t="str">
        <f>IFERROR(INDEX(Framework[Critical],MATCH('Step 4-Long Data'!F140,Framework[Number],0)),"")</f>
        <v>No</v>
      </c>
      <c r="L140" t="str">
        <f ca="1">IF(Long_Data[[#This Row],[Indicator Class]]="Degree",INDEX(INDIRECT("Data_Entry['"&amp;Long_Data[[#This Row],[Indicator Number]]&amp;"'_DSev_1]"),MATCH(Long_Data[[#This Row],[Key]],Data_Entry[Key],0)),"NA")</f>
        <v>NA</v>
      </c>
      <c r="M140" t="str">
        <f ca="1">IF(Long_Data[[#This Row],[Indicator Class]]="Degree",INDEX(INDIRECT("Data_Entry['"&amp;Long_Data[[#This Row],[Indicator Number]]&amp;"'_DSev_2]"),MATCH(Long_Data[[#This Row],[Key]],Data_Entry[Key],0)),"NA")</f>
        <v>NA</v>
      </c>
      <c r="N140" t="str">
        <f ca="1">IF(Long_Data[[#This Row],[Indicator Class]]="Degree",INDEX(INDIRECT("Data_Entry['"&amp;Long_Data[[#This Row],[Indicator Number]]&amp;"'_DSev_3]"),MATCH(Long_Data[[#This Row],[Key]],Data_Entry[Key],0)),"NA")</f>
        <v>NA</v>
      </c>
      <c r="O140" t="str">
        <f ca="1">IF(Long_Data[[#This Row],[Indicator Class]]="Degree",INDEX(INDIRECT("Data_Entry['"&amp;Long_Data[[#This Row],[Indicator Number]]&amp;"'_DSev_4]"),MATCH(Long_Data[[#This Row],[Key]],Data_Entry[Key],0)),"NA")</f>
        <v>NA</v>
      </c>
      <c r="P140" t="str">
        <f ca="1">IF(Long_Data[[#This Row],[Indicator Class]]="Degree",INDEX(INDIRECT("Data_Entry['"&amp;Long_Data[[#This Row],[Indicator Number]]&amp;"'_DSev_5]"),MATCH(Long_Data[[#This Row],[Key]],Data_Entry[Key],0)),"NA")</f>
        <v>NA</v>
      </c>
      <c r="Q140">
        <f ca="1">IFERROR(IF(Long_Data[[#This Row],[Indicator Class]]="Magnitude", INDEX(INDIRECT("Data_Entry[Sev_"&amp;Long_Data[[#This Row],[Indicator Number]]&amp;"]"),MATCH(Long_Data[[#This Row],[Key]], Data_Entry[Key],0)),"NA"),"")</f>
        <v>5</v>
      </c>
      <c r="R140">
        <f ca="1">IFERROR(IF(Long_Data[[#This Row],[Indicator Class]]="Magnitude", Long_Data[[#This Row],[Magnitude Severity]],IF(Long_Data[[#This Row],[Severity 5]]&gt;=0.25,5,IF(SUM(Long_Data[[#This Row],[Severity 4]:[Severity 5]])&gt;=0.25,4,IF(SUM(Long_Data[[#This Row],[Severity 3]:[Severity 5]])&gt;=0.25,3,IF(SUM(Long_Data[[#This Row],[Severity 2]:[Severity 5]])&gt;=0.25, 2,1))))), "")</f>
        <v>5</v>
      </c>
      <c r="S140" s="70">
        <f ca="1">IFERROR(IF(J140="Magnitude",INDEX(INDIRECT("Data_Entry[PIN_"&amp;Long_Data[[#This Row],[Indicator Number]]&amp;"]"),MATCH(Long_Data[[#This Row],[Key]],Data_Entry[Key],0)),SUM(N140:P140)*INDEX(Baseline_Pop[Population],MATCH(Long_Data[[#This Row],[Key]],Baseline_Pop[Key],0))),"")</f>
        <v>0</v>
      </c>
    </row>
    <row r="141" spans="2:19">
      <c r="B141">
        <v>140</v>
      </c>
      <c r="C141">
        <v>20</v>
      </c>
      <c r="D141" t="str">
        <f>IFERROR(INDEX(Data_Entry[ADM2_Pcode],MATCH('Step 4-Long Data'!C141,Data_Entry[ID],0)),"NA")</f>
        <v>AF10</v>
      </c>
      <c r="E141" t="str">
        <f>IFERROR(INDEX(Data_Entry[Key],MATCH('Step 4-Long Data'!C141,Data_Entry[ID],0)),"NA")</f>
        <v>AF10-Non_Displaced</v>
      </c>
      <c r="F141">
        <v>5</v>
      </c>
      <c r="G141" t="str">
        <f>IFERROR(INDEX(Framework[Pillar],MATCH('Step 4-Long Data'!F141,Framework[Number],0)),"")</f>
        <v>Humanitarian Conditions</v>
      </c>
      <c r="H141" t="str">
        <f>IFERROR(INDEX(Framework[Sub_Pillar],MATCH('Step 4-Long Data'!F141,Framework[Number],0)),"")</f>
        <v>Living standards</v>
      </c>
      <c r="I141" t="str">
        <f>IFERROR(INDEX(Framework[Indicator],MATCH('Step 4-Long Data'!F141,Framework[Number],0)),"")</f>
        <v>% of children aged 6 to 17 that attended formal schooling at least 4 days a week prior to C-19 outbreak</v>
      </c>
      <c r="J141" t="str">
        <f>IFERROR(INDEX(Framework[Class],MATCH('Step 4-Long Data'!F141,Framework[Number],0)),"")</f>
        <v>Magnitude</v>
      </c>
      <c r="K141" t="str">
        <f>IFERROR(INDEX(Framework[Critical],MATCH('Step 4-Long Data'!F141,Framework[Number],0)),"")</f>
        <v>No</v>
      </c>
      <c r="L141" t="str">
        <f ca="1">IF(Long_Data[[#This Row],[Indicator Class]]="Degree",INDEX(INDIRECT("Data_Entry['"&amp;Long_Data[[#This Row],[Indicator Number]]&amp;"'_DSev_1]"),MATCH(Long_Data[[#This Row],[Key]],Data_Entry[Key],0)),"NA")</f>
        <v>NA</v>
      </c>
      <c r="M141" t="str">
        <f ca="1">IF(Long_Data[[#This Row],[Indicator Class]]="Degree",INDEX(INDIRECT("Data_Entry['"&amp;Long_Data[[#This Row],[Indicator Number]]&amp;"'_DSev_2]"),MATCH(Long_Data[[#This Row],[Key]],Data_Entry[Key],0)),"NA")</f>
        <v>NA</v>
      </c>
      <c r="N141" t="str">
        <f ca="1">IF(Long_Data[[#This Row],[Indicator Class]]="Degree",INDEX(INDIRECT("Data_Entry['"&amp;Long_Data[[#This Row],[Indicator Number]]&amp;"'_DSev_3]"),MATCH(Long_Data[[#This Row],[Key]],Data_Entry[Key],0)),"NA")</f>
        <v>NA</v>
      </c>
      <c r="O141" t="str">
        <f ca="1">IF(Long_Data[[#This Row],[Indicator Class]]="Degree",INDEX(INDIRECT("Data_Entry['"&amp;Long_Data[[#This Row],[Indicator Number]]&amp;"'_DSev_4]"),MATCH(Long_Data[[#This Row],[Key]],Data_Entry[Key],0)),"NA")</f>
        <v>NA</v>
      </c>
      <c r="P141" t="str">
        <f ca="1">IF(Long_Data[[#This Row],[Indicator Class]]="Degree",INDEX(INDIRECT("Data_Entry['"&amp;Long_Data[[#This Row],[Indicator Number]]&amp;"'_DSev_5]"),MATCH(Long_Data[[#This Row],[Key]],Data_Entry[Key],0)),"NA")</f>
        <v>NA</v>
      </c>
      <c r="Q141">
        <f ca="1">IFERROR(IF(Long_Data[[#This Row],[Indicator Class]]="Magnitude", INDEX(INDIRECT("Data_Entry[Sev_"&amp;Long_Data[[#This Row],[Indicator Number]]&amp;"]"),MATCH(Long_Data[[#This Row],[Key]], Data_Entry[Key],0)),"NA"),"")</f>
        <v>3</v>
      </c>
      <c r="R14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41" s="70">
        <f ca="1">IFERROR(IF(J141="Magnitude",INDEX(INDIRECT("Data_Entry[PIN_"&amp;Long_Data[[#This Row],[Indicator Number]]&amp;"]"),MATCH(Long_Data[[#This Row],[Key]],Data_Entry[Key],0)),SUM(N141:P141)*INDEX(Baseline_Pop[Population],MATCH(Long_Data[[#This Row],[Key]],Baseline_Pop[Key],0))),"")</f>
        <v>0</v>
      </c>
    </row>
    <row r="142" spans="2:19">
      <c r="B142">
        <v>141</v>
      </c>
      <c r="C142">
        <v>21</v>
      </c>
      <c r="D142" t="str">
        <f>IFERROR(INDEX(Data_Entry[ADM2_Pcode],MATCH('Step 4-Long Data'!C142,Data_Entry[ID],0)),"NA")</f>
        <v>AF01</v>
      </c>
      <c r="E142" t="str">
        <f>IFERROR(INDEX(Data_Entry[Key],MATCH('Step 4-Long Data'!C142,Data_Entry[ID],0)),"NA")</f>
        <v>AF01-Migrants</v>
      </c>
      <c r="F142">
        <v>5</v>
      </c>
      <c r="G142" t="str">
        <f>IFERROR(INDEX(Framework[Pillar],MATCH('Step 4-Long Data'!F142,Framework[Number],0)),"")</f>
        <v>Humanitarian Conditions</v>
      </c>
      <c r="H142" t="str">
        <f>IFERROR(INDEX(Framework[Sub_Pillar],MATCH('Step 4-Long Data'!F142,Framework[Number],0)),"")</f>
        <v>Living standards</v>
      </c>
      <c r="I142" t="str">
        <f>IFERROR(INDEX(Framework[Indicator],MATCH('Step 4-Long Data'!F142,Framework[Number],0)),"")</f>
        <v>% of children aged 6 to 17 that attended formal schooling at least 4 days a week prior to C-19 outbreak</v>
      </c>
      <c r="J142" t="str">
        <f>IFERROR(INDEX(Framework[Class],MATCH('Step 4-Long Data'!F142,Framework[Number],0)),"")</f>
        <v>Magnitude</v>
      </c>
      <c r="K142" t="str">
        <f>IFERROR(INDEX(Framework[Critical],MATCH('Step 4-Long Data'!F142,Framework[Number],0)),"")</f>
        <v>No</v>
      </c>
      <c r="L142" t="str">
        <f ca="1">IF(Long_Data[[#This Row],[Indicator Class]]="Degree",INDEX(INDIRECT("Data_Entry['"&amp;Long_Data[[#This Row],[Indicator Number]]&amp;"'_DSev_1]"),MATCH(Long_Data[[#This Row],[Key]],Data_Entry[Key],0)),"NA")</f>
        <v>NA</v>
      </c>
      <c r="M142" t="str">
        <f ca="1">IF(Long_Data[[#This Row],[Indicator Class]]="Degree",INDEX(INDIRECT("Data_Entry['"&amp;Long_Data[[#This Row],[Indicator Number]]&amp;"'_DSev_2]"),MATCH(Long_Data[[#This Row],[Key]],Data_Entry[Key],0)),"NA")</f>
        <v>NA</v>
      </c>
      <c r="N142" t="str">
        <f ca="1">IF(Long_Data[[#This Row],[Indicator Class]]="Degree",INDEX(INDIRECT("Data_Entry['"&amp;Long_Data[[#This Row],[Indicator Number]]&amp;"'_DSev_3]"),MATCH(Long_Data[[#This Row],[Key]],Data_Entry[Key],0)),"NA")</f>
        <v>NA</v>
      </c>
      <c r="O142" t="str">
        <f ca="1">IF(Long_Data[[#This Row],[Indicator Class]]="Degree",INDEX(INDIRECT("Data_Entry['"&amp;Long_Data[[#This Row],[Indicator Number]]&amp;"'_DSev_4]"),MATCH(Long_Data[[#This Row],[Key]],Data_Entry[Key],0)),"NA")</f>
        <v>NA</v>
      </c>
      <c r="P142" t="str">
        <f ca="1">IF(Long_Data[[#This Row],[Indicator Class]]="Degree",INDEX(INDIRECT("Data_Entry['"&amp;Long_Data[[#This Row],[Indicator Number]]&amp;"'_DSev_5]"),MATCH(Long_Data[[#This Row],[Key]],Data_Entry[Key],0)),"NA")</f>
        <v>NA</v>
      </c>
      <c r="Q142">
        <f ca="1">IFERROR(IF(Long_Data[[#This Row],[Indicator Class]]="Magnitude", INDEX(INDIRECT("Data_Entry[Sev_"&amp;Long_Data[[#This Row],[Indicator Number]]&amp;"]"),MATCH(Long_Data[[#This Row],[Key]], Data_Entry[Key],0)),"NA"),"")</f>
        <v>2</v>
      </c>
      <c r="R142">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42" s="70">
        <f ca="1">IFERROR(IF(J142="Magnitude",INDEX(INDIRECT("Data_Entry[PIN_"&amp;Long_Data[[#This Row],[Indicator Number]]&amp;"]"),MATCH(Long_Data[[#This Row],[Key]],Data_Entry[Key],0)),SUM(N142:P142)*INDEX(Baseline_Pop[Population],MATCH(Long_Data[[#This Row],[Key]],Baseline_Pop[Key],0))),"")</f>
        <v>0</v>
      </c>
    </row>
    <row r="143" spans="2:19">
      <c r="B143">
        <v>142</v>
      </c>
      <c r="C143">
        <v>22</v>
      </c>
      <c r="D143" t="str">
        <f>IFERROR(INDEX(Data_Entry[ADM2_Pcode],MATCH('Step 4-Long Data'!C143,Data_Entry[ID],0)),"NA")</f>
        <v>AF02</v>
      </c>
      <c r="E143" t="str">
        <f>IFERROR(INDEX(Data_Entry[Key],MATCH('Step 4-Long Data'!C143,Data_Entry[ID],0)),"NA")</f>
        <v>AF02-Migrants</v>
      </c>
      <c r="F143">
        <v>5</v>
      </c>
      <c r="G143" t="str">
        <f>IFERROR(INDEX(Framework[Pillar],MATCH('Step 4-Long Data'!F143,Framework[Number],0)),"")</f>
        <v>Humanitarian Conditions</v>
      </c>
      <c r="H143" t="str">
        <f>IFERROR(INDEX(Framework[Sub_Pillar],MATCH('Step 4-Long Data'!F143,Framework[Number],0)),"")</f>
        <v>Living standards</v>
      </c>
      <c r="I143" t="str">
        <f>IFERROR(INDEX(Framework[Indicator],MATCH('Step 4-Long Data'!F143,Framework[Number],0)),"")</f>
        <v>% of children aged 6 to 17 that attended formal schooling at least 4 days a week prior to C-19 outbreak</v>
      </c>
      <c r="J143" t="str">
        <f>IFERROR(INDEX(Framework[Class],MATCH('Step 4-Long Data'!F143,Framework[Number],0)),"")</f>
        <v>Magnitude</v>
      </c>
      <c r="K143" t="str">
        <f>IFERROR(INDEX(Framework[Critical],MATCH('Step 4-Long Data'!F143,Framework[Number],0)),"")</f>
        <v>No</v>
      </c>
      <c r="L143" t="str">
        <f ca="1">IF(Long_Data[[#This Row],[Indicator Class]]="Degree",INDEX(INDIRECT("Data_Entry['"&amp;Long_Data[[#This Row],[Indicator Number]]&amp;"'_DSev_1]"),MATCH(Long_Data[[#This Row],[Key]],Data_Entry[Key],0)),"NA")</f>
        <v>NA</v>
      </c>
      <c r="M143" t="str">
        <f ca="1">IF(Long_Data[[#This Row],[Indicator Class]]="Degree",INDEX(INDIRECT("Data_Entry['"&amp;Long_Data[[#This Row],[Indicator Number]]&amp;"'_DSev_2]"),MATCH(Long_Data[[#This Row],[Key]],Data_Entry[Key],0)),"NA")</f>
        <v>NA</v>
      </c>
      <c r="N143" t="str">
        <f ca="1">IF(Long_Data[[#This Row],[Indicator Class]]="Degree",INDEX(INDIRECT("Data_Entry['"&amp;Long_Data[[#This Row],[Indicator Number]]&amp;"'_DSev_3]"),MATCH(Long_Data[[#This Row],[Key]],Data_Entry[Key],0)),"NA")</f>
        <v>NA</v>
      </c>
      <c r="O143" t="str">
        <f ca="1">IF(Long_Data[[#This Row],[Indicator Class]]="Degree",INDEX(INDIRECT("Data_Entry['"&amp;Long_Data[[#This Row],[Indicator Number]]&amp;"'_DSev_4]"),MATCH(Long_Data[[#This Row],[Key]],Data_Entry[Key],0)),"NA")</f>
        <v>NA</v>
      </c>
      <c r="P143" t="str">
        <f ca="1">IF(Long_Data[[#This Row],[Indicator Class]]="Degree",INDEX(INDIRECT("Data_Entry['"&amp;Long_Data[[#This Row],[Indicator Number]]&amp;"'_DSev_5]"),MATCH(Long_Data[[#This Row],[Key]],Data_Entry[Key],0)),"NA")</f>
        <v>NA</v>
      </c>
      <c r="Q143">
        <f ca="1">IFERROR(IF(Long_Data[[#This Row],[Indicator Class]]="Magnitude", INDEX(INDIRECT("Data_Entry[Sev_"&amp;Long_Data[[#This Row],[Indicator Number]]&amp;"]"),MATCH(Long_Data[[#This Row],[Key]], Data_Entry[Key],0)),"NA"),"")</f>
        <v>2</v>
      </c>
      <c r="R14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143" s="70">
        <f ca="1">IFERROR(IF(J143="Magnitude",INDEX(INDIRECT("Data_Entry[PIN_"&amp;Long_Data[[#This Row],[Indicator Number]]&amp;"]"),MATCH(Long_Data[[#This Row],[Key]],Data_Entry[Key],0)),SUM(N143:P143)*INDEX(Baseline_Pop[Population],MATCH(Long_Data[[#This Row],[Key]],Baseline_Pop[Key],0))),"")</f>
        <v>0</v>
      </c>
    </row>
    <row r="144" spans="2:19">
      <c r="B144">
        <v>143</v>
      </c>
      <c r="C144">
        <v>23</v>
      </c>
      <c r="D144" t="str">
        <f>IFERROR(INDEX(Data_Entry[ADM2_Pcode],MATCH('Step 4-Long Data'!C144,Data_Entry[ID],0)),"NA")</f>
        <v>AF03</v>
      </c>
      <c r="E144" t="str">
        <f>IFERROR(INDEX(Data_Entry[Key],MATCH('Step 4-Long Data'!C144,Data_Entry[ID],0)),"NA")</f>
        <v>AF03-Migrants</v>
      </c>
      <c r="F144">
        <v>5</v>
      </c>
      <c r="G144" t="str">
        <f>IFERROR(INDEX(Framework[Pillar],MATCH('Step 4-Long Data'!F144,Framework[Number],0)),"")</f>
        <v>Humanitarian Conditions</v>
      </c>
      <c r="H144" t="str">
        <f>IFERROR(INDEX(Framework[Sub_Pillar],MATCH('Step 4-Long Data'!F144,Framework[Number],0)),"")</f>
        <v>Living standards</v>
      </c>
      <c r="I144" t="str">
        <f>IFERROR(INDEX(Framework[Indicator],MATCH('Step 4-Long Data'!F144,Framework[Number],0)),"")</f>
        <v>% of children aged 6 to 17 that attended formal schooling at least 4 days a week prior to C-19 outbreak</v>
      </c>
      <c r="J144" t="str">
        <f>IFERROR(INDEX(Framework[Class],MATCH('Step 4-Long Data'!F144,Framework[Number],0)),"")</f>
        <v>Magnitude</v>
      </c>
      <c r="K144" t="str">
        <f>IFERROR(INDEX(Framework[Critical],MATCH('Step 4-Long Data'!F144,Framework[Number],0)),"")</f>
        <v>No</v>
      </c>
      <c r="L144" t="str">
        <f ca="1">IF(Long_Data[[#This Row],[Indicator Class]]="Degree",INDEX(INDIRECT("Data_Entry['"&amp;Long_Data[[#This Row],[Indicator Number]]&amp;"'_DSev_1]"),MATCH(Long_Data[[#This Row],[Key]],Data_Entry[Key],0)),"NA")</f>
        <v>NA</v>
      </c>
      <c r="M144" t="str">
        <f ca="1">IF(Long_Data[[#This Row],[Indicator Class]]="Degree",INDEX(INDIRECT("Data_Entry['"&amp;Long_Data[[#This Row],[Indicator Number]]&amp;"'_DSev_2]"),MATCH(Long_Data[[#This Row],[Key]],Data_Entry[Key],0)),"NA")</f>
        <v>NA</v>
      </c>
      <c r="N144" t="str">
        <f ca="1">IF(Long_Data[[#This Row],[Indicator Class]]="Degree",INDEX(INDIRECT("Data_Entry['"&amp;Long_Data[[#This Row],[Indicator Number]]&amp;"'_DSev_3]"),MATCH(Long_Data[[#This Row],[Key]],Data_Entry[Key],0)),"NA")</f>
        <v>NA</v>
      </c>
      <c r="O144" t="str">
        <f ca="1">IF(Long_Data[[#This Row],[Indicator Class]]="Degree",INDEX(INDIRECT("Data_Entry['"&amp;Long_Data[[#This Row],[Indicator Number]]&amp;"'_DSev_4]"),MATCH(Long_Data[[#This Row],[Key]],Data_Entry[Key],0)),"NA")</f>
        <v>NA</v>
      </c>
      <c r="P144" t="str">
        <f ca="1">IF(Long_Data[[#This Row],[Indicator Class]]="Degree",INDEX(INDIRECT("Data_Entry['"&amp;Long_Data[[#This Row],[Indicator Number]]&amp;"'_DSev_5]"),MATCH(Long_Data[[#This Row],[Key]],Data_Entry[Key],0)),"NA")</f>
        <v>NA</v>
      </c>
      <c r="Q144">
        <f ca="1">IFERROR(IF(Long_Data[[#This Row],[Indicator Class]]="Magnitude", INDEX(INDIRECT("Data_Entry[Sev_"&amp;Long_Data[[#This Row],[Indicator Number]]&amp;"]"),MATCH(Long_Data[[#This Row],[Key]], Data_Entry[Key],0)),"NA"),"")</f>
        <v>1</v>
      </c>
      <c r="R14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44" s="70">
        <f ca="1">IFERROR(IF(J144="Magnitude",INDEX(INDIRECT("Data_Entry[PIN_"&amp;Long_Data[[#This Row],[Indicator Number]]&amp;"]"),MATCH(Long_Data[[#This Row],[Key]],Data_Entry[Key],0)),SUM(N144:P144)*INDEX(Baseline_Pop[Population],MATCH(Long_Data[[#This Row],[Key]],Baseline_Pop[Key],0))),"")</f>
        <v>0</v>
      </c>
    </row>
    <row r="145" spans="2:19">
      <c r="B145">
        <v>144</v>
      </c>
      <c r="C145">
        <v>24</v>
      </c>
      <c r="D145" t="str">
        <f>IFERROR(INDEX(Data_Entry[ADM2_Pcode],MATCH('Step 4-Long Data'!C145,Data_Entry[ID],0)),"NA")</f>
        <v>AF04</v>
      </c>
      <c r="E145" t="str">
        <f>IFERROR(INDEX(Data_Entry[Key],MATCH('Step 4-Long Data'!C145,Data_Entry[ID],0)),"NA")</f>
        <v>AF04-Migrants</v>
      </c>
      <c r="F145">
        <v>5</v>
      </c>
      <c r="G145" t="str">
        <f>IFERROR(INDEX(Framework[Pillar],MATCH('Step 4-Long Data'!F145,Framework[Number],0)),"")</f>
        <v>Humanitarian Conditions</v>
      </c>
      <c r="H145" t="str">
        <f>IFERROR(INDEX(Framework[Sub_Pillar],MATCH('Step 4-Long Data'!F145,Framework[Number],0)),"")</f>
        <v>Living standards</v>
      </c>
      <c r="I145" t="str">
        <f>IFERROR(INDEX(Framework[Indicator],MATCH('Step 4-Long Data'!F145,Framework[Number],0)),"")</f>
        <v>% of children aged 6 to 17 that attended formal schooling at least 4 days a week prior to C-19 outbreak</v>
      </c>
      <c r="J145" t="str">
        <f>IFERROR(INDEX(Framework[Class],MATCH('Step 4-Long Data'!F145,Framework[Number],0)),"")</f>
        <v>Magnitude</v>
      </c>
      <c r="K145" t="str">
        <f>IFERROR(INDEX(Framework[Critical],MATCH('Step 4-Long Data'!F145,Framework[Number],0)),"")</f>
        <v>No</v>
      </c>
      <c r="L145" t="str">
        <f ca="1">IF(Long_Data[[#This Row],[Indicator Class]]="Degree",INDEX(INDIRECT("Data_Entry['"&amp;Long_Data[[#This Row],[Indicator Number]]&amp;"'_DSev_1]"),MATCH(Long_Data[[#This Row],[Key]],Data_Entry[Key],0)),"NA")</f>
        <v>NA</v>
      </c>
      <c r="M145" t="str">
        <f ca="1">IF(Long_Data[[#This Row],[Indicator Class]]="Degree",INDEX(INDIRECT("Data_Entry['"&amp;Long_Data[[#This Row],[Indicator Number]]&amp;"'_DSev_2]"),MATCH(Long_Data[[#This Row],[Key]],Data_Entry[Key],0)),"NA")</f>
        <v>NA</v>
      </c>
      <c r="N145" t="str">
        <f ca="1">IF(Long_Data[[#This Row],[Indicator Class]]="Degree",INDEX(INDIRECT("Data_Entry['"&amp;Long_Data[[#This Row],[Indicator Number]]&amp;"'_DSev_3]"),MATCH(Long_Data[[#This Row],[Key]],Data_Entry[Key],0)),"NA")</f>
        <v>NA</v>
      </c>
      <c r="O145" t="str">
        <f ca="1">IF(Long_Data[[#This Row],[Indicator Class]]="Degree",INDEX(INDIRECT("Data_Entry['"&amp;Long_Data[[#This Row],[Indicator Number]]&amp;"'_DSev_4]"),MATCH(Long_Data[[#This Row],[Key]],Data_Entry[Key],0)),"NA")</f>
        <v>NA</v>
      </c>
      <c r="P145" t="str">
        <f ca="1">IF(Long_Data[[#This Row],[Indicator Class]]="Degree",INDEX(INDIRECT("Data_Entry['"&amp;Long_Data[[#This Row],[Indicator Number]]&amp;"'_DSev_5]"),MATCH(Long_Data[[#This Row],[Key]],Data_Entry[Key],0)),"NA")</f>
        <v>NA</v>
      </c>
      <c r="Q145">
        <f ca="1">IFERROR(IF(Long_Data[[#This Row],[Indicator Class]]="Magnitude", INDEX(INDIRECT("Data_Entry[Sev_"&amp;Long_Data[[#This Row],[Indicator Number]]&amp;"]"),MATCH(Long_Data[[#This Row],[Key]], Data_Entry[Key],0)),"NA"),"")</f>
        <v>3</v>
      </c>
      <c r="R14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45" s="70">
        <f ca="1">IFERROR(IF(J145="Magnitude",INDEX(INDIRECT("Data_Entry[PIN_"&amp;Long_Data[[#This Row],[Indicator Number]]&amp;"]"),MATCH(Long_Data[[#This Row],[Key]],Data_Entry[Key],0)),SUM(N145:P145)*INDEX(Baseline_Pop[Population],MATCH(Long_Data[[#This Row],[Key]],Baseline_Pop[Key],0))),"")</f>
        <v>0</v>
      </c>
    </row>
    <row r="146" spans="2:19">
      <c r="B146">
        <v>145</v>
      </c>
      <c r="C146">
        <v>25</v>
      </c>
      <c r="D146" t="str">
        <f>IFERROR(INDEX(Data_Entry[ADM2_Pcode],MATCH('Step 4-Long Data'!C146,Data_Entry[ID],0)),"NA")</f>
        <v>AF05</v>
      </c>
      <c r="E146" t="str">
        <f>IFERROR(INDEX(Data_Entry[Key],MATCH('Step 4-Long Data'!C146,Data_Entry[ID],0)),"NA")</f>
        <v>AF05-Migrants</v>
      </c>
      <c r="F146">
        <v>5</v>
      </c>
      <c r="G146" t="str">
        <f>IFERROR(INDEX(Framework[Pillar],MATCH('Step 4-Long Data'!F146,Framework[Number],0)),"")</f>
        <v>Humanitarian Conditions</v>
      </c>
      <c r="H146" t="str">
        <f>IFERROR(INDEX(Framework[Sub_Pillar],MATCH('Step 4-Long Data'!F146,Framework[Number],0)),"")</f>
        <v>Living standards</v>
      </c>
      <c r="I146" t="str">
        <f>IFERROR(INDEX(Framework[Indicator],MATCH('Step 4-Long Data'!F146,Framework[Number],0)),"")</f>
        <v>% of children aged 6 to 17 that attended formal schooling at least 4 days a week prior to C-19 outbreak</v>
      </c>
      <c r="J146" t="str">
        <f>IFERROR(INDEX(Framework[Class],MATCH('Step 4-Long Data'!F146,Framework[Number],0)),"")</f>
        <v>Magnitude</v>
      </c>
      <c r="K146" t="str">
        <f>IFERROR(INDEX(Framework[Critical],MATCH('Step 4-Long Data'!F146,Framework[Number],0)),"")</f>
        <v>No</v>
      </c>
      <c r="L146" t="str">
        <f ca="1">IF(Long_Data[[#This Row],[Indicator Class]]="Degree",INDEX(INDIRECT("Data_Entry['"&amp;Long_Data[[#This Row],[Indicator Number]]&amp;"'_DSev_1]"),MATCH(Long_Data[[#This Row],[Key]],Data_Entry[Key],0)),"NA")</f>
        <v>NA</v>
      </c>
      <c r="M146" t="str">
        <f ca="1">IF(Long_Data[[#This Row],[Indicator Class]]="Degree",INDEX(INDIRECT("Data_Entry['"&amp;Long_Data[[#This Row],[Indicator Number]]&amp;"'_DSev_2]"),MATCH(Long_Data[[#This Row],[Key]],Data_Entry[Key],0)),"NA")</f>
        <v>NA</v>
      </c>
      <c r="N146" t="str">
        <f ca="1">IF(Long_Data[[#This Row],[Indicator Class]]="Degree",INDEX(INDIRECT("Data_Entry['"&amp;Long_Data[[#This Row],[Indicator Number]]&amp;"'_DSev_3]"),MATCH(Long_Data[[#This Row],[Key]],Data_Entry[Key],0)),"NA")</f>
        <v>NA</v>
      </c>
      <c r="O146" t="str">
        <f ca="1">IF(Long_Data[[#This Row],[Indicator Class]]="Degree",INDEX(INDIRECT("Data_Entry['"&amp;Long_Data[[#This Row],[Indicator Number]]&amp;"'_DSev_4]"),MATCH(Long_Data[[#This Row],[Key]],Data_Entry[Key],0)),"NA")</f>
        <v>NA</v>
      </c>
      <c r="P146" t="str">
        <f ca="1">IF(Long_Data[[#This Row],[Indicator Class]]="Degree",INDEX(INDIRECT("Data_Entry['"&amp;Long_Data[[#This Row],[Indicator Number]]&amp;"'_DSev_5]"),MATCH(Long_Data[[#This Row],[Key]],Data_Entry[Key],0)),"NA")</f>
        <v>NA</v>
      </c>
      <c r="Q146">
        <f ca="1">IFERROR(IF(Long_Data[[#This Row],[Indicator Class]]="Magnitude", INDEX(INDIRECT("Data_Entry[Sev_"&amp;Long_Data[[#This Row],[Indicator Number]]&amp;"]"),MATCH(Long_Data[[#This Row],[Key]], Data_Entry[Key],0)),"NA"),"")</f>
        <v>4</v>
      </c>
      <c r="R14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46" s="70">
        <f ca="1">IFERROR(IF(J146="Magnitude",INDEX(INDIRECT("Data_Entry[PIN_"&amp;Long_Data[[#This Row],[Indicator Number]]&amp;"]"),MATCH(Long_Data[[#This Row],[Key]],Data_Entry[Key],0)),SUM(N146:P146)*INDEX(Baseline_Pop[Population],MATCH(Long_Data[[#This Row],[Key]],Baseline_Pop[Key],0))),"")</f>
        <v>0</v>
      </c>
    </row>
    <row r="147" spans="2:19">
      <c r="B147">
        <v>146</v>
      </c>
      <c r="C147">
        <v>26</v>
      </c>
      <c r="D147" t="str">
        <f>IFERROR(INDEX(Data_Entry[ADM2_Pcode],MATCH('Step 4-Long Data'!C147,Data_Entry[ID],0)),"NA")</f>
        <v>AF06</v>
      </c>
      <c r="E147" t="str">
        <f>IFERROR(INDEX(Data_Entry[Key],MATCH('Step 4-Long Data'!C147,Data_Entry[ID],0)),"NA")</f>
        <v>AF06-Migrants</v>
      </c>
      <c r="F147">
        <v>5</v>
      </c>
      <c r="G147" t="str">
        <f>IFERROR(INDEX(Framework[Pillar],MATCH('Step 4-Long Data'!F147,Framework[Number],0)),"")</f>
        <v>Humanitarian Conditions</v>
      </c>
      <c r="H147" t="str">
        <f>IFERROR(INDEX(Framework[Sub_Pillar],MATCH('Step 4-Long Data'!F147,Framework[Number],0)),"")</f>
        <v>Living standards</v>
      </c>
      <c r="I147" t="str">
        <f>IFERROR(INDEX(Framework[Indicator],MATCH('Step 4-Long Data'!F147,Framework[Number],0)),"")</f>
        <v>% of children aged 6 to 17 that attended formal schooling at least 4 days a week prior to C-19 outbreak</v>
      </c>
      <c r="J147" t="str">
        <f>IFERROR(INDEX(Framework[Class],MATCH('Step 4-Long Data'!F147,Framework[Number],0)),"")</f>
        <v>Magnitude</v>
      </c>
      <c r="K147" t="str">
        <f>IFERROR(INDEX(Framework[Critical],MATCH('Step 4-Long Data'!F147,Framework[Number],0)),"")</f>
        <v>No</v>
      </c>
      <c r="L147" t="str">
        <f ca="1">IF(Long_Data[[#This Row],[Indicator Class]]="Degree",INDEX(INDIRECT("Data_Entry['"&amp;Long_Data[[#This Row],[Indicator Number]]&amp;"'_DSev_1]"),MATCH(Long_Data[[#This Row],[Key]],Data_Entry[Key],0)),"NA")</f>
        <v>NA</v>
      </c>
      <c r="M147" t="str">
        <f ca="1">IF(Long_Data[[#This Row],[Indicator Class]]="Degree",INDEX(INDIRECT("Data_Entry['"&amp;Long_Data[[#This Row],[Indicator Number]]&amp;"'_DSev_2]"),MATCH(Long_Data[[#This Row],[Key]],Data_Entry[Key],0)),"NA")</f>
        <v>NA</v>
      </c>
      <c r="N147" t="str">
        <f ca="1">IF(Long_Data[[#This Row],[Indicator Class]]="Degree",INDEX(INDIRECT("Data_Entry['"&amp;Long_Data[[#This Row],[Indicator Number]]&amp;"'_DSev_3]"),MATCH(Long_Data[[#This Row],[Key]],Data_Entry[Key],0)),"NA")</f>
        <v>NA</v>
      </c>
      <c r="O147" t="str">
        <f ca="1">IF(Long_Data[[#This Row],[Indicator Class]]="Degree",INDEX(INDIRECT("Data_Entry['"&amp;Long_Data[[#This Row],[Indicator Number]]&amp;"'_DSev_4]"),MATCH(Long_Data[[#This Row],[Key]],Data_Entry[Key],0)),"NA")</f>
        <v>NA</v>
      </c>
      <c r="P147" t="str">
        <f ca="1">IF(Long_Data[[#This Row],[Indicator Class]]="Degree",INDEX(INDIRECT("Data_Entry['"&amp;Long_Data[[#This Row],[Indicator Number]]&amp;"'_DSev_5]"),MATCH(Long_Data[[#This Row],[Key]],Data_Entry[Key],0)),"NA")</f>
        <v>NA</v>
      </c>
      <c r="Q147">
        <f ca="1">IFERROR(IF(Long_Data[[#This Row],[Indicator Class]]="Magnitude", INDEX(INDIRECT("Data_Entry[Sev_"&amp;Long_Data[[#This Row],[Indicator Number]]&amp;"]"),MATCH(Long_Data[[#This Row],[Key]], Data_Entry[Key],0)),"NA"),"")</f>
        <v>4</v>
      </c>
      <c r="R14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47" s="70">
        <f ca="1">IFERROR(IF(J147="Magnitude",INDEX(INDIRECT("Data_Entry[PIN_"&amp;Long_Data[[#This Row],[Indicator Number]]&amp;"]"),MATCH(Long_Data[[#This Row],[Key]],Data_Entry[Key],0)),SUM(N147:P147)*INDEX(Baseline_Pop[Population],MATCH(Long_Data[[#This Row],[Key]],Baseline_Pop[Key],0))),"")</f>
        <v>0</v>
      </c>
    </row>
    <row r="148" spans="2:19">
      <c r="B148">
        <v>147</v>
      </c>
      <c r="C148">
        <v>27</v>
      </c>
      <c r="D148" t="str">
        <f>IFERROR(INDEX(Data_Entry[ADM2_Pcode],MATCH('Step 4-Long Data'!C148,Data_Entry[ID],0)),"NA")</f>
        <v>AF07</v>
      </c>
      <c r="E148" t="str">
        <f>IFERROR(INDEX(Data_Entry[Key],MATCH('Step 4-Long Data'!C148,Data_Entry[ID],0)),"NA")</f>
        <v>AF07-Migrants</v>
      </c>
      <c r="F148">
        <v>5</v>
      </c>
      <c r="G148" t="str">
        <f>IFERROR(INDEX(Framework[Pillar],MATCH('Step 4-Long Data'!F148,Framework[Number],0)),"")</f>
        <v>Humanitarian Conditions</v>
      </c>
      <c r="H148" t="str">
        <f>IFERROR(INDEX(Framework[Sub_Pillar],MATCH('Step 4-Long Data'!F148,Framework[Number],0)),"")</f>
        <v>Living standards</v>
      </c>
      <c r="I148" t="str">
        <f>IFERROR(INDEX(Framework[Indicator],MATCH('Step 4-Long Data'!F148,Framework[Number],0)),"")</f>
        <v>% of children aged 6 to 17 that attended formal schooling at least 4 days a week prior to C-19 outbreak</v>
      </c>
      <c r="J148" t="str">
        <f>IFERROR(INDEX(Framework[Class],MATCH('Step 4-Long Data'!F148,Framework[Number],0)),"")</f>
        <v>Magnitude</v>
      </c>
      <c r="K148" t="str">
        <f>IFERROR(INDEX(Framework[Critical],MATCH('Step 4-Long Data'!F148,Framework[Number],0)),"")</f>
        <v>No</v>
      </c>
      <c r="L148" t="str">
        <f ca="1">IF(Long_Data[[#This Row],[Indicator Class]]="Degree",INDEX(INDIRECT("Data_Entry['"&amp;Long_Data[[#This Row],[Indicator Number]]&amp;"'_DSev_1]"),MATCH(Long_Data[[#This Row],[Key]],Data_Entry[Key],0)),"NA")</f>
        <v>NA</v>
      </c>
      <c r="M148" t="str">
        <f ca="1">IF(Long_Data[[#This Row],[Indicator Class]]="Degree",INDEX(INDIRECT("Data_Entry['"&amp;Long_Data[[#This Row],[Indicator Number]]&amp;"'_DSev_2]"),MATCH(Long_Data[[#This Row],[Key]],Data_Entry[Key],0)),"NA")</f>
        <v>NA</v>
      </c>
      <c r="N148" t="str">
        <f ca="1">IF(Long_Data[[#This Row],[Indicator Class]]="Degree",INDEX(INDIRECT("Data_Entry['"&amp;Long_Data[[#This Row],[Indicator Number]]&amp;"'_DSev_3]"),MATCH(Long_Data[[#This Row],[Key]],Data_Entry[Key],0)),"NA")</f>
        <v>NA</v>
      </c>
      <c r="O148" t="str">
        <f ca="1">IF(Long_Data[[#This Row],[Indicator Class]]="Degree",INDEX(INDIRECT("Data_Entry['"&amp;Long_Data[[#This Row],[Indicator Number]]&amp;"'_DSev_4]"),MATCH(Long_Data[[#This Row],[Key]],Data_Entry[Key],0)),"NA")</f>
        <v>NA</v>
      </c>
      <c r="P148" t="str">
        <f ca="1">IF(Long_Data[[#This Row],[Indicator Class]]="Degree",INDEX(INDIRECT("Data_Entry['"&amp;Long_Data[[#This Row],[Indicator Number]]&amp;"'_DSev_5]"),MATCH(Long_Data[[#This Row],[Key]],Data_Entry[Key],0)),"NA")</f>
        <v>NA</v>
      </c>
      <c r="Q148">
        <f ca="1">IFERROR(IF(Long_Data[[#This Row],[Indicator Class]]="Magnitude", INDEX(INDIRECT("Data_Entry[Sev_"&amp;Long_Data[[#This Row],[Indicator Number]]&amp;"]"),MATCH(Long_Data[[#This Row],[Key]], Data_Entry[Key],0)),"NA"),"")</f>
        <v>4</v>
      </c>
      <c r="R148">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48" s="70">
        <f ca="1">IFERROR(IF(J148="Magnitude",INDEX(INDIRECT("Data_Entry[PIN_"&amp;Long_Data[[#This Row],[Indicator Number]]&amp;"]"),MATCH(Long_Data[[#This Row],[Key]],Data_Entry[Key],0)),SUM(N148:P148)*INDEX(Baseline_Pop[Population],MATCH(Long_Data[[#This Row],[Key]],Baseline_Pop[Key],0))),"")</f>
        <v>0</v>
      </c>
    </row>
    <row r="149" spans="2:19">
      <c r="B149">
        <v>148</v>
      </c>
      <c r="C149">
        <v>28</v>
      </c>
      <c r="D149" t="str">
        <f>IFERROR(INDEX(Data_Entry[ADM2_Pcode],MATCH('Step 4-Long Data'!C149,Data_Entry[ID],0)),"NA")</f>
        <v>AF08</v>
      </c>
      <c r="E149" t="str">
        <f>IFERROR(INDEX(Data_Entry[Key],MATCH('Step 4-Long Data'!C149,Data_Entry[ID],0)),"NA")</f>
        <v>AF08-Migrants</v>
      </c>
      <c r="F149">
        <v>5</v>
      </c>
      <c r="G149" t="str">
        <f>IFERROR(INDEX(Framework[Pillar],MATCH('Step 4-Long Data'!F149,Framework[Number],0)),"")</f>
        <v>Humanitarian Conditions</v>
      </c>
      <c r="H149" t="str">
        <f>IFERROR(INDEX(Framework[Sub_Pillar],MATCH('Step 4-Long Data'!F149,Framework[Number],0)),"")</f>
        <v>Living standards</v>
      </c>
      <c r="I149" t="str">
        <f>IFERROR(INDEX(Framework[Indicator],MATCH('Step 4-Long Data'!F149,Framework[Number],0)),"")</f>
        <v>% of children aged 6 to 17 that attended formal schooling at least 4 days a week prior to C-19 outbreak</v>
      </c>
      <c r="J149" t="str">
        <f>IFERROR(INDEX(Framework[Class],MATCH('Step 4-Long Data'!F149,Framework[Number],0)),"")</f>
        <v>Magnitude</v>
      </c>
      <c r="K149" t="str">
        <f>IFERROR(INDEX(Framework[Critical],MATCH('Step 4-Long Data'!F149,Framework[Number],0)),"")</f>
        <v>No</v>
      </c>
      <c r="L149" t="str">
        <f ca="1">IF(Long_Data[[#This Row],[Indicator Class]]="Degree",INDEX(INDIRECT("Data_Entry['"&amp;Long_Data[[#This Row],[Indicator Number]]&amp;"'_DSev_1]"),MATCH(Long_Data[[#This Row],[Key]],Data_Entry[Key],0)),"NA")</f>
        <v>NA</v>
      </c>
      <c r="M149" t="str">
        <f ca="1">IF(Long_Data[[#This Row],[Indicator Class]]="Degree",INDEX(INDIRECT("Data_Entry['"&amp;Long_Data[[#This Row],[Indicator Number]]&amp;"'_DSev_2]"),MATCH(Long_Data[[#This Row],[Key]],Data_Entry[Key],0)),"NA")</f>
        <v>NA</v>
      </c>
      <c r="N149" t="str">
        <f ca="1">IF(Long_Data[[#This Row],[Indicator Class]]="Degree",INDEX(INDIRECT("Data_Entry['"&amp;Long_Data[[#This Row],[Indicator Number]]&amp;"'_DSev_3]"),MATCH(Long_Data[[#This Row],[Key]],Data_Entry[Key],0)),"NA")</f>
        <v>NA</v>
      </c>
      <c r="O149" t="str">
        <f ca="1">IF(Long_Data[[#This Row],[Indicator Class]]="Degree",INDEX(INDIRECT("Data_Entry['"&amp;Long_Data[[#This Row],[Indicator Number]]&amp;"'_DSev_4]"),MATCH(Long_Data[[#This Row],[Key]],Data_Entry[Key],0)),"NA")</f>
        <v>NA</v>
      </c>
      <c r="P149" t="str">
        <f ca="1">IF(Long_Data[[#This Row],[Indicator Class]]="Degree",INDEX(INDIRECT("Data_Entry['"&amp;Long_Data[[#This Row],[Indicator Number]]&amp;"'_DSev_5]"),MATCH(Long_Data[[#This Row],[Key]],Data_Entry[Key],0)),"NA")</f>
        <v>NA</v>
      </c>
      <c r="Q149">
        <f ca="1">IFERROR(IF(Long_Data[[#This Row],[Indicator Class]]="Magnitude", INDEX(INDIRECT("Data_Entry[Sev_"&amp;Long_Data[[#This Row],[Indicator Number]]&amp;"]"),MATCH(Long_Data[[#This Row],[Key]], Data_Entry[Key],0)),"NA"),"")</f>
        <v>3</v>
      </c>
      <c r="R14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49" s="70">
        <f ca="1">IFERROR(IF(J149="Magnitude",INDEX(INDIRECT("Data_Entry[PIN_"&amp;Long_Data[[#This Row],[Indicator Number]]&amp;"]"),MATCH(Long_Data[[#This Row],[Key]],Data_Entry[Key],0)),SUM(N149:P149)*INDEX(Baseline_Pop[Population],MATCH(Long_Data[[#This Row],[Key]],Baseline_Pop[Key],0))),"")</f>
        <v>0</v>
      </c>
    </row>
    <row r="150" spans="2:19">
      <c r="B150">
        <v>149</v>
      </c>
      <c r="C150">
        <v>29</v>
      </c>
      <c r="D150" t="str">
        <f>IFERROR(INDEX(Data_Entry[ADM2_Pcode],MATCH('Step 4-Long Data'!C150,Data_Entry[ID],0)),"NA")</f>
        <v>AF09</v>
      </c>
      <c r="E150" t="str">
        <f>IFERROR(INDEX(Data_Entry[Key],MATCH('Step 4-Long Data'!C150,Data_Entry[ID],0)),"NA")</f>
        <v>AF09-Migrants</v>
      </c>
      <c r="F150">
        <v>5</v>
      </c>
      <c r="G150" t="str">
        <f>IFERROR(INDEX(Framework[Pillar],MATCH('Step 4-Long Data'!F150,Framework[Number],0)),"")</f>
        <v>Humanitarian Conditions</v>
      </c>
      <c r="H150" t="str">
        <f>IFERROR(INDEX(Framework[Sub_Pillar],MATCH('Step 4-Long Data'!F150,Framework[Number],0)),"")</f>
        <v>Living standards</v>
      </c>
      <c r="I150" t="str">
        <f>IFERROR(INDEX(Framework[Indicator],MATCH('Step 4-Long Data'!F150,Framework[Number],0)),"")</f>
        <v>% of children aged 6 to 17 that attended formal schooling at least 4 days a week prior to C-19 outbreak</v>
      </c>
      <c r="J150" t="str">
        <f>IFERROR(INDEX(Framework[Class],MATCH('Step 4-Long Data'!F150,Framework[Number],0)),"")</f>
        <v>Magnitude</v>
      </c>
      <c r="K150" t="str">
        <f>IFERROR(INDEX(Framework[Critical],MATCH('Step 4-Long Data'!F150,Framework[Number],0)),"")</f>
        <v>No</v>
      </c>
      <c r="L150" t="str">
        <f ca="1">IF(Long_Data[[#This Row],[Indicator Class]]="Degree",INDEX(INDIRECT("Data_Entry['"&amp;Long_Data[[#This Row],[Indicator Number]]&amp;"'_DSev_1]"),MATCH(Long_Data[[#This Row],[Key]],Data_Entry[Key],0)),"NA")</f>
        <v>NA</v>
      </c>
      <c r="M150" t="str">
        <f ca="1">IF(Long_Data[[#This Row],[Indicator Class]]="Degree",INDEX(INDIRECT("Data_Entry['"&amp;Long_Data[[#This Row],[Indicator Number]]&amp;"'_DSev_2]"),MATCH(Long_Data[[#This Row],[Key]],Data_Entry[Key],0)),"NA")</f>
        <v>NA</v>
      </c>
      <c r="N150" t="str">
        <f ca="1">IF(Long_Data[[#This Row],[Indicator Class]]="Degree",INDEX(INDIRECT("Data_Entry['"&amp;Long_Data[[#This Row],[Indicator Number]]&amp;"'_DSev_3]"),MATCH(Long_Data[[#This Row],[Key]],Data_Entry[Key],0)),"NA")</f>
        <v>NA</v>
      </c>
      <c r="O150" t="str">
        <f ca="1">IF(Long_Data[[#This Row],[Indicator Class]]="Degree",INDEX(INDIRECT("Data_Entry['"&amp;Long_Data[[#This Row],[Indicator Number]]&amp;"'_DSev_4]"),MATCH(Long_Data[[#This Row],[Key]],Data_Entry[Key],0)),"NA")</f>
        <v>NA</v>
      </c>
      <c r="P150" t="str">
        <f ca="1">IF(Long_Data[[#This Row],[Indicator Class]]="Degree",INDEX(INDIRECT("Data_Entry['"&amp;Long_Data[[#This Row],[Indicator Number]]&amp;"'_DSev_5]"),MATCH(Long_Data[[#This Row],[Key]],Data_Entry[Key],0)),"NA")</f>
        <v>NA</v>
      </c>
      <c r="Q150">
        <f ca="1">IFERROR(IF(Long_Data[[#This Row],[Indicator Class]]="Magnitude", INDEX(INDIRECT("Data_Entry[Sev_"&amp;Long_Data[[#This Row],[Indicator Number]]&amp;"]"),MATCH(Long_Data[[#This Row],[Key]], Data_Entry[Key],0)),"NA"),"")</f>
        <v>5</v>
      </c>
      <c r="R150">
        <f ca="1">IFERROR(IF(Long_Data[[#This Row],[Indicator Class]]="Magnitude", Long_Data[[#This Row],[Magnitude Severity]],IF(Long_Data[[#This Row],[Severity 5]]&gt;=0.25,5,IF(SUM(Long_Data[[#This Row],[Severity 4]:[Severity 5]])&gt;=0.25,4,IF(SUM(Long_Data[[#This Row],[Severity 3]:[Severity 5]])&gt;=0.25,3,IF(SUM(Long_Data[[#This Row],[Severity 2]:[Severity 5]])&gt;=0.25, 2,1))))), "")</f>
        <v>5</v>
      </c>
      <c r="S150" s="70">
        <f ca="1">IFERROR(IF(J150="Magnitude",INDEX(INDIRECT("Data_Entry[PIN_"&amp;Long_Data[[#This Row],[Indicator Number]]&amp;"]"),MATCH(Long_Data[[#This Row],[Key]],Data_Entry[Key],0)),SUM(N150:P150)*INDEX(Baseline_Pop[Population],MATCH(Long_Data[[#This Row],[Key]],Baseline_Pop[Key],0))),"")</f>
        <v>0</v>
      </c>
    </row>
    <row r="151" spans="2:19">
      <c r="B151">
        <v>150</v>
      </c>
      <c r="C151">
        <v>30</v>
      </c>
      <c r="D151" t="str">
        <f>IFERROR(INDEX(Data_Entry[ADM2_Pcode],MATCH('Step 4-Long Data'!C151,Data_Entry[ID],0)),"NA")</f>
        <v>AF10</v>
      </c>
      <c r="E151" t="str">
        <f>IFERROR(INDEX(Data_Entry[Key],MATCH('Step 4-Long Data'!C151,Data_Entry[ID],0)),"NA")</f>
        <v>AF10-Migrants</v>
      </c>
      <c r="F151">
        <v>5</v>
      </c>
      <c r="G151" t="str">
        <f>IFERROR(INDEX(Framework[Pillar],MATCH('Step 4-Long Data'!F151,Framework[Number],0)),"")</f>
        <v>Humanitarian Conditions</v>
      </c>
      <c r="H151" t="str">
        <f>IFERROR(INDEX(Framework[Sub_Pillar],MATCH('Step 4-Long Data'!F151,Framework[Number],0)),"")</f>
        <v>Living standards</v>
      </c>
      <c r="I151" t="str">
        <f>IFERROR(INDEX(Framework[Indicator],MATCH('Step 4-Long Data'!F151,Framework[Number],0)),"")</f>
        <v>% of children aged 6 to 17 that attended formal schooling at least 4 days a week prior to C-19 outbreak</v>
      </c>
      <c r="J151" t="str">
        <f>IFERROR(INDEX(Framework[Class],MATCH('Step 4-Long Data'!F151,Framework[Number],0)),"")</f>
        <v>Magnitude</v>
      </c>
      <c r="K151" t="str">
        <f>IFERROR(INDEX(Framework[Critical],MATCH('Step 4-Long Data'!F151,Framework[Number],0)),"")</f>
        <v>No</v>
      </c>
      <c r="L151" t="str">
        <f ca="1">IF(Long_Data[[#This Row],[Indicator Class]]="Degree",INDEX(INDIRECT("Data_Entry['"&amp;Long_Data[[#This Row],[Indicator Number]]&amp;"'_DSev_1]"),MATCH(Long_Data[[#This Row],[Key]],Data_Entry[Key],0)),"NA")</f>
        <v>NA</v>
      </c>
      <c r="M151" t="str">
        <f ca="1">IF(Long_Data[[#This Row],[Indicator Class]]="Degree",INDEX(INDIRECT("Data_Entry['"&amp;Long_Data[[#This Row],[Indicator Number]]&amp;"'_DSev_2]"),MATCH(Long_Data[[#This Row],[Key]],Data_Entry[Key],0)),"NA")</f>
        <v>NA</v>
      </c>
      <c r="N151" t="str">
        <f ca="1">IF(Long_Data[[#This Row],[Indicator Class]]="Degree",INDEX(INDIRECT("Data_Entry['"&amp;Long_Data[[#This Row],[Indicator Number]]&amp;"'_DSev_3]"),MATCH(Long_Data[[#This Row],[Key]],Data_Entry[Key],0)),"NA")</f>
        <v>NA</v>
      </c>
      <c r="O151" t="str">
        <f ca="1">IF(Long_Data[[#This Row],[Indicator Class]]="Degree",INDEX(INDIRECT("Data_Entry['"&amp;Long_Data[[#This Row],[Indicator Number]]&amp;"'_DSev_4]"),MATCH(Long_Data[[#This Row],[Key]],Data_Entry[Key],0)),"NA")</f>
        <v>NA</v>
      </c>
      <c r="P151" t="str">
        <f ca="1">IF(Long_Data[[#This Row],[Indicator Class]]="Degree",INDEX(INDIRECT("Data_Entry['"&amp;Long_Data[[#This Row],[Indicator Number]]&amp;"'_DSev_5]"),MATCH(Long_Data[[#This Row],[Key]],Data_Entry[Key],0)),"NA")</f>
        <v>NA</v>
      </c>
      <c r="Q151">
        <f ca="1">IFERROR(IF(Long_Data[[#This Row],[Indicator Class]]="Magnitude", INDEX(INDIRECT("Data_Entry[Sev_"&amp;Long_Data[[#This Row],[Indicator Number]]&amp;"]"),MATCH(Long_Data[[#This Row],[Key]], Data_Entry[Key],0)),"NA"),"")</f>
        <v>3</v>
      </c>
      <c r="R15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51" s="70">
        <f ca="1">IFERROR(IF(J151="Magnitude",INDEX(INDIRECT("Data_Entry[PIN_"&amp;Long_Data[[#This Row],[Indicator Number]]&amp;"]"),MATCH(Long_Data[[#This Row],[Key]],Data_Entry[Key],0)),SUM(N151:P151)*INDEX(Baseline_Pop[Population],MATCH(Long_Data[[#This Row],[Key]],Baseline_Pop[Key],0))),"")</f>
        <v>0</v>
      </c>
    </row>
    <row r="152" spans="2:19">
      <c r="B152">
        <v>151</v>
      </c>
      <c r="C152">
        <v>1</v>
      </c>
      <c r="D152" t="str">
        <f>IFERROR(INDEX(Data_Entry[ADM2_Pcode],MATCH('Step 4-Long Data'!C152,Data_Entry[ID],0)),"NA")</f>
        <v>AF01</v>
      </c>
      <c r="E152" t="str">
        <f>IFERROR(INDEX(Data_Entry[Key],MATCH('Step 4-Long Data'!C152,Data_Entry[ID],0)),"NA")</f>
        <v>AF01-All_Others</v>
      </c>
      <c r="F152">
        <v>6</v>
      </c>
      <c r="G152" t="str">
        <f>IFERROR(INDEX(Framework[Pillar],MATCH('Step 4-Long Data'!F152,Framework[Number],0)),"")</f>
        <v>Humanitarian Conditions</v>
      </c>
      <c r="H152" t="str">
        <f>IFERROR(INDEX(Framework[Sub_Pillar],MATCH('Step 4-Long Data'!F152,Framework[Number],0)),"")</f>
        <v>Living standards</v>
      </c>
      <c r="I152" t="str">
        <f>IFERROR(INDEX(Framework[Indicator],MATCH('Step 4-Long Data'!F152,Framework[Number],0)),"")</f>
        <v>% school aged children enrolled in school prior to C-19 without access to education in a safe and protected environment (defined as available handwashing facilities and heating)”</v>
      </c>
      <c r="J152" t="str">
        <f>IFERROR(INDEX(Framework[Class],MATCH('Step 4-Long Data'!F152,Framework[Number],0)),"")</f>
        <v>Degree</v>
      </c>
      <c r="K152" t="str">
        <f>IFERROR(INDEX(Framework[Critical],MATCH('Step 4-Long Data'!F152,Framework[Number],0)),"")</f>
        <v>No</v>
      </c>
      <c r="L152">
        <f ca="1">IF(Long_Data[[#This Row],[Indicator Class]]="Degree",INDEX(INDIRECT("Data_Entry['"&amp;Long_Data[[#This Row],[Indicator Number]]&amp;"'_DSev_1]"),MATCH(Long_Data[[#This Row],[Key]],Data_Entry[Key],0)),"NA")</f>
        <v>1.72413793103448E-2</v>
      </c>
      <c r="M152">
        <f ca="1">IF(Long_Data[[#This Row],[Indicator Class]]="Degree",INDEX(INDIRECT("Data_Entry['"&amp;Long_Data[[#This Row],[Indicator Number]]&amp;"'_DSev_2]"),MATCH(Long_Data[[#This Row],[Key]],Data_Entry[Key],0)),"NA")</f>
        <v>0</v>
      </c>
      <c r="N152">
        <f ca="1">IF(Long_Data[[#This Row],[Indicator Class]]="Degree",INDEX(INDIRECT("Data_Entry['"&amp;Long_Data[[#This Row],[Indicator Number]]&amp;"'_DSev_3]"),MATCH(Long_Data[[#This Row],[Key]],Data_Entry[Key],0)),"NA")</f>
        <v>0.34482758620689702</v>
      </c>
      <c r="O152">
        <f ca="1">IF(Long_Data[[#This Row],[Indicator Class]]="Degree",INDEX(INDIRECT("Data_Entry['"&amp;Long_Data[[#This Row],[Indicator Number]]&amp;"'_DSev_4]"),MATCH(Long_Data[[#This Row],[Key]],Data_Entry[Key],0)),"NA")</f>
        <v>0.63793103448275901</v>
      </c>
      <c r="P152">
        <f ca="1">IF(Long_Data[[#This Row],[Indicator Class]]="Degree",INDEX(INDIRECT("Data_Entry['"&amp;Long_Data[[#This Row],[Indicator Number]]&amp;"'_DSev_5]"),MATCH(Long_Data[[#This Row],[Key]],Data_Entry[Key],0)),"NA")</f>
        <v>0</v>
      </c>
      <c r="Q152" t="str">
        <f ca="1">IFERROR(IF(Long_Data[[#This Row],[Indicator Class]]="Magnitude", INDEX(INDIRECT("Data_Entry[Sev_"&amp;Long_Data[[#This Row],[Indicator Number]]&amp;"]"),MATCH(Long_Data[[#This Row],[Key]], Data_Entry[Key],0)),"NA"),"")</f>
        <v>NA</v>
      </c>
      <c r="R15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52" s="70">
        <f ca="1">IFERROR(IF(J152="Magnitude",INDEX(INDIRECT("Data_Entry[PIN_"&amp;Long_Data[[#This Row],[Indicator Number]]&amp;"]"),MATCH(Long_Data[[#This Row],[Key]],Data_Entry[Key],0)),SUM(N152:P152)*INDEX(Baseline_Pop[Population],MATCH(Long_Data[[#This Row],[Key]],Baseline_Pop[Key],0))),"")</f>
        <v>4609492.7068965556</v>
      </c>
    </row>
    <row r="153" spans="2:19">
      <c r="B153">
        <v>152</v>
      </c>
      <c r="C153">
        <v>2</v>
      </c>
      <c r="D153" t="str">
        <f>IFERROR(INDEX(Data_Entry[ADM2_Pcode],MATCH('Step 4-Long Data'!C153,Data_Entry[ID],0)),"NA")</f>
        <v>AF02</v>
      </c>
      <c r="E153" t="str">
        <f>IFERROR(INDEX(Data_Entry[Key],MATCH('Step 4-Long Data'!C153,Data_Entry[ID],0)),"NA")</f>
        <v>AF02-All_Others</v>
      </c>
      <c r="F153">
        <v>6</v>
      </c>
      <c r="G153" t="str">
        <f>IFERROR(INDEX(Framework[Pillar],MATCH('Step 4-Long Data'!F153,Framework[Number],0)),"")</f>
        <v>Humanitarian Conditions</v>
      </c>
      <c r="H153" t="str">
        <f>IFERROR(INDEX(Framework[Sub_Pillar],MATCH('Step 4-Long Data'!F153,Framework[Number],0)),"")</f>
        <v>Living standards</v>
      </c>
      <c r="I153" t="str">
        <f>IFERROR(INDEX(Framework[Indicator],MATCH('Step 4-Long Data'!F153,Framework[Number],0)),"")</f>
        <v>% school aged children enrolled in school prior to C-19 without access to education in a safe and protected environment (defined as available handwashing facilities and heating)”</v>
      </c>
      <c r="J153" t="str">
        <f>IFERROR(INDEX(Framework[Class],MATCH('Step 4-Long Data'!F153,Framework[Number],0)),"")</f>
        <v>Degree</v>
      </c>
      <c r="K153" t="str">
        <f>IFERROR(INDEX(Framework[Critical],MATCH('Step 4-Long Data'!F153,Framework[Number],0)),"")</f>
        <v>No</v>
      </c>
      <c r="L153">
        <f ca="1">IF(Long_Data[[#This Row],[Indicator Class]]="Degree",INDEX(INDIRECT("Data_Entry['"&amp;Long_Data[[#This Row],[Indicator Number]]&amp;"'_DSev_1]"),MATCH(Long_Data[[#This Row],[Key]],Data_Entry[Key],0)),"NA")</f>
        <v>0</v>
      </c>
      <c r="M153">
        <f ca="1">IF(Long_Data[[#This Row],[Indicator Class]]="Degree",INDEX(INDIRECT("Data_Entry['"&amp;Long_Data[[#This Row],[Indicator Number]]&amp;"'_DSev_2]"),MATCH(Long_Data[[#This Row],[Key]],Data_Entry[Key],0)),"NA")</f>
        <v>0</v>
      </c>
      <c r="N153">
        <f ca="1">IF(Long_Data[[#This Row],[Indicator Class]]="Degree",INDEX(INDIRECT("Data_Entry['"&amp;Long_Data[[#This Row],[Indicator Number]]&amp;"'_DSev_3]"),MATCH(Long_Data[[#This Row],[Key]],Data_Entry[Key],0)),"NA")</f>
        <v>2.32558139534884E-2</v>
      </c>
      <c r="O153">
        <f ca="1">IF(Long_Data[[#This Row],[Indicator Class]]="Degree",INDEX(INDIRECT("Data_Entry['"&amp;Long_Data[[#This Row],[Indicator Number]]&amp;"'_DSev_4]"),MATCH(Long_Data[[#This Row],[Key]],Data_Entry[Key],0)),"NA")</f>
        <v>0.97674418604651192</v>
      </c>
      <c r="P153">
        <f ca="1">IF(Long_Data[[#This Row],[Indicator Class]]="Degree",INDEX(INDIRECT("Data_Entry['"&amp;Long_Data[[#This Row],[Indicator Number]]&amp;"'_DSev_5]"),MATCH(Long_Data[[#This Row],[Key]],Data_Entry[Key],0)),"NA")</f>
        <v>0</v>
      </c>
      <c r="Q153" t="str">
        <f ca="1">IFERROR(IF(Long_Data[[#This Row],[Indicator Class]]="Magnitude", INDEX(INDIRECT("Data_Entry[Sev_"&amp;Long_Data[[#This Row],[Indicator Number]]&amp;"]"),MATCH(Long_Data[[#This Row],[Key]], Data_Entry[Key],0)),"NA"),"")</f>
        <v>NA</v>
      </c>
      <c r="R153">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53" s="70">
        <f ca="1">IFERROR(IF(J153="Magnitude",INDEX(INDIRECT("Data_Entry[PIN_"&amp;Long_Data[[#This Row],[Indicator Number]]&amp;"]"),MATCH(Long_Data[[#This Row],[Key]],Data_Entry[Key],0)),SUM(N153:P153)*INDEX(Baseline_Pop[Population],MATCH(Long_Data[[#This Row],[Key]],Baseline_Pop[Key],0))),"")</f>
        <v>440047.00000000012</v>
      </c>
    </row>
    <row r="154" spans="2:19">
      <c r="B154">
        <v>153</v>
      </c>
      <c r="C154">
        <v>3</v>
      </c>
      <c r="D154" t="str">
        <f>IFERROR(INDEX(Data_Entry[ADM2_Pcode],MATCH('Step 4-Long Data'!C154,Data_Entry[ID],0)),"NA")</f>
        <v>AF03</v>
      </c>
      <c r="E154" t="str">
        <f>IFERROR(INDEX(Data_Entry[Key],MATCH('Step 4-Long Data'!C154,Data_Entry[ID],0)),"NA")</f>
        <v>AF03-All_Others</v>
      </c>
      <c r="F154">
        <v>6</v>
      </c>
      <c r="G154" t="str">
        <f>IFERROR(INDEX(Framework[Pillar],MATCH('Step 4-Long Data'!F154,Framework[Number],0)),"")</f>
        <v>Humanitarian Conditions</v>
      </c>
      <c r="H154" t="str">
        <f>IFERROR(INDEX(Framework[Sub_Pillar],MATCH('Step 4-Long Data'!F154,Framework[Number],0)),"")</f>
        <v>Living standards</v>
      </c>
      <c r="I154" t="str">
        <f>IFERROR(INDEX(Framework[Indicator],MATCH('Step 4-Long Data'!F154,Framework[Number],0)),"")</f>
        <v>% school aged children enrolled in school prior to C-19 without access to education in a safe and protected environment (defined as available handwashing facilities and heating)”</v>
      </c>
      <c r="J154" t="str">
        <f>IFERROR(INDEX(Framework[Class],MATCH('Step 4-Long Data'!F154,Framework[Number],0)),"")</f>
        <v>Degree</v>
      </c>
      <c r="K154" t="str">
        <f>IFERROR(INDEX(Framework[Critical],MATCH('Step 4-Long Data'!F154,Framework[Number],0)),"")</f>
        <v>No</v>
      </c>
      <c r="L154">
        <f ca="1">IF(Long_Data[[#This Row],[Indicator Class]]="Degree",INDEX(INDIRECT("Data_Entry['"&amp;Long_Data[[#This Row],[Indicator Number]]&amp;"'_DSev_1]"),MATCH(Long_Data[[#This Row],[Key]],Data_Entry[Key],0)),"NA")</f>
        <v>2.0833333333333301E-2</v>
      </c>
      <c r="M154">
        <f ca="1">IF(Long_Data[[#This Row],[Indicator Class]]="Degree",INDEX(INDIRECT("Data_Entry['"&amp;Long_Data[[#This Row],[Indicator Number]]&amp;"'_DSev_2]"),MATCH(Long_Data[[#This Row],[Key]],Data_Entry[Key],0)),"NA")</f>
        <v>0</v>
      </c>
      <c r="N154">
        <f ca="1">IF(Long_Data[[#This Row],[Indicator Class]]="Degree",INDEX(INDIRECT("Data_Entry['"&amp;Long_Data[[#This Row],[Indicator Number]]&amp;"'_DSev_3]"),MATCH(Long_Data[[#This Row],[Key]],Data_Entry[Key],0)),"NA")</f>
        <v>0.9375</v>
      </c>
      <c r="O154">
        <f ca="1">IF(Long_Data[[#This Row],[Indicator Class]]="Degree",INDEX(INDIRECT("Data_Entry['"&amp;Long_Data[[#This Row],[Indicator Number]]&amp;"'_DSev_4]"),MATCH(Long_Data[[#This Row],[Key]],Data_Entry[Key],0)),"NA")</f>
        <v>4.1666666666666699E-2</v>
      </c>
      <c r="P154">
        <f ca="1">IF(Long_Data[[#This Row],[Indicator Class]]="Degree",INDEX(INDIRECT("Data_Entry['"&amp;Long_Data[[#This Row],[Indicator Number]]&amp;"'_DSev_5]"),MATCH(Long_Data[[#This Row],[Key]],Data_Entry[Key],0)),"NA")</f>
        <v>0</v>
      </c>
      <c r="Q154" t="str">
        <f ca="1">IFERROR(IF(Long_Data[[#This Row],[Indicator Class]]="Magnitude", INDEX(INDIRECT("Data_Entry[Sev_"&amp;Long_Data[[#This Row],[Indicator Number]]&amp;"]"),MATCH(Long_Data[[#This Row],[Key]], Data_Entry[Key],0)),"NA"),"")</f>
        <v>NA</v>
      </c>
      <c r="R15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54" s="70">
        <f ca="1">IFERROR(IF(J154="Magnitude",INDEX(INDIRECT("Data_Entry[PIN_"&amp;Long_Data[[#This Row],[Indicator Number]]&amp;"]"),MATCH(Long_Data[[#This Row],[Key]],Data_Entry[Key],0)),SUM(N154:P154)*INDEX(Baseline_Pop[Population],MATCH(Long_Data[[#This Row],[Key]],Baseline_Pop[Key],0))),"")</f>
        <v>650954.89583333337</v>
      </c>
    </row>
    <row r="155" spans="2:19">
      <c r="B155">
        <v>154</v>
      </c>
      <c r="C155">
        <v>4</v>
      </c>
      <c r="D155" t="str">
        <f>IFERROR(INDEX(Data_Entry[ADM2_Pcode],MATCH('Step 4-Long Data'!C155,Data_Entry[ID],0)),"NA")</f>
        <v>AF04</v>
      </c>
      <c r="E155" t="str">
        <f>IFERROR(INDEX(Data_Entry[Key],MATCH('Step 4-Long Data'!C155,Data_Entry[ID],0)),"NA")</f>
        <v>AF04-All_Others</v>
      </c>
      <c r="F155">
        <v>6</v>
      </c>
      <c r="G155" t="str">
        <f>IFERROR(INDEX(Framework[Pillar],MATCH('Step 4-Long Data'!F155,Framework[Number],0)),"")</f>
        <v>Humanitarian Conditions</v>
      </c>
      <c r="H155" t="str">
        <f>IFERROR(INDEX(Framework[Sub_Pillar],MATCH('Step 4-Long Data'!F155,Framework[Number],0)),"")</f>
        <v>Living standards</v>
      </c>
      <c r="I155" t="str">
        <f>IFERROR(INDEX(Framework[Indicator],MATCH('Step 4-Long Data'!F155,Framework[Number],0)),"")</f>
        <v>% school aged children enrolled in school prior to C-19 without access to education in a safe and protected environment (defined as available handwashing facilities and heating)”</v>
      </c>
      <c r="J155" t="str">
        <f>IFERROR(INDEX(Framework[Class],MATCH('Step 4-Long Data'!F155,Framework[Number],0)),"")</f>
        <v>Degree</v>
      </c>
      <c r="K155" t="str">
        <f>IFERROR(INDEX(Framework[Critical],MATCH('Step 4-Long Data'!F155,Framework[Number],0)),"")</f>
        <v>No</v>
      </c>
      <c r="L155">
        <f ca="1">IF(Long_Data[[#This Row],[Indicator Class]]="Degree",INDEX(INDIRECT("Data_Entry['"&amp;Long_Data[[#This Row],[Indicator Number]]&amp;"'_DSev_1]"),MATCH(Long_Data[[#This Row],[Key]],Data_Entry[Key],0)),"NA")</f>
        <v>0</v>
      </c>
      <c r="M155">
        <f ca="1">IF(Long_Data[[#This Row],[Indicator Class]]="Degree",INDEX(INDIRECT("Data_Entry['"&amp;Long_Data[[#This Row],[Indicator Number]]&amp;"'_DSev_2]"),MATCH(Long_Data[[#This Row],[Key]],Data_Entry[Key],0)),"NA")</f>
        <v>0</v>
      </c>
      <c r="N155">
        <f ca="1">IF(Long_Data[[#This Row],[Indicator Class]]="Degree",INDEX(INDIRECT("Data_Entry['"&amp;Long_Data[[#This Row],[Indicator Number]]&amp;"'_DSev_3]"),MATCH(Long_Data[[#This Row],[Key]],Data_Entry[Key],0)),"NA")</f>
        <v>0</v>
      </c>
      <c r="O155">
        <f ca="1">IF(Long_Data[[#This Row],[Indicator Class]]="Degree",INDEX(INDIRECT("Data_Entry['"&amp;Long_Data[[#This Row],[Indicator Number]]&amp;"'_DSev_4]"),MATCH(Long_Data[[#This Row],[Key]],Data_Entry[Key],0)),"NA")</f>
        <v>1</v>
      </c>
      <c r="P155">
        <f ca="1">IF(Long_Data[[#This Row],[Indicator Class]]="Degree",INDEX(INDIRECT("Data_Entry['"&amp;Long_Data[[#This Row],[Indicator Number]]&amp;"'_DSev_5]"),MATCH(Long_Data[[#This Row],[Key]],Data_Entry[Key],0)),"NA")</f>
        <v>0</v>
      </c>
      <c r="Q155" t="str">
        <f ca="1">IFERROR(IF(Long_Data[[#This Row],[Indicator Class]]="Magnitude", INDEX(INDIRECT("Data_Entry[Sev_"&amp;Long_Data[[#This Row],[Indicator Number]]&amp;"]"),MATCH(Long_Data[[#This Row],[Key]], Data_Entry[Key],0)),"NA"),"")</f>
        <v>NA</v>
      </c>
      <c r="R155">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55" s="70">
        <f ca="1">IFERROR(IF(J155="Magnitude",INDEX(INDIRECT("Data_Entry[PIN_"&amp;Long_Data[[#This Row],[Indicator Number]]&amp;"]"),MATCH(Long_Data[[#This Row],[Key]],Data_Entry[Key],0)),SUM(N155:P155)*INDEX(Baseline_Pop[Population],MATCH(Long_Data[[#This Row],[Key]],Baseline_Pop[Key],0))),"")</f>
        <v>595013</v>
      </c>
    </row>
    <row r="156" spans="2:19">
      <c r="B156">
        <v>155</v>
      </c>
      <c r="C156">
        <v>5</v>
      </c>
      <c r="D156" t="str">
        <f>IFERROR(INDEX(Data_Entry[ADM2_Pcode],MATCH('Step 4-Long Data'!C156,Data_Entry[ID],0)),"NA")</f>
        <v>AF05</v>
      </c>
      <c r="E156" t="str">
        <f>IFERROR(INDEX(Data_Entry[Key],MATCH('Step 4-Long Data'!C156,Data_Entry[ID],0)),"NA")</f>
        <v>AF05-All_Others</v>
      </c>
      <c r="F156">
        <v>6</v>
      </c>
      <c r="G156" t="str">
        <f>IFERROR(INDEX(Framework[Pillar],MATCH('Step 4-Long Data'!F156,Framework[Number],0)),"")</f>
        <v>Humanitarian Conditions</v>
      </c>
      <c r="H156" t="str">
        <f>IFERROR(INDEX(Framework[Sub_Pillar],MATCH('Step 4-Long Data'!F156,Framework[Number],0)),"")</f>
        <v>Living standards</v>
      </c>
      <c r="I156" t="str">
        <f>IFERROR(INDEX(Framework[Indicator],MATCH('Step 4-Long Data'!F156,Framework[Number],0)),"")</f>
        <v>% school aged children enrolled in school prior to C-19 without access to education in a safe and protected environment (defined as available handwashing facilities and heating)”</v>
      </c>
      <c r="J156" t="str">
        <f>IFERROR(INDEX(Framework[Class],MATCH('Step 4-Long Data'!F156,Framework[Number],0)),"")</f>
        <v>Degree</v>
      </c>
      <c r="K156" t="str">
        <f>IFERROR(INDEX(Framework[Critical],MATCH('Step 4-Long Data'!F156,Framework[Number],0)),"")</f>
        <v>No</v>
      </c>
      <c r="L156">
        <f ca="1">IF(Long_Data[[#This Row],[Indicator Class]]="Degree",INDEX(INDIRECT("Data_Entry['"&amp;Long_Data[[#This Row],[Indicator Number]]&amp;"'_DSev_1]"),MATCH(Long_Data[[#This Row],[Key]],Data_Entry[Key],0)),"NA")</f>
        <v>0</v>
      </c>
      <c r="M156">
        <f ca="1">IF(Long_Data[[#This Row],[Indicator Class]]="Degree",INDEX(INDIRECT("Data_Entry['"&amp;Long_Data[[#This Row],[Indicator Number]]&amp;"'_DSev_2]"),MATCH(Long_Data[[#This Row],[Key]],Data_Entry[Key],0)),"NA")</f>
        <v>0</v>
      </c>
      <c r="N156">
        <f ca="1">IF(Long_Data[[#This Row],[Indicator Class]]="Degree",INDEX(INDIRECT("Data_Entry['"&amp;Long_Data[[#This Row],[Indicator Number]]&amp;"'_DSev_3]"),MATCH(Long_Data[[#This Row],[Key]],Data_Entry[Key],0)),"NA")</f>
        <v>9.7083611313027701E-2</v>
      </c>
      <c r="O156">
        <f ca="1">IF(Long_Data[[#This Row],[Indicator Class]]="Degree",INDEX(INDIRECT("Data_Entry['"&amp;Long_Data[[#This Row],[Indicator Number]]&amp;"'_DSev_4]"),MATCH(Long_Data[[#This Row],[Key]],Data_Entry[Key],0)),"NA")</f>
        <v>0.9029163886869721</v>
      </c>
      <c r="P156">
        <f ca="1">IF(Long_Data[[#This Row],[Indicator Class]]="Degree",INDEX(INDIRECT("Data_Entry['"&amp;Long_Data[[#This Row],[Indicator Number]]&amp;"'_DSev_5]"),MATCH(Long_Data[[#This Row],[Key]],Data_Entry[Key],0)),"NA")</f>
        <v>0</v>
      </c>
      <c r="Q156" t="str">
        <f ca="1">IFERROR(IF(Long_Data[[#This Row],[Indicator Class]]="Magnitude", INDEX(INDIRECT("Data_Entry[Sev_"&amp;Long_Data[[#This Row],[Indicator Number]]&amp;"]"),MATCH(Long_Data[[#This Row],[Key]], Data_Entry[Key],0)),"NA"),"")</f>
        <v>NA</v>
      </c>
      <c r="R15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56" s="70">
        <f ca="1">IFERROR(IF(J156="Magnitude",INDEX(INDIRECT("Data_Entry[PIN_"&amp;Long_Data[[#This Row],[Indicator Number]]&amp;"]"),MATCH(Long_Data[[#This Row],[Key]],Data_Entry[Key],0)),SUM(N156:P156)*INDEX(Baseline_Pop[Population],MATCH(Long_Data[[#This Row],[Key]],Baseline_Pop[Key],0))),"")</f>
        <v>391450.99999999994</v>
      </c>
    </row>
    <row r="157" spans="2:19">
      <c r="B157">
        <v>156</v>
      </c>
      <c r="C157">
        <v>6</v>
      </c>
      <c r="D157" t="str">
        <f>IFERROR(INDEX(Data_Entry[ADM2_Pcode],MATCH('Step 4-Long Data'!C157,Data_Entry[ID],0)),"NA")</f>
        <v>AF06</v>
      </c>
      <c r="E157" t="str">
        <f>IFERROR(INDEX(Data_Entry[Key],MATCH('Step 4-Long Data'!C157,Data_Entry[ID],0)),"NA")</f>
        <v>AF06-All_Others</v>
      </c>
      <c r="F157">
        <v>6</v>
      </c>
      <c r="G157" t="str">
        <f>IFERROR(INDEX(Framework[Pillar],MATCH('Step 4-Long Data'!F157,Framework[Number],0)),"")</f>
        <v>Humanitarian Conditions</v>
      </c>
      <c r="H157" t="str">
        <f>IFERROR(INDEX(Framework[Sub_Pillar],MATCH('Step 4-Long Data'!F157,Framework[Number],0)),"")</f>
        <v>Living standards</v>
      </c>
      <c r="I157" t="str">
        <f>IFERROR(INDEX(Framework[Indicator],MATCH('Step 4-Long Data'!F157,Framework[Number],0)),"")</f>
        <v>% school aged children enrolled in school prior to C-19 without access to education in a safe and protected environment (defined as available handwashing facilities and heating)”</v>
      </c>
      <c r="J157" t="str">
        <f>IFERROR(INDEX(Framework[Class],MATCH('Step 4-Long Data'!F157,Framework[Number],0)),"")</f>
        <v>Degree</v>
      </c>
      <c r="K157" t="str">
        <f>IFERROR(INDEX(Framework[Critical],MATCH('Step 4-Long Data'!F157,Framework[Number],0)),"")</f>
        <v>No</v>
      </c>
      <c r="L157">
        <f ca="1">IF(Long_Data[[#This Row],[Indicator Class]]="Degree",INDEX(INDIRECT("Data_Entry['"&amp;Long_Data[[#This Row],[Indicator Number]]&amp;"'_DSev_1]"),MATCH(Long_Data[[#This Row],[Key]],Data_Entry[Key],0)),"NA")</f>
        <v>2.9851355085382499E-2</v>
      </c>
      <c r="M157">
        <f ca="1">IF(Long_Data[[#This Row],[Indicator Class]]="Degree",INDEX(INDIRECT("Data_Entry['"&amp;Long_Data[[#This Row],[Indicator Number]]&amp;"'_DSev_2]"),MATCH(Long_Data[[#This Row],[Key]],Data_Entry[Key],0)),"NA")</f>
        <v>0</v>
      </c>
      <c r="N157">
        <f ca="1">IF(Long_Data[[#This Row],[Indicator Class]]="Degree",INDEX(INDIRECT("Data_Entry['"&amp;Long_Data[[#This Row],[Indicator Number]]&amp;"'_DSev_3]"),MATCH(Long_Data[[#This Row],[Key]],Data_Entry[Key],0)),"NA")</f>
        <v>0.36280250169609096</v>
      </c>
      <c r="O157">
        <f ca="1">IF(Long_Data[[#This Row],[Indicator Class]]="Degree",INDEX(INDIRECT("Data_Entry['"&amp;Long_Data[[#This Row],[Indicator Number]]&amp;"'_DSev_4]"),MATCH(Long_Data[[#This Row],[Key]],Data_Entry[Key],0)),"NA")</f>
        <v>0.60734614321852698</v>
      </c>
      <c r="P157">
        <f ca="1">IF(Long_Data[[#This Row],[Indicator Class]]="Degree",INDEX(INDIRECT("Data_Entry['"&amp;Long_Data[[#This Row],[Indicator Number]]&amp;"'_DSev_5]"),MATCH(Long_Data[[#This Row],[Key]],Data_Entry[Key],0)),"NA")</f>
        <v>0</v>
      </c>
      <c r="Q157" t="str">
        <f ca="1">IFERROR(IF(Long_Data[[#This Row],[Indicator Class]]="Magnitude", INDEX(INDIRECT("Data_Entry[Sev_"&amp;Long_Data[[#This Row],[Indicator Number]]&amp;"]"),MATCH(Long_Data[[#This Row],[Key]], Data_Entry[Key],0)),"NA"),"")</f>
        <v>NA</v>
      </c>
      <c r="R15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57" s="70">
        <f ca="1">IFERROR(IF(J157="Magnitude",INDEX(INDIRECT("Data_Entry[PIN_"&amp;Long_Data[[#This Row],[Indicator Number]]&amp;"]"),MATCH(Long_Data[[#This Row],[Key]],Data_Entry[Key],0)),SUM(N157:P157)*INDEX(Baseline_Pop[Population],MATCH(Long_Data[[#This Row],[Key]],Baseline_Pop[Key],0))),"")</f>
        <v>1487761.7529223631</v>
      </c>
    </row>
    <row r="158" spans="2:19">
      <c r="B158">
        <v>157</v>
      </c>
      <c r="C158">
        <v>7</v>
      </c>
      <c r="D158" t="str">
        <f>IFERROR(INDEX(Data_Entry[ADM2_Pcode],MATCH('Step 4-Long Data'!C158,Data_Entry[ID],0)),"NA")</f>
        <v>AF07</v>
      </c>
      <c r="E158" t="str">
        <f>IFERROR(INDEX(Data_Entry[Key],MATCH('Step 4-Long Data'!C158,Data_Entry[ID],0)),"NA")</f>
        <v>AF07-All_Others</v>
      </c>
      <c r="F158">
        <v>6</v>
      </c>
      <c r="G158" t="str">
        <f>IFERROR(INDEX(Framework[Pillar],MATCH('Step 4-Long Data'!F158,Framework[Number],0)),"")</f>
        <v>Humanitarian Conditions</v>
      </c>
      <c r="H158" t="str">
        <f>IFERROR(INDEX(Framework[Sub_Pillar],MATCH('Step 4-Long Data'!F158,Framework[Number],0)),"")</f>
        <v>Living standards</v>
      </c>
      <c r="I158" t="str">
        <f>IFERROR(INDEX(Framework[Indicator],MATCH('Step 4-Long Data'!F158,Framework[Number],0)),"")</f>
        <v>% school aged children enrolled in school prior to C-19 without access to education in a safe and protected environment (defined as available handwashing facilities and heating)”</v>
      </c>
      <c r="J158" t="str">
        <f>IFERROR(INDEX(Framework[Class],MATCH('Step 4-Long Data'!F158,Framework[Number],0)),"")</f>
        <v>Degree</v>
      </c>
      <c r="K158" t="str">
        <f>IFERROR(INDEX(Framework[Critical],MATCH('Step 4-Long Data'!F158,Framework[Number],0)),"")</f>
        <v>No</v>
      </c>
      <c r="L158">
        <f ca="1">IF(Long_Data[[#This Row],[Indicator Class]]="Degree",INDEX(INDIRECT("Data_Entry['"&amp;Long_Data[[#This Row],[Indicator Number]]&amp;"'_DSev_1]"),MATCH(Long_Data[[#This Row],[Key]],Data_Entry[Key],0)),"NA")</f>
        <v>0.12030481795539799</v>
      </c>
      <c r="M158">
        <f ca="1">IF(Long_Data[[#This Row],[Indicator Class]]="Degree",INDEX(INDIRECT("Data_Entry['"&amp;Long_Data[[#This Row],[Indicator Number]]&amp;"'_DSev_2]"),MATCH(Long_Data[[#This Row],[Key]],Data_Entry[Key],0)),"NA")</f>
        <v>1.52408977699038E-4</v>
      </c>
      <c r="N158">
        <f ca="1">IF(Long_Data[[#This Row],[Indicator Class]]="Degree",INDEX(INDIRECT("Data_Entry['"&amp;Long_Data[[#This Row],[Indicator Number]]&amp;"'_DSev_3]"),MATCH(Long_Data[[#This Row],[Key]],Data_Entry[Key],0)),"NA")</f>
        <v>0.70565060681534009</v>
      </c>
      <c r="O158">
        <f ca="1">IF(Long_Data[[#This Row],[Indicator Class]]="Degree",INDEX(INDIRECT("Data_Entry['"&amp;Long_Data[[#This Row],[Indicator Number]]&amp;"'_DSev_4]"),MATCH(Long_Data[[#This Row],[Key]],Data_Entry[Key],0)),"NA")</f>
        <v>0.17389216625156301</v>
      </c>
      <c r="P158">
        <f ca="1">IF(Long_Data[[#This Row],[Indicator Class]]="Degree",INDEX(INDIRECT("Data_Entry['"&amp;Long_Data[[#This Row],[Indicator Number]]&amp;"'_DSev_5]"),MATCH(Long_Data[[#This Row],[Key]],Data_Entry[Key],0)),"NA")</f>
        <v>0</v>
      </c>
      <c r="Q158" t="str">
        <f ca="1">IFERROR(IF(Long_Data[[#This Row],[Indicator Class]]="Magnitude", INDEX(INDIRECT("Data_Entry[Sev_"&amp;Long_Data[[#This Row],[Indicator Number]]&amp;"]"),MATCH(Long_Data[[#This Row],[Key]], Data_Entry[Key],0)),"NA"),"")</f>
        <v>NA</v>
      </c>
      <c r="R15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58" s="70">
        <f ca="1">IFERROR(IF(J158="Magnitude",INDEX(INDIRECT("Data_Entry[PIN_"&amp;Long_Data[[#This Row],[Indicator Number]]&amp;"]"),MATCH(Long_Data[[#This Row],[Key]],Data_Entry[Key],0)),SUM(N158:P158)*INDEX(Baseline_Pop[Population],MATCH(Long_Data[[#This Row],[Key]],Baseline_Pop[Key],0))),"")</f>
        <v>391152.02112385927</v>
      </c>
    </row>
    <row r="159" spans="2:19">
      <c r="B159">
        <v>158</v>
      </c>
      <c r="C159">
        <v>8</v>
      </c>
      <c r="D159" t="str">
        <f>IFERROR(INDEX(Data_Entry[ADM2_Pcode],MATCH('Step 4-Long Data'!C159,Data_Entry[ID],0)),"NA")</f>
        <v>AF08</v>
      </c>
      <c r="E159" t="str">
        <f>IFERROR(INDEX(Data_Entry[Key],MATCH('Step 4-Long Data'!C159,Data_Entry[ID],0)),"NA")</f>
        <v>AF08-All_Others</v>
      </c>
      <c r="F159">
        <v>6</v>
      </c>
      <c r="G159" t="str">
        <f>IFERROR(INDEX(Framework[Pillar],MATCH('Step 4-Long Data'!F159,Framework[Number],0)),"")</f>
        <v>Humanitarian Conditions</v>
      </c>
      <c r="H159" t="str">
        <f>IFERROR(INDEX(Framework[Sub_Pillar],MATCH('Step 4-Long Data'!F159,Framework[Number],0)),"")</f>
        <v>Living standards</v>
      </c>
      <c r="I159" t="str">
        <f>IFERROR(INDEX(Framework[Indicator],MATCH('Step 4-Long Data'!F159,Framework[Number],0)),"")</f>
        <v>% school aged children enrolled in school prior to C-19 without access to education in a safe and protected environment (defined as available handwashing facilities and heating)”</v>
      </c>
      <c r="J159" t="str">
        <f>IFERROR(INDEX(Framework[Class],MATCH('Step 4-Long Data'!F159,Framework[Number],0)),"")</f>
        <v>Degree</v>
      </c>
      <c r="K159" t="str">
        <f>IFERROR(INDEX(Framework[Critical],MATCH('Step 4-Long Data'!F159,Framework[Number],0)),"")</f>
        <v>No</v>
      </c>
      <c r="L159">
        <f ca="1">IF(Long_Data[[#This Row],[Indicator Class]]="Degree",INDEX(INDIRECT("Data_Entry['"&amp;Long_Data[[#This Row],[Indicator Number]]&amp;"'_DSev_1]"),MATCH(Long_Data[[#This Row],[Key]],Data_Entry[Key],0)),"NA")</f>
        <v>0</v>
      </c>
      <c r="M159">
        <f ca="1">IF(Long_Data[[#This Row],[Indicator Class]]="Degree",INDEX(INDIRECT("Data_Entry['"&amp;Long_Data[[#This Row],[Indicator Number]]&amp;"'_DSev_2]"),MATCH(Long_Data[[#This Row],[Key]],Data_Entry[Key],0)),"NA")</f>
        <v>0</v>
      </c>
      <c r="N159">
        <f ca="1">IF(Long_Data[[#This Row],[Indicator Class]]="Degree",INDEX(INDIRECT("Data_Entry['"&amp;Long_Data[[#This Row],[Indicator Number]]&amp;"'_DSev_3]"),MATCH(Long_Data[[#This Row],[Key]],Data_Entry[Key],0)),"NA")</f>
        <v>0.1</v>
      </c>
      <c r="O159">
        <f ca="1">IF(Long_Data[[#This Row],[Indicator Class]]="Degree",INDEX(INDIRECT("Data_Entry['"&amp;Long_Data[[#This Row],[Indicator Number]]&amp;"'_DSev_4]"),MATCH(Long_Data[[#This Row],[Key]],Data_Entry[Key],0)),"NA")</f>
        <v>0.9</v>
      </c>
      <c r="P159">
        <f ca="1">IF(Long_Data[[#This Row],[Indicator Class]]="Degree",INDEX(INDIRECT("Data_Entry['"&amp;Long_Data[[#This Row],[Indicator Number]]&amp;"'_DSev_5]"),MATCH(Long_Data[[#This Row],[Key]],Data_Entry[Key],0)),"NA")</f>
        <v>0</v>
      </c>
      <c r="Q159" t="str">
        <f ca="1">IFERROR(IF(Long_Data[[#This Row],[Indicator Class]]="Magnitude", INDEX(INDIRECT("Data_Entry[Sev_"&amp;Long_Data[[#This Row],[Indicator Number]]&amp;"]"),MATCH(Long_Data[[#This Row],[Key]], Data_Entry[Key],0)),"NA"),"")</f>
        <v>NA</v>
      </c>
      <c r="R159">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59" s="70">
        <f ca="1">IFERROR(IF(J159="Magnitude",INDEX(INDIRECT("Data_Entry[PIN_"&amp;Long_Data[[#This Row],[Indicator Number]]&amp;"]"),MATCH(Long_Data[[#This Row],[Key]],Data_Entry[Key],0)),SUM(N159:P159)*INDEX(Baseline_Pop[Population],MATCH(Long_Data[[#This Row],[Key]],Baseline_Pop[Key],0))),"")</f>
        <v>153134</v>
      </c>
    </row>
    <row r="160" spans="2:19">
      <c r="B160">
        <v>159</v>
      </c>
      <c r="C160">
        <v>9</v>
      </c>
      <c r="D160" t="str">
        <f>IFERROR(INDEX(Data_Entry[ADM2_Pcode],MATCH('Step 4-Long Data'!C160,Data_Entry[ID],0)),"NA")</f>
        <v>AF09</v>
      </c>
      <c r="E160" t="str">
        <f>IFERROR(INDEX(Data_Entry[Key],MATCH('Step 4-Long Data'!C160,Data_Entry[ID],0)),"NA")</f>
        <v>AF09-All_Others</v>
      </c>
      <c r="F160">
        <v>6</v>
      </c>
      <c r="G160" t="str">
        <f>IFERROR(INDEX(Framework[Pillar],MATCH('Step 4-Long Data'!F160,Framework[Number],0)),"")</f>
        <v>Humanitarian Conditions</v>
      </c>
      <c r="H160" t="str">
        <f>IFERROR(INDEX(Framework[Sub_Pillar],MATCH('Step 4-Long Data'!F160,Framework[Number],0)),"")</f>
        <v>Living standards</v>
      </c>
      <c r="I160" t="str">
        <f>IFERROR(INDEX(Framework[Indicator],MATCH('Step 4-Long Data'!F160,Framework[Number],0)),"")</f>
        <v>% school aged children enrolled in school prior to C-19 without access to education in a safe and protected environment (defined as available handwashing facilities and heating)”</v>
      </c>
      <c r="J160" t="str">
        <f>IFERROR(INDEX(Framework[Class],MATCH('Step 4-Long Data'!F160,Framework[Number],0)),"")</f>
        <v>Degree</v>
      </c>
      <c r="K160" t="str">
        <f>IFERROR(INDEX(Framework[Critical],MATCH('Step 4-Long Data'!F160,Framework[Number],0)),"")</f>
        <v>No</v>
      </c>
      <c r="L160">
        <f ca="1">IF(Long_Data[[#This Row],[Indicator Class]]="Degree",INDEX(INDIRECT("Data_Entry['"&amp;Long_Data[[#This Row],[Indicator Number]]&amp;"'_DSev_1]"),MATCH(Long_Data[[#This Row],[Key]],Data_Entry[Key],0)),"NA")</f>
        <v>0.11111111111111099</v>
      </c>
      <c r="M160">
        <f ca="1">IF(Long_Data[[#This Row],[Indicator Class]]="Degree",INDEX(INDIRECT("Data_Entry['"&amp;Long_Data[[#This Row],[Indicator Number]]&amp;"'_DSev_2]"),MATCH(Long_Data[[#This Row],[Key]],Data_Entry[Key],0)),"NA")</f>
        <v>0</v>
      </c>
      <c r="N160">
        <f ca="1">IF(Long_Data[[#This Row],[Indicator Class]]="Degree",INDEX(INDIRECT("Data_Entry['"&amp;Long_Data[[#This Row],[Indicator Number]]&amp;"'_DSev_3]"),MATCH(Long_Data[[#This Row],[Key]],Data_Entry[Key],0)),"NA")</f>
        <v>0.55555555555555602</v>
      </c>
      <c r="O160">
        <f ca="1">IF(Long_Data[[#This Row],[Indicator Class]]="Degree",INDEX(INDIRECT("Data_Entry['"&amp;Long_Data[[#This Row],[Indicator Number]]&amp;"'_DSev_4]"),MATCH(Long_Data[[#This Row],[Key]],Data_Entry[Key],0)),"NA")</f>
        <v>0.33333333333333298</v>
      </c>
      <c r="P160">
        <f ca="1">IF(Long_Data[[#This Row],[Indicator Class]]="Degree",INDEX(INDIRECT("Data_Entry['"&amp;Long_Data[[#This Row],[Indicator Number]]&amp;"'_DSev_5]"),MATCH(Long_Data[[#This Row],[Key]],Data_Entry[Key],0)),"NA")</f>
        <v>0</v>
      </c>
      <c r="Q160" t="str">
        <f ca="1">IFERROR(IF(Long_Data[[#This Row],[Indicator Class]]="Magnitude", INDEX(INDIRECT("Data_Entry[Sev_"&amp;Long_Data[[#This Row],[Indicator Number]]&amp;"]"),MATCH(Long_Data[[#This Row],[Key]], Data_Entry[Key],0)),"NA"),"")</f>
        <v>NA</v>
      </c>
      <c r="R16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0" s="70">
        <f ca="1">IFERROR(IF(J160="Magnitude",INDEX(INDIRECT("Data_Entry[PIN_"&amp;Long_Data[[#This Row],[Indicator Number]]&amp;"]"),MATCH(Long_Data[[#This Row],[Key]],Data_Entry[Key],0)),SUM(N160:P160)*INDEX(Baseline_Pop[Population],MATCH(Long_Data[[#This Row],[Key]],Baseline_Pop[Key],0))),"")</f>
        <v>812773.33333333349</v>
      </c>
    </row>
    <row r="161" spans="2:19">
      <c r="B161">
        <v>160</v>
      </c>
      <c r="C161">
        <v>10</v>
      </c>
      <c r="D161" t="str">
        <f>IFERROR(INDEX(Data_Entry[ADM2_Pcode],MATCH('Step 4-Long Data'!C161,Data_Entry[ID],0)),"NA")</f>
        <v>AF10</v>
      </c>
      <c r="E161" t="str">
        <f>IFERROR(INDEX(Data_Entry[Key],MATCH('Step 4-Long Data'!C161,Data_Entry[ID],0)),"NA")</f>
        <v>AF10-All_Others</v>
      </c>
      <c r="F161">
        <v>6</v>
      </c>
      <c r="G161" t="str">
        <f>IFERROR(INDEX(Framework[Pillar],MATCH('Step 4-Long Data'!F161,Framework[Number],0)),"")</f>
        <v>Humanitarian Conditions</v>
      </c>
      <c r="H161" t="str">
        <f>IFERROR(INDEX(Framework[Sub_Pillar],MATCH('Step 4-Long Data'!F161,Framework[Number],0)),"")</f>
        <v>Living standards</v>
      </c>
      <c r="I161" t="str">
        <f>IFERROR(INDEX(Framework[Indicator],MATCH('Step 4-Long Data'!F161,Framework[Number],0)),"")</f>
        <v>% school aged children enrolled in school prior to C-19 without access to education in a safe and protected environment (defined as available handwashing facilities and heating)”</v>
      </c>
      <c r="J161" t="str">
        <f>IFERROR(INDEX(Framework[Class],MATCH('Step 4-Long Data'!F161,Framework[Number],0)),"")</f>
        <v>Degree</v>
      </c>
      <c r="K161" t="str">
        <f>IFERROR(INDEX(Framework[Critical],MATCH('Step 4-Long Data'!F161,Framework[Number],0)),"")</f>
        <v>No</v>
      </c>
      <c r="L161">
        <f ca="1">IF(Long_Data[[#This Row],[Indicator Class]]="Degree",INDEX(INDIRECT("Data_Entry['"&amp;Long_Data[[#This Row],[Indicator Number]]&amp;"'_DSev_1]"),MATCH(Long_Data[[#This Row],[Key]],Data_Entry[Key],0)),"NA")</f>
        <v>0</v>
      </c>
      <c r="M161">
        <f ca="1">IF(Long_Data[[#This Row],[Indicator Class]]="Degree",INDEX(INDIRECT("Data_Entry['"&amp;Long_Data[[#This Row],[Indicator Number]]&amp;"'_DSev_2]"),MATCH(Long_Data[[#This Row],[Key]],Data_Entry[Key],0)),"NA")</f>
        <v>0</v>
      </c>
      <c r="N161">
        <f ca="1">IF(Long_Data[[#This Row],[Indicator Class]]="Degree",INDEX(INDIRECT("Data_Entry['"&amp;Long_Data[[#This Row],[Indicator Number]]&amp;"'_DSev_3]"),MATCH(Long_Data[[#This Row],[Key]],Data_Entry[Key],0)),"NA")</f>
        <v>0.25423728813559299</v>
      </c>
      <c r="O161">
        <f ca="1">IF(Long_Data[[#This Row],[Indicator Class]]="Degree",INDEX(INDIRECT("Data_Entry['"&amp;Long_Data[[#This Row],[Indicator Number]]&amp;"'_DSev_4]"),MATCH(Long_Data[[#This Row],[Key]],Data_Entry[Key],0)),"NA")</f>
        <v>0.74576271186440701</v>
      </c>
      <c r="P161">
        <f ca="1">IF(Long_Data[[#This Row],[Indicator Class]]="Degree",INDEX(INDIRECT("Data_Entry['"&amp;Long_Data[[#This Row],[Indicator Number]]&amp;"'_DSev_5]"),MATCH(Long_Data[[#This Row],[Key]],Data_Entry[Key],0)),"NA")</f>
        <v>0</v>
      </c>
      <c r="Q161" t="str">
        <f ca="1">IFERROR(IF(Long_Data[[#This Row],[Indicator Class]]="Magnitude", INDEX(INDIRECT("Data_Entry[Sev_"&amp;Long_Data[[#This Row],[Indicator Number]]&amp;"]"),MATCH(Long_Data[[#This Row],[Key]], Data_Entry[Key],0)),"NA"),"")</f>
        <v>NA</v>
      </c>
      <c r="R161">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1" s="70">
        <f ca="1">IFERROR(IF(J161="Magnitude",INDEX(INDIRECT("Data_Entry[PIN_"&amp;Long_Data[[#This Row],[Indicator Number]]&amp;"]"),MATCH(Long_Data[[#This Row],[Key]],Data_Entry[Key],0)),SUM(N161:P161)*INDEX(Baseline_Pop[Population],MATCH(Long_Data[[#This Row],[Key]],Baseline_Pop[Key],0))),"")</f>
        <v>446588</v>
      </c>
    </row>
    <row r="162" spans="2:19">
      <c r="B162">
        <v>161</v>
      </c>
      <c r="C162">
        <v>11</v>
      </c>
      <c r="D162" t="str">
        <f>IFERROR(INDEX(Data_Entry[ADM2_Pcode],MATCH('Step 4-Long Data'!C162,Data_Entry[ID],0)),"NA")</f>
        <v>AF01</v>
      </c>
      <c r="E162" t="str">
        <f>IFERROR(INDEX(Data_Entry[Key],MATCH('Step 4-Long Data'!C162,Data_Entry[ID],0)),"NA")</f>
        <v>AF01-Non_Displaced</v>
      </c>
      <c r="F162">
        <v>6</v>
      </c>
      <c r="G162" t="str">
        <f>IFERROR(INDEX(Framework[Pillar],MATCH('Step 4-Long Data'!F162,Framework[Number],0)),"")</f>
        <v>Humanitarian Conditions</v>
      </c>
      <c r="H162" t="str">
        <f>IFERROR(INDEX(Framework[Sub_Pillar],MATCH('Step 4-Long Data'!F162,Framework[Number],0)),"")</f>
        <v>Living standards</v>
      </c>
      <c r="I162" t="str">
        <f>IFERROR(INDEX(Framework[Indicator],MATCH('Step 4-Long Data'!F162,Framework[Number],0)),"")</f>
        <v>% school aged children enrolled in school prior to C-19 without access to education in a safe and protected environment (defined as available handwashing facilities and heating)”</v>
      </c>
      <c r="J162" t="str">
        <f>IFERROR(INDEX(Framework[Class],MATCH('Step 4-Long Data'!F162,Framework[Number],0)),"")</f>
        <v>Degree</v>
      </c>
      <c r="K162" t="str">
        <f>IFERROR(INDEX(Framework[Critical],MATCH('Step 4-Long Data'!F162,Framework[Number],0)),"")</f>
        <v>No</v>
      </c>
      <c r="L162">
        <f ca="1">IF(Long_Data[[#This Row],[Indicator Class]]="Degree",INDEX(INDIRECT("Data_Entry['"&amp;Long_Data[[#This Row],[Indicator Number]]&amp;"'_DSev_1]"),MATCH(Long_Data[[#This Row],[Key]],Data_Entry[Key],0)),"NA")</f>
        <v>1.72413793103448E-2</v>
      </c>
      <c r="M162">
        <f ca="1">IF(Long_Data[[#This Row],[Indicator Class]]="Degree",INDEX(INDIRECT("Data_Entry['"&amp;Long_Data[[#This Row],[Indicator Number]]&amp;"'_DSev_2]"),MATCH(Long_Data[[#This Row],[Key]],Data_Entry[Key],0)),"NA")</f>
        <v>0</v>
      </c>
      <c r="N162">
        <f ca="1">IF(Long_Data[[#This Row],[Indicator Class]]="Degree",INDEX(INDIRECT("Data_Entry['"&amp;Long_Data[[#This Row],[Indicator Number]]&amp;"'_DSev_3]"),MATCH(Long_Data[[#This Row],[Key]],Data_Entry[Key],0)),"NA")</f>
        <v>0.34482758620689702</v>
      </c>
      <c r="O162">
        <f ca="1">IF(Long_Data[[#This Row],[Indicator Class]]="Degree",INDEX(INDIRECT("Data_Entry['"&amp;Long_Data[[#This Row],[Indicator Number]]&amp;"'_DSev_4]"),MATCH(Long_Data[[#This Row],[Key]],Data_Entry[Key],0)),"NA")</f>
        <v>0.63793103448275901</v>
      </c>
      <c r="P162">
        <f ca="1">IF(Long_Data[[#This Row],[Indicator Class]]="Degree",INDEX(INDIRECT("Data_Entry['"&amp;Long_Data[[#This Row],[Indicator Number]]&amp;"'_DSev_5]"),MATCH(Long_Data[[#This Row],[Key]],Data_Entry[Key],0)),"NA")</f>
        <v>0</v>
      </c>
      <c r="Q162" t="str">
        <f ca="1">IFERROR(IF(Long_Data[[#This Row],[Indicator Class]]="Magnitude", INDEX(INDIRECT("Data_Entry[Sev_"&amp;Long_Data[[#This Row],[Indicator Number]]&amp;"]"),MATCH(Long_Data[[#This Row],[Key]], Data_Entry[Key],0)),"NA"),"")</f>
        <v>NA</v>
      </c>
      <c r="R16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2" s="70">
        <f ca="1">IFERROR(IF(J162="Magnitude",INDEX(INDIRECT("Data_Entry[PIN_"&amp;Long_Data[[#This Row],[Indicator Number]]&amp;"]"),MATCH(Long_Data[[#This Row],[Key]],Data_Entry[Key],0)),SUM(N162:P162)*INDEX(Baseline_Pop[Population],MATCH(Long_Data[[#This Row],[Key]],Baseline_Pop[Key],0))),"")</f>
        <v>658499.37931034539</v>
      </c>
    </row>
    <row r="163" spans="2:19">
      <c r="B163">
        <v>162</v>
      </c>
      <c r="C163">
        <v>12</v>
      </c>
      <c r="D163" t="str">
        <f>IFERROR(INDEX(Data_Entry[ADM2_Pcode],MATCH('Step 4-Long Data'!C163,Data_Entry[ID],0)),"NA")</f>
        <v>AF02</v>
      </c>
      <c r="E163" t="str">
        <f>IFERROR(INDEX(Data_Entry[Key],MATCH('Step 4-Long Data'!C163,Data_Entry[ID],0)),"NA")</f>
        <v>AF02-Non_Displaced</v>
      </c>
      <c r="F163">
        <v>6</v>
      </c>
      <c r="G163" t="str">
        <f>IFERROR(INDEX(Framework[Pillar],MATCH('Step 4-Long Data'!F163,Framework[Number],0)),"")</f>
        <v>Humanitarian Conditions</v>
      </c>
      <c r="H163" t="str">
        <f>IFERROR(INDEX(Framework[Sub_Pillar],MATCH('Step 4-Long Data'!F163,Framework[Number],0)),"")</f>
        <v>Living standards</v>
      </c>
      <c r="I163" t="str">
        <f>IFERROR(INDEX(Framework[Indicator],MATCH('Step 4-Long Data'!F163,Framework[Number],0)),"")</f>
        <v>% school aged children enrolled in school prior to C-19 without access to education in a safe and protected environment (defined as available handwashing facilities and heating)”</v>
      </c>
      <c r="J163" t="str">
        <f>IFERROR(INDEX(Framework[Class],MATCH('Step 4-Long Data'!F163,Framework[Number],0)),"")</f>
        <v>Degree</v>
      </c>
      <c r="K163" t="str">
        <f>IFERROR(INDEX(Framework[Critical],MATCH('Step 4-Long Data'!F163,Framework[Number],0)),"")</f>
        <v>No</v>
      </c>
      <c r="L163">
        <f ca="1">IF(Long_Data[[#This Row],[Indicator Class]]="Degree",INDEX(INDIRECT("Data_Entry['"&amp;Long_Data[[#This Row],[Indicator Number]]&amp;"'_DSev_1]"),MATCH(Long_Data[[#This Row],[Key]],Data_Entry[Key],0)),"NA")</f>
        <v>0</v>
      </c>
      <c r="M163">
        <f ca="1">IF(Long_Data[[#This Row],[Indicator Class]]="Degree",INDEX(INDIRECT("Data_Entry['"&amp;Long_Data[[#This Row],[Indicator Number]]&amp;"'_DSev_2]"),MATCH(Long_Data[[#This Row],[Key]],Data_Entry[Key],0)),"NA")</f>
        <v>0</v>
      </c>
      <c r="N163">
        <f ca="1">IF(Long_Data[[#This Row],[Indicator Class]]="Degree",INDEX(INDIRECT("Data_Entry['"&amp;Long_Data[[#This Row],[Indicator Number]]&amp;"'_DSev_3]"),MATCH(Long_Data[[#This Row],[Key]],Data_Entry[Key],0)),"NA")</f>
        <v>2.32558139534884E-2</v>
      </c>
      <c r="O163">
        <f ca="1">IF(Long_Data[[#This Row],[Indicator Class]]="Degree",INDEX(INDIRECT("Data_Entry['"&amp;Long_Data[[#This Row],[Indicator Number]]&amp;"'_DSev_4]"),MATCH(Long_Data[[#This Row],[Key]],Data_Entry[Key],0)),"NA")</f>
        <v>0.97674418604651192</v>
      </c>
      <c r="P163">
        <f ca="1">IF(Long_Data[[#This Row],[Indicator Class]]="Degree",INDEX(INDIRECT("Data_Entry['"&amp;Long_Data[[#This Row],[Indicator Number]]&amp;"'_DSev_5]"),MATCH(Long_Data[[#This Row],[Key]],Data_Entry[Key],0)),"NA")</f>
        <v>0</v>
      </c>
      <c r="Q163" t="str">
        <f ca="1">IFERROR(IF(Long_Data[[#This Row],[Indicator Class]]="Magnitude", INDEX(INDIRECT("Data_Entry[Sev_"&amp;Long_Data[[#This Row],[Indicator Number]]&amp;"]"),MATCH(Long_Data[[#This Row],[Key]], Data_Entry[Key],0)),"NA"),"")</f>
        <v>NA</v>
      </c>
      <c r="R163">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3" s="70">
        <f ca="1">IFERROR(IF(J163="Magnitude",INDEX(INDIRECT("Data_Entry[PIN_"&amp;Long_Data[[#This Row],[Indicator Number]]&amp;"]"),MATCH(Long_Data[[#This Row],[Key]],Data_Entry[Key],0)),SUM(N163:P163)*INDEX(Baseline_Pop[Population],MATCH(Long_Data[[#This Row],[Key]],Baseline_Pop[Key],0))),"")</f>
        <v>62864.000000000015</v>
      </c>
    </row>
    <row r="164" spans="2:19">
      <c r="B164">
        <v>163</v>
      </c>
      <c r="C164">
        <v>13</v>
      </c>
      <c r="D164" t="str">
        <f>IFERROR(INDEX(Data_Entry[ADM2_Pcode],MATCH('Step 4-Long Data'!C164,Data_Entry[ID],0)),"NA")</f>
        <v>AF03</v>
      </c>
      <c r="E164" t="str">
        <f>IFERROR(INDEX(Data_Entry[Key],MATCH('Step 4-Long Data'!C164,Data_Entry[ID],0)),"NA")</f>
        <v>AF03-Non_Displaced</v>
      </c>
      <c r="F164">
        <v>6</v>
      </c>
      <c r="G164" t="str">
        <f>IFERROR(INDEX(Framework[Pillar],MATCH('Step 4-Long Data'!F164,Framework[Number],0)),"")</f>
        <v>Humanitarian Conditions</v>
      </c>
      <c r="H164" t="str">
        <f>IFERROR(INDEX(Framework[Sub_Pillar],MATCH('Step 4-Long Data'!F164,Framework[Number],0)),"")</f>
        <v>Living standards</v>
      </c>
      <c r="I164" t="str">
        <f>IFERROR(INDEX(Framework[Indicator],MATCH('Step 4-Long Data'!F164,Framework[Number],0)),"")</f>
        <v>% school aged children enrolled in school prior to C-19 without access to education in a safe and protected environment (defined as available handwashing facilities and heating)”</v>
      </c>
      <c r="J164" t="str">
        <f>IFERROR(INDEX(Framework[Class],MATCH('Step 4-Long Data'!F164,Framework[Number],0)),"")</f>
        <v>Degree</v>
      </c>
      <c r="K164" t="str">
        <f>IFERROR(INDEX(Framework[Critical],MATCH('Step 4-Long Data'!F164,Framework[Number],0)),"")</f>
        <v>No</v>
      </c>
      <c r="L164">
        <f ca="1">IF(Long_Data[[#This Row],[Indicator Class]]="Degree",INDEX(INDIRECT("Data_Entry['"&amp;Long_Data[[#This Row],[Indicator Number]]&amp;"'_DSev_1]"),MATCH(Long_Data[[#This Row],[Key]],Data_Entry[Key],0)),"NA")</f>
        <v>2.0833333333333301E-2</v>
      </c>
      <c r="M164">
        <f ca="1">IF(Long_Data[[#This Row],[Indicator Class]]="Degree",INDEX(INDIRECT("Data_Entry['"&amp;Long_Data[[#This Row],[Indicator Number]]&amp;"'_DSev_2]"),MATCH(Long_Data[[#This Row],[Key]],Data_Entry[Key],0)),"NA")</f>
        <v>0</v>
      </c>
      <c r="N164">
        <f ca="1">IF(Long_Data[[#This Row],[Indicator Class]]="Degree",INDEX(INDIRECT("Data_Entry['"&amp;Long_Data[[#This Row],[Indicator Number]]&amp;"'_DSev_3]"),MATCH(Long_Data[[#This Row],[Key]],Data_Entry[Key],0)),"NA")</f>
        <v>0.9375</v>
      </c>
      <c r="O164">
        <f ca="1">IF(Long_Data[[#This Row],[Indicator Class]]="Degree",INDEX(INDIRECT("Data_Entry['"&amp;Long_Data[[#This Row],[Indicator Number]]&amp;"'_DSev_4]"),MATCH(Long_Data[[#This Row],[Key]],Data_Entry[Key],0)),"NA")</f>
        <v>4.1666666666666699E-2</v>
      </c>
      <c r="P164">
        <f ca="1">IF(Long_Data[[#This Row],[Indicator Class]]="Degree",INDEX(INDIRECT("Data_Entry['"&amp;Long_Data[[#This Row],[Indicator Number]]&amp;"'_DSev_5]"),MATCH(Long_Data[[#This Row],[Key]],Data_Entry[Key],0)),"NA")</f>
        <v>0</v>
      </c>
      <c r="Q164" t="str">
        <f ca="1">IFERROR(IF(Long_Data[[#This Row],[Indicator Class]]="Magnitude", INDEX(INDIRECT("Data_Entry[Sev_"&amp;Long_Data[[#This Row],[Indicator Number]]&amp;"]"),MATCH(Long_Data[[#This Row],[Key]], Data_Entry[Key],0)),"NA"),"")</f>
        <v>NA</v>
      </c>
      <c r="R16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64" s="70">
        <f ca="1">IFERROR(IF(J164="Magnitude",INDEX(INDIRECT("Data_Entry[PIN_"&amp;Long_Data[[#This Row],[Indicator Number]]&amp;"]"),MATCH(Long_Data[[#This Row],[Key]],Data_Entry[Key],0)),SUM(N164:P164)*INDEX(Baseline_Pop[Population],MATCH(Long_Data[[#This Row],[Key]],Baseline_Pop[Key],0))),"")</f>
        <v>92993.416666666672</v>
      </c>
    </row>
    <row r="165" spans="2:19">
      <c r="B165">
        <v>164</v>
      </c>
      <c r="C165">
        <v>14</v>
      </c>
      <c r="D165" t="str">
        <f>IFERROR(INDEX(Data_Entry[ADM2_Pcode],MATCH('Step 4-Long Data'!C165,Data_Entry[ID],0)),"NA")</f>
        <v>AF04</v>
      </c>
      <c r="E165" t="str">
        <f>IFERROR(INDEX(Data_Entry[Key],MATCH('Step 4-Long Data'!C165,Data_Entry[ID],0)),"NA")</f>
        <v>AF04-Non_Displaced</v>
      </c>
      <c r="F165">
        <v>6</v>
      </c>
      <c r="G165" t="str">
        <f>IFERROR(INDEX(Framework[Pillar],MATCH('Step 4-Long Data'!F165,Framework[Number],0)),"")</f>
        <v>Humanitarian Conditions</v>
      </c>
      <c r="H165" t="str">
        <f>IFERROR(INDEX(Framework[Sub_Pillar],MATCH('Step 4-Long Data'!F165,Framework[Number],0)),"")</f>
        <v>Living standards</v>
      </c>
      <c r="I165" t="str">
        <f>IFERROR(INDEX(Framework[Indicator],MATCH('Step 4-Long Data'!F165,Framework[Number],0)),"")</f>
        <v>% school aged children enrolled in school prior to C-19 without access to education in a safe and protected environment (defined as available handwashing facilities and heating)”</v>
      </c>
      <c r="J165" t="str">
        <f>IFERROR(INDEX(Framework[Class],MATCH('Step 4-Long Data'!F165,Framework[Number],0)),"")</f>
        <v>Degree</v>
      </c>
      <c r="K165" t="str">
        <f>IFERROR(INDEX(Framework[Critical],MATCH('Step 4-Long Data'!F165,Framework[Number],0)),"")</f>
        <v>No</v>
      </c>
      <c r="L165">
        <f ca="1">IF(Long_Data[[#This Row],[Indicator Class]]="Degree",INDEX(INDIRECT("Data_Entry['"&amp;Long_Data[[#This Row],[Indicator Number]]&amp;"'_DSev_1]"),MATCH(Long_Data[[#This Row],[Key]],Data_Entry[Key],0)),"NA")</f>
        <v>0</v>
      </c>
      <c r="M165">
        <f ca="1">IF(Long_Data[[#This Row],[Indicator Class]]="Degree",INDEX(INDIRECT("Data_Entry['"&amp;Long_Data[[#This Row],[Indicator Number]]&amp;"'_DSev_2]"),MATCH(Long_Data[[#This Row],[Key]],Data_Entry[Key],0)),"NA")</f>
        <v>0</v>
      </c>
      <c r="N165">
        <f ca="1">IF(Long_Data[[#This Row],[Indicator Class]]="Degree",INDEX(INDIRECT("Data_Entry['"&amp;Long_Data[[#This Row],[Indicator Number]]&amp;"'_DSev_3]"),MATCH(Long_Data[[#This Row],[Key]],Data_Entry[Key],0)),"NA")</f>
        <v>0</v>
      </c>
      <c r="O165">
        <f ca="1">IF(Long_Data[[#This Row],[Indicator Class]]="Degree",INDEX(INDIRECT("Data_Entry['"&amp;Long_Data[[#This Row],[Indicator Number]]&amp;"'_DSev_4]"),MATCH(Long_Data[[#This Row],[Key]],Data_Entry[Key],0)),"NA")</f>
        <v>1</v>
      </c>
      <c r="P165">
        <f ca="1">IF(Long_Data[[#This Row],[Indicator Class]]="Degree",INDEX(INDIRECT("Data_Entry['"&amp;Long_Data[[#This Row],[Indicator Number]]&amp;"'_DSev_5]"),MATCH(Long_Data[[#This Row],[Key]],Data_Entry[Key],0)),"NA")</f>
        <v>0</v>
      </c>
      <c r="Q165" t="str">
        <f ca="1">IFERROR(IF(Long_Data[[#This Row],[Indicator Class]]="Magnitude", INDEX(INDIRECT("Data_Entry[Sev_"&amp;Long_Data[[#This Row],[Indicator Number]]&amp;"]"),MATCH(Long_Data[[#This Row],[Key]], Data_Entry[Key],0)),"NA"),"")</f>
        <v>NA</v>
      </c>
      <c r="R165">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5" s="70">
        <f ca="1">IFERROR(IF(J165="Magnitude",INDEX(INDIRECT("Data_Entry[PIN_"&amp;Long_Data[[#This Row],[Indicator Number]]&amp;"]"),MATCH(Long_Data[[#This Row],[Key]],Data_Entry[Key],0)),SUM(N165:P165)*INDEX(Baseline_Pop[Population],MATCH(Long_Data[[#This Row],[Key]],Baseline_Pop[Key],0))),"")</f>
        <v>85002</v>
      </c>
    </row>
    <row r="166" spans="2:19">
      <c r="B166">
        <v>165</v>
      </c>
      <c r="C166">
        <v>15</v>
      </c>
      <c r="D166" t="str">
        <f>IFERROR(INDEX(Data_Entry[ADM2_Pcode],MATCH('Step 4-Long Data'!C166,Data_Entry[ID],0)),"NA")</f>
        <v>AF05</v>
      </c>
      <c r="E166" t="str">
        <f>IFERROR(INDEX(Data_Entry[Key],MATCH('Step 4-Long Data'!C166,Data_Entry[ID],0)),"NA")</f>
        <v>AF05-Non_Displaced</v>
      </c>
      <c r="F166">
        <v>6</v>
      </c>
      <c r="G166" t="str">
        <f>IFERROR(INDEX(Framework[Pillar],MATCH('Step 4-Long Data'!F166,Framework[Number],0)),"")</f>
        <v>Humanitarian Conditions</v>
      </c>
      <c r="H166" t="str">
        <f>IFERROR(INDEX(Framework[Sub_Pillar],MATCH('Step 4-Long Data'!F166,Framework[Number],0)),"")</f>
        <v>Living standards</v>
      </c>
      <c r="I166" t="str">
        <f>IFERROR(INDEX(Framework[Indicator],MATCH('Step 4-Long Data'!F166,Framework[Number],0)),"")</f>
        <v>% school aged children enrolled in school prior to C-19 without access to education in a safe and protected environment (defined as available handwashing facilities and heating)”</v>
      </c>
      <c r="J166" t="str">
        <f>IFERROR(INDEX(Framework[Class],MATCH('Step 4-Long Data'!F166,Framework[Number],0)),"")</f>
        <v>Degree</v>
      </c>
      <c r="K166" t="str">
        <f>IFERROR(INDEX(Framework[Critical],MATCH('Step 4-Long Data'!F166,Framework[Number],0)),"")</f>
        <v>No</v>
      </c>
      <c r="L166">
        <f ca="1">IF(Long_Data[[#This Row],[Indicator Class]]="Degree",INDEX(INDIRECT("Data_Entry['"&amp;Long_Data[[#This Row],[Indicator Number]]&amp;"'_DSev_1]"),MATCH(Long_Data[[#This Row],[Key]],Data_Entry[Key],0)),"NA")</f>
        <v>0</v>
      </c>
      <c r="M166">
        <f ca="1">IF(Long_Data[[#This Row],[Indicator Class]]="Degree",INDEX(INDIRECT("Data_Entry['"&amp;Long_Data[[#This Row],[Indicator Number]]&amp;"'_DSev_2]"),MATCH(Long_Data[[#This Row],[Key]],Data_Entry[Key],0)),"NA")</f>
        <v>0</v>
      </c>
      <c r="N166">
        <f ca="1">IF(Long_Data[[#This Row],[Indicator Class]]="Degree",INDEX(INDIRECT("Data_Entry['"&amp;Long_Data[[#This Row],[Indicator Number]]&amp;"'_DSev_3]"),MATCH(Long_Data[[#This Row],[Key]],Data_Entry[Key],0)),"NA")</f>
        <v>9.7083611313027701E-2</v>
      </c>
      <c r="O166">
        <f ca="1">IF(Long_Data[[#This Row],[Indicator Class]]="Degree",INDEX(INDIRECT("Data_Entry['"&amp;Long_Data[[#This Row],[Indicator Number]]&amp;"'_DSev_4]"),MATCH(Long_Data[[#This Row],[Key]],Data_Entry[Key],0)),"NA")</f>
        <v>0.9029163886869721</v>
      </c>
      <c r="P166">
        <f ca="1">IF(Long_Data[[#This Row],[Indicator Class]]="Degree",INDEX(INDIRECT("Data_Entry['"&amp;Long_Data[[#This Row],[Indicator Number]]&amp;"'_DSev_5]"),MATCH(Long_Data[[#This Row],[Key]],Data_Entry[Key],0)),"NA")</f>
        <v>0</v>
      </c>
      <c r="Q166" t="str">
        <f ca="1">IFERROR(IF(Long_Data[[#This Row],[Indicator Class]]="Magnitude", INDEX(INDIRECT("Data_Entry[Sev_"&amp;Long_Data[[#This Row],[Indicator Number]]&amp;"]"),MATCH(Long_Data[[#This Row],[Key]], Data_Entry[Key],0)),"NA"),"")</f>
        <v>NA</v>
      </c>
      <c r="R16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6" s="70">
        <f ca="1">IFERROR(IF(J166="Magnitude",INDEX(INDIRECT("Data_Entry[PIN_"&amp;Long_Data[[#This Row],[Indicator Number]]&amp;"]"),MATCH(Long_Data[[#This Row],[Key]],Data_Entry[Key],0)),SUM(N166:P166)*INDEX(Baseline_Pop[Population],MATCH(Long_Data[[#This Row],[Key]],Baseline_Pop[Key],0))),"")</f>
        <v>55921.999999999985</v>
      </c>
    </row>
    <row r="167" spans="2:19">
      <c r="B167">
        <v>166</v>
      </c>
      <c r="C167">
        <v>16</v>
      </c>
      <c r="D167" t="str">
        <f>IFERROR(INDEX(Data_Entry[ADM2_Pcode],MATCH('Step 4-Long Data'!C167,Data_Entry[ID],0)),"NA")</f>
        <v>AF06</v>
      </c>
      <c r="E167" t="str">
        <f>IFERROR(INDEX(Data_Entry[Key],MATCH('Step 4-Long Data'!C167,Data_Entry[ID],0)),"NA")</f>
        <v>AF06-Non_Displaced</v>
      </c>
      <c r="F167">
        <v>6</v>
      </c>
      <c r="G167" t="str">
        <f>IFERROR(INDEX(Framework[Pillar],MATCH('Step 4-Long Data'!F167,Framework[Number],0)),"")</f>
        <v>Humanitarian Conditions</v>
      </c>
      <c r="H167" t="str">
        <f>IFERROR(INDEX(Framework[Sub_Pillar],MATCH('Step 4-Long Data'!F167,Framework[Number],0)),"")</f>
        <v>Living standards</v>
      </c>
      <c r="I167" t="str">
        <f>IFERROR(INDEX(Framework[Indicator],MATCH('Step 4-Long Data'!F167,Framework[Number],0)),"")</f>
        <v>% school aged children enrolled in school prior to C-19 without access to education in a safe and protected environment (defined as available handwashing facilities and heating)”</v>
      </c>
      <c r="J167" t="str">
        <f>IFERROR(INDEX(Framework[Class],MATCH('Step 4-Long Data'!F167,Framework[Number],0)),"")</f>
        <v>Degree</v>
      </c>
      <c r="K167" t="str">
        <f>IFERROR(INDEX(Framework[Critical],MATCH('Step 4-Long Data'!F167,Framework[Number],0)),"")</f>
        <v>No</v>
      </c>
      <c r="L167">
        <f ca="1">IF(Long_Data[[#This Row],[Indicator Class]]="Degree",INDEX(INDIRECT("Data_Entry['"&amp;Long_Data[[#This Row],[Indicator Number]]&amp;"'_DSev_1]"),MATCH(Long_Data[[#This Row],[Key]],Data_Entry[Key],0)),"NA")</f>
        <v>2.9851355085382499E-2</v>
      </c>
      <c r="M167">
        <f ca="1">IF(Long_Data[[#This Row],[Indicator Class]]="Degree",INDEX(INDIRECT("Data_Entry['"&amp;Long_Data[[#This Row],[Indicator Number]]&amp;"'_DSev_2]"),MATCH(Long_Data[[#This Row],[Key]],Data_Entry[Key],0)),"NA")</f>
        <v>0</v>
      </c>
      <c r="N167">
        <f ca="1">IF(Long_Data[[#This Row],[Indicator Class]]="Degree",INDEX(INDIRECT("Data_Entry['"&amp;Long_Data[[#This Row],[Indicator Number]]&amp;"'_DSev_3]"),MATCH(Long_Data[[#This Row],[Key]],Data_Entry[Key],0)),"NA")</f>
        <v>0.36280250169609096</v>
      </c>
      <c r="O167">
        <f ca="1">IF(Long_Data[[#This Row],[Indicator Class]]="Degree",INDEX(INDIRECT("Data_Entry['"&amp;Long_Data[[#This Row],[Indicator Number]]&amp;"'_DSev_4]"),MATCH(Long_Data[[#This Row],[Key]],Data_Entry[Key],0)),"NA")</f>
        <v>0.60734614321852698</v>
      </c>
      <c r="P167">
        <f ca="1">IF(Long_Data[[#This Row],[Indicator Class]]="Degree",INDEX(INDIRECT("Data_Entry['"&amp;Long_Data[[#This Row],[Indicator Number]]&amp;"'_DSev_5]"),MATCH(Long_Data[[#This Row],[Key]],Data_Entry[Key],0)),"NA")</f>
        <v>0</v>
      </c>
      <c r="Q167" t="str">
        <f ca="1">IFERROR(IF(Long_Data[[#This Row],[Indicator Class]]="Magnitude", INDEX(INDIRECT("Data_Entry[Sev_"&amp;Long_Data[[#This Row],[Indicator Number]]&amp;"]"),MATCH(Long_Data[[#This Row],[Key]], Data_Entry[Key],0)),"NA"),"")</f>
        <v>NA</v>
      </c>
      <c r="R16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7" s="70">
        <f ca="1">IFERROR(IF(J167="Magnitude",INDEX(INDIRECT("Data_Entry[PIN_"&amp;Long_Data[[#This Row],[Indicator Number]]&amp;"]"),MATCH(Long_Data[[#This Row],[Key]],Data_Entry[Key],0)),SUM(N167:P167)*INDEX(Baseline_Pop[Population],MATCH(Long_Data[[#This Row],[Key]],Baseline_Pop[Key],0))),"")</f>
        <v>212537.25468195975</v>
      </c>
    </row>
    <row r="168" spans="2:19">
      <c r="B168">
        <v>167</v>
      </c>
      <c r="C168">
        <v>17</v>
      </c>
      <c r="D168" t="str">
        <f>IFERROR(INDEX(Data_Entry[ADM2_Pcode],MATCH('Step 4-Long Data'!C168,Data_Entry[ID],0)),"NA")</f>
        <v>AF07</v>
      </c>
      <c r="E168" t="str">
        <f>IFERROR(INDEX(Data_Entry[Key],MATCH('Step 4-Long Data'!C168,Data_Entry[ID],0)),"NA")</f>
        <v>AF07-Non_Displaced</v>
      </c>
      <c r="F168">
        <v>6</v>
      </c>
      <c r="G168" t="str">
        <f>IFERROR(INDEX(Framework[Pillar],MATCH('Step 4-Long Data'!F168,Framework[Number],0)),"")</f>
        <v>Humanitarian Conditions</v>
      </c>
      <c r="H168" t="str">
        <f>IFERROR(INDEX(Framework[Sub_Pillar],MATCH('Step 4-Long Data'!F168,Framework[Number],0)),"")</f>
        <v>Living standards</v>
      </c>
      <c r="I168" t="str">
        <f>IFERROR(INDEX(Framework[Indicator],MATCH('Step 4-Long Data'!F168,Framework[Number],0)),"")</f>
        <v>% school aged children enrolled in school prior to C-19 without access to education in a safe and protected environment (defined as available handwashing facilities and heating)”</v>
      </c>
      <c r="J168" t="str">
        <f>IFERROR(INDEX(Framework[Class],MATCH('Step 4-Long Data'!F168,Framework[Number],0)),"")</f>
        <v>Degree</v>
      </c>
      <c r="K168" t="str">
        <f>IFERROR(INDEX(Framework[Critical],MATCH('Step 4-Long Data'!F168,Framework[Number],0)),"")</f>
        <v>No</v>
      </c>
      <c r="L168">
        <f ca="1">IF(Long_Data[[#This Row],[Indicator Class]]="Degree",INDEX(INDIRECT("Data_Entry['"&amp;Long_Data[[#This Row],[Indicator Number]]&amp;"'_DSev_1]"),MATCH(Long_Data[[#This Row],[Key]],Data_Entry[Key],0)),"NA")</f>
        <v>0.12030481795539799</v>
      </c>
      <c r="M168">
        <f ca="1">IF(Long_Data[[#This Row],[Indicator Class]]="Degree",INDEX(INDIRECT("Data_Entry['"&amp;Long_Data[[#This Row],[Indicator Number]]&amp;"'_DSev_2]"),MATCH(Long_Data[[#This Row],[Key]],Data_Entry[Key],0)),"NA")</f>
        <v>1.52408977699038E-4</v>
      </c>
      <c r="N168">
        <f ca="1">IF(Long_Data[[#This Row],[Indicator Class]]="Degree",INDEX(INDIRECT("Data_Entry['"&amp;Long_Data[[#This Row],[Indicator Number]]&amp;"'_DSev_3]"),MATCH(Long_Data[[#This Row],[Key]],Data_Entry[Key],0)),"NA")</f>
        <v>0.70565060681534009</v>
      </c>
      <c r="O168">
        <f ca="1">IF(Long_Data[[#This Row],[Indicator Class]]="Degree",INDEX(INDIRECT("Data_Entry['"&amp;Long_Data[[#This Row],[Indicator Number]]&amp;"'_DSev_4]"),MATCH(Long_Data[[#This Row],[Key]],Data_Entry[Key],0)),"NA")</f>
        <v>0.17389216625156301</v>
      </c>
      <c r="P168">
        <f ca="1">IF(Long_Data[[#This Row],[Indicator Class]]="Degree",INDEX(INDIRECT("Data_Entry['"&amp;Long_Data[[#This Row],[Indicator Number]]&amp;"'_DSev_5]"),MATCH(Long_Data[[#This Row],[Key]],Data_Entry[Key],0)),"NA")</f>
        <v>0</v>
      </c>
      <c r="Q168" t="str">
        <f ca="1">IFERROR(IF(Long_Data[[#This Row],[Indicator Class]]="Magnitude", INDEX(INDIRECT("Data_Entry[Sev_"&amp;Long_Data[[#This Row],[Indicator Number]]&amp;"]"),MATCH(Long_Data[[#This Row],[Key]], Data_Entry[Key],0)),"NA"),"")</f>
        <v>NA</v>
      </c>
      <c r="R16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68" s="70">
        <f ca="1">IFERROR(IF(J168="Magnitude",INDEX(INDIRECT("Data_Entry[PIN_"&amp;Long_Data[[#This Row],[Indicator Number]]&amp;"]"),MATCH(Long_Data[[#This Row],[Key]],Data_Entry[Key],0)),SUM(N168:P168)*INDEX(Baseline_Pop[Population],MATCH(Long_Data[[#This Row],[Key]],Baseline_Pop[Key],0))),"")</f>
        <v>55879.111458486484</v>
      </c>
    </row>
    <row r="169" spans="2:19">
      <c r="B169">
        <v>168</v>
      </c>
      <c r="C169">
        <v>18</v>
      </c>
      <c r="D169" t="str">
        <f>IFERROR(INDEX(Data_Entry[ADM2_Pcode],MATCH('Step 4-Long Data'!C169,Data_Entry[ID],0)),"NA")</f>
        <v>AF08</v>
      </c>
      <c r="E169" t="str">
        <f>IFERROR(INDEX(Data_Entry[Key],MATCH('Step 4-Long Data'!C169,Data_Entry[ID],0)),"NA")</f>
        <v>AF08-Non_Displaced</v>
      </c>
      <c r="F169">
        <v>6</v>
      </c>
      <c r="G169" t="str">
        <f>IFERROR(INDEX(Framework[Pillar],MATCH('Step 4-Long Data'!F169,Framework[Number],0)),"")</f>
        <v>Humanitarian Conditions</v>
      </c>
      <c r="H169" t="str">
        <f>IFERROR(INDEX(Framework[Sub_Pillar],MATCH('Step 4-Long Data'!F169,Framework[Number],0)),"")</f>
        <v>Living standards</v>
      </c>
      <c r="I169" t="str">
        <f>IFERROR(INDEX(Framework[Indicator],MATCH('Step 4-Long Data'!F169,Framework[Number],0)),"")</f>
        <v>% school aged children enrolled in school prior to C-19 without access to education in a safe and protected environment (defined as available handwashing facilities and heating)”</v>
      </c>
      <c r="J169" t="str">
        <f>IFERROR(INDEX(Framework[Class],MATCH('Step 4-Long Data'!F169,Framework[Number],0)),"")</f>
        <v>Degree</v>
      </c>
      <c r="K169" t="str">
        <f>IFERROR(INDEX(Framework[Critical],MATCH('Step 4-Long Data'!F169,Framework[Number],0)),"")</f>
        <v>No</v>
      </c>
      <c r="L169">
        <f ca="1">IF(Long_Data[[#This Row],[Indicator Class]]="Degree",INDEX(INDIRECT("Data_Entry['"&amp;Long_Data[[#This Row],[Indicator Number]]&amp;"'_DSev_1]"),MATCH(Long_Data[[#This Row],[Key]],Data_Entry[Key],0)),"NA")</f>
        <v>0</v>
      </c>
      <c r="M169">
        <f ca="1">IF(Long_Data[[#This Row],[Indicator Class]]="Degree",INDEX(INDIRECT("Data_Entry['"&amp;Long_Data[[#This Row],[Indicator Number]]&amp;"'_DSev_2]"),MATCH(Long_Data[[#This Row],[Key]],Data_Entry[Key],0)),"NA")</f>
        <v>0</v>
      </c>
      <c r="N169">
        <f ca="1">IF(Long_Data[[#This Row],[Indicator Class]]="Degree",INDEX(INDIRECT("Data_Entry['"&amp;Long_Data[[#This Row],[Indicator Number]]&amp;"'_DSev_3]"),MATCH(Long_Data[[#This Row],[Key]],Data_Entry[Key],0)),"NA")</f>
        <v>0.1</v>
      </c>
      <c r="O169">
        <f ca="1">IF(Long_Data[[#This Row],[Indicator Class]]="Degree",INDEX(INDIRECT("Data_Entry['"&amp;Long_Data[[#This Row],[Indicator Number]]&amp;"'_DSev_4]"),MATCH(Long_Data[[#This Row],[Key]],Data_Entry[Key],0)),"NA")</f>
        <v>0.9</v>
      </c>
      <c r="P169">
        <f ca="1">IF(Long_Data[[#This Row],[Indicator Class]]="Degree",INDEX(INDIRECT("Data_Entry['"&amp;Long_Data[[#This Row],[Indicator Number]]&amp;"'_DSev_5]"),MATCH(Long_Data[[#This Row],[Key]],Data_Entry[Key],0)),"NA")</f>
        <v>0</v>
      </c>
      <c r="Q169" t="str">
        <f ca="1">IFERROR(IF(Long_Data[[#This Row],[Indicator Class]]="Magnitude", INDEX(INDIRECT("Data_Entry[Sev_"&amp;Long_Data[[#This Row],[Indicator Number]]&amp;"]"),MATCH(Long_Data[[#This Row],[Key]], Data_Entry[Key],0)),"NA"),"")</f>
        <v>NA</v>
      </c>
      <c r="R169">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69" s="70">
        <f ca="1">IFERROR(IF(J169="Magnitude",INDEX(INDIRECT("Data_Entry[PIN_"&amp;Long_Data[[#This Row],[Indicator Number]]&amp;"]"),MATCH(Long_Data[[#This Row],[Key]],Data_Entry[Key],0)),SUM(N169:P169)*INDEX(Baseline_Pop[Population],MATCH(Long_Data[[#This Row],[Key]],Baseline_Pop[Key],0))),"")</f>
        <v>21876</v>
      </c>
    </row>
    <row r="170" spans="2:19">
      <c r="B170">
        <v>169</v>
      </c>
      <c r="C170">
        <v>19</v>
      </c>
      <c r="D170" t="str">
        <f>IFERROR(INDEX(Data_Entry[ADM2_Pcode],MATCH('Step 4-Long Data'!C170,Data_Entry[ID],0)),"NA")</f>
        <v>AF09</v>
      </c>
      <c r="E170" t="str">
        <f>IFERROR(INDEX(Data_Entry[Key],MATCH('Step 4-Long Data'!C170,Data_Entry[ID],0)),"NA")</f>
        <v>AF09-Non_Displaced</v>
      </c>
      <c r="F170">
        <v>6</v>
      </c>
      <c r="G170" t="str">
        <f>IFERROR(INDEX(Framework[Pillar],MATCH('Step 4-Long Data'!F170,Framework[Number],0)),"")</f>
        <v>Humanitarian Conditions</v>
      </c>
      <c r="H170" t="str">
        <f>IFERROR(INDEX(Framework[Sub_Pillar],MATCH('Step 4-Long Data'!F170,Framework[Number],0)),"")</f>
        <v>Living standards</v>
      </c>
      <c r="I170" t="str">
        <f>IFERROR(INDEX(Framework[Indicator],MATCH('Step 4-Long Data'!F170,Framework[Number],0)),"")</f>
        <v>% school aged children enrolled in school prior to C-19 without access to education in a safe and protected environment (defined as available handwashing facilities and heating)”</v>
      </c>
      <c r="J170" t="str">
        <f>IFERROR(INDEX(Framework[Class],MATCH('Step 4-Long Data'!F170,Framework[Number],0)),"")</f>
        <v>Degree</v>
      </c>
      <c r="K170" t="str">
        <f>IFERROR(INDEX(Framework[Critical],MATCH('Step 4-Long Data'!F170,Framework[Number],0)),"")</f>
        <v>No</v>
      </c>
      <c r="L170">
        <f ca="1">IF(Long_Data[[#This Row],[Indicator Class]]="Degree",INDEX(INDIRECT("Data_Entry['"&amp;Long_Data[[#This Row],[Indicator Number]]&amp;"'_DSev_1]"),MATCH(Long_Data[[#This Row],[Key]],Data_Entry[Key],0)),"NA")</f>
        <v>0.11111111111111099</v>
      </c>
      <c r="M170">
        <f ca="1">IF(Long_Data[[#This Row],[Indicator Class]]="Degree",INDEX(INDIRECT("Data_Entry['"&amp;Long_Data[[#This Row],[Indicator Number]]&amp;"'_DSev_2]"),MATCH(Long_Data[[#This Row],[Key]],Data_Entry[Key],0)),"NA")</f>
        <v>0</v>
      </c>
      <c r="N170">
        <f ca="1">IF(Long_Data[[#This Row],[Indicator Class]]="Degree",INDEX(INDIRECT("Data_Entry['"&amp;Long_Data[[#This Row],[Indicator Number]]&amp;"'_DSev_3]"),MATCH(Long_Data[[#This Row],[Key]],Data_Entry[Key],0)),"NA")</f>
        <v>0.55555555555555602</v>
      </c>
      <c r="O170">
        <f ca="1">IF(Long_Data[[#This Row],[Indicator Class]]="Degree",INDEX(INDIRECT("Data_Entry['"&amp;Long_Data[[#This Row],[Indicator Number]]&amp;"'_DSev_4]"),MATCH(Long_Data[[#This Row],[Key]],Data_Entry[Key],0)),"NA")</f>
        <v>0.33333333333333298</v>
      </c>
      <c r="P170">
        <f ca="1">IF(Long_Data[[#This Row],[Indicator Class]]="Degree",INDEX(INDIRECT("Data_Entry['"&amp;Long_Data[[#This Row],[Indicator Number]]&amp;"'_DSev_5]"),MATCH(Long_Data[[#This Row],[Key]],Data_Entry[Key],0)),"NA")</f>
        <v>0</v>
      </c>
      <c r="Q170" t="str">
        <f ca="1">IFERROR(IF(Long_Data[[#This Row],[Indicator Class]]="Magnitude", INDEX(INDIRECT("Data_Entry[Sev_"&amp;Long_Data[[#This Row],[Indicator Number]]&amp;"]"),MATCH(Long_Data[[#This Row],[Key]], Data_Entry[Key],0)),"NA"),"")</f>
        <v>NA</v>
      </c>
      <c r="R17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0" s="70">
        <f ca="1">IFERROR(IF(J170="Magnitude",INDEX(INDIRECT("Data_Entry[PIN_"&amp;Long_Data[[#This Row],[Indicator Number]]&amp;"]"),MATCH(Long_Data[[#This Row],[Key]],Data_Entry[Key],0)),SUM(N170:P170)*INDEX(Baseline_Pop[Population],MATCH(Long_Data[[#This Row],[Key]],Baseline_Pop[Key],0))),"")</f>
        <v>116110.22222222225</v>
      </c>
    </row>
    <row r="171" spans="2:19">
      <c r="B171">
        <v>170</v>
      </c>
      <c r="C171">
        <v>20</v>
      </c>
      <c r="D171" t="str">
        <f>IFERROR(INDEX(Data_Entry[ADM2_Pcode],MATCH('Step 4-Long Data'!C171,Data_Entry[ID],0)),"NA")</f>
        <v>AF10</v>
      </c>
      <c r="E171" t="str">
        <f>IFERROR(INDEX(Data_Entry[Key],MATCH('Step 4-Long Data'!C171,Data_Entry[ID],0)),"NA")</f>
        <v>AF10-Non_Displaced</v>
      </c>
      <c r="F171">
        <v>6</v>
      </c>
      <c r="G171" t="str">
        <f>IFERROR(INDEX(Framework[Pillar],MATCH('Step 4-Long Data'!F171,Framework[Number],0)),"")</f>
        <v>Humanitarian Conditions</v>
      </c>
      <c r="H171" t="str">
        <f>IFERROR(INDEX(Framework[Sub_Pillar],MATCH('Step 4-Long Data'!F171,Framework[Number],0)),"")</f>
        <v>Living standards</v>
      </c>
      <c r="I171" t="str">
        <f>IFERROR(INDEX(Framework[Indicator],MATCH('Step 4-Long Data'!F171,Framework[Number],0)),"")</f>
        <v>% school aged children enrolled in school prior to C-19 without access to education in a safe and protected environment (defined as available handwashing facilities and heating)”</v>
      </c>
      <c r="J171" t="str">
        <f>IFERROR(INDEX(Framework[Class],MATCH('Step 4-Long Data'!F171,Framework[Number],0)),"")</f>
        <v>Degree</v>
      </c>
      <c r="K171" t="str">
        <f>IFERROR(INDEX(Framework[Critical],MATCH('Step 4-Long Data'!F171,Framework[Number],0)),"")</f>
        <v>No</v>
      </c>
      <c r="L171">
        <f ca="1">IF(Long_Data[[#This Row],[Indicator Class]]="Degree",INDEX(INDIRECT("Data_Entry['"&amp;Long_Data[[#This Row],[Indicator Number]]&amp;"'_DSev_1]"),MATCH(Long_Data[[#This Row],[Key]],Data_Entry[Key],0)),"NA")</f>
        <v>0</v>
      </c>
      <c r="M171">
        <f ca="1">IF(Long_Data[[#This Row],[Indicator Class]]="Degree",INDEX(INDIRECT("Data_Entry['"&amp;Long_Data[[#This Row],[Indicator Number]]&amp;"'_DSev_2]"),MATCH(Long_Data[[#This Row],[Key]],Data_Entry[Key],0)),"NA")</f>
        <v>0</v>
      </c>
      <c r="N171">
        <f ca="1">IF(Long_Data[[#This Row],[Indicator Class]]="Degree",INDEX(INDIRECT("Data_Entry['"&amp;Long_Data[[#This Row],[Indicator Number]]&amp;"'_DSev_3]"),MATCH(Long_Data[[#This Row],[Key]],Data_Entry[Key],0)),"NA")</f>
        <v>0.25423728813559299</v>
      </c>
      <c r="O171">
        <f ca="1">IF(Long_Data[[#This Row],[Indicator Class]]="Degree",INDEX(INDIRECT("Data_Entry['"&amp;Long_Data[[#This Row],[Indicator Number]]&amp;"'_DSev_4]"),MATCH(Long_Data[[#This Row],[Key]],Data_Entry[Key],0)),"NA")</f>
        <v>0.74576271186440701</v>
      </c>
      <c r="P171">
        <f ca="1">IF(Long_Data[[#This Row],[Indicator Class]]="Degree",INDEX(INDIRECT("Data_Entry['"&amp;Long_Data[[#This Row],[Indicator Number]]&amp;"'_DSev_5]"),MATCH(Long_Data[[#This Row],[Key]],Data_Entry[Key],0)),"NA")</f>
        <v>0</v>
      </c>
      <c r="Q171" t="str">
        <f ca="1">IFERROR(IF(Long_Data[[#This Row],[Indicator Class]]="Magnitude", INDEX(INDIRECT("Data_Entry[Sev_"&amp;Long_Data[[#This Row],[Indicator Number]]&amp;"]"),MATCH(Long_Data[[#This Row],[Key]], Data_Entry[Key],0)),"NA"),"")</f>
        <v>NA</v>
      </c>
      <c r="R171">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1" s="70">
        <f ca="1">IFERROR(IF(J171="Magnitude",INDEX(INDIRECT("Data_Entry[PIN_"&amp;Long_Data[[#This Row],[Indicator Number]]&amp;"]"),MATCH(Long_Data[[#This Row],[Key]],Data_Entry[Key],0)),SUM(N171:P171)*INDEX(Baseline_Pop[Population],MATCH(Long_Data[[#This Row],[Key]],Baseline_Pop[Key],0))),"")</f>
        <v>63798</v>
      </c>
    </row>
    <row r="172" spans="2:19">
      <c r="B172">
        <v>171</v>
      </c>
      <c r="C172">
        <v>21</v>
      </c>
      <c r="D172" t="str">
        <f>IFERROR(INDEX(Data_Entry[ADM2_Pcode],MATCH('Step 4-Long Data'!C172,Data_Entry[ID],0)),"NA")</f>
        <v>AF01</v>
      </c>
      <c r="E172" t="str">
        <f>IFERROR(INDEX(Data_Entry[Key],MATCH('Step 4-Long Data'!C172,Data_Entry[ID],0)),"NA")</f>
        <v>AF01-Migrants</v>
      </c>
      <c r="F172">
        <v>6</v>
      </c>
      <c r="G172" t="str">
        <f>IFERROR(INDEX(Framework[Pillar],MATCH('Step 4-Long Data'!F172,Framework[Number],0)),"")</f>
        <v>Humanitarian Conditions</v>
      </c>
      <c r="H172" t="str">
        <f>IFERROR(INDEX(Framework[Sub_Pillar],MATCH('Step 4-Long Data'!F172,Framework[Number],0)),"")</f>
        <v>Living standards</v>
      </c>
      <c r="I172" t="str">
        <f>IFERROR(INDEX(Framework[Indicator],MATCH('Step 4-Long Data'!F172,Framework[Number],0)),"")</f>
        <v>% school aged children enrolled in school prior to C-19 without access to education in a safe and protected environment (defined as available handwashing facilities and heating)”</v>
      </c>
      <c r="J172" t="str">
        <f>IFERROR(INDEX(Framework[Class],MATCH('Step 4-Long Data'!F172,Framework[Number],0)),"")</f>
        <v>Degree</v>
      </c>
      <c r="K172" t="str">
        <f>IFERROR(INDEX(Framework[Critical],MATCH('Step 4-Long Data'!F172,Framework[Number],0)),"")</f>
        <v>No</v>
      </c>
      <c r="L172">
        <f ca="1">IF(Long_Data[[#This Row],[Indicator Class]]="Degree",INDEX(INDIRECT("Data_Entry['"&amp;Long_Data[[#This Row],[Indicator Number]]&amp;"'_DSev_1]"),MATCH(Long_Data[[#This Row],[Key]],Data_Entry[Key],0)),"NA")</f>
        <v>1.72413793103448E-2</v>
      </c>
      <c r="M172">
        <f ca="1">IF(Long_Data[[#This Row],[Indicator Class]]="Degree",INDEX(INDIRECT("Data_Entry['"&amp;Long_Data[[#This Row],[Indicator Number]]&amp;"'_DSev_2]"),MATCH(Long_Data[[#This Row],[Key]],Data_Entry[Key],0)),"NA")</f>
        <v>0</v>
      </c>
      <c r="N172">
        <f ca="1">IF(Long_Data[[#This Row],[Indicator Class]]="Degree",INDEX(INDIRECT("Data_Entry['"&amp;Long_Data[[#This Row],[Indicator Number]]&amp;"'_DSev_3]"),MATCH(Long_Data[[#This Row],[Key]],Data_Entry[Key],0)),"NA")</f>
        <v>0.34482758620689702</v>
      </c>
      <c r="O172">
        <f ca="1">IF(Long_Data[[#This Row],[Indicator Class]]="Degree",INDEX(INDIRECT("Data_Entry['"&amp;Long_Data[[#This Row],[Indicator Number]]&amp;"'_DSev_4]"),MATCH(Long_Data[[#This Row],[Key]],Data_Entry[Key],0)),"NA")</f>
        <v>0.63793103448275901</v>
      </c>
      <c r="P172">
        <f ca="1">IF(Long_Data[[#This Row],[Indicator Class]]="Degree",INDEX(INDIRECT("Data_Entry['"&amp;Long_Data[[#This Row],[Indicator Number]]&amp;"'_DSev_5]"),MATCH(Long_Data[[#This Row],[Key]],Data_Entry[Key],0)),"NA")</f>
        <v>0</v>
      </c>
      <c r="Q172" t="str">
        <f ca="1">IFERROR(IF(Long_Data[[#This Row],[Indicator Class]]="Magnitude", INDEX(INDIRECT("Data_Entry[Sev_"&amp;Long_Data[[#This Row],[Indicator Number]]&amp;"]"),MATCH(Long_Data[[#This Row],[Key]], Data_Entry[Key],0)),"NA"),"")</f>
        <v>NA</v>
      </c>
      <c r="R17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2" s="70">
        <f ca="1">IFERROR(IF(J172="Magnitude",INDEX(INDIRECT("Data_Entry[PIN_"&amp;Long_Data[[#This Row],[Indicator Number]]&amp;"]"),MATCH(Long_Data[[#This Row],[Key]],Data_Entry[Key],0)),SUM(N172:P172)*INDEX(Baseline_Pop[Population],MATCH(Long_Data[[#This Row],[Key]],Baseline_Pop[Key],0))),"")</f>
        <v>1316997.77586207</v>
      </c>
    </row>
    <row r="173" spans="2:19">
      <c r="B173">
        <v>172</v>
      </c>
      <c r="C173">
        <v>22</v>
      </c>
      <c r="D173" t="str">
        <f>IFERROR(INDEX(Data_Entry[ADM2_Pcode],MATCH('Step 4-Long Data'!C173,Data_Entry[ID],0)),"NA")</f>
        <v>AF02</v>
      </c>
      <c r="E173" t="str">
        <f>IFERROR(INDEX(Data_Entry[Key],MATCH('Step 4-Long Data'!C173,Data_Entry[ID],0)),"NA")</f>
        <v>AF02-Migrants</v>
      </c>
      <c r="F173">
        <v>6</v>
      </c>
      <c r="G173" t="str">
        <f>IFERROR(INDEX(Framework[Pillar],MATCH('Step 4-Long Data'!F173,Framework[Number],0)),"")</f>
        <v>Humanitarian Conditions</v>
      </c>
      <c r="H173" t="str">
        <f>IFERROR(INDEX(Framework[Sub_Pillar],MATCH('Step 4-Long Data'!F173,Framework[Number],0)),"")</f>
        <v>Living standards</v>
      </c>
      <c r="I173" t="str">
        <f>IFERROR(INDEX(Framework[Indicator],MATCH('Step 4-Long Data'!F173,Framework[Number],0)),"")</f>
        <v>% school aged children enrolled in school prior to C-19 without access to education in a safe and protected environment (defined as available handwashing facilities and heating)”</v>
      </c>
      <c r="J173" t="str">
        <f>IFERROR(INDEX(Framework[Class],MATCH('Step 4-Long Data'!F173,Framework[Number],0)),"")</f>
        <v>Degree</v>
      </c>
      <c r="K173" t="str">
        <f>IFERROR(INDEX(Framework[Critical],MATCH('Step 4-Long Data'!F173,Framework[Number],0)),"")</f>
        <v>No</v>
      </c>
      <c r="L173">
        <f ca="1">IF(Long_Data[[#This Row],[Indicator Class]]="Degree",INDEX(INDIRECT("Data_Entry['"&amp;Long_Data[[#This Row],[Indicator Number]]&amp;"'_DSev_1]"),MATCH(Long_Data[[#This Row],[Key]],Data_Entry[Key],0)),"NA")</f>
        <v>0</v>
      </c>
      <c r="M173">
        <f ca="1">IF(Long_Data[[#This Row],[Indicator Class]]="Degree",INDEX(INDIRECT("Data_Entry['"&amp;Long_Data[[#This Row],[Indicator Number]]&amp;"'_DSev_2]"),MATCH(Long_Data[[#This Row],[Key]],Data_Entry[Key],0)),"NA")</f>
        <v>0</v>
      </c>
      <c r="N173">
        <f ca="1">IF(Long_Data[[#This Row],[Indicator Class]]="Degree",INDEX(INDIRECT("Data_Entry['"&amp;Long_Data[[#This Row],[Indicator Number]]&amp;"'_DSev_3]"),MATCH(Long_Data[[#This Row],[Key]],Data_Entry[Key],0)),"NA")</f>
        <v>2.32558139534884E-2</v>
      </c>
      <c r="O173">
        <f ca="1">IF(Long_Data[[#This Row],[Indicator Class]]="Degree",INDEX(INDIRECT("Data_Entry['"&amp;Long_Data[[#This Row],[Indicator Number]]&amp;"'_DSev_4]"),MATCH(Long_Data[[#This Row],[Key]],Data_Entry[Key],0)),"NA")</f>
        <v>0.97674418604651192</v>
      </c>
      <c r="P173">
        <f ca="1">IF(Long_Data[[#This Row],[Indicator Class]]="Degree",INDEX(INDIRECT("Data_Entry['"&amp;Long_Data[[#This Row],[Indicator Number]]&amp;"'_DSev_5]"),MATCH(Long_Data[[#This Row],[Key]],Data_Entry[Key],0)),"NA")</f>
        <v>0</v>
      </c>
      <c r="Q173" t="str">
        <f ca="1">IFERROR(IF(Long_Data[[#This Row],[Indicator Class]]="Magnitude", INDEX(INDIRECT("Data_Entry[Sev_"&amp;Long_Data[[#This Row],[Indicator Number]]&amp;"]"),MATCH(Long_Data[[#This Row],[Key]], Data_Entry[Key],0)),"NA"),"")</f>
        <v>NA</v>
      </c>
      <c r="R173">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3" s="70">
        <f ca="1">IFERROR(IF(J173="Magnitude",INDEX(INDIRECT("Data_Entry[PIN_"&amp;Long_Data[[#This Row],[Indicator Number]]&amp;"]"),MATCH(Long_Data[[#This Row],[Key]],Data_Entry[Key],0)),SUM(N173:P173)*INDEX(Baseline_Pop[Population],MATCH(Long_Data[[#This Row],[Key]],Baseline_Pop[Key],0))),"")</f>
        <v>125728.00000000003</v>
      </c>
    </row>
    <row r="174" spans="2:19">
      <c r="B174">
        <v>173</v>
      </c>
      <c r="C174">
        <v>23</v>
      </c>
      <c r="D174" t="str">
        <f>IFERROR(INDEX(Data_Entry[ADM2_Pcode],MATCH('Step 4-Long Data'!C174,Data_Entry[ID],0)),"NA")</f>
        <v>AF03</v>
      </c>
      <c r="E174" t="str">
        <f>IFERROR(INDEX(Data_Entry[Key],MATCH('Step 4-Long Data'!C174,Data_Entry[ID],0)),"NA")</f>
        <v>AF03-Migrants</v>
      </c>
      <c r="F174">
        <v>6</v>
      </c>
      <c r="G174" t="str">
        <f>IFERROR(INDEX(Framework[Pillar],MATCH('Step 4-Long Data'!F174,Framework[Number],0)),"")</f>
        <v>Humanitarian Conditions</v>
      </c>
      <c r="H174" t="str">
        <f>IFERROR(INDEX(Framework[Sub_Pillar],MATCH('Step 4-Long Data'!F174,Framework[Number],0)),"")</f>
        <v>Living standards</v>
      </c>
      <c r="I174" t="str">
        <f>IFERROR(INDEX(Framework[Indicator],MATCH('Step 4-Long Data'!F174,Framework[Number],0)),"")</f>
        <v>% school aged children enrolled in school prior to C-19 without access to education in a safe and protected environment (defined as available handwashing facilities and heating)”</v>
      </c>
      <c r="J174" t="str">
        <f>IFERROR(INDEX(Framework[Class],MATCH('Step 4-Long Data'!F174,Framework[Number],0)),"")</f>
        <v>Degree</v>
      </c>
      <c r="K174" t="str">
        <f>IFERROR(INDEX(Framework[Critical],MATCH('Step 4-Long Data'!F174,Framework[Number],0)),"")</f>
        <v>No</v>
      </c>
      <c r="L174">
        <f ca="1">IF(Long_Data[[#This Row],[Indicator Class]]="Degree",INDEX(INDIRECT("Data_Entry['"&amp;Long_Data[[#This Row],[Indicator Number]]&amp;"'_DSev_1]"),MATCH(Long_Data[[#This Row],[Key]],Data_Entry[Key],0)),"NA")</f>
        <v>2.0833333333333301E-2</v>
      </c>
      <c r="M174">
        <f ca="1">IF(Long_Data[[#This Row],[Indicator Class]]="Degree",INDEX(INDIRECT("Data_Entry['"&amp;Long_Data[[#This Row],[Indicator Number]]&amp;"'_DSev_2]"),MATCH(Long_Data[[#This Row],[Key]],Data_Entry[Key],0)),"NA")</f>
        <v>0</v>
      </c>
      <c r="N174">
        <f ca="1">IF(Long_Data[[#This Row],[Indicator Class]]="Degree",INDEX(INDIRECT("Data_Entry['"&amp;Long_Data[[#This Row],[Indicator Number]]&amp;"'_DSev_3]"),MATCH(Long_Data[[#This Row],[Key]],Data_Entry[Key],0)),"NA")</f>
        <v>0.9375</v>
      </c>
      <c r="O174">
        <f ca="1">IF(Long_Data[[#This Row],[Indicator Class]]="Degree",INDEX(INDIRECT("Data_Entry['"&amp;Long_Data[[#This Row],[Indicator Number]]&amp;"'_DSev_4]"),MATCH(Long_Data[[#This Row],[Key]],Data_Entry[Key],0)),"NA")</f>
        <v>4.1666666666666699E-2</v>
      </c>
      <c r="P174">
        <f ca="1">IF(Long_Data[[#This Row],[Indicator Class]]="Degree",INDEX(INDIRECT("Data_Entry['"&amp;Long_Data[[#This Row],[Indicator Number]]&amp;"'_DSev_5]"),MATCH(Long_Data[[#This Row],[Key]],Data_Entry[Key],0)),"NA")</f>
        <v>0</v>
      </c>
      <c r="Q174" t="str">
        <f ca="1">IFERROR(IF(Long_Data[[#This Row],[Indicator Class]]="Magnitude", INDEX(INDIRECT("Data_Entry[Sev_"&amp;Long_Data[[#This Row],[Indicator Number]]&amp;"]"),MATCH(Long_Data[[#This Row],[Key]], Data_Entry[Key],0)),"NA"),"")</f>
        <v>NA</v>
      </c>
      <c r="R17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74" s="70">
        <f ca="1">IFERROR(IF(J174="Magnitude",INDEX(INDIRECT("Data_Entry[PIN_"&amp;Long_Data[[#This Row],[Indicator Number]]&amp;"]"),MATCH(Long_Data[[#This Row],[Key]],Data_Entry[Key],0)),SUM(N174:P174)*INDEX(Baseline_Pop[Population],MATCH(Long_Data[[#This Row],[Key]],Baseline_Pop[Key],0))),"")</f>
        <v>185986.83333333334</v>
      </c>
    </row>
    <row r="175" spans="2:19">
      <c r="B175">
        <v>174</v>
      </c>
      <c r="C175">
        <v>24</v>
      </c>
      <c r="D175" t="str">
        <f>IFERROR(INDEX(Data_Entry[ADM2_Pcode],MATCH('Step 4-Long Data'!C175,Data_Entry[ID],0)),"NA")</f>
        <v>AF04</v>
      </c>
      <c r="E175" t="str">
        <f>IFERROR(INDEX(Data_Entry[Key],MATCH('Step 4-Long Data'!C175,Data_Entry[ID],0)),"NA")</f>
        <v>AF04-Migrants</v>
      </c>
      <c r="F175">
        <v>6</v>
      </c>
      <c r="G175" t="str">
        <f>IFERROR(INDEX(Framework[Pillar],MATCH('Step 4-Long Data'!F175,Framework[Number],0)),"")</f>
        <v>Humanitarian Conditions</v>
      </c>
      <c r="H175" t="str">
        <f>IFERROR(INDEX(Framework[Sub_Pillar],MATCH('Step 4-Long Data'!F175,Framework[Number],0)),"")</f>
        <v>Living standards</v>
      </c>
      <c r="I175" t="str">
        <f>IFERROR(INDEX(Framework[Indicator],MATCH('Step 4-Long Data'!F175,Framework[Number],0)),"")</f>
        <v>% school aged children enrolled in school prior to C-19 without access to education in a safe and protected environment (defined as available handwashing facilities and heating)”</v>
      </c>
      <c r="J175" t="str">
        <f>IFERROR(INDEX(Framework[Class],MATCH('Step 4-Long Data'!F175,Framework[Number],0)),"")</f>
        <v>Degree</v>
      </c>
      <c r="K175" t="str">
        <f>IFERROR(INDEX(Framework[Critical],MATCH('Step 4-Long Data'!F175,Framework[Number],0)),"")</f>
        <v>No</v>
      </c>
      <c r="L175">
        <f ca="1">IF(Long_Data[[#This Row],[Indicator Class]]="Degree",INDEX(INDIRECT("Data_Entry['"&amp;Long_Data[[#This Row],[Indicator Number]]&amp;"'_DSev_1]"),MATCH(Long_Data[[#This Row],[Key]],Data_Entry[Key],0)),"NA")</f>
        <v>0</v>
      </c>
      <c r="M175">
        <f ca="1">IF(Long_Data[[#This Row],[Indicator Class]]="Degree",INDEX(INDIRECT("Data_Entry['"&amp;Long_Data[[#This Row],[Indicator Number]]&amp;"'_DSev_2]"),MATCH(Long_Data[[#This Row],[Key]],Data_Entry[Key],0)),"NA")</f>
        <v>0</v>
      </c>
      <c r="N175">
        <f ca="1">IF(Long_Data[[#This Row],[Indicator Class]]="Degree",INDEX(INDIRECT("Data_Entry['"&amp;Long_Data[[#This Row],[Indicator Number]]&amp;"'_DSev_3]"),MATCH(Long_Data[[#This Row],[Key]],Data_Entry[Key],0)),"NA")</f>
        <v>0</v>
      </c>
      <c r="O175">
        <f ca="1">IF(Long_Data[[#This Row],[Indicator Class]]="Degree",INDEX(INDIRECT("Data_Entry['"&amp;Long_Data[[#This Row],[Indicator Number]]&amp;"'_DSev_4]"),MATCH(Long_Data[[#This Row],[Key]],Data_Entry[Key],0)),"NA")</f>
        <v>1</v>
      </c>
      <c r="P175">
        <f ca="1">IF(Long_Data[[#This Row],[Indicator Class]]="Degree",INDEX(INDIRECT("Data_Entry['"&amp;Long_Data[[#This Row],[Indicator Number]]&amp;"'_DSev_5]"),MATCH(Long_Data[[#This Row],[Key]],Data_Entry[Key],0)),"NA")</f>
        <v>0</v>
      </c>
      <c r="Q175" t="str">
        <f ca="1">IFERROR(IF(Long_Data[[#This Row],[Indicator Class]]="Magnitude", INDEX(INDIRECT("Data_Entry[Sev_"&amp;Long_Data[[#This Row],[Indicator Number]]&amp;"]"),MATCH(Long_Data[[#This Row],[Key]], Data_Entry[Key],0)),"NA"),"")</f>
        <v>NA</v>
      </c>
      <c r="R175">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5" s="70">
        <f ca="1">IFERROR(IF(J175="Magnitude",INDEX(INDIRECT("Data_Entry[PIN_"&amp;Long_Data[[#This Row],[Indicator Number]]&amp;"]"),MATCH(Long_Data[[#This Row],[Key]],Data_Entry[Key],0)),SUM(N175:P175)*INDEX(Baseline_Pop[Population],MATCH(Long_Data[[#This Row],[Key]],Baseline_Pop[Key],0))),"")</f>
        <v>170004</v>
      </c>
    </row>
    <row r="176" spans="2:19">
      <c r="B176">
        <v>175</v>
      </c>
      <c r="C176">
        <v>25</v>
      </c>
      <c r="D176" t="str">
        <f>IFERROR(INDEX(Data_Entry[ADM2_Pcode],MATCH('Step 4-Long Data'!C176,Data_Entry[ID],0)),"NA")</f>
        <v>AF05</v>
      </c>
      <c r="E176" t="str">
        <f>IFERROR(INDEX(Data_Entry[Key],MATCH('Step 4-Long Data'!C176,Data_Entry[ID],0)),"NA")</f>
        <v>AF05-Migrants</v>
      </c>
      <c r="F176">
        <v>6</v>
      </c>
      <c r="G176" t="str">
        <f>IFERROR(INDEX(Framework[Pillar],MATCH('Step 4-Long Data'!F176,Framework[Number],0)),"")</f>
        <v>Humanitarian Conditions</v>
      </c>
      <c r="H176" t="str">
        <f>IFERROR(INDEX(Framework[Sub_Pillar],MATCH('Step 4-Long Data'!F176,Framework[Number],0)),"")</f>
        <v>Living standards</v>
      </c>
      <c r="I176" t="str">
        <f>IFERROR(INDEX(Framework[Indicator],MATCH('Step 4-Long Data'!F176,Framework[Number],0)),"")</f>
        <v>% school aged children enrolled in school prior to C-19 without access to education in a safe and protected environment (defined as available handwashing facilities and heating)”</v>
      </c>
      <c r="J176" t="str">
        <f>IFERROR(INDEX(Framework[Class],MATCH('Step 4-Long Data'!F176,Framework[Number],0)),"")</f>
        <v>Degree</v>
      </c>
      <c r="K176" t="str">
        <f>IFERROR(INDEX(Framework[Critical],MATCH('Step 4-Long Data'!F176,Framework[Number],0)),"")</f>
        <v>No</v>
      </c>
      <c r="L176">
        <f ca="1">IF(Long_Data[[#This Row],[Indicator Class]]="Degree",INDEX(INDIRECT("Data_Entry['"&amp;Long_Data[[#This Row],[Indicator Number]]&amp;"'_DSev_1]"),MATCH(Long_Data[[#This Row],[Key]],Data_Entry[Key],0)),"NA")</f>
        <v>0</v>
      </c>
      <c r="M176">
        <f ca="1">IF(Long_Data[[#This Row],[Indicator Class]]="Degree",INDEX(INDIRECT("Data_Entry['"&amp;Long_Data[[#This Row],[Indicator Number]]&amp;"'_DSev_2]"),MATCH(Long_Data[[#This Row],[Key]],Data_Entry[Key],0)),"NA")</f>
        <v>0</v>
      </c>
      <c r="N176">
        <f ca="1">IF(Long_Data[[#This Row],[Indicator Class]]="Degree",INDEX(INDIRECT("Data_Entry['"&amp;Long_Data[[#This Row],[Indicator Number]]&amp;"'_DSev_3]"),MATCH(Long_Data[[#This Row],[Key]],Data_Entry[Key],0)),"NA")</f>
        <v>9.7083611313027701E-2</v>
      </c>
      <c r="O176">
        <f ca="1">IF(Long_Data[[#This Row],[Indicator Class]]="Degree",INDEX(INDIRECT("Data_Entry['"&amp;Long_Data[[#This Row],[Indicator Number]]&amp;"'_DSev_4]"),MATCH(Long_Data[[#This Row],[Key]],Data_Entry[Key],0)),"NA")</f>
        <v>0.9029163886869721</v>
      </c>
      <c r="P176">
        <f ca="1">IF(Long_Data[[#This Row],[Indicator Class]]="Degree",INDEX(INDIRECT("Data_Entry['"&amp;Long_Data[[#This Row],[Indicator Number]]&amp;"'_DSev_5]"),MATCH(Long_Data[[#This Row],[Key]],Data_Entry[Key],0)),"NA")</f>
        <v>0</v>
      </c>
      <c r="Q176" t="str">
        <f ca="1">IFERROR(IF(Long_Data[[#This Row],[Indicator Class]]="Magnitude", INDEX(INDIRECT("Data_Entry[Sev_"&amp;Long_Data[[#This Row],[Indicator Number]]&amp;"]"),MATCH(Long_Data[[#This Row],[Key]], Data_Entry[Key],0)),"NA"),"")</f>
        <v>NA</v>
      </c>
      <c r="R17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6" s="70">
        <f ca="1">IFERROR(IF(J176="Magnitude",INDEX(INDIRECT("Data_Entry[PIN_"&amp;Long_Data[[#This Row],[Indicator Number]]&amp;"]"),MATCH(Long_Data[[#This Row],[Key]],Data_Entry[Key],0)),SUM(N176:P176)*INDEX(Baseline_Pop[Population],MATCH(Long_Data[[#This Row],[Key]],Baseline_Pop[Key],0))),"")</f>
        <v>111842.99999999997</v>
      </c>
    </row>
    <row r="177" spans="2:19">
      <c r="B177">
        <v>176</v>
      </c>
      <c r="C177">
        <v>26</v>
      </c>
      <c r="D177" t="str">
        <f>IFERROR(INDEX(Data_Entry[ADM2_Pcode],MATCH('Step 4-Long Data'!C177,Data_Entry[ID],0)),"NA")</f>
        <v>AF06</v>
      </c>
      <c r="E177" t="str">
        <f>IFERROR(INDEX(Data_Entry[Key],MATCH('Step 4-Long Data'!C177,Data_Entry[ID],0)),"NA")</f>
        <v>AF06-Migrants</v>
      </c>
      <c r="F177">
        <v>6</v>
      </c>
      <c r="G177" t="str">
        <f>IFERROR(INDEX(Framework[Pillar],MATCH('Step 4-Long Data'!F177,Framework[Number],0)),"")</f>
        <v>Humanitarian Conditions</v>
      </c>
      <c r="H177" t="str">
        <f>IFERROR(INDEX(Framework[Sub_Pillar],MATCH('Step 4-Long Data'!F177,Framework[Number],0)),"")</f>
        <v>Living standards</v>
      </c>
      <c r="I177" t="str">
        <f>IFERROR(INDEX(Framework[Indicator],MATCH('Step 4-Long Data'!F177,Framework[Number],0)),"")</f>
        <v>% school aged children enrolled in school prior to C-19 without access to education in a safe and protected environment (defined as available handwashing facilities and heating)”</v>
      </c>
      <c r="J177" t="str">
        <f>IFERROR(INDEX(Framework[Class],MATCH('Step 4-Long Data'!F177,Framework[Number],0)),"")</f>
        <v>Degree</v>
      </c>
      <c r="K177" t="str">
        <f>IFERROR(INDEX(Framework[Critical],MATCH('Step 4-Long Data'!F177,Framework[Number],0)),"")</f>
        <v>No</v>
      </c>
      <c r="L177">
        <f ca="1">IF(Long_Data[[#This Row],[Indicator Class]]="Degree",INDEX(INDIRECT("Data_Entry['"&amp;Long_Data[[#This Row],[Indicator Number]]&amp;"'_DSev_1]"),MATCH(Long_Data[[#This Row],[Key]],Data_Entry[Key],0)),"NA")</f>
        <v>2.9851355085382499E-2</v>
      </c>
      <c r="M177">
        <f ca="1">IF(Long_Data[[#This Row],[Indicator Class]]="Degree",INDEX(INDIRECT("Data_Entry['"&amp;Long_Data[[#This Row],[Indicator Number]]&amp;"'_DSev_2]"),MATCH(Long_Data[[#This Row],[Key]],Data_Entry[Key],0)),"NA")</f>
        <v>0</v>
      </c>
      <c r="N177">
        <f ca="1">IF(Long_Data[[#This Row],[Indicator Class]]="Degree",INDEX(INDIRECT("Data_Entry['"&amp;Long_Data[[#This Row],[Indicator Number]]&amp;"'_DSev_3]"),MATCH(Long_Data[[#This Row],[Key]],Data_Entry[Key],0)),"NA")</f>
        <v>0.36280250169609096</v>
      </c>
      <c r="O177">
        <f ca="1">IF(Long_Data[[#This Row],[Indicator Class]]="Degree",INDEX(INDIRECT("Data_Entry['"&amp;Long_Data[[#This Row],[Indicator Number]]&amp;"'_DSev_4]"),MATCH(Long_Data[[#This Row],[Key]],Data_Entry[Key],0)),"NA")</f>
        <v>0.60734614321852698</v>
      </c>
      <c r="P177">
        <f ca="1">IF(Long_Data[[#This Row],[Indicator Class]]="Degree",INDEX(INDIRECT("Data_Entry['"&amp;Long_Data[[#This Row],[Indicator Number]]&amp;"'_DSev_5]"),MATCH(Long_Data[[#This Row],[Key]],Data_Entry[Key],0)),"NA")</f>
        <v>0</v>
      </c>
      <c r="Q177" t="str">
        <f ca="1">IFERROR(IF(Long_Data[[#This Row],[Indicator Class]]="Magnitude", INDEX(INDIRECT("Data_Entry[Sev_"&amp;Long_Data[[#This Row],[Indicator Number]]&amp;"]"),MATCH(Long_Data[[#This Row],[Key]], Data_Entry[Key],0)),"NA"),"")</f>
        <v>NA</v>
      </c>
      <c r="R17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7" s="70">
        <f ca="1">IFERROR(IF(J177="Magnitude",INDEX(INDIRECT("Data_Entry[PIN_"&amp;Long_Data[[#This Row],[Indicator Number]]&amp;"]"),MATCH(Long_Data[[#This Row],[Key]],Data_Entry[Key],0)),SUM(N177:P177)*INDEX(Baseline_Pop[Population],MATCH(Long_Data[[#This Row],[Key]],Baseline_Pop[Key],0))),"")</f>
        <v>425074.5093639195</v>
      </c>
    </row>
    <row r="178" spans="2:19">
      <c r="B178">
        <v>177</v>
      </c>
      <c r="C178">
        <v>27</v>
      </c>
      <c r="D178" t="str">
        <f>IFERROR(INDEX(Data_Entry[ADM2_Pcode],MATCH('Step 4-Long Data'!C178,Data_Entry[ID],0)),"NA")</f>
        <v>AF07</v>
      </c>
      <c r="E178" t="str">
        <f>IFERROR(INDEX(Data_Entry[Key],MATCH('Step 4-Long Data'!C178,Data_Entry[ID],0)),"NA")</f>
        <v>AF07-Migrants</v>
      </c>
      <c r="F178">
        <v>6</v>
      </c>
      <c r="G178" t="str">
        <f>IFERROR(INDEX(Framework[Pillar],MATCH('Step 4-Long Data'!F178,Framework[Number],0)),"")</f>
        <v>Humanitarian Conditions</v>
      </c>
      <c r="H178" t="str">
        <f>IFERROR(INDEX(Framework[Sub_Pillar],MATCH('Step 4-Long Data'!F178,Framework[Number],0)),"")</f>
        <v>Living standards</v>
      </c>
      <c r="I178" t="str">
        <f>IFERROR(INDEX(Framework[Indicator],MATCH('Step 4-Long Data'!F178,Framework[Number],0)),"")</f>
        <v>% school aged children enrolled in school prior to C-19 without access to education in a safe and protected environment (defined as available handwashing facilities and heating)”</v>
      </c>
      <c r="J178" t="str">
        <f>IFERROR(INDEX(Framework[Class],MATCH('Step 4-Long Data'!F178,Framework[Number],0)),"")</f>
        <v>Degree</v>
      </c>
      <c r="K178" t="str">
        <f>IFERROR(INDEX(Framework[Critical],MATCH('Step 4-Long Data'!F178,Framework[Number],0)),"")</f>
        <v>No</v>
      </c>
      <c r="L178">
        <f ca="1">IF(Long_Data[[#This Row],[Indicator Class]]="Degree",INDEX(INDIRECT("Data_Entry['"&amp;Long_Data[[#This Row],[Indicator Number]]&amp;"'_DSev_1]"),MATCH(Long_Data[[#This Row],[Key]],Data_Entry[Key],0)),"NA")</f>
        <v>0.12030481795539799</v>
      </c>
      <c r="M178">
        <f ca="1">IF(Long_Data[[#This Row],[Indicator Class]]="Degree",INDEX(INDIRECT("Data_Entry['"&amp;Long_Data[[#This Row],[Indicator Number]]&amp;"'_DSev_2]"),MATCH(Long_Data[[#This Row],[Key]],Data_Entry[Key],0)),"NA")</f>
        <v>1.52408977699038E-4</v>
      </c>
      <c r="N178">
        <f ca="1">IF(Long_Data[[#This Row],[Indicator Class]]="Degree",INDEX(INDIRECT("Data_Entry['"&amp;Long_Data[[#This Row],[Indicator Number]]&amp;"'_DSev_3]"),MATCH(Long_Data[[#This Row],[Key]],Data_Entry[Key],0)),"NA")</f>
        <v>0.70565060681534009</v>
      </c>
      <c r="O178">
        <f ca="1">IF(Long_Data[[#This Row],[Indicator Class]]="Degree",INDEX(INDIRECT("Data_Entry['"&amp;Long_Data[[#This Row],[Indicator Number]]&amp;"'_DSev_4]"),MATCH(Long_Data[[#This Row],[Key]],Data_Entry[Key],0)),"NA")</f>
        <v>0.17389216625156301</v>
      </c>
      <c r="P178">
        <f ca="1">IF(Long_Data[[#This Row],[Indicator Class]]="Degree",INDEX(INDIRECT("Data_Entry['"&amp;Long_Data[[#This Row],[Indicator Number]]&amp;"'_DSev_5]"),MATCH(Long_Data[[#This Row],[Key]],Data_Entry[Key],0)),"NA")</f>
        <v>0</v>
      </c>
      <c r="Q178" t="str">
        <f ca="1">IFERROR(IF(Long_Data[[#This Row],[Indicator Class]]="Magnitude", INDEX(INDIRECT("Data_Entry[Sev_"&amp;Long_Data[[#This Row],[Indicator Number]]&amp;"]"),MATCH(Long_Data[[#This Row],[Key]], Data_Entry[Key],0)),"NA"),"")</f>
        <v>NA</v>
      </c>
      <c r="R17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178" s="70">
        <f ca="1">IFERROR(IF(J178="Magnitude",INDEX(INDIRECT("Data_Entry[PIN_"&amp;Long_Data[[#This Row],[Indicator Number]]&amp;"]"),MATCH(Long_Data[[#This Row],[Key]],Data_Entry[Key],0)),SUM(N178:P178)*INDEX(Baseline_Pop[Population],MATCH(Long_Data[[#This Row],[Key]],Baseline_Pop[Key],0))),"")</f>
        <v>111757.3433741999</v>
      </c>
    </row>
    <row r="179" spans="2:19">
      <c r="B179">
        <v>178</v>
      </c>
      <c r="C179">
        <v>28</v>
      </c>
      <c r="D179" t="str">
        <f>IFERROR(INDEX(Data_Entry[ADM2_Pcode],MATCH('Step 4-Long Data'!C179,Data_Entry[ID],0)),"NA")</f>
        <v>AF08</v>
      </c>
      <c r="E179" t="str">
        <f>IFERROR(INDEX(Data_Entry[Key],MATCH('Step 4-Long Data'!C179,Data_Entry[ID],0)),"NA")</f>
        <v>AF08-Migrants</v>
      </c>
      <c r="F179">
        <v>6</v>
      </c>
      <c r="G179" t="str">
        <f>IFERROR(INDEX(Framework[Pillar],MATCH('Step 4-Long Data'!F179,Framework[Number],0)),"")</f>
        <v>Humanitarian Conditions</v>
      </c>
      <c r="H179" t="str">
        <f>IFERROR(INDEX(Framework[Sub_Pillar],MATCH('Step 4-Long Data'!F179,Framework[Number],0)),"")</f>
        <v>Living standards</v>
      </c>
      <c r="I179" t="str">
        <f>IFERROR(INDEX(Framework[Indicator],MATCH('Step 4-Long Data'!F179,Framework[Number],0)),"")</f>
        <v>% school aged children enrolled in school prior to C-19 without access to education in a safe and protected environment (defined as available handwashing facilities and heating)”</v>
      </c>
      <c r="J179" t="str">
        <f>IFERROR(INDEX(Framework[Class],MATCH('Step 4-Long Data'!F179,Framework[Number],0)),"")</f>
        <v>Degree</v>
      </c>
      <c r="K179" t="str">
        <f>IFERROR(INDEX(Framework[Critical],MATCH('Step 4-Long Data'!F179,Framework[Number],0)),"")</f>
        <v>No</v>
      </c>
      <c r="L179">
        <f ca="1">IF(Long_Data[[#This Row],[Indicator Class]]="Degree",INDEX(INDIRECT("Data_Entry['"&amp;Long_Data[[#This Row],[Indicator Number]]&amp;"'_DSev_1]"),MATCH(Long_Data[[#This Row],[Key]],Data_Entry[Key],0)),"NA")</f>
        <v>0</v>
      </c>
      <c r="M179">
        <f ca="1">IF(Long_Data[[#This Row],[Indicator Class]]="Degree",INDEX(INDIRECT("Data_Entry['"&amp;Long_Data[[#This Row],[Indicator Number]]&amp;"'_DSev_2]"),MATCH(Long_Data[[#This Row],[Key]],Data_Entry[Key],0)),"NA")</f>
        <v>0</v>
      </c>
      <c r="N179">
        <f ca="1">IF(Long_Data[[#This Row],[Indicator Class]]="Degree",INDEX(INDIRECT("Data_Entry['"&amp;Long_Data[[#This Row],[Indicator Number]]&amp;"'_DSev_3]"),MATCH(Long_Data[[#This Row],[Key]],Data_Entry[Key],0)),"NA")</f>
        <v>0.1</v>
      </c>
      <c r="O179">
        <f ca="1">IF(Long_Data[[#This Row],[Indicator Class]]="Degree",INDEX(INDIRECT("Data_Entry['"&amp;Long_Data[[#This Row],[Indicator Number]]&amp;"'_DSev_4]"),MATCH(Long_Data[[#This Row],[Key]],Data_Entry[Key],0)),"NA")</f>
        <v>0.9</v>
      </c>
      <c r="P179">
        <f ca="1">IF(Long_Data[[#This Row],[Indicator Class]]="Degree",INDEX(INDIRECT("Data_Entry['"&amp;Long_Data[[#This Row],[Indicator Number]]&amp;"'_DSev_5]"),MATCH(Long_Data[[#This Row],[Key]],Data_Entry[Key],0)),"NA")</f>
        <v>0</v>
      </c>
      <c r="Q179" t="str">
        <f ca="1">IFERROR(IF(Long_Data[[#This Row],[Indicator Class]]="Magnitude", INDEX(INDIRECT("Data_Entry[Sev_"&amp;Long_Data[[#This Row],[Indicator Number]]&amp;"]"),MATCH(Long_Data[[#This Row],[Key]], Data_Entry[Key],0)),"NA"),"")</f>
        <v>NA</v>
      </c>
      <c r="R179">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79" s="70">
        <f ca="1">IFERROR(IF(J179="Magnitude",INDEX(INDIRECT("Data_Entry[PIN_"&amp;Long_Data[[#This Row],[Indicator Number]]&amp;"]"),MATCH(Long_Data[[#This Row],[Key]],Data_Entry[Key],0)),SUM(N179:P179)*INDEX(Baseline_Pop[Population],MATCH(Long_Data[[#This Row],[Key]],Baseline_Pop[Key],0))),"")</f>
        <v>43753</v>
      </c>
    </row>
    <row r="180" spans="2:19">
      <c r="B180">
        <v>179</v>
      </c>
      <c r="C180">
        <v>29</v>
      </c>
      <c r="D180" t="str">
        <f>IFERROR(INDEX(Data_Entry[ADM2_Pcode],MATCH('Step 4-Long Data'!C180,Data_Entry[ID],0)),"NA")</f>
        <v>AF09</v>
      </c>
      <c r="E180" t="str">
        <f>IFERROR(INDEX(Data_Entry[Key],MATCH('Step 4-Long Data'!C180,Data_Entry[ID],0)),"NA")</f>
        <v>AF09-Migrants</v>
      </c>
      <c r="F180">
        <v>6</v>
      </c>
      <c r="G180" t="str">
        <f>IFERROR(INDEX(Framework[Pillar],MATCH('Step 4-Long Data'!F180,Framework[Number],0)),"")</f>
        <v>Humanitarian Conditions</v>
      </c>
      <c r="H180" t="str">
        <f>IFERROR(INDEX(Framework[Sub_Pillar],MATCH('Step 4-Long Data'!F180,Framework[Number],0)),"")</f>
        <v>Living standards</v>
      </c>
      <c r="I180" t="str">
        <f>IFERROR(INDEX(Framework[Indicator],MATCH('Step 4-Long Data'!F180,Framework[Number],0)),"")</f>
        <v>% school aged children enrolled in school prior to C-19 without access to education in a safe and protected environment (defined as available handwashing facilities and heating)”</v>
      </c>
      <c r="J180" t="str">
        <f>IFERROR(INDEX(Framework[Class],MATCH('Step 4-Long Data'!F180,Framework[Number],0)),"")</f>
        <v>Degree</v>
      </c>
      <c r="K180" t="str">
        <f>IFERROR(INDEX(Framework[Critical],MATCH('Step 4-Long Data'!F180,Framework[Number],0)),"")</f>
        <v>No</v>
      </c>
      <c r="L180">
        <f ca="1">IF(Long_Data[[#This Row],[Indicator Class]]="Degree",INDEX(INDIRECT("Data_Entry['"&amp;Long_Data[[#This Row],[Indicator Number]]&amp;"'_DSev_1]"),MATCH(Long_Data[[#This Row],[Key]],Data_Entry[Key],0)),"NA")</f>
        <v>0.11111111111111099</v>
      </c>
      <c r="M180">
        <f ca="1">IF(Long_Data[[#This Row],[Indicator Class]]="Degree",INDEX(INDIRECT("Data_Entry['"&amp;Long_Data[[#This Row],[Indicator Number]]&amp;"'_DSev_2]"),MATCH(Long_Data[[#This Row],[Key]],Data_Entry[Key],0)),"NA")</f>
        <v>0</v>
      </c>
      <c r="N180">
        <f ca="1">IF(Long_Data[[#This Row],[Indicator Class]]="Degree",INDEX(INDIRECT("Data_Entry['"&amp;Long_Data[[#This Row],[Indicator Number]]&amp;"'_DSev_3]"),MATCH(Long_Data[[#This Row],[Key]],Data_Entry[Key],0)),"NA")</f>
        <v>0.55555555555555602</v>
      </c>
      <c r="O180">
        <f ca="1">IF(Long_Data[[#This Row],[Indicator Class]]="Degree",INDEX(INDIRECT("Data_Entry['"&amp;Long_Data[[#This Row],[Indicator Number]]&amp;"'_DSev_4]"),MATCH(Long_Data[[#This Row],[Key]],Data_Entry[Key],0)),"NA")</f>
        <v>0.33333333333333298</v>
      </c>
      <c r="P180">
        <f ca="1">IF(Long_Data[[#This Row],[Indicator Class]]="Degree",INDEX(INDIRECT("Data_Entry['"&amp;Long_Data[[#This Row],[Indicator Number]]&amp;"'_DSev_5]"),MATCH(Long_Data[[#This Row],[Key]],Data_Entry[Key],0)),"NA")</f>
        <v>0</v>
      </c>
      <c r="Q180" t="str">
        <f ca="1">IFERROR(IF(Long_Data[[#This Row],[Indicator Class]]="Magnitude", INDEX(INDIRECT("Data_Entry[Sev_"&amp;Long_Data[[#This Row],[Indicator Number]]&amp;"]"),MATCH(Long_Data[[#This Row],[Key]], Data_Entry[Key],0)),"NA"),"")</f>
        <v>NA</v>
      </c>
      <c r="R18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80" s="70">
        <f ca="1">IFERROR(IF(J180="Magnitude",INDEX(INDIRECT("Data_Entry[PIN_"&amp;Long_Data[[#This Row],[Indicator Number]]&amp;"]"),MATCH(Long_Data[[#This Row],[Key]],Data_Entry[Key],0)),SUM(N180:P180)*INDEX(Baseline_Pop[Population],MATCH(Long_Data[[#This Row],[Key]],Baseline_Pop[Key],0))),"")</f>
        <v>232221.33333333337</v>
      </c>
    </row>
    <row r="181" spans="2:19">
      <c r="B181">
        <v>180</v>
      </c>
      <c r="C181">
        <v>30</v>
      </c>
      <c r="D181" t="str">
        <f>IFERROR(INDEX(Data_Entry[ADM2_Pcode],MATCH('Step 4-Long Data'!C181,Data_Entry[ID],0)),"NA")</f>
        <v>AF10</v>
      </c>
      <c r="E181" t="str">
        <f>IFERROR(INDEX(Data_Entry[Key],MATCH('Step 4-Long Data'!C181,Data_Entry[ID],0)),"NA")</f>
        <v>AF10-Migrants</v>
      </c>
      <c r="F181">
        <v>6</v>
      </c>
      <c r="G181" t="str">
        <f>IFERROR(INDEX(Framework[Pillar],MATCH('Step 4-Long Data'!F181,Framework[Number],0)),"")</f>
        <v>Humanitarian Conditions</v>
      </c>
      <c r="H181" t="str">
        <f>IFERROR(INDEX(Framework[Sub_Pillar],MATCH('Step 4-Long Data'!F181,Framework[Number],0)),"")</f>
        <v>Living standards</v>
      </c>
      <c r="I181" t="str">
        <f>IFERROR(INDEX(Framework[Indicator],MATCH('Step 4-Long Data'!F181,Framework[Number],0)),"")</f>
        <v>% school aged children enrolled in school prior to C-19 without access to education in a safe and protected environment (defined as available handwashing facilities and heating)”</v>
      </c>
      <c r="J181" t="str">
        <f>IFERROR(INDEX(Framework[Class],MATCH('Step 4-Long Data'!F181,Framework[Number],0)),"")</f>
        <v>Degree</v>
      </c>
      <c r="K181" t="str">
        <f>IFERROR(INDEX(Framework[Critical],MATCH('Step 4-Long Data'!F181,Framework[Number],0)),"")</f>
        <v>No</v>
      </c>
      <c r="L181">
        <f ca="1">IF(Long_Data[[#This Row],[Indicator Class]]="Degree",INDEX(INDIRECT("Data_Entry['"&amp;Long_Data[[#This Row],[Indicator Number]]&amp;"'_DSev_1]"),MATCH(Long_Data[[#This Row],[Key]],Data_Entry[Key],0)),"NA")</f>
        <v>0</v>
      </c>
      <c r="M181">
        <f ca="1">IF(Long_Data[[#This Row],[Indicator Class]]="Degree",INDEX(INDIRECT("Data_Entry['"&amp;Long_Data[[#This Row],[Indicator Number]]&amp;"'_DSev_2]"),MATCH(Long_Data[[#This Row],[Key]],Data_Entry[Key],0)),"NA")</f>
        <v>0</v>
      </c>
      <c r="N181">
        <f ca="1">IF(Long_Data[[#This Row],[Indicator Class]]="Degree",INDEX(INDIRECT("Data_Entry['"&amp;Long_Data[[#This Row],[Indicator Number]]&amp;"'_DSev_3]"),MATCH(Long_Data[[#This Row],[Key]],Data_Entry[Key],0)),"NA")</f>
        <v>0.25423728813559299</v>
      </c>
      <c r="O181">
        <f ca="1">IF(Long_Data[[#This Row],[Indicator Class]]="Degree",INDEX(INDIRECT("Data_Entry['"&amp;Long_Data[[#This Row],[Indicator Number]]&amp;"'_DSev_4]"),MATCH(Long_Data[[#This Row],[Key]],Data_Entry[Key],0)),"NA")</f>
        <v>0.74576271186440701</v>
      </c>
      <c r="P181">
        <f ca="1">IF(Long_Data[[#This Row],[Indicator Class]]="Degree",INDEX(INDIRECT("Data_Entry['"&amp;Long_Data[[#This Row],[Indicator Number]]&amp;"'_DSev_5]"),MATCH(Long_Data[[#This Row],[Key]],Data_Entry[Key],0)),"NA")</f>
        <v>0</v>
      </c>
      <c r="Q181" t="str">
        <f ca="1">IFERROR(IF(Long_Data[[#This Row],[Indicator Class]]="Magnitude", INDEX(INDIRECT("Data_Entry[Sev_"&amp;Long_Data[[#This Row],[Indicator Number]]&amp;"]"),MATCH(Long_Data[[#This Row],[Key]], Data_Entry[Key],0)),"NA"),"")</f>
        <v>NA</v>
      </c>
      <c r="R181">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181" s="70">
        <f ca="1">IFERROR(IF(J181="Magnitude",INDEX(INDIRECT("Data_Entry[PIN_"&amp;Long_Data[[#This Row],[Indicator Number]]&amp;"]"),MATCH(Long_Data[[#This Row],[Key]],Data_Entry[Key],0)),SUM(N181:P181)*INDEX(Baseline_Pop[Population],MATCH(Long_Data[[#This Row],[Key]],Baseline_Pop[Key],0))),"")</f>
        <v>127597</v>
      </c>
    </row>
    <row r="182" spans="2:19">
      <c r="B182">
        <v>181</v>
      </c>
      <c r="C182">
        <v>1</v>
      </c>
      <c r="D182" t="str">
        <f>IFERROR(INDEX(Data_Entry[ADM2_Pcode],MATCH('Step 4-Long Data'!C182,Data_Entry[ID],0)),"NA")</f>
        <v>AF01</v>
      </c>
      <c r="E182" t="str">
        <f>IFERROR(INDEX(Data_Entry[Key],MATCH('Step 4-Long Data'!C182,Data_Entry[ID],0)),"NA")</f>
        <v>AF01-All_Others</v>
      </c>
      <c r="F182">
        <v>7</v>
      </c>
      <c r="G182" t="str">
        <f>IFERROR(INDEX(Framework[Pillar],MATCH('Step 4-Long Data'!F182,Framework[Number],0)),"")</f>
        <v>Humanitarian Conditions</v>
      </c>
      <c r="H182" t="str">
        <f>IFERROR(INDEX(Framework[Sub_Pillar],MATCH('Step 4-Long Data'!F182,Framework[Number],0)),"")</f>
        <v>Living standards</v>
      </c>
      <c r="I182" t="str">
        <f>IFERROR(INDEX(Framework[Indicator],MATCH('Step 4-Long Data'!F182,Framework[Number],0)),"")</f>
        <v>% of  households had at least 1 child between the age of 11 - 17 working outside of the household in the last 30 days</v>
      </c>
      <c r="J182" t="str">
        <f>IFERROR(INDEX(Framework[Class],MATCH('Step 4-Long Data'!F182,Framework[Number],0)),"")</f>
        <v>Degree</v>
      </c>
      <c r="K182" t="str">
        <f>IFERROR(INDEX(Framework[Critical],MATCH('Step 4-Long Data'!F182,Framework[Number],0)),"")</f>
        <v>No</v>
      </c>
      <c r="L182">
        <f ca="1">IF(Long_Data[[#This Row],[Indicator Class]]="Degree",INDEX(INDIRECT("Data_Entry['"&amp;Long_Data[[#This Row],[Indicator Number]]&amp;"'_DSev_1]"),MATCH(Long_Data[[#This Row],[Key]],Data_Entry[Key],0)),"NA")</f>
        <v>0.92859999999999998</v>
      </c>
      <c r="M182">
        <f ca="1">IF(Long_Data[[#This Row],[Indicator Class]]="Degree",INDEX(INDIRECT("Data_Entry['"&amp;Long_Data[[#This Row],[Indicator Number]]&amp;"'_DSev_2]"),MATCH(Long_Data[[#This Row],[Key]],Data_Entry[Key],0)),"NA")</f>
        <v>0</v>
      </c>
      <c r="N182">
        <f ca="1">IF(Long_Data[[#This Row],[Indicator Class]]="Degree",INDEX(INDIRECT("Data_Entry['"&amp;Long_Data[[#This Row],[Indicator Number]]&amp;"'_DSev_3]"),MATCH(Long_Data[[#This Row],[Key]],Data_Entry[Key],0)),"NA")</f>
        <v>7.1399999999999991E-2</v>
      </c>
      <c r="O182">
        <f ca="1">IF(Long_Data[[#This Row],[Indicator Class]]="Degree",INDEX(INDIRECT("Data_Entry['"&amp;Long_Data[[#This Row],[Indicator Number]]&amp;"'_DSev_4]"),MATCH(Long_Data[[#This Row],[Key]],Data_Entry[Key],0)),"NA")</f>
        <v>0</v>
      </c>
      <c r="P182">
        <f ca="1">IF(Long_Data[[#This Row],[Indicator Class]]="Degree",INDEX(INDIRECT("Data_Entry['"&amp;Long_Data[[#This Row],[Indicator Number]]&amp;"'_DSev_5]"),MATCH(Long_Data[[#This Row],[Key]],Data_Entry[Key],0)),"NA")</f>
        <v>0</v>
      </c>
      <c r="Q182" t="str">
        <f ca="1">IFERROR(IF(Long_Data[[#This Row],[Indicator Class]]="Magnitude", INDEX(INDIRECT("Data_Entry[Sev_"&amp;Long_Data[[#This Row],[Indicator Number]]&amp;"]"),MATCH(Long_Data[[#This Row],[Key]], Data_Entry[Key],0)),"NA"),"")</f>
        <v>NA</v>
      </c>
      <c r="R18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2" s="70">
        <f ca="1">IFERROR(IF(J182="Magnitude",INDEX(INDIRECT("Data_Entry[PIN_"&amp;Long_Data[[#This Row],[Indicator Number]]&amp;"]"),MATCH(Long_Data[[#This Row],[Key]],Data_Entry[Key],0)),SUM(N182:P182)*INDEX(Baseline_Pop[Population],MATCH(Long_Data[[#This Row],[Key]],Baseline_Pop[Key],0))),"")</f>
        <v>334891.77539999998</v>
      </c>
    </row>
    <row r="183" spans="2:19">
      <c r="B183">
        <v>182</v>
      </c>
      <c r="C183">
        <v>2</v>
      </c>
      <c r="D183" t="str">
        <f>IFERROR(INDEX(Data_Entry[ADM2_Pcode],MATCH('Step 4-Long Data'!C183,Data_Entry[ID],0)),"NA")</f>
        <v>AF02</v>
      </c>
      <c r="E183" t="str">
        <f>IFERROR(INDEX(Data_Entry[Key],MATCH('Step 4-Long Data'!C183,Data_Entry[ID],0)),"NA")</f>
        <v>AF02-All_Others</v>
      </c>
      <c r="F183">
        <v>7</v>
      </c>
      <c r="G183" t="str">
        <f>IFERROR(INDEX(Framework[Pillar],MATCH('Step 4-Long Data'!F183,Framework[Number],0)),"")</f>
        <v>Humanitarian Conditions</v>
      </c>
      <c r="H183" t="str">
        <f>IFERROR(INDEX(Framework[Sub_Pillar],MATCH('Step 4-Long Data'!F183,Framework[Number],0)),"")</f>
        <v>Living standards</v>
      </c>
      <c r="I183" t="str">
        <f>IFERROR(INDEX(Framework[Indicator],MATCH('Step 4-Long Data'!F183,Framework[Number],0)),"")</f>
        <v>% of  households had at least 1 child between the age of 11 - 17 working outside of the household in the last 30 days</v>
      </c>
      <c r="J183" t="str">
        <f>IFERROR(INDEX(Framework[Class],MATCH('Step 4-Long Data'!F183,Framework[Number],0)),"")</f>
        <v>Degree</v>
      </c>
      <c r="K183" t="str">
        <f>IFERROR(INDEX(Framework[Critical],MATCH('Step 4-Long Data'!F183,Framework[Number],0)),"")</f>
        <v>No</v>
      </c>
      <c r="L183">
        <f ca="1">IF(Long_Data[[#This Row],[Indicator Class]]="Degree",INDEX(INDIRECT("Data_Entry['"&amp;Long_Data[[#This Row],[Indicator Number]]&amp;"'_DSev_1]"),MATCH(Long_Data[[#This Row],[Key]],Data_Entry[Key],0)),"NA")</f>
        <v>0.9487000000000001</v>
      </c>
      <c r="M183">
        <f ca="1">IF(Long_Data[[#This Row],[Indicator Class]]="Degree",INDEX(INDIRECT("Data_Entry['"&amp;Long_Data[[#This Row],[Indicator Number]]&amp;"'_DSev_2]"),MATCH(Long_Data[[#This Row],[Key]],Data_Entry[Key],0)),"NA")</f>
        <v>0</v>
      </c>
      <c r="N183">
        <f ca="1">IF(Long_Data[[#This Row],[Indicator Class]]="Degree",INDEX(INDIRECT("Data_Entry['"&amp;Long_Data[[#This Row],[Indicator Number]]&amp;"'_DSev_3]"),MATCH(Long_Data[[#This Row],[Key]],Data_Entry[Key],0)),"NA")</f>
        <v>5.1299999999999998E-2</v>
      </c>
      <c r="O183">
        <f ca="1">IF(Long_Data[[#This Row],[Indicator Class]]="Degree",INDEX(INDIRECT("Data_Entry['"&amp;Long_Data[[#This Row],[Indicator Number]]&amp;"'_DSev_4]"),MATCH(Long_Data[[#This Row],[Key]],Data_Entry[Key],0)),"NA")</f>
        <v>0</v>
      </c>
      <c r="P183">
        <f ca="1">IF(Long_Data[[#This Row],[Indicator Class]]="Degree",INDEX(INDIRECT("Data_Entry['"&amp;Long_Data[[#This Row],[Indicator Number]]&amp;"'_DSev_5]"),MATCH(Long_Data[[#This Row],[Key]],Data_Entry[Key],0)),"NA")</f>
        <v>0</v>
      </c>
      <c r="Q183" t="str">
        <f ca="1">IFERROR(IF(Long_Data[[#This Row],[Indicator Class]]="Magnitude", INDEX(INDIRECT("Data_Entry[Sev_"&amp;Long_Data[[#This Row],[Indicator Number]]&amp;"]"),MATCH(Long_Data[[#This Row],[Key]], Data_Entry[Key],0)),"NA"),"")</f>
        <v>NA</v>
      </c>
      <c r="R18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3" s="70">
        <f ca="1">IFERROR(IF(J183="Magnitude",INDEX(INDIRECT("Data_Entry[PIN_"&amp;Long_Data[[#This Row],[Indicator Number]]&amp;"]"),MATCH(Long_Data[[#This Row],[Key]],Data_Entry[Key],0)),SUM(N183:P183)*INDEX(Baseline_Pop[Population],MATCH(Long_Data[[#This Row],[Key]],Baseline_Pop[Key],0))),"")</f>
        <v>22574.411099999998</v>
      </c>
    </row>
    <row r="184" spans="2:19">
      <c r="B184">
        <v>183</v>
      </c>
      <c r="C184">
        <v>3</v>
      </c>
      <c r="D184" t="str">
        <f>IFERROR(INDEX(Data_Entry[ADM2_Pcode],MATCH('Step 4-Long Data'!C184,Data_Entry[ID],0)),"NA")</f>
        <v>AF03</v>
      </c>
      <c r="E184" t="str">
        <f>IFERROR(INDEX(Data_Entry[Key],MATCH('Step 4-Long Data'!C184,Data_Entry[ID],0)),"NA")</f>
        <v>AF03-All_Others</v>
      </c>
      <c r="F184">
        <v>7</v>
      </c>
      <c r="G184" t="str">
        <f>IFERROR(INDEX(Framework[Pillar],MATCH('Step 4-Long Data'!F184,Framework[Number],0)),"")</f>
        <v>Humanitarian Conditions</v>
      </c>
      <c r="H184" t="str">
        <f>IFERROR(INDEX(Framework[Sub_Pillar],MATCH('Step 4-Long Data'!F184,Framework[Number],0)),"")</f>
        <v>Living standards</v>
      </c>
      <c r="I184" t="str">
        <f>IFERROR(INDEX(Framework[Indicator],MATCH('Step 4-Long Data'!F184,Framework[Number],0)),"")</f>
        <v>% of  households had at least 1 child between the age of 11 - 17 working outside of the household in the last 30 days</v>
      </c>
      <c r="J184" t="str">
        <f>IFERROR(INDEX(Framework[Class],MATCH('Step 4-Long Data'!F184,Framework[Number],0)),"")</f>
        <v>Degree</v>
      </c>
      <c r="K184" t="str">
        <f>IFERROR(INDEX(Framework[Critical],MATCH('Step 4-Long Data'!F184,Framework[Number],0)),"")</f>
        <v>No</v>
      </c>
      <c r="L184">
        <f ca="1">IF(Long_Data[[#This Row],[Indicator Class]]="Degree",INDEX(INDIRECT("Data_Entry['"&amp;Long_Data[[#This Row],[Indicator Number]]&amp;"'_DSev_1]"),MATCH(Long_Data[[#This Row],[Key]],Data_Entry[Key],0)),"NA")</f>
        <v>0.84150000000000003</v>
      </c>
      <c r="M184">
        <f ca="1">IF(Long_Data[[#This Row],[Indicator Class]]="Degree",INDEX(INDIRECT("Data_Entry['"&amp;Long_Data[[#This Row],[Indicator Number]]&amp;"'_DSev_2]"),MATCH(Long_Data[[#This Row],[Key]],Data_Entry[Key],0)),"NA")</f>
        <v>0</v>
      </c>
      <c r="N184">
        <f ca="1">IF(Long_Data[[#This Row],[Indicator Class]]="Degree",INDEX(INDIRECT("Data_Entry['"&amp;Long_Data[[#This Row],[Indicator Number]]&amp;"'_DSev_3]"),MATCH(Long_Data[[#This Row],[Key]],Data_Entry[Key],0)),"NA")</f>
        <v>0.1585</v>
      </c>
      <c r="O184">
        <f ca="1">IF(Long_Data[[#This Row],[Indicator Class]]="Degree",INDEX(INDIRECT("Data_Entry['"&amp;Long_Data[[#This Row],[Indicator Number]]&amp;"'_DSev_4]"),MATCH(Long_Data[[#This Row],[Key]],Data_Entry[Key],0)),"NA")</f>
        <v>0</v>
      </c>
      <c r="P184">
        <f ca="1">IF(Long_Data[[#This Row],[Indicator Class]]="Degree",INDEX(INDIRECT("Data_Entry['"&amp;Long_Data[[#This Row],[Indicator Number]]&amp;"'_DSev_5]"),MATCH(Long_Data[[#This Row],[Key]],Data_Entry[Key],0)),"NA")</f>
        <v>0</v>
      </c>
      <c r="Q184" t="str">
        <f ca="1">IFERROR(IF(Long_Data[[#This Row],[Indicator Class]]="Magnitude", INDEX(INDIRECT("Data_Entry[Sev_"&amp;Long_Data[[#This Row],[Indicator Number]]&amp;"]"),MATCH(Long_Data[[#This Row],[Key]], Data_Entry[Key],0)),"NA"),"")</f>
        <v>NA</v>
      </c>
      <c r="R18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4" s="70">
        <f ca="1">IFERROR(IF(J184="Magnitude",INDEX(INDIRECT("Data_Entry[PIN_"&amp;Long_Data[[#This Row],[Indicator Number]]&amp;"]"),MATCH(Long_Data[[#This Row],[Key]],Data_Entry[Key],0)),SUM(N184:P184)*INDEX(Baseline_Pop[Population],MATCH(Long_Data[[#This Row],[Key]],Baseline_Pop[Key],0))),"")</f>
        <v>105371.5925</v>
      </c>
    </row>
    <row r="185" spans="2:19">
      <c r="B185">
        <v>184</v>
      </c>
      <c r="C185">
        <v>4</v>
      </c>
      <c r="D185" t="str">
        <f>IFERROR(INDEX(Data_Entry[ADM2_Pcode],MATCH('Step 4-Long Data'!C185,Data_Entry[ID],0)),"NA")</f>
        <v>AF04</v>
      </c>
      <c r="E185" t="str">
        <f>IFERROR(INDEX(Data_Entry[Key],MATCH('Step 4-Long Data'!C185,Data_Entry[ID],0)),"NA")</f>
        <v>AF04-All_Others</v>
      </c>
      <c r="F185">
        <v>7</v>
      </c>
      <c r="G185" t="str">
        <f>IFERROR(INDEX(Framework[Pillar],MATCH('Step 4-Long Data'!F185,Framework[Number],0)),"")</f>
        <v>Humanitarian Conditions</v>
      </c>
      <c r="H185" t="str">
        <f>IFERROR(INDEX(Framework[Sub_Pillar],MATCH('Step 4-Long Data'!F185,Framework[Number],0)),"")</f>
        <v>Living standards</v>
      </c>
      <c r="I185" t="str">
        <f>IFERROR(INDEX(Framework[Indicator],MATCH('Step 4-Long Data'!F185,Framework[Number],0)),"")</f>
        <v>% of  households had at least 1 child between the age of 11 - 17 working outside of the household in the last 30 days</v>
      </c>
      <c r="J185" t="str">
        <f>IFERROR(INDEX(Framework[Class],MATCH('Step 4-Long Data'!F185,Framework[Number],0)),"")</f>
        <v>Degree</v>
      </c>
      <c r="K185" t="str">
        <f>IFERROR(INDEX(Framework[Critical],MATCH('Step 4-Long Data'!F185,Framework[Number],0)),"")</f>
        <v>No</v>
      </c>
      <c r="L185">
        <f ca="1">IF(Long_Data[[#This Row],[Indicator Class]]="Degree",INDEX(INDIRECT("Data_Entry['"&amp;Long_Data[[#This Row],[Indicator Number]]&amp;"'_DSev_1]"),MATCH(Long_Data[[#This Row],[Key]],Data_Entry[Key],0)),"NA")</f>
        <v>0.98799999999999999</v>
      </c>
      <c r="M185">
        <f ca="1">IF(Long_Data[[#This Row],[Indicator Class]]="Degree",INDEX(INDIRECT("Data_Entry['"&amp;Long_Data[[#This Row],[Indicator Number]]&amp;"'_DSev_2]"),MATCH(Long_Data[[#This Row],[Key]],Data_Entry[Key],0)),"NA")</f>
        <v>0</v>
      </c>
      <c r="N185">
        <f ca="1">IF(Long_Data[[#This Row],[Indicator Class]]="Degree",INDEX(INDIRECT("Data_Entry['"&amp;Long_Data[[#This Row],[Indicator Number]]&amp;"'_DSev_3]"),MATCH(Long_Data[[#This Row],[Key]],Data_Entry[Key],0)),"NA")</f>
        <v>1.2E-2</v>
      </c>
      <c r="O185">
        <f ca="1">IF(Long_Data[[#This Row],[Indicator Class]]="Degree",INDEX(INDIRECT("Data_Entry['"&amp;Long_Data[[#This Row],[Indicator Number]]&amp;"'_DSev_4]"),MATCH(Long_Data[[#This Row],[Key]],Data_Entry[Key],0)),"NA")</f>
        <v>0</v>
      </c>
      <c r="P185">
        <f ca="1">IF(Long_Data[[#This Row],[Indicator Class]]="Degree",INDEX(INDIRECT("Data_Entry['"&amp;Long_Data[[#This Row],[Indicator Number]]&amp;"'_DSev_5]"),MATCH(Long_Data[[#This Row],[Key]],Data_Entry[Key],0)),"NA")</f>
        <v>0</v>
      </c>
      <c r="Q185" t="str">
        <f ca="1">IFERROR(IF(Long_Data[[#This Row],[Indicator Class]]="Magnitude", INDEX(INDIRECT("Data_Entry[Sev_"&amp;Long_Data[[#This Row],[Indicator Number]]&amp;"]"),MATCH(Long_Data[[#This Row],[Key]], Data_Entry[Key],0)),"NA"),"")</f>
        <v>NA</v>
      </c>
      <c r="R18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5" s="70">
        <f ca="1">IFERROR(IF(J185="Magnitude",INDEX(INDIRECT("Data_Entry[PIN_"&amp;Long_Data[[#This Row],[Indicator Number]]&amp;"]"),MATCH(Long_Data[[#This Row],[Key]],Data_Entry[Key],0)),SUM(N185:P185)*INDEX(Baseline_Pop[Population],MATCH(Long_Data[[#This Row],[Key]],Baseline_Pop[Key],0))),"")</f>
        <v>7140.1559999999999</v>
      </c>
    </row>
    <row r="186" spans="2:19">
      <c r="B186">
        <v>185</v>
      </c>
      <c r="C186">
        <v>5</v>
      </c>
      <c r="D186" t="str">
        <f>IFERROR(INDEX(Data_Entry[ADM2_Pcode],MATCH('Step 4-Long Data'!C186,Data_Entry[ID],0)),"NA")</f>
        <v>AF05</v>
      </c>
      <c r="E186" t="str">
        <f>IFERROR(INDEX(Data_Entry[Key],MATCH('Step 4-Long Data'!C186,Data_Entry[ID],0)),"NA")</f>
        <v>AF05-All_Others</v>
      </c>
      <c r="F186">
        <v>7</v>
      </c>
      <c r="G186" t="str">
        <f>IFERROR(INDEX(Framework[Pillar],MATCH('Step 4-Long Data'!F186,Framework[Number],0)),"")</f>
        <v>Humanitarian Conditions</v>
      </c>
      <c r="H186" t="str">
        <f>IFERROR(INDEX(Framework[Sub_Pillar],MATCH('Step 4-Long Data'!F186,Framework[Number],0)),"")</f>
        <v>Living standards</v>
      </c>
      <c r="I186" t="str">
        <f>IFERROR(INDEX(Framework[Indicator],MATCH('Step 4-Long Data'!F186,Framework[Number],0)),"")</f>
        <v>% of  households had at least 1 child between the age of 11 - 17 working outside of the household in the last 30 days</v>
      </c>
      <c r="J186" t="str">
        <f>IFERROR(INDEX(Framework[Class],MATCH('Step 4-Long Data'!F186,Framework[Number],0)),"")</f>
        <v>Degree</v>
      </c>
      <c r="K186" t="str">
        <f>IFERROR(INDEX(Framework[Critical],MATCH('Step 4-Long Data'!F186,Framework[Number],0)),"")</f>
        <v>No</v>
      </c>
      <c r="L186">
        <f ca="1">IF(Long_Data[[#This Row],[Indicator Class]]="Degree",INDEX(INDIRECT("Data_Entry['"&amp;Long_Data[[#This Row],[Indicator Number]]&amp;"'_DSev_1]"),MATCH(Long_Data[[#This Row],[Key]],Data_Entry[Key],0)),"NA")</f>
        <v>0.92200000000000004</v>
      </c>
      <c r="M186">
        <f ca="1">IF(Long_Data[[#This Row],[Indicator Class]]="Degree",INDEX(INDIRECT("Data_Entry['"&amp;Long_Data[[#This Row],[Indicator Number]]&amp;"'_DSev_2]"),MATCH(Long_Data[[#This Row],[Key]],Data_Entry[Key],0)),"NA")</f>
        <v>0</v>
      </c>
      <c r="N186">
        <f ca="1">IF(Long_Data[[#This Row],[Indicator Class]]="Degree",INDEX(INDIRECT("Data_Entry['"&amp;Long_Data[[#This Row],[Indicator Number]]&amp;"'_DSev_3]"),MATCH(Long_Data[[#This Row],[Key]],Data_Entry[Key],0)),"NA")</f>
        <v>7.8E-2</v>
      </c>
      <c r="O186">
        <f ca="1">IF(Long_Data[[#This Row],[Indicator Class]]="Degree",INDEX(INDIRECT("Data_Entry['"&amp;Long_Data[[#This Row],[Indicator Number]]&amp;"'_DSev_4]"),MATCH(Long_Data[[#This Row],[Key]],Data_Entry[Key],0)),"NA")</f>
        <v>0</v>
      </c>
      <c r="P186">
        <f ca="1">IF(Long_Data[[#This Row],[Indicator Class]]="Degree",INDEX(INDIRECT("Data_Entry['"&amp;Long_Data[[#This Row],[Indicator Number]]&amp;"'_DSev_5]"),MATCH(Long_Data[[#This Row],[Key]],Data_Entry[Key],0)),"NA")</f>
        <v>0</v>
      </c>
      <c r="Q186" t="str">
        <f ca="1">IFERROR(IF(Long_Data[[#This Row],[Indicator Class]]="Magnitude", INDEX(INDIRECT("Data_Entry[Sev_"&amp;Long_Data[[#This Row],[Indicator Number]]&amp;"]"),MATCH(Long_Data[[#This Row],[Key]], Data_Entry[Key],0)),"NA"),"")</f>
        <v>NA</v>
      </c>
      <c r="R18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6" s="70">
        <f ca="1">IFERROR(IF(J186="Magnitude",INDEX(INDIRECT("Data_Entry[PIN_"&amp;Long_Data[[#This Row],[Indicator Number]]&amp;"]"),MATCH(Long_Data[[#This Row],[Key]],Data_Entry[Key],0)),SUM(N186:P186)*INDEX(Baseline_Pop[Population],MATCH(Long_Data[[#This Row],[Key]],Baseline_Pop[Key],0))),"")</f>
        <v>30533.178</v>
      </c>
    </row>
    <row r="187" spans="2:19">
      <c r="B187">
        <v>186</v>
      </c>
      <c r="C187">
        <v>6</v>
      </c>
      <c r="D187" t="str">
        <f>IFERROR(INDEX(Data_Entry[ADM2_Pcode],MATCH('Step 4-Long Data'!C187,Data_Entry[ID],0)),"NA")</f>
        <v>AF06</v>
      </c>
      <c r="E187" t="str">
        <f>IFERROR(INDEX(Data_Entry[Key],MATCH('Step 4-Long Data'!C187,Data_Entry[ID],0)),"NA")</f>
        <v>AF06-All_Others</v>
      </c>
      <c r="F187">
        <v>7</v>
      </c>
      <c r="G187" t="str">
        <f>IFERROR(INDEX(Framework[Pillar],MATCH('Step 4-Long Data'!F187,Framework[Number],0)),"")</f>
        <v>Humanitarian Conditions</v>
      </c>
      <c r="H187" t="str">
        <f>IFERROR(INDEX(Framework[Sub_Pillar],MATCH('Step 4-Long Data'!F187,Framework[Number],0)),"")</f>
        <v>Living standards</v>
      </c>
      <c r="I187" t="str">
        <f>IFERROR(INDEX(Framework[Indicator],MATCH('Step 4-Long Data'!F187,Framework[Number],0)),"")</f>
        <v>% of  households had at least 1 child between the age of 11 - 17 working outside of the household in the last 30 days</v>
      </c>
      <c r="J187" t="str">
        <f>IFERROR(INDEX(Framework[Class],MATCH('Step 4-Long Data'!F187,Framework[Number],0)),"")</f>
        <v>Degree</v>
      </c>
      <c r="K187" t="str">
        <f>IFERROR(INDEX(Framework[Critical],MATCH('Step 4-Long Data'!F187,Framework[Number],0)),"")</f>
        <v>No</v>
      </c>
      <c r="L187">
        <f ca="1">IF(Long_Data[[#This Row],[Indicator Class]]="Degree",INDEX(INDIRECT("Data_Entry['"&amp;Long_Data[[#This Row],[Indicator Number]]&amp;"'_DSev_1]"),MATCH(Long_Data[[#This Row],[Key]],Data_Entry[Key],0)),"NA")</f>
        <v>0.91249999999999998</v>
      </c>
      <c r="M187">
        <f ca="1">IF(Long_Data[[#This Row],[Indicator Class]]="Degree",INDEX(INDIRECT("Data_Entry['"&amp;Long_Data[[#This Row],[Indicator Number]]&amp;"'_DSev_2]"),MATCH(Long_Data[[#This Row],[Key]],Data_Entry[Key],0)),"NA")</f>
        <v>0</v>
      </c>
      <c r="N187">
        <f ca="1">IF(Long_Data[[#This Row],[Indicator Class]]="Degree",INDEX(INDIRECT("Data_Entry['"&amp;Long_Data[[#This Row],[Indicator Number]]&amp;"'_DSev_3]"),MATCH(Long_Data[[#This Row],[Key]],Data_Entry[Key],0)),"NA")</f>
        <v>8.7499999999999994E-2</v>
      </c>
      <c r="O187">
        <f ca="1">IF(Long_Data[[#This Row],[Indicator Class]]="Degree",INDEX(INDIRECT("Data_Entry['"&amp;Long_Data[[#This Row],[Indicator Number]]&amp;"'_DSev_4]"),MATCH(Long_Data[[#This Row],[Key]],Data_Entry[Key],0)),"NA")</f>
        <v>0</v>
      </c>
      <c r="P187">
        <f ca="1">IF(Long_Data[[#This Row],[Indicator Class]]="Degree",INDEX(INDIRECT("Data_Entry['"&amp;Long_Data[[#This Row],[Indicator Number]]&amp;"'_DSev_5]"),MATCH(Long_Data[[#This Row],[Key]],Data_Entry[Key],0)),"NA")</f>
        <v>0</v>
      </c>
      <c r="Q187" t="str">
        <f ca="1">IFERROR(IF(Long_Data[[#This Row],[Indicator Class]]="Magnitude", INDEX(INDIRECT("Data_Entry[Sev_"&amp;Long_Data[[#This Row],[Indicator Number]]&amp;"]"),MATCH(Long_Data[[#This Row],[Key]], Data_Entry[Key],0)),"NA"),"")</f>
        <v>NA</v>
      </c>
      <c r="R187">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7" s="70">
        <f ca="1">IFERROR(IF(J187="Magnitude",INDEX(INDIRECT("Data_Entry[PIN_"&amp;Long_Data[[#This Row],[Indicator Number]]&amp;"]"),MATCH(Long_Data[[#This Row],[Key]],Data_Entry[Key],0)),SUM(N187:P187)*INDEX(Baseline_Pop[Population],MATCH(Long_Data[[#This Row],[Key]],Baseline_Pop[Key],0))),"")</f>
        <v>134184.75</v>
      </c>
    </row>
    <row r="188" spans="2:19">
      <c r="B188">
        <v>187</v>
      </c>
      <c r="C188">
        <v>7</v>
      </c>
      <c r="D188" t="str">
        <f>IFERROR(INDEX(Data_Entry[ADM2_Pcode],MATCH('Step 4-Long Data'!C188,Data_Entry[ID],0)),"NA")</f>
        <v>AF07</v>
      </c>
      <c r="E188" t="str">
        <f>IFERROR(INDEX(Data_Entry[Key],MATCH('Step 4-Long Data'!C188,Data_Entry[ID],0)),"NA")</f>
        <v>AF07-All_Others</v>
      </c>
      <c r="F188">
        <v>7</v>
      </c>
      <c r="G188" t="str">
        <f>IFERROR(INDEX(Framework[Pillar],MATCH('Step 4-Long Data'!F188,Framework[Number],0)),"")</f>
        <v>Humanitarian Conditions</v>
      </c>
      <c r="H188" t="str">
        <f>IFERROR(INDEX(Framework[Sub_Pillar],MATCH('Step 4-Long Data'!F188,Framework[Number],0)),"")</f>
        <v>Living standards</v>
      </c>
      <c r="I188" t="str">
        <f>IFERROR(INDEX(Framework[Indicator],MATCH('Step 4-Long Data'!F188,Framework[Number],0)),"")</f>
        <v>% of  households had at least 1 child between the age of 11 - 17 working outside of the household in the last 30 days</v>
      </c>
      <c r="J188" t="str">
        <f>IFERROR(INDEX(Framework[Class],MATCH('Step 4-Long Data'!F188,Framework[Number],0)),"")</f>
        <v>Degree</v>
      </c>
      <c r="K188" t="str">
        <f>IFERROR(INDEX(Framework[Critical],MATCH('Step 4-Long Data'!F188,Framework[Number],0)),"")</f>
        <v>No</v>
      </c>
      <c r="L188">
        <f ca="1">IF(Long_Data[[#This Row],[Indicator Class]]="Degree",INDEX(INDIRECT("Data_Entry['"&amp;Long_Data[[#This Row],[Indicator Number]]&amp;"'_DSev_1]"),MATCH(Long_Data[[#This Row],[Key]],Data_Entry[Key],0)),"NA")</f>
        <v>0.96660000000000001</v>
      </c>
      <c r="M188">
        <f ca="1">IF(Long_Data[[#This Row],[Indicator Class]]="Degree",INDEX(INDIRECT("Data_Entry['"&amp;Long_Data[[#This Row],[Indicator Number]]&amp;"'_DSev_2]"),MATCH(Long_Data[[#This Row],[Key]],Data_Entry[Key],0)),"NA")</f>
        <v>0</v>
      </c>
      <c r="N188">
        <f ca="1">IF(Long_Data[[#This Row],[Indicator Class]]="Degree",INDEX(INDIRECT("Data_Entry['"&amp;Long_Data[[#This Row],[Indicator Number]]&amp;"'_DSev_3]"),MATCH(Long_Data[[#This Row],[Key]],Data_Entry[Key],0)),"NA")</f>
        <v>3.3399999999999999E-2</v>
      </c>
      <c r="O188">
        <f ca="1">IF(Long_Data[[#This Row],[Indicator Class]]="Degree",INDEX(INDIRECT("Data_Entry['"&amp;Long_Data[[#This Row],[Indicator Number]]&amp;"'_DSev_4]"),MATCH(Long_Data[[#This Row],[Key]],Data_Entry[Key],0)),"NA")</f>
        <v>0</v>
      </c>
      <c r="P188">
        <f ca="1">IF(Long_Data[[#This Row],[Indicator Class]]="Degree",INDEX(INDIRECT("Data_Entry['"&amp;Long_Data[[#This Row],[Indicator Number]]&amp;"'_DSev_5]"),MATCH(Long_Data[[#This Row],[Key]],Data_Entry[Key],0)),"NA")</f>
        <v>0</v>
      </c>
      <c r="Q188" t="str">
        <f ca="1">IFERROR(IF(Long_Data[[#This Row],[Indicator Class]]="Magnitude", INDEX(INDIRECT("Data_Entry[Sev_"&amp;Long_Data[[#This Row],[Indicator Number]]&amp;"]"),MATCH(Long_Data[[#This Row],[Key]], Data_Entry[Key],0)),"NA"),"")</f>
        <v>NA</v>
      </c>
      <c r="R18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8" s="70">
        <f ca="1">IFERROR(IF(J188="Magnitude",INDEX(INDIRECT("Data_Entry[PIN_"&amp;Long_Data[[#This Row],[Indicator Number]]&amp;"]"),MATCH(Long_Data[[#This Row],[Key]],Data_Entry[Key],0)),SUM(N188:P188)*INDEX(Baseline_Pop[Population],MATCH(Long_Data[[#This Row],[Key]],Baseline_Pop[Key],0))),"")</f>
        <v>14853.7148</v>
      </c>
    </row>
    <row r="189" spans="2:19">
      <c r="B189">
        <v>188</v>
      </c>
      <c r="C189">
        <v>8</v>
      </c>
      <c r="D189" t="str">
        <f>IFERROR(INDEX(Data_Entry[ADM2_Pcode],MATCH('Step 4-Long Data'!C189,Data_Entry[ID],0)),"NA")</f>
        <v>AF08</v>
      </c>
      <c r="E189" t="str">
        <f>IFERROR(INDEX(Data_Entry[Key],MATCH('Step 4-Long Data'!C189,Data_Entry[ID],0)),"NA")</f>
        <v>AF08-All_Others</v>
      </c>
      <c r="F189">
        <v>7</v>
      </c>
      <c r="G189" t="str">
        <f>IFERROR(INDEX(Framework[Pillar],MATCH('Step 4-Long Data'!F189,Framework[Number],0)),"")</f>
        <v>Humanitarian Conditions</v>
      </c>
      <c r="H189" t="str">
        <f>IFERROR(INDEX(Framework[Sub_Pillar],MATCH('Step 4-Long Data'!F189,Framework[Number],0)),"")</f>
        <v>Living standards</v>
      </c>
      <c r="I189" t="str">
        <f>IFERROR(INDEX(Framework[Indicator],MATCH('Step 4-Long Data'!F189,Framework[Number],0)),"")</f>
        <v>% of  households had at least 1 child between the age of 11 - 17 working outside of the household in the last 30 days</v>
      </c>
      <c r="J189" t="str">
        <f>IFERROR(INDEX(Framework[Class],MATCH('Step 4-Long Data'!F189,Framework[Number],0)),"")</f>
        <v>Degree</v>
      </c>
      <c r="K189" t="str">
        <f>IFERROR(INDEX(Framework[Critical],MATCH('Step 4-Long Data'!F189,Framework[Number],0)),"")</f>
        <v>No</v>
      </c>
      <c r="L189">
        <f ca="1">IF(Long_Data[[#This Row],[Indicator Class]]="Degree",INDEX(INDIRECT("Data_Entry['"&amp;Long_Data[[#This Row],[Indicator Number]]&amp;"'_DSev_1]"),MATCH(Long_Data[[#This Row],[Key]],Data_Entry[Key],0)),"NA")</f>
        <v>0.97010000000000007</v>
      </c>
      <c r="M189">
        <f ca="1">IF(Long_Data[[#This Row],[Indicator Class]]="Degree",INDEX(INDIRECT("Data_Entry['"&amp;Long_Data[[#This Row],[Indicator Number]]&amp;"'_DSev_2]"),MATCH(Long_Data[[#This Row],[Key]],Data_Entry[Key],0)),"NA")</f>
        <v>0</v>
      </c>
      <c r="N189">
        <f ca="1">IF(Long_Data[[#This Row],[Indicator Class]]="Degree",INDEX(INDIRECT("Data_Entry['"&amp;Long_Data[[#This Row],[Indicator Number]]&amp;"'_DSev_3]"),MATCH(Long_Data[[#This Row],[Key]],Data_Entry[Key],0)),"NA")</f>
        <v>2.9900000000000003E-2</v>
      </c>
      <c r="O189">
        <f ca="1">IF(Long_Data[[#This Row],[Indicator Class]]="Degree",INDEX(INDIRECT("Data_Entry['"&amp;Long_Data[[#This Row],[Indicator Number]]&amp;"'_DSev_4]"),MATCH(Long_Data[[#This Row],[Key]],Data_Entry[Key],0)),"NA")</f>
        <v>0</v>
      </c>
      <c r="P189">
        <f ca="1">IF(Long_Data[[#This Row],[Indicator Class]]="Degree",INDEX(INDIRECT("Data_Entry['"&amp;Long_Data[[#This Row],[Indicator Number]]&amp;"'_DSev_5]"),MATCH(Long_Data[[#This Row],[Key]],Data_Entry[Key],0)),"NA")</f>
        <v>0</v>
      </c>
      <c r="Q189" t="str">
        <f ca="1">IFERROR(IF(Long_Data[[#This Row],[Indicator Class]]="Magnitude", INDEX(INDIRECT("Data_Entry[Sev_"&amp;Long_Data[[#This Row],[Indicator Number]]&amp;"]"),MATCH(Long_Data[[#This Row],[Key]], Data_Entry[Key],0)),"NA"),"")</f>
        <v>NA</v>
      </c>
      <c r="R18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89" s="70">
        <f ca="1">IFERROR(IF(J189="Magnitude",INDEX(INDIRECT("Data_Entry[PIN_"&amp;Long_Data[[#This Row],[Indicator Number]]&amp;"]"),MATCH(Long_Data[[#This Row],[Key]],Data_Entry[Key],0)),SUM(N189:P189)*INDEX(Baseline_Pop[Population],MATCH(Long_Data[[#This Row],[Key]],Baseline_Pop[Key],0))),"")</f>
        <v>4578.7066000000004</v>
      </c>
    </row>
    <row r="190" spans="2:19">
      <c r="B190">
        <v>189</v>
      </c>
      <c r="C190">
        <v>9</v>
      </c>
      <c r="D190" t="str">
        <f>IFERROR(INDEX(Data_Entry[ADM2_Pcode],MATCH('Step 4-Long Data'!C190,Data_Entry[ID],0)),"NA")</f>
        <v>AF09</v>
      </c>
      <c r="E190" t="str">
        <f>IFERROR(INDEX(Data_Entry[Key],MATCH('Step 4-Long Data'!C190,Data_Entry[ID],0)),"NA")</f>
        <v>AF09-All_Others</v>
      </c>
      <c r="F190">
        <v>7</v>
      </c>
      <c r="G190" t="str">
        <f>IFERROR(INDEX(Framework[Pillar],MATCH('Step 4-Long Data'!F190,Framework[Number],0)),"")</f>
        <v>Humanitarian Conditions</v>
      </c>
      <c r="H190" t="str">
        <f>IFERROR(INDEX(Framework[Sub_Pillar],MATCH('Step 4-Long Data'!F190,Framework[Number],0)),"")</f>
        <v>Living standards</v>
      </c>
      <c r="I190" t="str">
        <f>IFERROR(INDEX(Framework[Indicator],MATCH('Step 4-Long Data'!F190,Framework[Number],0)),"")</f>
        <v>% of  households had at least 1 child between the age of 11 - 17 working outside of the household in the last 30 days</v>
      </c>
      <c r="J190" t="str">
        <f>IFERROR(INDEX(Framework[Class],MATCH('Step 4-Long Data'!F190,Framework[Number],0)),"")</f>
        <v>Degree</v>
      </c>
      <c r="K190" t="str">
        <f>IFERROR(INDEX(Framework[Critical],MATCH('Step 4-Long Data'!F190,Framework[Number],0)),"")</f>
        <v>No</v>
      </c>
      <c r="L190">
        <f ca="1">IF(Long_Data[[#This Row],[Indicator Class]]="Degree",INDEX(INDIRECT("Data_Entry['"&amp;Long_Data[[#This Row],[Indicator Number]]&amp;"'_DSev_1]"),MATCH(Long_Data[[#This Row],[Key]],Data_Entry[Key],0)),"NA")</f>
        <v>0.95819999999999994</v>
      </c>
      <c r="M190">
        <f ca="1">IF(Long_Data[[#This Row],[Indicator Class]]="Degree",INDEX(INDIRECT("Data_Entry['"&amp;Long_Data[[#This Row],[Indicator Number]]&amp;"'_DSev_2]"),MATCH(Long_Data[[#This Row],[Key]],Data_Entry[Key],0)),"NA")</f>
        <v>0</v>
      </c>
      <c r="N190">
        <f ca="1">IF(Long_Data[[#This Row],[Indicator Class]]="Degree",INDEX(INDIRECT("Data_Entry['"&amp;Long_Data[[#This Row],[Indicator Number]]&amp;"'_DSev_3]"),MATCH(Long_Data[[#This Row],[Key]],Data_Entry[Key],0)),"NA")</f>
        <v>4.1799999999999997E-2</v>
      </c>
      <c r="O190">
        <f ca="1">IF(Long_Data[[#This Row],[Indicator Class]]="Degree",INDEX(INDIRECT("Data_Entry['"&amp;Long_Data[[#This Row],[Indicator Number]]&amp;"'_DSev_4]"),MATCH(Long_Data[[#This Row],[Key]],Data_Entry[Key],0)),"NA")</f>
        <v>0</v>
      </c>
      <c r="P190">
        <f ca="1">IF(Long_Data[[#This Row],[Indicator Class]]="Degree",INDEX(INDIRECT("Data_Entry['"&amp;Long_Data[[#This Row],[Indicator Number]]&amp;"'_DSev_5]"),MATCH(Long_Data[[#This Row],[Key]],Data_Entry[Key],0)),"NA")</f>
        <v>0</v>
      </c>
      <c r="Q190" t="str">
        <f ca="1">IFERROR(IF(Long_Data[[#This Row],[Indicator Class]]="Magnitude", INDEX(INDIRECT("Data_Entry[Sev_"&amp;Long_Data[[#This Row],[Indicator Number]]&amp;"]"),MATCH(Long_Data[[#This Row],[Key]], Data_Entry[Key],0)),"NA"),"")</f>
        <v>NA</v>
      </c>
      <c r="R190">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0" s="70">
        <f ca="1">IFERROR(IF(J190="Magnitude",INDEX(INDIRECT("Data_Entry[PIN_"&amp;Long_Data[[#This Row],[Indicator Number]]&amp;"]"),MATCH(Long_Data[[#This Row],[Key]],Data_Entry[Key],0)),SUM(N190:P190)*INDEX(Baseline_Pop[Population],MATCH(Long_Data[[#This Row],[Key]],Baseline_Pop[Key],0))),"")</f>
        <v>38220.665999999997</v>
      </c>
    </row>
    <row r="191" spans="2:19">
      <c r="B191">
        <v>190</v>
      </c>
      <c r="C191">
        <v>10</v>
      </c>
      <c r="D191" t="str">
        <f>IFERROR(INDEX(Data_Entry[ADM2_Pcode],MATCH('Step 4-Long Data'!C191,Data_Entry[ID],0)),"NA")</f>
        <v>AF10</v>
      </c>
      <c r="E191" t="str">
        <f>IFERROR(INDEX(Data_Entry[Key],MATCH('Step 4-Long Data'!C191,Data_Entry[ID],0)),"NA")</f>
        <v>AF10-All_Others</v>
      </c>
      <c r="F191">
        <v>7</v>
      </c>
      <c r="G191" t="str">
        <f>IFERROR(INDEX(Framework[Pillar],MATCH('Step 4-Long Data'!F191,Framework[Number],0)),"")</f>
        <v>Humanitarian Conditions</v>
      </c>
      <c r="H191" t="str">
        <f>IFERROR(INDEX(Framework[Sub_Pillar],MATCH('Step 4-Long Data'!F191,Framework[Number],0)),"")</f>
        <v>Living standards</v>
      </c>
      <c r="I191" t="str">
        <f>IFERROR(INDEX(Framework[Indicator],MATCH('Step 4-Long Data'!F191,Framework[Number],0)),"")</f>
        <v>% of  households had at least 1 child between the age of 11 - 17 working outside of the household in the last 30 days</v>
      </c>
      <c r="J191" t="str">
        <f>IFERROR(INDEX(Framework[Class],MATCH('Step 4-Long Data'!F191,Framework[Number],0)),"")</f>
        <v>Degree</v>
      </c>
      <c r="K191" t="str">
        <f>IFERROR(INDEX(Framework[Critical],MATCH('Step 4-Long Data'!F191,Framework[Number],0)),"")</f>
        <v>No</v>
      </c>
      <c r="L191">
        <f ca="1">IF(Long_Data[[#This Row],[Indicator Class]]="Degree",INDEX(INDIRECT("Data_Entry['"&amp;Long_Data[[#This Row],[Indicator Number]]&amp;"'_DSev_1]"),MATCH(Long_Data[[#This Row],[Key]],Data_Entry[Key],0)),"NA")</f>
        <v>0.88890000000000002</v>
      </c>
      <c r="M191">
        <f ca="1">IF(Long_Data[[#This Row],[Indicator Class]]="Degree",INDEX(INDIRECT("Data_Entry['"&amp;Long_Data[[#This Row],[Indicator Number]]&amp;"'_DSev_2]"),MATCH(Long_Data[[#This Row],[Key]],Data_Entry[Key],0)),"NA")</f>
        <v>0</v>
      </c>
      <c r="N191">
        <f ca="1">IF(Long_Data[[#This Row],[Indicator Class]]="Degree",INDEX(INDIRECT("Data_Entry['"&amp;Long_Data[[#This Row],[Indicator Number]]&amp;"'_DSev_3]"),MATCH(Long_Data[[#This Row],[Key]],Data_Entry[Key],0)),"NA")</f>
        <v>0.11109999999999999</v>
      </c>
      <c r="O191">
        <f ca="1">IF(Long_Data[[#This Row],[Indicator Class]]="Degree",INDEX(INDIRECT("Data_Entry['"&amp;Long_Data[[#This Row],[Indicator Number]]&amp;"'_DSev_4]"),MATCH(Long_Data[[#This Row],[Key]],Data_Entry[Key],0)),"NA")</f>
        <v>0</v>
      </c>
      <c r="P191">
        <f ca="1">IF(Long_Data[[#This Row],[Indicator Class]]="Degree",INDEX(INDIRECT("Data_Entry['"&amp;Long_Data[[#This Row],[Indicator Number]]&amp;"'_DSev_5]"),MATCH(Long_Data[[#This Row],[Key]],Data_Entry[Key],0)),"NA")</f>
        <v>0</v>
      </c>
      <c r="Q191" t="str">
        <f ca="1">IFERROR(IF(Long_Data[[#This Row],[Indicator Class]]="Magnitude", INDEX(INDIRECT("Data_Entry[Sev_"&amp;Long_Data[[#This Row],[Indicator Number]]&amp;"]"),MATCH(Long_Data[[#This Row],[Key]], Data_Entry[Key],0)),"NA"),"")</f>
        <v>NA</v>
      </c>
      <c r="R19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1" s="70">
        <f ca="1">IFERROR(IF(J191="Magnitude",INDEX(INDIRECT("Data_Entry[PIN_"&amp;Long_Data[[#This Row],[Indicator Number]]&amp;"]"),MATCH(Long_Data[[#This Row],[Key]],Data_Entry[Key],0)),SUM(N191:P191)*INDEX(Baseline_Pop[Population],MATCH(Long_Data[[#This Row],[Key]],Baseline_Pop[Key],0))),"")</f>
        <v>49615.926799999994</v>
      </c>
    </row>
    <row r="192" spans="2:19">
      <c r="B192">
        <v>191</v>
      </c>
      <c r="C192">
        <v>11</v>
      </c>
      <c r="D192" t="str">
        <f>IFERROR(INDEX(Data_Entry[ADM2_Pcode],MATCH('Step 4-Long Data'!C192,Data_Entry[ID],0)),"NA")</f>
        <v>AF01</v>
      </c>
      <c r="E192" t="str">
        <f>IFERROR(INDEX(Data_Entry[Key],MATCH('Step 4-Long Data'!C192,Data_Entry[ID],0)),"NA")</f>
        <v>AF01-Non_Displaced</v>
      </c>
      <c r="F192">
        <v>7</v>
      </c>
      <c r="G192" t="str">
        <f>IFERROR(INDEX(Framework[Pillar],MATCH('Step 4-Long Data'!F192,Framework[Number],0)),"")</f>
        <v>Humanitarian Conditions</v>
      </c>
      <c r="H192" t="str">
        <f>IFERROR(INDEX(Framework[Sub_Pillar],MATCH('Step 4-Long Data'!F192,Framework[Number],0)),"")</f>
        <v>Living standards</v>
      </c>
      <c r="I192" t="str">
        <f>IFERROR(INDEX(Framework[Indicator],MATCH('Step 4-Long Data'!F192,Framework[Number],0)),"")</f>
        <v>% of  households had at least 1 child between the age of 11 - 17 working outside of the household in the last 30 days</v>
      </c>
      <c r="J192" t="str">
        <f>IFERROR(INDEX(Framework[Class],MATCH('Step 4-Long Data'!F192,Framework[Number],0)),"")</f>
        <v>Degree</v>
      </c>
      <c r="K192" t="str">
        <f>IFERROR(INDEX(Framework[Critical],MATCH('Step 4-Long Data'!F192,Framework[Number],0)),"")</f>
        <v>No</v>
      </c>
      <c r="L192">
        <f ca="1">IF(Long_Data[[#This Row],[Indicator Class]]="Degree",INDEX(INDIRECT("Data_Entry['"&amp;Long_Data[[#This Row],[Indicator Number]]&amp;"'_DSev_1]"),MATCH(Long_Data[[#This Row],[Key]],Data_Entry[Key],0)),"NA")</f>
        <v>0.92859999999999998</v>
      </c>
      <c r="M192">
        <f ca="1">IF(Long_Data[[#This Row],[Indicator Class]]="Degree",INDEX(INDIRECT("Data_Entry['"&amp;Long_Data[[#This Row],[Indicator Number]]&amp;"'_DSev_2]"),MATCH(Long_Data[[#This Row],[Key]],Data_Entry[Key],0)),"NA")</f>
        <v>0</v>
      </c>
      <c r="N192">
        <f ca="1">IF(Long_Data[[#This Row],[Indicator Class]]="Degree",INDEX(INDIRECT("Data_Entry['"&amp;Long_Data[[#This Row],[Indicator Number]]&amp;"'_DSev_3]"),MATCH(Long_Data[[#This Row],[Key]],Data_Entry[Key],0)),"NA")</f>
        <v>7.1399999999999991E-2</v>
      </c>
      <c r="O192">
        <f ca="1">IF(Long_Data[[#This Row],[Indicator Class]]="Degree",INDEX(INDIRECT("Data_Entry['"&amp;Long_Data[[#This Row],[Indicator Number]]&amp;"'_DSev_4]"),MATCH(Long_Data[[#This Row],[Key]],Data_Entry[Key],0)),"NA")</f>
        <v>0</v>
      </c>
      <c r="P192">
        <f ca="1">IF(Long_Data[[#This Row],[Indicator Class]]="Degree",INDEX(INDIRECT("Data_Entry['"&amp;Long_Data[[#This Row],[Indicator Number]]&amp;"'_DSev_5]"),MATCH(Long_Data[[#This Row],[Key]],Data_Entry[Key],0)),"NA")</f>
        <v>0</v>
      </c>
      <c r="Q192" t="str">
        <f ca="1">IFERROR(IF(Long_Data[[#This Row],[Indicator Class]]="Magnitude", INDEX(INDIRECT("Data_Entry[Sev_"&amp;Long_Data[[#This Row],[Indicator Number]]&amp;"]"),MATCH(Long_Data[[#This Row],[Key]], Data_Entry[Key],0)),"NA"),"")</f>
        <v>NA</v>
      </c>
      <c r="R19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2" s="70">
        <f ca="1">IFERROR(IF(J192="Magnitude",INDEX(INDIRECT("Data_Entry[PIN_"&amp;Long_Data[[#This Row],[Indicator Number]]&amp;"]"),MATCH(Long_Data[[#This Row],[Key]],Data_Entry[Key],0)),SUM(N192:P192)*INDEX(Baseline_Pop[Population],MATCH(Long_Data[[#This Row],[Key]],Baseline_Pop[Key],0))),"")</f>
        <v>47841.712799999994</v>
      </c>
    </row>
    <row r="193" spans="2:19">
      <c r="B193">
        <v>192</v>
      </c>
      <c r="C193">
        <v>12</v>
      </c>
      <c r="D193" t="str">
        <f>IFERROR(INDEX(Data_Entry[ADM2_Pcode],MATCH('Step 4-Long Data'!C193,Data_Entry[ID],0)),"NA")</f>
        <v>AF02</v>
      </c>
      <c r="E193" t="str">
        <f>IFERROR(INDEX(Data_Entry[Key],MATCH('Step 4-Long Data'!C193,Data_Entry[ID],0)),"NA")</f>
        <v>AF02-Non_Displaced</v>
      </c>
      <c r="F193">
        <v>7</v>
      </c>
      <c r="G193" t="str">
        <f>IFERROR(INDEX(Framework[Pillar],MATCH('Step 4-Long Data'!F193,Framework[Number],0)),"")</f>
        <v>Humanitarian Conditions</v>
      </c>
      <c r="H193" t="str">
        <f>IFERROR(INDEX(Framework[Sub_Pillar],MATCH('Step 4-Long Data'!F193,Framework[Number],0)),"")</f>
        <v>Living standards</v>
      </c>
      <c r="I193" t="str">
        <f>IFERROR(INDEX(Framework[Indicator],MATCH('Step 4-Long Data'!F193,Framework[Number],0)),"")</f>
        <v>% of  households had at least 1 child between the age of 11 - 17 working outside of the household in the last 30 days</v>
      </c>
      <c r="J193" t="str">
        <f>IFERROR(INDEX(Framework[Class],MATCH('Step 4-Long Data'!F193,Framework[Number],0)),"")</f>
        <v>Degree</v>
      </c>
      <c r="K193" t="str">
        <f>IFERROR(INDEX(Framework[Critical],MATCH('Step 4-Long Data'!F193,Framework[Number],0)),"")</f>
        <v>No</v>
      </c>
      <c r="L193">
        <f ca="1">IF(Long_Data[[#This Row],[Indicator Class]]="Degree",INDEX(INDIRECT("Data_Entry['"&amp;Long_Data[[#This Row],[Indicator Number]]&amp;"'_DSev_1]"),MATCH(Long_Data[[#This Row],[Key]],Data_Entry[Key],0)),"NA")</f>
        <v>0.9487000000000001</v>
      </c>
      <c r="M193">
        <f ca="1">IF(Long_Data[[#This Row],[Indicator Class]]="Degree",INDEX(INDIRECT("Data_Entry['"&amp;Long_Data[[#This Row],[Indicator Number]]&amp;"'_DSev_2]"),MATCH(Long_Data[[#This Row],[Key]],Data_Entry[Key],0)),"NA")</f>
        <v>0</v>
      </c>
      <c r="N193">
        <f ca="1">IF(Long_Data[[#This Row],[Indicator Class]]="Degree",INDEX(INDIRECT("Data_Entry['"&amp;Long_Data[[#This Row],[Indicator Number]]&amp;"'_DSev_3]"),MATCH(Long_Data[[#This Row],[Key]],Data_Entry[Key],0)),"NA")</f>
        <v>5.1299999999999998E-2</v>
      </c>
      <c r="O193">
        <f ca="1">IF(Long_Data[[#This Row],[Indicator Class]]="Degree",INDEX(INDIRECT("Data_Entry['"&amp;Long_Data[[#This Row],[Indicator Number]]&amp;"'_DSev_4]"),MATCH(Long_Data[[#This Row],[Key]],Data_Entry[Key],0)),"NA")</f>
        <v>0</v>
      </c>
      <c r="P193">
        <f ca="1">IF(Long_Data[[#This Row],[Indicator Class]]="Degree",INDEX(INDIRECT("Data_Entry['"&amp;Long_Data[[#This Row],[Indicator Number]]&amp;"'_DSev_5]"),MATCH(Long_Data[[#This Row],[Key]],Data_Entry[Key],0)),"NA")</f>
        <v>0</v>
      </c>
      <c r="Q193" t="str">
        <f ca="1">IFERROR(IF(Long_Data[[#This Row],[Indicator Class]]="Magnitude", INDEX(INDIRECT("Data_Entry[Sev_"&amp;Long_Data[[#This Row],[Indicator Number]]&amp;"]"),MATCH(Long_Data[[#This Row],[Key]], Data_Entry[Key],0)),"NA"),"")</f>
        <v>NA</v>
      </c>
      <c r="R19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3" s="70">
        <f ca="1">IFERROR(IF(J193="Magnitude",INDEX(INDIRECT("Data_Entry[PIN_"&amp;Long_Data[[#This Row],[Indicator Number]]&amp;"]"),MATCH(Long_Data[[#This Row],[Key]],Data_Entry[Key],0)),SUM(N193:P193)*INDEX(Baseline_Pop[Population],MATCH(Long_Data[[#This Row],[Key]],Baseline_Pop[Key],0))),"")</f>
        <v>3224.9231999999997</v>
      </c>
    </row>
    <row r="194" spans="2:19">
      <c r="B194">
        <v>193</v>
      </c>
      <c r="C194">
        <v>13</v>
      </c>
      <c r="D194" t="str">
        <f>IFERROR(INDEX(Data_Entry[ADM2_Pcode],MATCH('Step 4-Long Data'!C194,Data_Entry[ID],0)),"NA")</f>
        <v>AF03</v>
      </c>
      <c r="E194" t="str">
        <f>IFERROR(INDEX(Data_Entry[Key],MATCH('Step 4-Long Data'!C194,Data_Entry[ID],0)),"NA")</f>
        <v>AF03-Non_Displaced</v>
      </c>
      <c r="F194">
        <v>7</v>
      </c>
      <c r="G194" t="str">
        <f>IFERROR(INDEX(Framework[Pillar],MATCH('Step 4-Long Data'!F194,Framework[Number],0)),"")</f>
        <v>Humanitarian Conditions</v>
      </c>
      <c r="H194" t="str">
        <f>IFERROR(INDEX(Framework[Sub_Pillar],MATCH('Step 4-Long Data'!F194,Framework[Number],0)),"")</f>
        <v>Living standards</v>
      </c>
      <c r="I194" t="str">
        <f>IFERROR(INDEX(Framework[Indicator],MATCH('Step 4-Long Data'!F194,Framework[Number],0)),"")</f>
        <v>% of  households had at least 1 child between the age of 11 - 17 working outside of the household in the last 30 days</v>
      </c>
      <c r="J194" t="str">
        <f>IFERROR(INDEX(Framework[Class],MATCH('Step 4-Long Data'!F194,Framework[Number],0)),"")</f>
        <v>Degree</v>
      </c>
      <c r="K194" t="str">
        <f>IFERROR(INDEX(Framework[Critical],MATCH('Step 4-Long Data'!F194,Framework[Number],0)),"")</f>
        <v>No</v>
      </c>
      <c r="L194">
        <f ca="1">IF(Long_Data[[#This Row],[Indicator Class]]="Degree",INDEX(INDIRECT("Data_Entry['"&amp;Long_Data[[#This Row],[Indicator Number]]&amp;"'_DSev_1]"),MATCH(Long_Data[[#This Row],[Key]],Data_Entry[Key],0)),"NA")</f>
        <v>0.84150000000000003</v>
      </c>
      <c r="M194">
        <f ca="1">IF(Long_Data[[#This Row],[Indicator Class]]="Degree",INDEX(INDIRECT("Data_Entry['"&amp;Long_Data[[#This Row],[Indicator Number]]&amp;"'_DSev_2]"),MATCH(Long_Data[[#This Row],[Key]],Data_Entry[Key],0)),"NA")</f>
        <v>0</v>
      </c>
      <c r="N194">
        <f ca="1">IF(Long_Data[[#This Row],[Indicator Class]]="Degree",INDEX(INDIRECT("Data_Entry['"&amp;Long_Data[[#This Row],[Indicator Number]]&amp;"'_DSev_3]"),MATCH(Long_Data[[#This Row],[Key]],Data_Entry[Key],0)),"NA")</f>
        <v>0.1585</v>
      </c>
      <c r="O194">
        <f ca="1">IF(Long_Data[[#This Row],[Indicator Class]]="Degree",INDEX(INDIRECT("Data_Entry['"&amp;Long_Data[[#This Row],[Indicator Number]]&amp;"'_DSev_4]"),MATCH(Long_Data[[#This Row],[Key]],Data_Entry[Key],0)),"NA")</f>
        <v>0</v>
      </c>
      <c r="P194">
        <f ca="1">IF(Long_Data[[#This Row],[Indicator Class]]="Degree",INDEX(INDIRECT("Data_Entry['"&amp;Long_Data[[#This Row],[Indicator Number]]&amp;"'_DSev_5]"),MATCH(Long_Data[[#This Row],[Key]],Data_Entry[Key],0)),"NA")</f>
        <v>0</v>
      </c>
      <c r="Q194" t="str">
        <f ca="1">IFERROR(IF(Long_Data[[#This Row],[Indicator Class]]="Magnitude", INDEX(INDIRECT("Data_Entry[Sev_"&amp;Long_Data[[#This Row],[Indicator Number]]&amp;"]"),MATCH(Long_Data[[#This Row],[Key]], Data_Entry[Key],0)),"NA"),"")</f>
        <v>NA</v>
      </c>
      <c r="R19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4" s="70">
        <f ca="1">IFERROR(IF(J194="Magnitude",INDEX(INDIRECT("Data_Entry[PIN_"&amp;Long_Data[[#This Row],[Indicator Number]]&amp;"]"),MATCH(Long_Data[[#This Row],[Key]],Data_Entry[Key],0)),SUM(N194:P194)*INDEX(Baseline_Pop[Population],MATCH(Long_Data[[#This Row],[Key]],Baseline_Pop[Key],0))),"")</f>
        <v>15053.062</v>
      </c>
    </row>
    <row r="195" spans="2:19">
      <c r="B195">
        <v>194</v>
      </c>
      <c r="C195">
        <v>14</v>
      </c>
      <c r="D195" t="str">
        <f>IFERROR(INDEX(Data_Entry[ADM2_Pcode],MATCH('Step 4-Long Data'!C195,Data_Entry[ID],0)),"NA")</f>
        <v>AF04</v>
      </c>
      <c r="E195" t="str">
        <f>IFERROR(INDEX(Data_Entry[Key],MATCH('Step 4-Long Data'!C195,Data_Entry[ID],0)),"NA")</f>
        <v>AF04-Non_Displaced</v>
      </c>
      <c r="F195">
        <v>7</v>
      </c>
      <c r="G195" t="str">
        <f>IFERROR(INDEX(Framework[Pillar],MATCH('Step 4-Long Data'!F195,Framework[Number],0)),"")</f>
        <v>Humanitarian Conditions</v>
      </c>
      <c r="H195" t="str">
        <f>IFERROR(INDEX(Framework[Sub_Pillar],MATCH('Step 4-Long Data'!F195,Framework[Number],0)),"")</f>
        <v>Living standards</v>
      </c>
      <c r="I195" t="str">
        <f>IFERROR(INDEX(Framework[Indicator],MATCH('Step 4-Long Data'!F195,Framework[Number],0)),"")</f>
        <v>% of  households had at least 1 child between the age of 11 - 17 working outside of the household in the last 30 days</v>
      </c>
      <c r="J195" t="str">
        <f>IFERROR(INDEX(Framework[Class],MATCH('Step 4-Long Data'!F195,Framework[Number],0)),"")</f>
        <v>Degree</v>
      </c>
      <c r="K195" t="str">
        <f>IFERROR(INDEX(Framework[Critical],MATCH('Step 4-Long Data'!F195,Framework[Number],0)),"")</f>
        <v>No</v>
      </c>
      <c r="L195">
        <f ca="1">IF(Long_Data[[#This Row],[Indicator Class]]="Degree",INDEX(INDIRECT("Data_Entry['"&amp;Long_Data[[#This Row],[Indicator Number]]&amp;"'_DSev_1]"),MATCH(Long_Data[[#This Row],[Key]],Data_Entry[Key],0)),"NA")</f>
        <v>0.98799999999999999</v>
      </c>
      <c r="M195">
        <f ca="1">IF(Long_Data[[#This Row],[Indicator Class]]="Degree",INDEX(INDIRECT("Data_Entry['"&amp;Long_Data[[#This Row],[Indicator Number]]&amp;"'_DSev_2]"),MATCH(Long_Data[[#This Row],[Key]],Data_Entry[Key],0)),"NA")</f>
        <v>0</v>
      </c>
      <c r="N195">
        <f ca="1">IF(Long_Data[[#This Row],[Indicator Class]]="Degree",INDEX(INDIRECT("Data_Entry['"&amp;Long_Data[[#This Row],[Indicator Number]]&amp;"'_DSev_3]"),MATCH(Long_Data[[#This Row],[Key]],Data_Entry[Key],0)),"NA")</f>
        <v>1.2E-2</v>
      </c>
      <c r="O195">
        <f ca="1">IF(Long_Data[[#This Row],[Indicator Class]]="Degree",INDEX(INDIRECT("Data_Entry['"&amp;Long_Data[[#This Row],[Indicator Number]]&amp;"'_DSev_4]"),MATCH(Long_Data[[#This Row],[Key]],Data_Entry[Key],0)),"NA")</f>
        <v>0</v>
      </c>
      <c r="P195">
        <f ca="1">IF(Long_Data[[#This Row],[Indicator Class]]="Degree",INDEX(INDIRECT("Data_Entry['"&amp;Long_Data[[#This Row],[Indicator Number]]&amp;"'_DSev_5]"),MATCH(Long_Data[[#This Row],[Key]],Data_Entry[Key],0)),"NA")</f>
        <v>0</v>
      </c>
      <c r="Q195" t="str">
        <f ca="1">IFERROR(IF(Long_Data[[#This Row],[Indicator Class]]="Magnitude", INDEX(INDIRECT("Data_Entry[Sev_"&amp;Long_Data[[#This Row],[Indicator Number]]&amp;"]"),MATCH(Long_Data[[#This Row],[Key]], Data_Entry[Key],0)),"NA"),"")</f>
        <v>NA</v>
      </c>
      <c r="R19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5" s="70">
        <f ca="1">IFERROR(IF(J195="Magnitude",INDEX(INDIRECT("Data_Entry[PIN_"&amp;Long_Data[[#This Row],[Indicator Number]]&amp;"]"),MATCH(Long_Data[[#This Row],[Key]],Data_Entry[Key],0)),SUM(N195:P195)*INDEX(Baseline_Pop[Population],MATCH(Long_Data[[#This Row],[Key]],Baseline_Pop[Key],0))),"")</f>
        <v>1020.024</v>
      </c>
    </row>
    <row r="196" spans="2:19">
      <c r="B196">
        <v>195</v>
      </c>
      <c r="C196">
        <v>15</v>
      </c>
      <c r="D196" t="str">
        <f>IFERROR(INDEX(Data_Entry[ADM2_Pcode],MATCH('Step 4-Long Data'!C196,Data_Entry[ID],0)),"NA")</f>
        <v>AF05</v>
      </c>
      <c r="E196" t="str">
        <f>IFERROR(INDEX(Data_Entry[Key],MATCH('Step 4-Long Data'!C196,Data_Entry[ID],0)),"NA")</f>
        <v>AF05-Non_Displaced</v>
      </c>
      <c r="F196">
        <v>7</v>
      </c>
      <c r="G196" t="str">
        <f>IFERROR(INDEX(Framework[Pillar],MATCH('Step 4-Long Data'!F196,Framework[Number],0)),"")</f>
        <v>Humanitarian Conditions</v>
      </c>
      <c r="H196" t="str">
        <f>IFERROR(INDEX(Framework[Sub_Pillar],MATCH('Step 4-Long Data'!F196,Framework[Number],0)),"")</f>
        <v>Living standards</v>
      </c>
      <c r="I196" t="str">
        <f>IFERROR(INDEX(Framework[Indicator],MATCH('Step 4-Long Data'!F196,Framework[Number],0)),"")</f>
        <v>% of  households had at least 1 child between the age of 11 - 17 working outside of the household in the last 30 days</v>
      </c>
      <c r="J196" t="str">
        <f>IFERROR(INDEX(Framework[Class],MATCH('Step 4-Long Data'!F196,Framework[Number],0)),"")</f>
        <v>Degree</v>
      </c>
      <c r="K196" t="str">
        <f>IFERROR(INDEX(Framework[Critical],MATCH('Step 4-Long Data'!F196,Framework[Number],0)),"")</f>
        <v>No</v>
      </c>
      <c r="L196">
        <f ca="1">IF(Long_Data[[#This Row],[Indicator Class]]="Degree",INDEX(INDIRECT("Data_Entry['"&amp;Long_Data[[#This Row],[Indicator Number]]&amp;"'_DSev_1]"),MATCH(Long_Data[[#This Row],[Key]],Data_Entry[Key],0)),"NA")</f>
        <v>0.92200000000000004</v>
      </c>
      <c r="M196">
        <f ca="1">IF(Long_Data[[#This Row],[Indicator Class]]="Degree",INDEX(INDIRECT("Data_Entry['"&amp;Long_Data[[#This Row],[Indicator Number]]&amp;"'_DSev_2]"),MATCH(Long_Data[[#This Row],[Key]],Data_Entry[Key],0)),"NA")</f>
        <v>0</v>
      </c>
      <c r="N196">
        <f ca="1">IF(Long_Data[[#This Row],[Indicator Class]]="Degree",INDEX(INDIRECT("Data_Entry['"&amp;Long_Data[[#This Row],[Indicator Number]]&amp;"'_DSev_3]"),MATCH(Long_Data[[#This Row],[Key]],Data_Entry[Key],0)),"NA")</f>
        <v>7.8E-2</v>
      </c>
      <c r="O196">
        <f ca="1">IF(Long_Data[[#This Row],[Indicator Class]]="Degree",INDEX(INDIRECT("Data_Entry['"&amp;Long_Data[[#This Row],[Indicator Number]]&amp;"'_DSev_4]"),MATCH(Long_Data[[#This Row],[Key]],Data_Entry[Key],0)),"NA")</f>
        <v>0</v>
      </c>
      <c r="P196">
        <f ca="1">IF(Long_Data[[#This Row],[Indicator Class]]="Degree",INDEX(INDIRECT("Data_Entry['"&amp;Long_Data[[#This Row],[Indicator Number]]&amp;"'_DSev_5]"),MATCH(Long_Data[[#This Row],[Key]],Data_Entry[Key],0)),"NA")</f>
        <v>0</v>
      </c>
      <c r="Q196" t="str">
        <f ca="1">IFERROR(IF(Long_Data[[#This Row],[Indicator Class]]="Magnitude", INDEX(INDIRECT("Data_Entry[Sev_"&amp;Long_Data[[#This Row],[Indicator Number]]&amp;"]"),MATCH(Long_Data[[#This Row],[Key]], Data_Entry[Key],0)),"NA"),"")</f>
        <v>NA</v>
      </c>
      <c r="R19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6" s="70">
        <f ca="1">IFERROR(IF(J196="Magnitude",INDEX(INDIRECT("Data_Entry[PIN_"&amp;Long_Data[[#This Row],[Indicator Number]]&amp;"]"),MATCH(Long_Data[[#This Row],[Key]],Data_Entry[Key],0)),SUM(N196:P196)*INDEX(Baseline_Pop[Population],MATCH(Long_Data[[#This Row],[Key]],Baseline_Pop[Key],0))),"")</f>
        <v>4361.9160000000002</v>
      </c>
    </row>
    <row r="197" spans="2:19">
      <c r="B197">
        <v>196</v>
      </c>
      <c r="C197">
        <v>16</v>
      </c>
      <c r="D197" t="str">
        <f>IFERROR(INDEX(Data_Entry[ADM2_Pcode],MATCH('Step 4-Long Data'!C197,Data_Entry[ID],0)),"NA")</f>
        <v>AF06</v>
      </c>
      <c r="E197" t="str">
        <f>IFERROR(INDEX(Data_Entry[Key],MATCH('Step 4-Long Data'!C197,Data_Entry[ID],0)),"NA")</f>
        <v>AF06-Non_Displaced</v>
      </c>
      <c r="F197">
        <v>7</v>
      </c>
      <c r="G197" t="str">
        <f>IFERROR(INDEX(Framework[Pillar],MATCH('Step 4-Long Data'!F197,Framework[Number],0)),"")</f>
        <v>Humanitarian Conditions</v>
      </c>
      <c r="H197" t="str">
        <f>IFERROR(INDEX(Framework[Sub_Pillar],MATCH('Step 4-Long Data'!F197,Framework[Number],0)),"")</f>
        <v>Living standards</v>
      </c>
      <c r="I197" t="str">
        <f>IFERROR(INDEX(Framework[Indicator],MATCH('Step 4-Long Data'!F197,Framework[Number],0)),"")</f>
        <v>% of  households had at least 1 child between the age of 11 - 17 working outside of the household in the last 30 days</v>
      </c>
      <c r="J197" t="str">
        <f>IFERROR(INDEX(Framework[Class],MATCH('Step 4-Long Data'!F197,Framework[Number],0)),"")</f>
        <v>Degree</v>
      </c>
      <c r="K197" t="str">
        <f>IFERROR(INDEX(Framework[Critical],MATCH('Step 4-Long Data'!F197,Framework[Number],0)),"")</f>
        <v>No</v>
      </c>
      <c r="L197">
        <f ca="1">IF(Long_Data[[#This Row],[Indicator Class]]="Degree",INDEX(INDIRECT("Data_Entry['"&amp;Long_Data[[#This Row],[Indicator Number]]&amp;"'_DSev_1]"),MATCH(Long_Data[[#This Row],[Key]],Data_Entry[Key],0)),"NA")</f>
        <v>0.91249999999999998</v>
      </c>
      <c r="M197">
        <f ca="1">IF(Long_Data[[#This Row],[Indicator Class]]="Degree",INDEX(INDIRECT("Data_Entry['"&amp;Long_Data[[#This Row],[Indicator Number]]&amp;"'_DSev_2]"),MATCH(Long_Data[[#This Row],[Key]],Data_Entry[Key],0)),"NA")</f>
        <v>0</v>
      </c>
      <c r="N197">
        <f ca="1">IF(Long_Data[[#This Row],[Indicator Class]]="Degree",INDEX(INDIRECT("Data_Entry['"&amp;Long_Data[[#This Row],[Indicator Number]]&amp;"'_DSev_3]"),MATCH(Long_Data[[#This Row],[Key]],Data_Entry[Key],0)),"NA")</f>
        <v>8.7499999999999994E-2</v>
      </c>
      <c r="O197">
        <f ca="1">IF(Long_Data[[#This Row],[Indicator Class]]="Degree",INDEX(INDIRECT("Data_Entry['"&amp;Long_Data[[#This Row],[Indicator Number]]&amp;"'_DSev_4]"),MATCH(Long_Data[[#This Row],[Key]],Data_Entry[Key],0)),"NA")</f>
        <v>0</v>
      </c>
      <c r="P197">
        <f ca="1">IF(Long_Data[[#This Row],[Indicator Class]]="Degree",INDEX(INDIRECT("Data_Entry['"&amp;Long_Data[[#This Row],[Indicator Number]]&amp;"'_DSev_5]"),MATCH(Long_Data[[#This Row],[Key]],Data_Entry[Key],0)),"NA")</f>
        <v>0</v>
      </c>
      <c r="Q197" t="str">
        <f ca="1">IFERROR(IF(Long_Data[[#This Row],[Indicator Class]]="Magnitude", INDEX(INDIRECT("Data_Entry[Sev_"&amp;Long_Data[[#This Row],[Indicator Number]]&amp;"]"),MATCH(Long_Data[[#This Row],[Key]], Data_Entry[Key],0)),"NA"),"")</f>
        <v>NA</v>
      </c>
      <c r="R197">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7" s="70">
        <f ca="1">IFERROR(IF(J197="Magnitude",INDEX(INDIRECT("Data_Entry[PIN_"&amp;Long_Data[[#This Row],[Indicator Number]]&amp;"]"),MATCH(Long_Data[[#This Row],[Key]],Data_Entry[Key],0)),SUM(N197:P197)*INDEX(Baseline_Pop[Population],MATCH(Long_Data[[#This Row],[Key]],Baseline_Pop[Key],0))),"")</f>
        <v>19169.237499999999</v>
      </c>
    </row>
    <row r="198" spans="2:19">
      <c r="B198">
        <v>197</v>
      </c>
      <c r="C198">
        <v>17</v>
      </c>
      <c r="D198" t="str">
        <f>IFERROR(INDEX(Data_Entry[ADM2_Pcode],MATCH('Step 4-Long Data'!C198,Data_Entry[ID],0)),"NA")</f>
        <v>AF07</v>
      </c>
      <c r="E198" t="str">
        <f>IFERROR(INDEX(Data_Entry[Key],MATCH('Step 4-Long Data'!C198,Data_Entry[ID],0)),"NA")</f>
        <v>AF07-Non_Displaced</v>
      </c>
      <c r="F198">
        <v>7</v>
      </c>
      <c r="G198" t="str">
        <f>IFERROR(INDEX(Framework[Pillar],MATCH('Step 4-Long Data'!F198,Framework[Number],0)),"")</f>
        <v>Humanitarian Conditions</v>
      </c>
      <c r="H198" t="str">
        <f>IFERROR(INDEX(Framework[Sub_Pillar],MATCH('Step 4-Long Data'!F198,Framework[Number],0)),"")</f>
        <v>Living standards</v>
      </c>
      <c r="I198" t="str">
        <f>IFERROR(INDEX(Framework[Indicator],MATCH('Step 4-Long Data'!F198,Framework[Number],0)),"")</f>
        <v>% of  households had at least 1 child between the age of 11 - 17 working outside of the household in the last 30 days</v>
      </c>
      <c r="J198" t="str">
        <f>IFERROR(INDEX(Framework[Class],MATCH('Step 4-Long Data'!F198,Framework[Number],0)),"")</f>
        <v>Degree</v>
      </c>
      <c r="K198" t="str">
        <f>IFERROR(INDEX(Framework[Critical],MATCH('Step 4-Long Data'!F198,Framework[Number],0)),"")</f>
        <v>No</v>
      </c>
      <c r="L198">
        <f ca="1">IF(Long_Data[[#This Row],[Indicator Class]]="Degree",INDEX(INDIRECT("Data_Entry['"&amp;Long_Data[[#This Row],[Indicator Number]]&amp;"'_DSev_1]"),MATCH(Long_Data[[#This Row],[Key]],Data_Entry[Key],0)),"NA")</f>
        <v>0.96660000000000001</v>
      </c>
      <c r="M198">
        <f ca="1">IF(Long_Data[[#This Row],[Indicator Class]]="Degree",INDEX(INDIRECT("Data_Entry['"&amp;Long_Data[[#This Row],[Indicator Number]]&amp;"'_DSev_2]"),MATCH(Long_Data[[#This Row],[Key]],Data_Entry[Key],0)),"NA")</f>
        <v>0</v>
      </c>
      <c r="N198">
        <f ca="1">IF(Long_Data[[#This Row],[Indicator Class]]="Degree",INDEX(INDIRECT("Data_Entry['"&amp;Long_Data[[#This Row],[Indicator Number]]&amp;"'_DSev_3]"),MATCH(Long_Data[[#This Row],[Key]],Data_Entry[Key],0)),"NA")</f>
        <v>3.3399999999999999E-2</v>
      </c>
      <c r="O198">
        <f ca="1">IF(Long_Data[[#This Row],[Indicator Class]]="Degree",INDEX(INDIRECT("Data_Entry['"&amp;Long_Data[[#This Row],[Indicator Number]]&amp;"'_DSev_4]"),MATCH(Long_Data[[#This Row],[Key]],Data_Entry[Key],0)),"NA")</f>
        <v>0</v>
      </c>
      <c r="P198">
        <f ca="1">IF(Long_Data[[#This Row],[Indicator Class]]="Degree",INDEX(INDIRECT("Data_Entry['"&amp;Long_Data[[#This Row],[Indicator Number]]&amp;"'_DSev_5]"),MATCH(Long_Data[[#This Row],[Key]],Data_Entry[Key],0)),"NA")</f>
        <v>0</v>
      </c>
      <c r="Q198" t="str">
        <f ca="1">IFERROR(IF(Long_Data[[#This Row],[Indicator Class]]="Magnitude", INDEX(INDIRECT("Data_Entry[Sev_"&amp;Long_Data[[#This Row],[Indicator Number]]&amp;"]"),MATCH(Long_Data[[#This Row],[Key]], Data_Entry[Key],0)),"NA"),"")</f>
        <v>NA</v>
      </c>
      <c r="R19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8" s="70">
        <f ca="1">IFERROR(IF(J198="Magnitude",INDEX(INDIRECT("Data_Entry[PIN_"&amp;Long_Data[[#This Row],[Indicator Number]]&amp;"]"),MATCH(Long_Data[[#This Row],[Key]],Data_Entry[Key],0)),SUM(N198:P198)*INDEX(Baseline_Pop[Population],MATCH(Long_Data[[#This Row],[Key]],Baseline_Pop[Key],0))),"")</f>
        <v>2121.9688000000001</v>
      </c>
    </row>
    <row r="199" spans="2:19">
      <c r="B199">
        <v>198</v>
      </c>
      <c r="C199">
        <v>18</v>
      </c>
      <c r="D199" t="str">
        <f>IFERROR(INDEX(Data_Entry[ADM2_Pcode],MATCH('Step 4-Long Data'!C199,Data_Entry[ID],0)),"NA")</f>
        <v>AF08</v>
      </c>
      <c r="E199" t="str">
        <f>IFERROR(INDEX(Data_Entry[Key],MATCH('Step 4-Long Data'!C199,Data_Entry[ID],0)),"NA")</f>
        <v>AF08-Non_Displaced</v>
      </c>
      <c r="F199">
        <v>7</v>
      </c>
      <c r="G199" t="str">
        <f>IFERROR(INDEX(Framework[Pillar],MATCH('Step 4-Long Data'!F199,Framework[Number],0)),"")</f>
        <v>Humanitarian Conditions</v>
      </c>
      <c r="H199" t="str">
        <f>IFERROR(INDEX(Framework[Sub_Pillar],MATCH('Step 4-Long Data'!F199,Framework[Number],0)),"")</f>
        <v>Living standards</v>
      </c>
      <c r="I199" t="str">
        <f>IFERROR(INDEX(Framework[Indicator],MATCH('Step 4-Long Data'!F199,Framework[Number],0)),"")</f>
        <v>% of  households had at least 1 child between the age of 11 - 17 working outside of the household in the last 30 days</v>
      </c>
      <c r="J199" t="str">
        <f>IFERROR(INDEX(Framework[Class],MATCH('Step 4-Long Data'!F199,Framework[Number],0)),"")</f>
        <v>Degree</v>
      </c>
      <c r="K199" t="str">
        <f>IFERROR(INDEX(Framework[Critical],MATCH('Step 4-Long Data'!F199,Framework[Number],0)),"")</f>
        <v>No</v>
      </c>
      <c r="L199">
        <f ca="1">IF(Long_Data[[#This Row],[Indicator Class]]="Degree",INDEX(INDIRECT("Data_Entry['"&amp;Long_Data[[#This Row],[Indicator Number]]&amp;"'_DSev_1]"),MATCH(Long_Data[[#This Row],[Key]],Data_Entry[Key],0)),"NA")</f>
        <v>0.97010000000000007</v>
      </c>
      <c r="M199">
        <f ca="1">IF(Long_Data[[#This Row],[Indicator Class]]="Degree",INDEX(INDIRECT("Data_Entry['"&amp;Long_Data[[#This Row],[Indicator Number]]&amp;"'_DSev_2]"),MATCH(Long_Data[[#This Row],[Key]],Data_Entry[Key],0)),"NA")</f>
        <v>0</v>
      </c>
      <c r="N199">
        <f ca="1">IF(Long_Data[[#This Row],[Indicator Class]]="Degree",INDEX(INDIRECT("Data_Entry['"&amp;Long_Data[[#This Row],[Indicator Number]]&amp;"'_DSev_3]"),MATCH(Long_Data[[#This Row],[Key]],Data_Entry[Key],0)),"NA")</f>
        <v>2.9900000000000003E-2</v>
      </c>
      <c r="O199">
        <f ca="1">IF(Long_Data[[#This Row],[Indicator Class]]="Degree",INDEX(INDIRECT("Data_Entry['"&amp;Long_Data[[#This Row],[Indicator Number]]&amp;"'_DSev_4]"),MATCH(Long_Data[[#This Row],[Key]],Data_Entry[Key],0)),"NA")</f>
        <v>0</v>
      </c>
      <c r="P199">
        <f ca="1">IF(Long_Data[[#This Row],[Indicator Class]]="Degree",INDEX(INDIRECT("Data_Entry['"&amp;Long_Data[[#This Row],[Indicator Number]]&amp;"'_DSev_5]"),MATCH(Long_Data[[#This Row],[Key]],Data_Entry[Key],0)),"NA")</f>
        <v>0</v>
      </c>
      <c r="Q199" t="str">
        <f ca="1">IFERROR(IF(Long_Data[[#This Row],[Indicator Class]]="Magnitude", INDEX(INDIRECT("Data_Entry[Sev_"&amp;Long_Data[[#This Row],[Indicator Number]]&amp;"]"),MATCH(Long_Data[[#This Row],[Key]], Data_Entry[Key],0)),"NA"),"")</f>
        <v>NA</v>
      </c>
      <c r="R19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199" s="70">
        <f ca="1">IFERROR(IF(J199="Magnitude",INDEX(INDIRECT("Data_Entry[PIN_"&amp;Long_Data[[#This Row],[Indicator Number]]&amp;"]"),MATCH(Long_Data[[#This Row],[Key]],Data_Entry[Key],0)),SUM(N199:P199)*INDEX(Baseline_Pop[Population],MATCH(Long_Data[[#This Row],[Key]],Baseline_Pop[Key],0))),"")</f>
        <v>654.09240000000011</v>
      </c>
    </row>
    <row r="200" spans="2:19">
      <c r="B200">
        <v>199</v>
      </c>
      <c r="C200">
        <v>19</v>
      </c>
      <c r="D200" t="str">
        <f>IFERROR(INDEX(Data_Entry[ADM2_Pcode],MATCH('Step 4-Long Data'!C200,Data_Entry[ID],0)),"NA")</f>
        <v>AF09</v>
      </c>
      <c r="E200" t="str">
        <f>IFERROR(INDEX(Data_Entry[Key],MATCH('Step 4-Long Data'!C200,Data_Entry[ID],0)),"NA")</f>
        <v>AF09-Non_Displaced</v>
      </c>
      <c r="F200">
        <v>7</v>
      </c>
      <c r="G200" t="str">
        <f>IFERROR(INDEX(Framework[Pillar],MATCH('Step 4-Long Data'!F200,Framework[Number],0)),"")</f>
        <v>Humanitarian Conditions</v>
      </c>
      <c r="H200" t="str">
        <f>IFERROR(INDEX(Framework[Sub_Pillar],MATCH('Step 4-Long Data'!F200,Framework[Number],0)),"")</f>
        <v>Living standards</v>
      </c>
      <c r="I200" t="str">
        <f>IFERROR(INDEX(Framework[Indicator],MATCH('Step 4-Long Data'!F200,Framework[Number],0)),"")</f>
        <v>% of  households had at least 1 child between the age of 11 - 17 working outside of the household in the last 30 days</v>
      </c>
      <c r="J200" t="str">
        <f>IFERROR(INDEX(Framework[Class],MATCH('Step 4-Long Data'!F200,Framework[Number],0)),"")</f>
        <v>Degree</v>
      </c>
      <c r="K200" t="str">
        <f>IFERROR(INDEX(Framework[Critical],MATCH('Step 4-Long Data'!F200,Framework[Number],0)),"")</f>
        <v>No</v>
      </c>
      <c r="L200">
        <f ca="1">IF(Long_Data[[#This Row],[Indicator Class]]="Degree",INDEX(INDIRECT("Data_Entry['"&amp;Long_Data[[#This Row],[Indicator Number]]&amp;"'_DSev_1]"),MATCH(Long_Data[[#This Row],[Key]],Data_Entry[Key],0)),"NA")</f>
        <v>0.95819999999999994</v>
      </c>
      <c r="M200">
        <f ca="1">IF(Long_Data[[#This Row],[Indicator Class]]="Degree",INDEX(INDIRECT("Data_Entry['"&amp;Long_Data[[#This Row],[Indicator Number]]&amp;"'_DSev_2]"),MATCH(Long_Data[[#This Row],[Key]],Data_Entry[Key],0)),"NA")</f>
        <v>0</v>
      </c>
      <c r="N200">
        <f ca="1">IF(Long_Data[[#This Row],[Indicator Class]]="Degree",INDEX(INDIRECT("Data_Entry['"&amp;Long_Data[[#This Row],[Indicator Number]]&amp;"'_DSev_3]"),MATCH(Long_Data[[#This Row],[Key]],Data_Entry[Key],0)),"NA")</f>
        <v>4.1799999999999997E-2</v>
      </c>
      <c r="O200">
        <f ca="1">IF(Long_Data[[#This Row],[Indicator Class]]="Degree",INDEX(INDIRECT("Data_Entry['"&amp;Long_Data[[#This Row],[Indicator Number]]&amp;"'_DSev_4]"),MATCH(Long_Data[[#This Row],[Key]],Data_Entry[Key],0)),"NA")</f>
        <v>0</v>
      </c>
      <c r="P200">
        <f ca="1">IF(Long_Data[[#This Row],[Indicator Class]]="Degree",INDEX(INDIRECT("Data_Entry['"&amp;Long_Data[[#This Row],[Indicator Number]]&amp;"'_DSev_5]"),MATCH(Long_Data[[#This Row],[Key]],Data_Entry[Key],0)),"NA")</f>
        <v>0</v>
      </c>
      <c r="Q200" t="str">
        <f ca="1">IFERROR(IF(Long_Data[[#This Row],[Indicator Class]]="Magnitude", INDEX(INDIRECT("Data_Entry[Sev_"&amp;Long_Data[[#This Row],[Indicator Number]]&amp;"]"),MATCH(Long_Data[[#This Row],[Key]], Data_Entry[Key],0)),"NA"),"")</f>
        <v>NA</v>
      </c>
      <c r="R200">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0" s="70">
        <f ca="1">IFERROR(IF(J200="Magnitude",INDEX(INDIRECT("Data_Entry[PIN_"&amp;Long_Data[[#This Row],[Indicator Number]]&amp;"]"),MATCH(Long_Data[[#This Row],[Key]],Data_Entry[Key],0)),SUM(N200:P200)*INDEX(Baseline_Pop[Population],MATCH(Long_Data[[#This Row],[Key]],Baseline_Pop[Key],0))),"")</f>
        <v>5460.0832</v>
      </c>
    </row>
    <row r="201" spans="2:19">
      <c r="B201">
        <v>200</v>
      </c>
      <c r="C201">
        <v>20</v>
      </c>
      <c r="D201" t="str">
        <f>IFERROR(INDEX(Data_Entry[ADM2_Pcode],MATCH('Step 4-Long Data'!C201,Data_Entry[ID],0)),"NA")</f>
        <v>AF10</v>
      </c>
      <c r="E201" t="str">
        <f>IFERROR(INDEX(Data_Entry[Key],MATCH('Step 4-Long Data'!C201,Data_Entry[ID],0)),"NA")</f>
        <v>AF10-Non_Displaced</v>
      </c>
      <c r="F201">
        <v>7</v>
      </c>
      <c r="G201" t="str">
        <f>IFERROR(INDEX(Framework[Pillar],MATCH('Step 4-Long Data'!F201,Framework[Number],0)),"")</f>
        <v>Humanitarian Conditions</v>
      </c>
      <c r="H201" t="str">
        <f>IFERROR(INDEX(Framework[Sub_Pillar],MATCH('Step 4-Long Data'!F201,Framework[Number],0)),"")</f>
        <v>Living standards</v>
      </c>
      <c r="I201" t="str">
        <f>IFERROR(INDEX(Framework[Indicator],MATCH('Step 4-Long Data'!F201,Framework[Number],0)),"")</f>
        <v>% of  households had at least 1 child between the age of 11 - 17 working outside of the household in the last 30 days</v>
      </c>
      <c r="J201" t="str">
        <f>IFERROR(INDEX(Framework[Class],MATCH('Step 4-Long Data'!F201,Framework[Number],0)),"")</f>
        <v>Degree</v>
      </c>
      <c r="K201" t="str">
        <f>IFERROR(INDEX(Framework[Critical],MATCH('Step 4-Long Data'!F201,Framework[Number],0)),"")</f>
        <v>No</v>
      </c>
      <c r="L201">
        <f ca="1">IF(Long_Data[[#This Row],[Indicator Class]]="Degree",INDEX(INDIRECT("Data_Entry['"&amp;Long_Data[[#This Row],[Indicator Number]]&amp;"'_DSev_1]"),MATCH(Long_Data[[#This Row],[Key]],Data_Entry[Key],0)),"NA")</f>
        <v>0.88890000000000002</v>
      </c>
      <c r="M201">
        <f ca="1">IF(Long_Data[[#This Row],[Indicator Class]]="Degree",INDEX(INDIRECT("Data_Entry['"&amp;Long_Data[[#This Row],[Indicator Number]]&amp;"'_DSev_2]"),MATCH(Long_Data[[#This Row],[Key]],Data_Entry[Key],0)),"NA")</f>
        <v>0</v>
      </c>
      <c r="N201">
        <f ca="1">IF(Long_Data[[#This Row],[Indicator Class]]="Degree",INDEX(INDIRECT("Data_Entry['"&amp;Long_Data[[#This Row],[Indicator Number]]&amp;"'_DSev_3]"),MATCH(Long_Data[[#This Row],[Key]],Data_Entry[Key],0)),"NA")</f>
        <v>0.11109999999999999</v>
      </c>
      <c r="O201">
        <f ca="1">IF(Long_Data[[#This Row],[Indicator Class]]="Degree",INDEX(INDIRECT("Data_Entry['"&amp;Long_Data[[#This Row],[Indicator Number]]&amp;"'_DSev_4]"),MATCH(Long_Data[[#This Row],[Key]],Data_Entry[Key],0)),"NA")</f>
        <v>0</v>
      </c>
      <c r="P201">
        <f ca="1">IF(Long_Data[[#This Row],[Indicator Class]]="Degree",INDEX(INDIRECT("Data_Entry['"&amp;Long_Data[[#This Row],[Indicator Number]]&amp;"'_DSev_5]"),MATCH(Long_Data[[#This Row],[Key]],Data_Entry[Key],0)),"NA")</f>
        <v>0</v>
      </c>
      <c r="Q201" t="str">
        <f ca="1">IFERROR(IF(Long_Data[[#This Row],[Indicator Class]]="Magnitude", INDEX(INDIRECT("Data_Entry[Sev_"&amp;Long_Data[[#This Row],[Indicator Number]]&amp;"]"),MATCH(Long_Data[[#This Row],[Key]], Data_Entry[Key],0)),"NA"),"")</f>
        <v>NA</v>
      </c>
      <c r="R20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1" s="70">
        <f ca="1">IFERROR(IF(J201="Magnitude",INDEX(INDIRECT("Data_Entry[PIN_"&amp;Long_Data[[#This Row],[Indicator Number]]&amp;"]"),MATCH(Long_Data[[#This Row],[Key]],Data_Entry[Key],0)),SUM(N201:P201)*INDEX(Baseline_Pop[Population],MATCH(Long_Data[[#This Row],[Key]],Baseline_Pop[Key],0))),"")</f>
        <v>7087.9577999999992</v>
      </c>
    </row>
    <row r="202" spans="2:19">
      <c r="B202">
        <v>201</v>
      </c>
      <c r="C202">
        <v>21</v>
      </c>
      <c r="D202" t="str">
        <f>IFERROR(INDEX(Data_Entry[ADM2_Pcode],MATCH('Step 4-Long Data'!C202,Data_Entry[ID],0)),"NA")</f>
        <v>AF01</v>
      </c>
      <c r="E202" t="str">
        <f>IFERROR(INDEX(Data_Entry[Key],MATCH('Step 4-Long Data'!C202,Data_Entry[ID],0)),"NA")</f>
        <v>AF01-Migrants</v>
      </c>
      <c r="F202">
        <v>7</v>
      </c>
      <c r="G202" t="str">
        <f>IFERROR(INDEX(Framework[Pillar],MATCH('Step 4-Long Data'!F202,Framework[Number],0)),"")</f>
        <v>Humanitarian Conditions</v>
      </c>
      <c r="H202" t="str">
        <f>IFERROR(INDEX(Framework[Sub_Pillar],MATCH('Step 4-Long Data'!F202,Framework[Number],0)),"")</f>
        <v>Living standards</v>
      </c>
      <c r="I202" t="str">
        <f>IFERROR(INDEX(Framework[Indicator],MATCH('Step 4-Long Data'!F202,Framework[Number],0)),"")</f>
        <v>% of  households had at least 1 child between the age of 11 - 17 working outside of the household in the last 30 days</v>
      </c>
      <c r="J202" t="str">
        <f>IFERROR(INDEX(Framework[Class],MATCH('Step 4-Long Data'!F202,Framework[Number],0)),"")</f>
        <v>Degree</v>
      </c>
      <c r="K202" t="str">
        <f>IFERROR(INDEX(Framework[Critical],MATCH('Step 4-Long Data'!F202,Framework[Number],0)),"")</f>
        <v>No</v>
      </c>
      <c r="L202">
        <f ca="1">IF(Long_Data[[#This Row],[Indicator Class]]="Degree",INDEX(INDIRECT("Data_Entry['"&amp;Long_Data[[#This Row],[Indicator Number]]&amp;"'_DSev_1]"),MATCH(Long_Data[[#This Row],[Key]],Data_Entry[Key],0)),"NA")</f>
        <v>0.92859999999999998</v>
      </c>
      <c r="M202">
        <f ca="1">IF(Long_Data[[#This Row],[Indicator Class]]="Degree",INDEX(INDIRECT("Data_Entry['"&amp;Long_Data[[#This Row],[Indicator Number]]&amp;"'_DSev_2]"),MATCH(Long_Data[[#This Row],[Key]],Data_Entry[Key],0)),"NA")</f>
        <v>0</v>
      </c>
      <c r="N202">
        <f ca="1">IF(Long_Data[[#This Row],[Indicator Class]]="Degree",INDEX(INDIRECT("Data_Entry['"&amp;Long_Data[[#This Row],[Indicator Number]]&amp;"'_DSev_3]"),MATCH(Long_Data[[#This Row],[Key]],Data_Entry[Key],0)),"NA")</f>
        <v>7.1399999999999991E-2</v>
      </c>
      <c r="O202">
        <f ca="1">IF(Long_Data[[#This Row],[Indicator Class]]="Degree",INDEX(INDIRECT("Data_Entry['"&amp;Long_Data[[#This Row],[Indicator Number]]&amp;"'_DSev_4]"),MATCH(Long_Data[[#This Row],[Key]],Data_Entry[Key],0)),"NA")</f>
        <v>0</v>
      </c>
      <c r="P202">
        <f ca="1">IF(Long_Data[[#This Row],[Indicator Class]]="Degree",INDEX(INDIRECT("Data_Entry['"&amp;Long_Data[[#This Row],[Indicator Number]]&amp;"'_DSev_5]"),MATCH(Long_Data[[#This Row],[Key]],Data_Entry[Key],0)),"NA")</f>
        <v>0</v>
      </c>
      <c r="Q202" t="str">
        <f ca="1">IFERROR(IF(Long_Data[[#This Row],[Indicator Class]]="Magnitude", INDEX(INDIRECT("Data_Entry[Sev_"&amp;Long_Data[[#This Row],[Indicator Number]]&amp;"]"),MATCH(Long_Data[[#This Row],[Key]], Data_Entry[Key],0)),"NA"),"")</f>
        <v>NA</v>
      </c>
      <c r="R20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2" s="70">
        <f ca="1">IFERROR(IF(J202="Magnitude",INDEX(INDIRECT("Data_Entry[PIN_"&amp;Long_Data[[#This Row],[Indicator Number]]&amp;"]"),MATCH(Long_Data[[#This Row],[Key]],Data_Entry[Key],0)),SUM(N202:P202)*INDEX(Baseline_Pop[Population],MATCH(Long_Data[[#This Row],[Key]],Baseline_Pop[Key],0))),"")</f>
        <v>95683.354199999987</v>
      </c>
    </row>
    <row r="203" spans="2:19">
      <c r="B203">
        <v>202</v>
      </c>
      <c r="C203">
        <v>22</v>
      </c>
      <c r="D203" t="str">
        <f>IFERROR(INDEX(Data_Entry[ADM2_Pcode],MATCH('Step 4-Long Data'!C203,Data_Entry[ID],0)),"NA")</f>
        <v>AF02</v>
      </c>
      <c r="E203" t="str">
        <f>IFERROR(INDEX(Data_Entry[Key],MATCH('Step 4-Long Data'!C203,Data_Entry[ID],0)),"NA")</f>
        <v>AF02-Migrants</v>
      </c>
      <c r="F203">
        <v>7</v>
      </c>
      <c r="G203" t="str">
        <f>IFERROR(INDEX(Framework[Pillar],MATCH('Step 4-Long Data'!F203,Framework[Number],0)),"")</f>
        <v>Humanitarian Conditions</v>
      </c>
      <c r="H203" t="str">
        <f>IFERROR(INDEX(Framework[Sub_Pillar],MATCH('Step 4-Long Data'!F203,Framework[Number],0)),"")</f>
        <v>Living standards</v>
      </c>
      <c r="I203" t="str">
        <f>IFERROR(INDEX(Framework[Indicator],MATCH('Step 4-Long Data'!F203,Framework[Number],0)),"")</f>
        <v>% of  households had at least 1 child between the age of 11 - 17 working outside of the household in the last 30 days</v>
      </c>
      <c r="J203" t="str">
        <f>IFERROR(INDEX(Framework[Class],MATCH('Step 4-Long Data'!F203,Framework[Number],0)),"")</f>
        <v>Degree</v>
      </c>
      <c r="K203" t="str">
        <f>IFERROR(INDEX(Framework[Critical],MATCH('Step 4-Long Data'!F203,Framework[Number],0)),"")</f>
        <v>No</v>
      </c>
      <c r="L203">
        <f ca="1">IF(Long_Data[[#This Row],[Indicator Class]]="Degree",INDEX(INDIRECT("Data_Entry['"&amp;Long_Data[[#This Row],[Indicator Number]]&amp;"'_DSev_1]"),MATCH(Long_Data[[#This Row],[Key]],Data_Entry[Key],0)),"NA")</f>
        <v>0.9487000000000001</v>
      </c>
      <c r="M203">
        <f ca="1">IF(Long_Data[[#This Row],[Indicator Class]]="Degree",INDEX(INDIRECT("Data_Entry['"&amp;Long_Data[[#This Row],[Indicator Number]]&amp;"'_DSev_2]"),MATCH(Long_Data[[#This Row],[Key]],Data_Entry[Key],0)),"NA")</f>
        <v>0</v>
      </c>
      <c r="N203">
        <f ca="1">IF(Long_Data[[#This Row],[Indicator Class]]="Degree",INDEX(INDIRECT("Data_Entry['"&amp;Long_Data[[#This Row],[Indicator Number]]&amp;"'_DSev_3]"),MATCH(Long_Data[[#This Row],[Key]],Data_Entry[Key],0)),"NA")</f>
        <v>5.1299999999999998E-2</v>
      </c>
      <c r="O203">
        <f ca="1">IF(Long_Data[[#This Row],[Indicator Class]]="Degree",INDEX(INDIRECT("Data_Entry['"&amp;Long_Data[[#This Row],[Indicator Number]]&amp;"'_DSev_4]"),MATCH(Long_Data[[#This Row],[Key]],Data_Entry[Key],0)),"NA")</f>
        <v>0</v>
      </c>
      <c r="P203">
        <f ca="1">IF(Long_Data[[#This Row],[Indicator Class]]="Degree",INDEX(INDIRECT("Data_Entry['"&amp;Long_Data[[#This Row],[Indicator Number]]&amp;"'_DSev_5]"),MATCH(Long_Data[[#This Row],[Key]],Data_Entry[Key],0)),"NA")</f>
        <v>0</v>
      </c>
      <c r="Q203" t="str">
        <f ca="1">IFERROR(IF(Long_Data[[#This Row],[Indicator Class]]="Magnitude", INDEX(INDIRECT("Data_Entry[Sev_"&amp;Long_Data[[#This Row],[Indicator Number]]&amp;"]"),MATCH(Long_Data[[#This Row],[Key]], Data_Entry[Key],0)),"NA"),"")</f>
        <v>NA</v>
      </c>
      <c r="R20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3" s="70">
        <f ca="1">IFERROR(IF(J203="Magnitude",INDEX(INDIRECT("Data_Entry[PIN_"&amp;Long_Data[[#This Row],[Indicator Number]]&amp;"]"),MATCH(Long_Data[[#This Row],[Key]],Data_Entry[Key],0)),SUM(N203:P203)*INDEX(Baseline_Pop[Population],MATCH(Long_Data[[#This Row],[Key]],Baseline_Pop[Key],0))),"")</f>
        <v>6449.8463999999994</v>
      </c>
    </row>
    <row r="204" spans="2:19">
      <c r="B204">
        <v>203</v>
      </c>
      <c r="C204">
        <v>23</v>
      </c>
      <c r="D204" t="str">
        <f>IFERROR(INDEX(Data_Entry[ADM2_Pcode],MATCH('Step 4-Long Data'!C204,Data_Entry[ID],0)),"NA")</f>
        <v>AF03</v>
      </c>
      <c r="E204" t="str">
        <f>IFERROR(INDEX(Data_Entry[Key],MATCH('Step 4-Long Data'!C204,Data_Entry[ID],0)),"NA")</f>
        <v>AF03-Migrants</v>
      </c>
      <c r="F204">
        <v>7</v>
      </c>
      <c r="G204" t="str">
        <f>IFERROR(INDEX(Framework[Pillar],MATCH('Step 4-Long Data'!F204,Framework[Number],0)),"")</f>
        <v>Humanitarian Conditions</v>
      </c>
      <c r="H204" t="str">
        <f>IFERROR(INDEX(Framework[Sub_Pillar],MATCH('Step 4-Long Data'!F204,Framework[Number],0)),"")</f>
        <v>Living standards</v>
      </c>
      <c r="I204" t="str">
        <f>IFERROR(INDEX(Framework[Indicator],MATCH('Step 4-Long Data'!F204,Framework[Number],0)),"")</f>
        <v>% of  households had at least 1 child between the age of 11 - 17 working outside of the household in the last 30 days</v>
      </c>
      <c r="J204" t="str">
        <f>IFERROR(INDEX(Framework[Class],MATCH('Step 4-Long Data'!F204,Framework[Number],0)),"")</f>
        <v>Degree</v>
      </c>
      <c r="K204" t="str">
        <f>IFERROR(INDEX(Framework[Critical],MATCH('Step 4-Long Data'!F204,Framework[Number],0)),"")</f>
        <v>No</v>
      </c>
      <c r="L204">
        <f ca="1">IF(Long_Data[[#This Row],[Indicator Class]]="Degree",INDEX(INDIRECT("Data_Entry['"&amp;Long_Data[[#This Row],[Indicator Number]]&amp;"'_DSev_1]"),MATCH(Long_Data[[#This Row],[Key]],Data_Entry[Key],0)),"NA")</f>
        <v>0.84150000000000003</v>
      </c>
      <c r="M204">
        <f ca="1">IF(Long_Data[[#This Row],[Indicator Class]]="Degree",INDEX(INDIRECT("Data_Entry['"&amp;Long_Data[[#This Row],[Indicator Number]]&amp;"'_DSev_2]"),MATCH(Long_Data[[#This Row],[Key]],Data_Entry[Key],0)),"NA")</f>
        <v>0</v>
      </c>
      <c r="N204">
        <f ca="1">IF(Long_Data[[#This Row],[Indicator Class]]="Degree",INDEX(INDIRECT("Data_Entry['"&amp;Long_Data[[#This Row],[Indicator Number]]&amp;"'_DSev_3]"),MATCH(Long_Data[[#This Row],[Key]],Data_Entry[Key],0)),"NA")</f>
        <v>0.1585</v>
      </c>
      <c r="O204">
        <f ca="1">IF(Long_Data[[#This Row],[Indicator Class]]="Degree",INDEX(INDIRECT("Data_Entry['"&amp;Long_Data[[#This Row],[Indicator Number]]&amp;"'_DSev_4]"),MATCH(Long_Data[[#This Row],[Key]],Data_Entry[Key],0)),"NA")</f>
        <v>0</v>
      </c>
      <c r="P204">
        <f ca="1">IF(Long_Data[[#This Row],[Indicator Class]]="Degree",INDEX(INDIRECT("Data_Entry['"&amp;Long_Data[[#This Row],[Indicator Number]]&amp;"'_DSev_5]"),MATCH(Long_Data[[#This Row],[Key]],Data_Entry[Key],0)),"NA")</f>
        <v>0</v>
      </c>
      <c r="Q204" t="str">
        <f ca="1">IFERROR(IF(Long_Data[[#This Row],[Indicator Class]]="Magnitude", INDEX(INDIRECT("Data_Entry[Sev_"&amp;Long_Data[[#This Row],[Indicator Number]]&amp;"]"),MATCH(Long_Data[[#This Row],[Key]], Data_Entry[Key],0)),"NA"),"")</f>
        <v>NA</v>
      </c>
      <c r="R20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4" s="70">
        <f ca="1">IFERROR(IF(J204="Magnitude",INDEX(INDIRECT("Data_Entry[PIN_"&amp;Long_Data[[#This Row],[Indicator Number]]&amp;"]"),MATCH(Long_Data[[#This Row],[Key]],Data_Entry[Key],0)),SUM(N204:P204)*INDEX(Baseline_Pop[Population],MATCH(Long_Data[[#This Row],[Key]],Baseline_Pop[Key],0))),"")</f>
        <v>30106.124</v>
      </c>
    </row>
    <row r="205" spans="2:19">
      <c r="B205">
        <v>204</v>
      </c>
      <c r="C205">
        <v>24</v>
      </c>
      <c r="D205" t="str">
        <f>IFERROR(INDEX(Data_Entry[ADM2_Pcode],MATCH('Step 4-Long Data'!C205,Data_Entry[ID],0)),"NA")</f>
        <v>AF04</v>
      </c>
      <c r="E205" t="str">
        <f>IFERROR(INDEX(Data_Entry[Key],MATCH('Step 4-Long Data'!C205,Data_Entry[ID],0)),"NA")</f>
        <v>AF04-Migrants</v>
      </c>
      <c r="F205">
        <v>7</v>
      </c>
      <c r="G205" t="str">
        <f>IFERROR(INDEX(Framework[Pillar],MATCH('Step 4-Long Data'!F205,Framework[Number],0)),"")</f>
        <v>Humanitarian Conditions</v>
      </c>
      <c r="H205" t="str">
        <f>IFERROR(INDEX(Framework[Sub_Pillar],MATCH('Step 4-Long Data'!F205,Framework[Number],0)),"")</f>
        <v>Living standards</v>
      </c>
      <c r="I205" t="str">
        <f>IFERROR(INDEX(Framework[Indicator],MATCH('Step 4-Long Data'!F205,Framework[Number],0)),"")</f>
        <v>% of  households had at least 1 child between the age of 11 - 17 working outside of the household in the last 30 days</v>
      </c>
      <c r="J205" t="str">
        <f>IFERROR(INDEX(Framework[Class],MATCH('Step 4-Long Data'!F205,Framework[Number],0)),"")</f>
        <v>Degree</v>
      </c>
      <c r="K205" t="str">
        <f>IFERROR(INDEX(Framework[Critical],MATCH('Step 4-Long Data'!F205,Framework[Number],0)),"")</f>
        <v>No</v>
      </c>
      <c r="L205">
        <f ca="1">IF(Long_Data[[#This Row],[Indicator Class]]="Degree",INDEX(INDIRECT("Data_Entry['"&amp;Long_Data[[#This Row],[Indicator Number]]&amp;"'_DSev_1]"),MATCH(Long_Data[[#This Row],[Key]],Data_Entry[Key],0)),"NA")</f>
        <v>0.98799999999999999</v>
      </c>
      <c r="M205">
        <f ca="1">IF(Long_Data[[#This Row],[Indicator Class]]="Degree",INDEX(INDIRECT("Data_Entry['"&amp;Long_Data[[#This Row],[Indicator Number]]&amp;"'_DSev_2]"),MATCH(Long_Data[[#This Row],[Key]],Data_Entry[Key],0)),"NA")</f>
        <v>0</v>
      </c>
      <c r="N205">
        <f ca="1">IF(Long_Data[[#This Row],[Indicator Class]]="Degree",INDEX(INDIRECT("Data_Entry['"&amp;Long_Data[[#This Row],[Indicator Number]]&amp;"'_DSev_3]"),MATCH(Long_Data[[#This Row],[Key]],Data_Entry[Key],0)),"NA")</f>
        <v>1.2E-2</v>
      </c>
      <c r="O205">
        <f ca="1">IF(Long_Data[[#This Row],[Indicator Class]]="Degree",INDEX(INDIRECT("Data_Entry['"&amp;Long_Data[[#This Row],[Indicator Number]]&amp;"'_DSev_4]"),MATCH(Long_Data[[#This Row],[Key]],Data_Entry[Key],0)),"NA")</f>
        <v>0</v>
      </c>
      <c r="P205">
        <f ca="1">IF(Long_Data[[#This Row],[Indicator Class]]="Degree",INDEX(INDIRECT("Data_Entry['"&amp;Long_Data[[#This Row],[Indicator Number]]&amp;"'_DSev_5]"),MATCH(Long_Data[[#This Row],[Key]],Data_Entry[Key],0)),"NA")</f>
        <v>0</v>
      </c>
      <c r="Q205" t="str">
        <f ca="1">IFERROR(IF(Long_Data[[#This Row],[Indicator Class]]="Magnitude", INDEX(INDIRECT("Data_Entry[Sev_"&amp;Long_Data[[#This Row],[Indicator Number]]&amp;"]"),MATCH(Long_Data[[#This Row],[Key]], Data_Entry[Key],0)),"NA"),"")</f>
        <v>NA</v>
      </c>
      <c r="R20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5" s="70">
        <f ca="1">IFERROR(IF(J205="Magnitude",INDEX(INDIRECT("Data_Entry[PIN_"&amp;Long_Data[[#This Row],[Indicator Number]]&amp;"]"),MATCH(Long_Data[[#This Row],[Key]],Data_Entry[Key],0)),SUM(N205:P205)*INDEX(Baseline_Pop[Population],MATCH(Long_Data[[#This Row],[Key]],Baseline_Pop[Key],0))),"")</f>
        <v>2040.048</v>
      </c>
    </row>
    <row r="206" spans="2:19">
      <c r="B206">
        <v>205</v>
      </c>
      <c r="C206">
        <v>25</v>
      </c>
      <c r="D206" t="str">
        <f>IFERROR(INDEX(Data_Entry[ADM2_Pcode],MATCH('Step 4-Long Data'!C206,Data_Entry[ID],0)),"NA")</f>
        <v>AF05</v>
      </c>
      <c r="E206" t="str">
        <f>IFERROR(INDEX(Data_Entry[Key],MATCH('Step 4-Long Data'!C206,Data_Entry[ID],0)),"NA")</f>
        <v>AF05-Migrants</v>
      </c>
      <c r="F206">
        <v>7</v>
      </c>
      <c r="G206" t="str">
        <f>IFERROR(INDEX(Framework[Pillar],MATCH('Step 4-Long Data'!F206,Framework[Number],0)),"")</f>
        <v>Humanitarian Conditions</v>
      </c>
      <c r="H206" t="str">
        <f>IFERROR(INDEX(Framework[Sub_Pillar],MATCH('Step 4-Long Data'!F206,Framework[Number],0)),"")</f>
        <v>Living standards</v>
      </c>
      <c r="I206" t="str">
        <f>IFERROR(INDEX(Framework[Indicator],MATCH('Step 4-Long Data'!F206,Framework[Number],0)),"")</f>
        <v>% of  households had at least 1 child between the age of 11 - 17 working outside of the household in the last 30 days</v>
      </c>
      <c r="J206" t="str">
        <f>IFERROR(INDEX(Framework[Class],MATCH('Step 4-Long Data'!F206,Framework[Number],0)),"")</f>
        <v>Degree</v>
      </c>
      <c r="K206" t="str">
        <f>IFERROR(INDEX(Framework[Critical],MATCH('Step 4-Long Data'!F206,Framework[Number],0)),"")</f>
        <v>No</v>
      </c>
      <c r="L206">
        <f ca="1">IF(Long_Data[[#This Row],[Indicator Class]]="Degree",INDEX(INDIRECT("Data_Entry['"&amp;Long_Data[[#This Row],[Indicator Number]]&amp;"'_DSev_1]"),MATCH(Long_Data[[#This Row],[Key]],Data_Entry[Key],0)),"NA")</f>
        <v>0.92200000000000004</v>
      </c>
      <c r="M206">
        <f ca="1">IF(Long_Data[[#This Row],[Indicator Class]]="Degree",INDEX(INDIRECT("Data_Entry['"&amp;Long_Data[[#This Row],[Indicator Number]]&amp;"'_DSev_2]"),MATCH(Long_Data[[#This Row],[Key]],Data_Entry[Key],0)),"NA")</f>
        <v>0</v>
      </c>
      <c r="N206">
        <f ca="1">IF(Long_Data[[#This Row],[Indicator Class]]="Degree",INDEX(INDIRECT("Data_Entry['"&amp;Long_Data[[#This Row],[Indicator Number]]&amp;"'_DSev_3]"),MATCH(Long_Data[[#This Row],[Key]],Data_Entry[Key],0)),"NA")</f>
        <v>7.8E-2</v>
      </c>
      <c r="O206">
        <f ca="1">IF(Long_Data[[#This Row],[Indicator Class]]="Degree",INDEX(INDIRECT("Data_Entry['"&amp;Long_Data[[#This Row],[Indicator Number]]&amp;"'_DSev_4]"),MATCH(Long_Data[[#This Row],[Key]],Data_Entry[Key],0)),"NA")</f>
        <v>0</v>
      </c>
      <c r="P206">
        <f ca="1">IF(Long_Data[[#This Row],[Indicator Class]]="Degree",INDEX(INDIRECT("Data_Entry['"&amp;Long_Data[[#This Row],[Indicator Number]]&amp;"'_DSev_5]"),MATCH(Long_Data[[#This Row],[Key]],Data_Entry[Key],0)),"NA")</f>
        <v>0</v>
      </c>
      <c r="Q206" t="str">
        <f ca="1">IFERROR(IF(Long_Data[[#This Row],[Indicator Class]]="Magnitude", INDEX(INDIRECT("Data_Entry[Sev_"&amp;Long_Data[[#This Row],[Indicator Number]]&amp;"]"),MATCH(Long_Data[[#This Row],[Key]], Data_Entry[Key],0)),"NA"),"")</f>
        <v>NA</v>
      </c>
      <c r="R20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6" s="70">
        <f ca="1">IFERROR(IF(J206="Magnitude",INDEX(INDIRECT("Data_Entry[PIN_"&amp;Long_Data[[#This Row],[Indicator Number]]&amp;"]"),MATCH(Long_Data[[#This Row],[Key]],Data_Entry[Key],0)),SUM(N206:P206)*INDEX(Baseline_Pop[Population],MATCH(Long_Data[[#This Row],[Key]],Baseline_Pop[Key],0))),"")</f>
        <v>8723.7540000000008</v>
      </c>
    </row>
    <row r="207" spans="2:19">
      <c r="B207">
        <v>206</v>
      </c>
      <c r="C207">
        <v>26</v>
      </c>
      <c r="D207" t="str">
        <f>IFERROR(INDEX(Data_Entry[ADM2_Pcode],MATCH('Step 4-Long Data'!C207,Data_Entry[ID],0)),"NA")</f>
        <v>AF06</v>
      </c>
      <c r="E207" t="str">
        <f>IFERROR(INDEX(Data_Entry[Key],MATCH('Step 4-Long Data'!C207,Data_Entry[ID],0)),"NA")</f>
        <v>AF06-Migrants</v>
      </c>
      <c r="F207">
        <v>7</v>
      </c>
      <c r="G207" t="str">
        <f>IFERROR(INDEX(Framework[Pillar],MATCH('Step 4-Long Data'!F207,Framework[Number],0)),"")</f>
        <v>Humanitarian Conditions</v>
      </c>
      <c r="H207" t="str">
        <f>IFERROR(INDEX(Framework[Sub_Pillar],MATCH('Step 4-Long Data'!F207,Framework[Number],0)),"")</f>
        <v>Living standards</v>
      </c>
      <c r="I207" t="str">
        <f>IFERROR(INDEX(Framework[Indicator],MATCH('Step 4-Long Data'!F207,Framework[Number],0)),"")</f>
        <v>% of  households had at least 1 child between the age of 11 - 17 working outside of the household in the last 30 days</v>
      </c>
      <c r="J207" t="str">
        <f>IFERROR(INDEX(Framework[Class],MATCH('Step 4-Long Data'!F207,Framework[Number],0)),"")</f>
        <v>Degree</v>
      </c>
      <c r="K207" t="str">
        <f>IFERROR(INDEX(Framework[Critical],MATCH('Step 4-Long Data'!F207,Framework[Number],0)),"")</f>
        <v>No</v>
      </c>
      <c r="L207">
        <f ca="1">IF(Long_Data[[#This Row],[Indicator Class]]="Degree",INDEX(INDIRECT("Data_Entry['"&amp;Long_Data[[#This Row],[Indicator Number]]&amp;"'_DSev_1]"),MATCH(Long_Data[[#This Row],[Key]],Data_Entry[Key],0)),"NA")</f>
        <v>0.91249999999999998</v>
      </c>
      <c r="M207">
        <f ca="1">IF(Long_Data[[#This Row],[Indicator Class]]="Degree",INDEX(INDIRECT("Data_Entry['"&amp;Long_Data[[#This Row],[Indicator Number]]&amp;"'_DSev_2]"),MATCH(Long_Data[[#This Row],[Key]],Data_Entry[Key],0)),"NA")</f>
        <v>0</v>
      </c>
      <c r="N207">
        <f ca="1">IF(Long_Data[[#This Row],[Indicator Class]]="Degree",INDEX(INDIRECT("Data_Entry['"&amp;Long_Data[[#This Row],[Indicator Number]]&amp;"'_DSev_3]"),MATCH(Long_Data[[#This Row],[Key]],Data_Entry[Key],0)),"NA")</f>
        <v>8.7499999999999994E-2</v>
      </c>
      <c r="O207">
        <f ca="1">IF(Long_Data[[#This Row],[Indicator Class]]="Degree",INDEX(INDIRECT("Data_Entry['"&amp;Long_Data[[#This Row],[Indicator Number]]&amp;"'_DSev_4]"),MATCH(Long_Data[[#This Row],[Key]],Data_Entry[Key],0)),"NA")</f>
        <v>0</v>
      </c>
      <c r="P207">
        <f ca="1">IF(Long_Data[[#This Row],[Indicator Class]]="Degree",INDEX(INDIRECT("Data_Entry['"&amp;Long_Data[[#This Row],[Indicator Number]]&amp;"'_DSev_5]"),MATCH(Long_Data[[#This Row],[Key]],Data_Entry[Key],0)),"NA")</f>
        <v>0</v>
      </c>
      <c r="Q207" t="str">
        <f ca="1">IFERROR(IF(Long_Data[[#This Row],[Indicator Class]]="Magnitude", INDEX(INDIRECT("Data_Entry[Sev_"&amp;Long_Data[[#This Row],[Indicator Number]]&amp;"]"),MATCH(Long_Data[[#This Row],[Key]], Data_Entry[Key],0)),"NA"),"")</f>
        <v>NA</v>
      </c>
      <c r="R207">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7" s="70">
        <f ca="1">IFERROR(IF(J207="Magnitude",INDEX(INDIRECT("Data_Entry[PIN_"&amp;Long_Data[[#This Row],[Indicator Number]]&amp;"]"),MATCH(Long_Data[[#This Row],[Key]],Data_Entry[Key],0)),SUM(N207:P207)*INDEX(Baseline_Pop[Population],MATCH(Long_Data[[#This Row],[Key]],Baseline_Pop[Key],0))),"")</f>
        <v>38338.474999999999</v>
      </c>
    </row>
    <row r="208" spans="2:19">
      <c r="B208">
        <v>207</v>
      </c>
      <c r="C208">
        <v>27</v>
      </c>
      <c r="D208" t="str">
        <f>IFERROR(INDEX(Data_Entry[ADM2_Pcode],MATCH('Step 4-Long Data'!C208,Data_Entry[ID],0)),"NA")</f>
        <v>AF07</v>
      </c>
      <c r="E208" t="str">
        <f>IFERROR(INDEX(Data_Entry[Key],MATCH('Step 4-Long Data'!C208,Data_Entry[ID],0)),"NA")</f>
        <v>AF07-Migrants</v>
      </c>
      <c r="F208">
        <v>7</v>
      </c>
      <c r="G208" t="str">
        <f>IFERROR(INDEX(Framework[Pillar],MATCH('Step 4-Long Data'!F208,Framework[Number],0)),"")</f>
        <v>Humanitarian Conditions</v>
      </c>
      <c r="H208" t="str">
        <f>IFERROR(INDEX(Framework[Sub_Pillar],MATCH('Step 4-Long Data'!F208,Framework[Number],0)),"")</f>
        <v>Living standards</v>
      </c>
      <c r="I208" t="str">
        <f>IFERROR(INDEX(Framework[Indicator],MATCH('Step 4-Long Data'!F208,Framework[Number],0)),"")</f>
        <v>% of  households had at least 1 child between the age of 11 - 17 working outside of the household in the last 30 days</v>
      </c>
      <c r="J208" t="str">
        <f>IFERROR(INDEX(Framework[Class],MATCH('Step 4-Long Data'!F208,Framework[Number],0)),"")</f>
        <v>Degree</v>
      </c>
      <c r="K208" t="str">
        <f>IFERROR(INDEX(Framework[Critical],MATCH('Step 4-Long Data'!F208,Framework[Number],0)),"")</f>
        <v>No</v>
      </c>
      <c r="L208">
        <f ca="1">IF(Long_Data[[#This Row],[Indicator Class]]="Degree",INDEX(INDIRECT("Data_Entry['"&amp;Long_Data[[#This Row],[Indicator Number]]&amp;"'_DSev_1]"),MATCH(Long_Data[[#This Row],[Key]],Data_Entry[Key],0)),"NA")</f>
        <v>0.96660000000000001</v>
      </c>
      <c r="M208">
        <f ca="1">IF(Long_Data[[#This Row],[Indicator Class]]="Degree",INDEX(INDIRECT("Data_Entry['"&amp;Long_Data[[#This Row],[Indicator Number]]&amp;"'_DSev_2]"),MATCH(Long_Data[[#This Row],[Key]],Data_Entry[Key],0)),"NA")</f>
        <v>0</v>
      </c>
      <c r="N208">
        <f ca="1">IF(Long_Data[[#This Row],[Indicator Class]]="Degree",INDEX(INDIRECT("Data_Entry['"&amp;Long_Data[[#This Row],[Indicator Number]]&amp;"'_DSev_3]"),MATCH(Long_Data[[#This Row],[Key]],Data_Entry[Key],0)),"NA")</f>
        <v>3.3399999999999999E-2</v>
      </c>
      <c r="O208">
        <f ca="1">IF(Long_Data[[#This Row],[Indicator Class]]="Degree",INDEX(INDIRECT("Data_Entry['"&amp;Long_Data[[#This Row],[Indicator Number]]&amp;"'_DSev_4]"),MATCH(Long_Data[[#This Row],[Key]],Data_Entry[Key],0)),"NA")</f>
        <v>0</v>
      </c>
      <c r="P208">
        <f ca="1">IF(Long_Data[[#This Row],[Indicator Class]]="Degree",INDEX(INDIRECT("Data_Entry['"&amp;Long_Data[[#This Row],[Indicator Number]]&amp;"'_DSev_5]"),MATCH(Long_Data[[#This Row],[Key]],Data_Entry[Key],0)),"NA")</f>
        <v>0</v>
      </c>
      <c r="Q208" t="str">
        <f ca="1">IFERROR(IF(Long_Data[[#This Row],[Indicator Class]]="Magnitude", INDEX(INDIRECT("Data_Entry[Sev_"&amp;Long_Data[[#This Row],[Indicator Number]]&amp;"]"),MATCH(Long_Data[[#This Row],[Key]], Data_Entry[Key],0)),"NA"),"")</f>
        <v>NA</v>
      </c>
      <c r="R20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8" s="70">
        <f ca="1">IFERROR(IF(J208="Magnitude",INDEX(INDIRECT("Data_Entry[PIN_"&amp;Long_Data[[#This Row],[Indicator Number]]&amp;"]"),MATCH(Long_Data[[#This Row],[Key]],Data_Entry[Key],0)),SUM(N208:P208)*INDEX(Baseline_Pop[Population],MATCH(Long_Data[[#This Row],[Key]],Baseline_Pop[Key],0))),"")</f>
        <v>4243.9041999999999</v>
      </c>
    </row>
    <row r="209" spans="2:19">
      <c r="B209">
        <v>208</v>
      </c>
      <c r="C209">
        <v>28</v>
      </c>
      <c r="D209" t="str">
        <f>IFERROR(INDEX(Data_Entry[ADM2_Pcode],MATCH('Step 4-Long Data'!C209,Data_Entry[ID],0)),"NA")</f>
        <v>AF08</v>
      </c>
      <c r="E209" t="str">
        <f>IFERROR(INDEX(Data_Entry[Key],MATCH('Step 4-Long Data'!C209,Data_Entry[ID],0)),"NA")</f>
        <v>AF08-Migrants</v>
      </c>
      <c r="F209">
        <v>7</v>
      </c>
      <c r="G209" t="str">
        <f>IFERROR(INDEX(Framework[Pillar],MATCH('Step 4-Long Data'!F209,Framework[Number],0)),"")</f>
        <v>Humanitarian Conditions</v>
      </c>
      <c r="H209" t="str">
        <f>IFERROR(INDEX(Framework[Sub_Pillar],MATCH('Step 4-Long Data'!F209,Framework[Number],0)),"")</f>
        <v>Living standards</v>
      </c>
      <c r="I209" t="str">
        <f>IFERROR(INDEX(Framework[Indicator],MATCH('Step 4-Long Data'!F209,Framework[Number],0)),"")</f>
        <v>% of  households had at least 1 child between the age of 11 - 17 working outside of the household in the last 30 days</v>
      </c>
      <c r="J209" t="str">
        <f>IFERROR(INDEX(Framework[Class],MATCH('Step 4-Long Data'!F209,Framework[Number],0)),"")</f>
        <v>Degree</v>
      </c>
      <c r="K209" t="str">
        <f>IFERROR(INDEX(Framework[Critical],MATCH('Step 4-Long Data'!F209,Framework[Number],0)),"")</f>
        <v>No</v>
      </c>
      <c r="L209">
        <f ca="1">IF(Long_Data[[#This Row],[Indicator Class]]="Degree",INDEX(INDIRECT("Data_Entry['"&amp;Long_Data[[#This Row],[Indicator Number]]&amp;"'_DSev_1]"),MATCH(Long_Data[[#This Row],[Key]],Data_Entry[Key],0)),"NA")</f>
        <v>0.97010000000000007</v>
      </c>
      <c r="M209">
        <f ca="1">IF(Long_Data[[#This Row],[Indicator Class]]="Degree",INDEX(INDIRECT("Data_Entry['"&amp;Long_Data[[#This Row],[Indicator Number]]&amp;"'_DSev_2]"),MATCH(Long_Data[[#This Row],[Key]],Data_Entry[Key],0)),"NA")</f>
        <v>0</v>
      </c>
      <c r="N209">
        <f ca="1">IF(Long_Data[[#This Row],[Indicator Class]]="Degree",INDEX(INDIRECT("Data_Entry['"&amp;Long_Data[[#This Row],[Indicator Number]]&amp;"'_DSev_3]"),MATCH(Long_Data[[#This Row],[Key]],Data_Entry[Key],0)),"NA")</f>
        <v>2.9900000000000003E-2</v>
      </c>
      <c r="O209">
        <f ca="1">IF(Long_Data[[#This Row],[Indicator Class]]="Degree",INDEX(INDIRECT("Data_Entry['"&amp;Long_Data[[#This Row],[Indicator Number]]&amp;"'_DSev_4]"),MATCH(Long_Data[[#This Row],[Key]],Data_Entry[Key],0)),"NA")</f>
        <v>0</v>
      </c>
      <c r="P209">
        <f ca="1">IF(Long_Data[[#This Row],[Indicator Class]]="Degree",INDEX(INDIRECT("Data_Entry['"&amp;Long_Data[[#This Row],[Indicator Number]]&amp;"'_DSev_5]"),MATCH(Long_Data[[#This Row],[Key]],Data_Entry[Key],0)),"NA")</f>
        <v>0</v>
      </c>
      <c r="Q209" t="str">
        <f ca="1">IFERROR(IF(Long_Data[[#This Row],[Indicator Class]]="Magnitude", INDEX(INDIRECT("Data_Entry[Sev_"&amp;Long_Data[[#This Row],[Indicator Number]]&amp;"]"),MATCH(Long_Data[[#This Row],[Key]], Data_Entry[Key],0)),"NA"),"")</f>
        <v>NA</v>
      </c>
      <c r="R20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09" s="70">
        <f ca="1">IFERROR(IF(J209="Magnitude",INDEX(INDIRECT("Data_Entry[PIN_"&amp;Long_Data[[#This Row],[Indicator Number]]&amp;"]"),MATCH(Long_Data[[#This Row],[Key]],Data_Entry[Key],0)),SUM(N209:P209)*INDEX(Baseline_Pop[Population],MATCH(Long_Data[[#This Row],[Key]],Baseline_Pop[Key],0))),"")</f>
        <v>1308.2147000000002</v>
      </c>
    </row>
    <row r="210" spans="2:19">
      <c r="B210">
        <v>209</v>
      </c>
      <c r="C210">
        <v>29</v>
      </c>
      <c r="D210" t="str">
        <f>IFERROR(INDEX(Data_Entry[ADM2_Pcode],MATCH('Step 4-Long Data'!C210,Data_Entry[ID],0)),"NA")</f>
        <v>AF09</v>
      </c>
      <c r="E210" t="str">
        <f>IFERROR(INDEX(Data_Entry[Key],MATCH('Step 4-Long Data'!C210,Data_Entry[ID],0)),"NA")</f>
        <v>AF09-Migrants</v>
      </c>
      <c r="F210">
        <v>7</v>
      </c>
      <c r="G210" t="str">
        <f>IFERROR(INDEX(Framework[Pillar],MATCH('Step 4-Long Data'!F210,Framework[Number],0)),"")</f>
        <v>Humanitarian Conditions</v>
      </c>
      <c r="H210" t="str">
        <f>IFERROR(INDEX(Framework[Sub_Pillar],MATCH('Step 4-Long Data'!F210,Framework[Number],0)),"")</f>
        <v>Living standards</v>
      </c>
      <c r="I210" t="str">
        <f>IFERROR(INDEX(Framework[Indicator],MATCH('Step 4-Long Data'!F210,Framework[Number],0)),"")</f>
        <v>% of  households had at least 1 child between the age of 11 - 17 working outside of the household in the last 30 days</v>
      </c>
      <c r="J210" t="str">
        <f>IFERROR(INDEX(Framework[Class],MATCH('Step 4-Long Data'!F210,Framework[Number],0)),"")</f>
        <v>Degree</v>
      </c>
      <c r="K210" t="str">
        <f>IFERROR(INDEX(Framework[Critical],MATCH('Step 4-Long Data'!F210,Framework[Number],0)),"")</f>
        <v>No</v>
      </c>
      <c r="L210">
        <f ca="1">IF(Long_Data[[#This Row],[Indicator Class]]="Degree",INDEX(INDIRECT("Data_Entry['"&amp;Long_Data[[#This Row],[Indicator Number]]&amp;"'_DSev_1]"),MATCH(Long_Data[[#This Row],[Key]],Data_Entry[Key],0)),"NA")</f>
        <v>0.95819999999999994</v>
      </c>
      <c r="M210">
        <f ca="1">IF(Long_Data[[#This Row],[Indicator Class]]="Degree",INDEX(INDIRECT("Data_Entry['"&amp;Long_Data[[#This Row],[Indicator Number]]&amp;"'_DSev_2]"),MATCH(Long_Data[[#This Row],[Key]],Data_Entry[Key],0)),"NA")</f>
        <v>0</v>
      </c>
      <c r="N210">
        <f ca="1">IF(Long_Data[[#This Row],[Indicator Class]]="Degree",INDEX(INDIRECT("Data_Entry['"&amp;Long_Data[[#This Row],[Indicator Number]]&amp;"'_DSev_3]"),MATCH(Long_Data[[#This Row],[Key]],Data_Entry[Key],0)),"NA")</f>
        <v>4.1799999999999997E-2</v>
      </c>
      <c r="O210">
        <f ca="1">IF(Long_Data[[#This Row],[Indicator Class]]="Degree",INDEX(INDIRECT("Data_Entry['"&amp;Long_Data[[#This Row],[Indicator Number]]&amp;"'_DSev_4]"),MATCH(Long_Data[[#This Row],[Key]],Data_Entry[Key],0)),"NA")</f>
        <v>0</v>
      </c>
      <c r="P210">
        <f ca="1">IF(Long_Data[[#This Row],[Indicator Class]]="Degree",INDEX(INDIRECT("Data_Entry['"&amp;Long_Data[[#This Row],[Indicator Number]]&amp;"'_DSev_5]"),MATCH(Long_Data[[#This Row],[Key]],Data_Entry[Key],0)),"NA")</f>
        <v>0</v>
      </c>
      <c r="Q210" t="str">
        <f ca="1">IFERROR(IF(Long_Data[[#This Row],[Indicator Class]]="Magnitude", INDEX(INDIRECT("Data_Entry[Sev_"&amp;Long_Data[[#This Row],[Indicator Number]]&amp;"]"),MATCH(Long_Data[[#This Row],[Key]], Data_Entry[Key],0)),"NA"),"")</f>
        <v>NA</v>
      </c>
      <c r="R210">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0" s="70">
        <f ca="1">IFERROR(IF(J210="Magnitude",INDEX(INDIRECT("Data_Entry[PIN_"&amp;Long_Data[[#This Row],[Indicator Number]]&amp;"]"),MATCH(Long_Data[[#This Row],[Key]],Data_Entry[Key],0)),SUM(N210:P210)*INDEX(Baseline_Pop[Population],MATCH(Long_Data[[#This Row],[Key]],Baseline_Pop[Key],0))),"")</f>
        <v>10920.208199999999</v>
      </c>
    </row>
    <row r="211" spans="2:19">
      <c r="B211">
        <v>210</v>
      </c>
      <c r="C211">
        <v>30</v>
      </c>
      <c r="D211" t="str">
        <f>IFERROR(INDEX(Data_Entry[ADM2_Pcode],MATCH('Step 4-Long Data'!C211,Data_Entry[ID],0)),"NA")</f>
        <v>AF10</v>
      </c>
      <c r="E211" t="str">
        <f>IFERROR(INDEX(Data_Entry[Key],MATCH('Step 4-Long Data'!C211,Data_Entry[ID],0)),"NA")</f>
        <v>AF10-Migrants</v>
      </c>
      <c r="F211">
        <v>7</v>
      </c>
      <c r="G211" t="str">
        <f>IFERROR(INDEX(Framework[Pillar],MATCH('Step 4-Long Data'!F211,Framework[Number],0)),"")</f>
        <v>Humanitarian Conditions</v>
      </c>
      <c r="H211" t="str">
        <f>IFERROR(INDEX(Framework[Sub_Pillar],MATCH('Step 4-Long Data'!F211,Framework[Number],0)),"")</f>
        <v>Living standards</v>
      </c>
      <c r="I211" t="str">
        <f>IFERROR(INDEX(Framework[Indicator],MATCH('Step 4-Long Data'!F211,Framework[Number],0)),"")</f>
        <v>% of  households had at least 1 child between the age of 11 - 17 working outside of the household in the last 30 days</v>
      </c>
      <c r="J211" t="str">
        <f>IFERROR(INDEX(Framework[Class],MATCH('Step 4-Long Data'!F211,Framework[Number],0)),"")</f>
        <v>Degree</v>
      </c>
      <c r="K211" t="str">
        <f>IFERROR(INDEX(Framework[Critical],MATCH('Step 4-Long Data'!F211,Framework[Number],0)),"")</f>
        <v>No</v>
      </c>
      <c r="L211">
        <f ca="1">IF(Long_Data[[#This Row],[Indicator Class]]="Degree",INDEX(INDIRECT("Data_Entry['"&amp;Long_Data[[#This Row],[Indicator Number]]&amp;"'_DSev_1]"),MATCH(Long_Data[[#This Row],[Key]],Data_Entry[Key],0)),"NA")</f>
        <v>0.88890000000000002</v>
      </c>
      <c r="M211">
        <f ca="1">IF(Long_Data[[#This Row],[Indicator Class]]="Degree",INDEX(INDIRECT("Data_Entry['"&amp;Long_Data[[#This Row],[Indicator Number]]&amp;"'_DSev_2]"),MATCH(Long_Data[[#This Row],[Key]],Data_Entry[Key],0)),"NA")</f>
        <v>0</v>
      </c>
      <c r="N211">
        <f ca="1">IF(Long_Data[[#This Row],[Indicator Class]]="Degree",INDEX(INDIRECT("Data_Entry['"&amp;Long_Data[[#This Row],[Indicator Number]]&amp;"'_DSev_3]"),MATCH(Long_Data[[#This Row],[Key]],Data_Entry[Key],0)),"NA")</f>
        <v>0.11109999999999999</v>
      </c>
      <c r="O211">
        <f ca="1">IF(Long_Data[[#This Row],[Indicator Class]]="Degree",INDEX(INDIRECT("Data_Entry['"&amp;Long_Data[[#This Row],[Indicator Number]]&amp;"'_DSev_4]"),MATCH(Long_Data[[#This Row],[Key]],Data_Entry[Key],0)),"NA")</f>
        <v>0</v>
      </c>
      <c r="P211">
        <f ca="1">IF(Long_Data[[#This Row],[Indicator Class]]="Degree",INDEX(INDIRECT("Data_Entry['"&amp;Long_Data[[#This Row],[Indicator Number]]&amp;"'_DSev_5]"),MATCH(Long_Data[[#This Row],[Key]],Data_Entry[Key],0)),"NA")</f>
        <v>0</v>
      </c>
      <c r="Q211" t="str">
        <f ca="1">IFERROR(IF(Long_Data[[#This Row],[Indicator Class]]="Magnitude", INDEX(INDIRECT("Data_Entry[Sev_"&amp;Long_Data[[#This Row],[Indicator Number]]&amp;"]"),MATCH(Long_Data[[#This Row],[Key]], Data_Entry[Key],0)),"NA"),"")</f>
        <v>NA</v>
      </c>
      <c r="R21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1" s="70">
        <f ca="1">IFERROR(IF(J211="Magnitude",INDEX(INDIRECT("Data_Entry[PIN_"&amp;Long_Data[[#This Row],[Indicator Number]]&amp;"]"),MATCH(Long_Data[[#This Row],[Key]],Data_Entry[Key],0)),SUM(N211:P211)*INDEX(Baseline_Pop[Population],MATCH(Long_Data[[#This Row],[Key]],Baseline_Pop[Key],0))),"")</f>
        <v>14176.026699999999</v>
      </c>
    </row>
    <row r="212" spans="2:19">
      <c r="B212">
        <v>211</v>
      </c>
      <c r="C212">
        <v>1</v>
      </c>
      <c r="D212" t="str">
        <f>IFERROR(INDEX(Data_Entry[ADM2_Pcode],MATCH('Step 4-Long Data'!C212,Data_Entry[ID],0)),"NA")</f>
        <v>AF01</v>
      </c>
      <c r="E212" t="str">
        <f>IFERROR(INDEX(Data_Entry[Key],MATCH('Step 4-Long Data'!C212,Data_Entry[ID],0)),"NA")</f>
        <v>AF01-All_Others</v>
      </c>
      <c r="F212">
        <v>8</v>
      </c>
      <c r="G212" t="str">
        <f>IFERROR(INDEX(Framework[Pillar],MATCH('Step 4-Long Data'!F212,Framework[Number],0)),"")</f>
        <v>Humanitarian Conditions</v>
      </c>
      <c r="H212" t="str">
        <f>IFERROR(INDEX(Framework[Sub_Pillar],MATCH('Step 4-Long Data'!F212,Framework[Number],0)),"")</f>
        <v>Coping mechanisms</v>
      </c>
      <c r="I212" t="str">
        <f>IFERROR(INDEX(Framework[Indicator],MATCH('Step 4-Long Data'!F212,Framework[Number],0)),"")</f>
        <v>% of households reporting  "Marriage of daughters earlier than intended" due to lack of food or income to buy food in the last 30 days (yes, or unable due to strategy exhausted)</v>
      </c>
      <c r="J212" t="str">
        <f>IFERROR(INDEX(Framework[Class],MATCH('Step 4-Long Data'!F212,Framework[Number],0)),"")</f>
        <v>Degree</v>
      </c>
      <c r="K212" t="str">
        <f>IFERROR(INDEX(Framework[Critical],MATCH('Step 4-Long Data'!F212,Framework[Number],0)),"")</f>
        <v>No</v>
      </c>
      <c r="L212">
        <f ca="1">IF(Long_Data[[#This Row],[Indicator Class]]="Degree",INDEX(INDIRECT("Data_Entry['"&amp;Long_Data[[#This Row],[Indicator Number]]&amp;"'_DSev_1]"),MATCH(Long_Data[[#This Row],[Key]],Data_Entry[Key],0)),"NA")</f>
        <v>0.98611111111111105</v>
      </c>
      <c r="M212">
        <f ca="1">IF(Long_Data[[#This Row],[Indicator Class]]="Degree",INDEX(INDIRECT("Data_Entry['"&amp;Long_Data[[#This Row],[Indicator Number]]&amp;"'_DSev_2]"),MATCH(Long_Data[[#This Row],[Key]],Data_Entry[Key],0)),"NA")</f>
        <v>0</v>
      </c>
      <c r="N212">
        <f ca="1">IF(Long_Data[[#This Row],[Indicator Class]]="Degree",INDEX(INDIRECT("Data_Entry['"&amp;Long_Data[[#This Row],[Indicator Number]]&amp;"'_DSev_3]"),MATCH(Long_Data[[#This Row],[Key]],Data_Entry[Key],0)),"NA")</f>
        <v>0</v>
      </c>
      <c r="O212">
        <f ca="1">IF(Long_Data[[#This Row],[Indicator Class]]="Degree",INDEX(INDIRECT("Data_Entry['"&amp;Long_Data[[#This Row],[Indicator Number]]&amp;"'_DSev_4]"),MATCH(Long_Data[[#This Row],[Key]],Data_Entry[Key],0)),"NA")</f>
        <v>1.38888888888889E-2</v>
      </c>
      <c r="P212">
        <f ca="1">IF(Long_Data[[#This Row],[Indicator Class]]="Degree",INDEX(INDIRECT("Data_Entry['"&amp;Long_Data[[#This Row],[Indicator Number]]&amp;"'_DSev_5]"),MATCH(Long_Data[[#This Row],[Key]],Data_Entry[Key],0)),"NA")</f>
        <v>0</v>
      </c>
      <c r="Q212" t="str">
        <f ca="1">IFERROR(IF(Long_Data[[#This Row],[Indicator Class]]="Magnitude", INDEX(INDIRECT("Data_Entry[Sev_"&amp;Long_Data[[#This Row],[Indicator Number]]&amp;"]"),MATCH(Long_Data[[#This Row],[Key]], Data_Entry[Key],0)),"NA"),"")</f>
        <v>NA</v>
      </c>
      <c r="R21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2" s="70">
        <f ca="1">IFERROR(IF(J212="Magnitude",INDEX(INDIRECT("Data_Entry[PIN_"&amp;Long_Data[[#This Row],[Indicator Number]]&amp;"]"),MATCH(Long_Data[[#This Row],[Key]],Data_Entry[Key],0)),SUM(N212:P212)*INDEX(Baseline_Pop[Population],MATCH(Long_Data[[#This Row],[Key]],Baseline_Pop[Key],0))),"")</f>
        <v>65143.902777777832</v>
      </c>
    </row>
    <row r="213" spans="2:19">
      <c r="B213">
        <v>212</v>
      </c>
      <c r="C213">
        <v>2</v>
      </c>
      <c r="D213" t="str">
        <f>IFERROR(INDEX(Data_Entry[ADM2_Pcode],MATCH('Step 4-Long Data'!C213,Data_Entry[ID],0)),"NA")</f>
        <v>AF02</v>
      </c>
      <c r="E213" t="str">
        <f>IFERROR(INDEX(Data_Entry[Key],MATCH('Step 4-Long Data'!C213,Data_Entry[ID],0)),"NA")</f>
        <v>AF02-All_Others</v>
      </c>
      <c r="F213">
        <v>8</v>
      </c>
      <c r="G213" t="str">
        <f>IFERROR(INDEX(Framework[Pillar],MATCH('Step 4-Long Data'!F213,Framework[Number],0)),"")</f>
        <v>Humanitarian Conditions</v>
      </c>
      <c r="H213" t="str">
        <f>IFERROR(INDEX(Framework[Sub_Pillar],MATCH('Step 4-Long Data'!F213,Framework[Number],0)),"")</f>
        <v>Coping mechanisms</v>
      </c>
      <c r="I213" t="str">
        <f>IFERROR(INDEX(Framework[Indicator],MATCH('Step 4-Long Data'!F213,Framework[Number],0)),"")</f>
        <v>% of households reporting  "Marriage of daughters earlier than intended" due to lack of food or income to buy food in the last 30 days (yes, or unable due to strategy exhausted)</v>
      </c>
      <c r="J213" t="str">
        <f>IFERROR(INDEX(Framework[Class],MATCH('Step 4-Long Data'!F213,Framework[Number],0)),"")</f>
        <v>Degree</v>
      </c>
      <c r="K213" t="str">
        <f>IFERROR(INDEX(Framework[Critical],MATCH('Step 4-Long Data'!F213,Framework[Number],0)),"")</f>
        <v>No</v>
      </c>
      <c r="L213">
        <f ca="1">IF(Long_Data[[#This Row],[Indicator Class]]="Degree",INDEX(INDIRECT("Data_Entry['"&amp;Long_Data[[#This Row],[Indicator Number]]&amp;"'_DSev_1]"),MATCH(Long_Data[[#This Row],[Key]],Data_Entry[Key],0)),"NA")</f>
        <v>1</v>
      </c>
      <c r="M213">
        <f ca="1">IF(Long_Data[[#This Row],[Indicator Class]]="Degree",INDEX(INDIRECT("Data_Entry['"&amp;Long_Data[[#This Row],[Indicator Number]]&amp;"'_DSev_2]"),MATCH(Long_Data[[#This Row],[Key]],Data_Entry[Key],0)),"NA")</f>
        <v>0</v>
      </c>
      <c r="N213">
        <f ca="1">IF(Long_Data[[#This Row],[Indicator Class]]="Degree",INDEX(INDIRECT("Data_Entry['"&amp;Long_Data[[#This Row],[Indicator Number]]&amp;"'_DSev_3]"),MATCH(Long_Data[[#This Row],[Key]],Data_Entry[Key],0)),"NA")</f>
        <v>0</v>
      </c>
      <c r="O213">
        <f ca="1">IF(Long_Data[[#This Row],[Indicator Class]]="Degree",INDEX(INDIRECT("Data_Entry['"&amp;Long_Data[[#This Row],[Indicator Number]]&amp;"'_DSev_4]"),MATCH(Long_Data[[#This Row],[Key]],Data_Entry[Key],0)),"NA")</f>
        <v>0</v>
      </c>
      <c r="P213">
        <f ca="1">IF(Long_Data[[#This Row],[Indicator Class]]="Degree",INDEX(INDIRECT("Data_Entry['"&amp;Long_Data[[#This Row],[Indicator Number]]&amp;"'_DSev_5]"),MATCH(Long_Data[[#This Row],[Key]],Data_Entry[Key],0)),"NA")</f>
        <v>0</v>
      </c>
      <c r="Q213" t="str">
        <f ca="1">IFERROR(IF(Long_Data[[#This Row],[Indicator Class]]="Magnitude", INDEX(INDIRECT("Data_Entry[Sev_"&amp;Long_Data[[#This Row],[Indicator Number]]&amp;"]"),MATCH(Long_Data[[#This Row],[Key]], Data_Entry[Key],0)),"NA"),"")</f>
        <v>NA</v>
      </c>
      <c r="R21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3" s="70">
        <f ca="1">IFERROR(IF(J213="Magnitude",INDEX(INDIRECT("Data_Entry[PIN_"&amp;Long_Data[[#This Row],[Indicator Number]]&amp;"]"),MATCH(Long_Data[[#This Row],[Key]],Data_Entry[Key],0)),SUM(N213:P213)*INDEX(Baseline_Pop[Population],MATCH(Long_Data[[#This Row],[Key]],Baseline_Pop[Key],0))),"")</f>
        <v>0</v>
      </c>
    </row>
    <row r="214" spans="2:19">
      <c r="B214">
        <v>213</v>
      </c>
      <c r="C214">
        <v>3</v>
      </c>
      <c r="D214" t="str">
        <f>IFERROR(INDEX(Data_Entry[ADM2_Pcode],MATCH('Step 4-Long Data'!C214,Data_Entry[ID],0)),"NA")</f>
        <v>AF03</v>
      </c>
      <c r="E214" t="str">
        <f>IFERROR(INDEX(Data_Entry[Key],MATCH('Step 4-Long Data'!C214,Data_Entry[ID],0)),"NA")</f>
        <v>AF03-All_Others</v>
      </c>
      <c r="F214">
        <v>8</v>
      </c>
      <c r="G214" t="str">
        <f>IFERROR(INDEX(Framework[Pillar],MATCH('Step 4-Long Data'!F214,Framework[Number],0)),"")</f>
        <v>Humanitarian Conditions</v>
      </c>
      <c r="H214" t="str">
        <f>IFERROR(INDEX(Framework[Sub_Pillar],MATCH('Step 4-Long Data'!F214,Framework[Number],0)),"")</f>
        <v>Coping mechanisms</v>
      </c>
      <c r="I214" t="str">
        <f>IFERROR(INDEX(Framework[Indicator],MATCH('Step 4-Long Data'!F214,Framework[Number],0)),"")</f>
        <v>% of households reporting  "Marriage of daughters earlier than intended" due to lack of food or income to buy food in the last 30 days (yes, or unable due to strategy exhausted)</v>
      </c>
      <c r="J214" t="str">
        <f>IFERROR(INDEX(Framework[Class],MATCH('Step 4-Long Data'!F214,Framework[Number],0)),"")</f>
        <v>Degree</v>
      </c>
      <c r="K214" t="str">
        <f>IFERROR(INDEX(Framework[Critical],MATCH('Step 4-Long Data'!F214,Framework[Number],0)),"")</f>
        <v>No</v>
      </c>
      <c r="L214">
        <f ca="1">IF(Long_Data[[#This Row],[Indicator Class]]="Degree",INDEX(INDIRECT("Data_Entry['"&amp;Long_Data[[#This Row],[Indicator Number]]&amp;"'_DSev_1]"),MATCH(Long_Data[[#This Row],[Key]],Data_Entry[Key],0)),"NA")</f>
        <v>0.98742138364779908</v>
      </c>
      <c r="M214">
        <f ca="1">IF(Long_Data[[#This Row],[Indicator Class]]="Degree",INDEX(INDIRECT("Data_Entry['"&amp;Long_Data[[#This Row],[Indicator Number]]&amp;"'_DSev_2]"),MATCH(Long_Data[[#This Row],[Key]],Data_Entry[Key],0)),"NA")</f>
        <v>0</v>
      </c>
      <c r="N214">
        <f ca="1">IF(Long_Data[[#This Row],[Indicator Class]]="Degree",INDEX(INDIRECT("Data_Entry['"&amp;Long_Data[[#This Row],[Indicator Number]]&amp;"'_DSev_3]"),MATCH(Long_Data[[#This Row],[Key]],Data_Entry[Key],0)),"NA")</f>
        <v>0</v>
      </c>
      <c r="O214">
        <f ca="1">IF(Long_Data[[#This Row],[Indicator Class]]="Degree",INDEX(INDIRECT("Data_Entry['"&amp;Long_Data[[#This Row],[Indicator Number]]&amp;"'_DSev_4]"),MATCH(Long_Data[[#This Row],[Key]],Data_Entry[Key],0)),"NA")</f>
        <v>1.25786163522013E-2</v>
      </c>
      <c r="P214">
        <f ca="1">IF(Long_Data[[#This Row],[Indicator Class]]="Degree",INDEX(INDIRECT("Data_Entry['"&amp;Long_Data[[#This Row],[Indicator Number]]&amp;"'_DSev_5]"),MATCH(Long_Data[[#This Row],[Key]],Data_Entry[Key],0)),"NA")</f>
        <v>0</v>
      </c>
      <c r="Q214" t="str">
        <f ca="1">IFERROR(IF(Long_Data[[#This Row],[Indicator Class]]="Magnitude", INDEX(INDIRECT("Data_Entry[Sev_"&amp;Long_Data[[#This Row],[Indicator Number]]&amp;"]"),MATCH(Long_Data[[#This Row],[Key]], Data_Entry[Key],0)),"NA"),"")</f>
        <v>NA</v>
      </c>
      <c r="R21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4" s="70">
        <f ca="1">IFERROR(IF(J214="Magnitude",INDEX(INDIRECT("Data_Entry[PIN_"&amp;Long_Data[[#This Row],[Indicator Number]]&amp;"]"),MATCH(Long_Data[[#This Row],[Key]],Data_Entry[Key],0)),SUM(N214:P214)*INDEX(Baseline_Pop[Population],MATCH(Long_Data[[#This Row],[Key]],Baseline_Pop[Key],0))),"")</f>
        <v>8362.3270440251854</v>
      </c>
    </row>
    <row r="215" spans="2:19">
      <c r="B215">
        <v>214</v>
      </c>
      <c r="C215">
        <v>4</v>
      </c>
      <c r="D215" t="str">
        <f>IFERROR(INDEX(Data_Entry[ADM2_Pcode],MATCH('Step 4-Long Data'!C215,Data_Entry[ID],0)),"NA")</f>
        <v>AF04</v>
      </c>
      <c r="E215" t="str">
        <f>IFERROR(INDEX(Data_Entry[Key],MATCH('Step 4-Long Data'!C215,Data_Entry[ID],0)),"NA")</f>
        <v>AF04-All_Others</v>
      </c>
      <c r="F215">
        <v>8</v>
      </c>
      <c r="G215" t="str">
        <f>IFERROR(INDEX(Framework[Pillar],MATCH('Step 4-Long Data'!F215,Framework[Number],0)),"")</f>
        <v>Humanitarian Conditions</v>
      </c>
      <c r="H215" t="str">
        <f>IFERROR(INDEX(Framework[Sub_Pillar],MATCH('Step 4-Long Data'!F215,Framework[Number],0)),"")</f>
        <v>Coping mechanisms</v>
      </c>
      <c r="I215" t="str">
        <f>IFERROR(INDEX(Framework[Indicator],MATCH('Step 4-Long Data'!F215,Framework[Number],0)),"")</f>
        <v>% of households reporting  "Marriage of daughters earlier than intended" due to lack of food or income to buy food in the last 30 days (yes, or unable due to strategy exhausted)</v>
      </c>
      <c r="J215" t="str">
        <f>IFERROR(INDEX(Framework[Class],MATCH('Step 4-Long Data'!F215,Framework[Number],0)),"")</f>
        <v>Degree</v>
      </c>
      <c r="K215" t="str">
        <f>IFERROR(INDEX(Framework[Critical],MATCH('Step 4-Long Data'!F215,Framework[Number],0)),"")</f>
        <v>No</v>
      </c>
      <c r="L215">
        <f ca="1">IF(Long_Data[[#This Row],[Indicator Class]]="Degree",INDEX(INDIRECT("Data_Entry['"&amp;Long_Data[[#This Row],[Indicator Number]]&amp;"'_DSev_1]"),MATCH(Long_Data[[#This Row],[Key]],Data_Entry[Key],0)),"NA")</f>
        <v>0.82396817724411098</v>
      </c>
      <c r="M215">
        <f ca="1">IF(Long_Data[[#This Row],[Indicator Class]]="Degree",INDEX(INDIRECT("Data_Entry['"&amp;Long_Data[[#This Row],[Indicator Number]]&amp;"'_DSev_2]"),MATCH(Long_Data[[#This Row],[Key]],Data_Entry[Key],0)),"NA")</f>
        <v>0</v>
      </c>
      <c r="N215">
        <f ca="1">IF(Long_Data[[#This Row],[Indicator Class]]="Degree",INDEX(INDIRECT("Data_Entry['"&amp;Long_Data[[#This Row],[Indicator Number]]&amp;"'_DSev_3]"),MATCH(Long_Data[[#This Row],[Key]],Data_Entry[Key],0)),"NA")</f>
        <v>0</v>
      </c>
      <c r="O215">
        <f ca="1">IF(Long_Data[[#This Row],[Indicator Class]]="Degree",INDEX(INDIRECT("Data_Entry['"&amp;Long_Data[[#This Row],[Indicator Number]]&amp;"'_DSev_4]"),MATCH(Long_Data[[#This Row],[Key]],Data_Entry[Key],0)),"NA")</f>
        <v>0.17603182275588899</v>
      </c>
      <c r="P215">
        <f ca="1">IF(Long_Data[[#This Row],[Indicator Class]]="Degree",INDEX(INDIRECT("Data_Entry['"&amp;Long_Data[[#This Row],[Indicator Number]]&amp;"'_DSev_5]"),MATCH(Long_Data[[#This Row],[Key]],Data_Entry[Key],0)),"NA")</f>
        <v>0</v>
      </c>
      <c r="Q215" t="str">
        <f ca="1">IFERROR(IF(Long_Data[[#This Row],[Indicator Class]]="Magnitude", INDEX(INDIRECT("Data_Entry[Sev_"&amp;Long_Data[[#This Row],[Indicator Number]]&amp;"]"),MATCH(Long_Data[[#This Row],[Key]], Data_Entry[Key],0)),"NA"),"")</f>
        <v>NA</v>
      </c>
      <c r="R21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5" s="70">
        <f ca="1">IFERROR(IF(J215="Magnitude",INDEX(INDIRECT("Data_Entry[PIN_"&amp;Long_Data[[#This Row],[Indicator Number]]&amp;"]"),MATCH(Long_Data[[#This Row],[Key]],Data_Entry[Key],0)),SUM(N215:P215)*INDEX(Baseline_Pop[Population],MATCH(Long_Data[[#This Row],[Key]],Baseline_Pop[Key],0))),"")</f>
        <v>104741.22295344977</v>
      </c>
    </row>
    <row r="216" spans="2:19">
      <c r="B216">
        <v>215</v>
      </c>
      <c r="C216">
        <v>5</v>
      </c>
      <c r="D216" t="str">
        <f>IFERROR(INDEX(Data_Entry[ADM2_Pcode],MATCH('Step 4-Long Data'!C216,Data_Entry[ID],0)),"NA")</f>
        <v>AF05</v>
      </c>
      <c r="E216" t="str">
        <f>IFERROR(INDEX(Data_Entry[Key],MATCH('Step 4-Long Data'!C216,Data_Entry[ID],0)),"NA")</f>
        <v>AF05-All_Others</v>
      </c>
      <c r="F216">
        <v>8</v>
      </c>
      <c r="G216" t="str">
        <f>IFERROR(INDEX(Framework[Pillar],MATCH('Step 4-Long Data'!F216,Framework[Number],0)),"")</f>
        <v>Humanitarian Conditions</v>
      </c>
      <c r="H216" t="str">
        <f>IFERROR(INDEX(Framework[Sub_Pillar],MATCH('Step 4-Long Data'!F216,Framework[Number],0)),"")</f>
        <v>Coping mechanisms</v>
      </c>
      <c r="I216" t="str">
        <f>IFERROR(INDEX(Framework[Indicator],MATCH('Step 4-Long Data'!F216,Framework[Number],0)),"")</f>
        <v>% of households reporting  "Marriage of daughters earlier than intended" due to lack of food or income to buy food in the last 30 days (yes, or unable due to strategy exhausted)</v>
      </c>
      <c r="J216" t="str">
        <f>IFERROR(INDEX(Framework[Class],MATCH('Step 4-Long Data'!F216,Framework[Number],0)),"")</f>
        <v>Degree</v>
      </c>
      <c r="K216" t="str">
        <f>IFERROR(INDEX(Framework[Critical],MATCH('Step 4-Long Data'!F216,Framework[Number],0)),"")</f>
        <v>No</v>
      </c>
      <c r="L216">
        <f ca="1">IF(Long_Data[[#This Row],[Indicator Class]]="Degree",INDEX(INDIRECT("Data_Entry['"&amp;Long_Data[[#This Row],[Indicator Number]]&amp;"'_DSev_1]"),MATCH(Long_Data[[#This Row],[Key]],Data_Entry[Key],0)),"NA")</f>
        <v>0.97761929517971691</v>
      </c>
      <c r="M216">
        <f ca="1">IF(Long_Data[[#This Row],[Indicator Class]]="Degree",INDEX(INDIRECT("Data_Entry['"&amp;Long_Data[[#This Row],[Indicator Number]]&amp;"'_DSev_2]"),MATCH(Long_Data[[#This Row],[Key]],Data_Entry[Key],0)),"NA")</f>
        <v>0</v>
      </c>
      <c r="N216">
        <f ca="1">IF(Long_Data[[#This Row],[Indicator Class]]="Degree",INDEX(INDIRECT("Data_Entry['"&amp;Long_Data[[#This Row],[Indicator Number]]&amp;"'_DSev_3]"),MATCH(Long_Data[[#This Row],[Key]],Data_Entry[Key],0)),"NA")</f>
        <v>2.2380704820283398E-2</v>
      </c>
      <c r="O216">
        <f ca="1">IF(Long_Data[[#This Row],[Indicator Class]]="Degree",INDEX(INDIRECT("Data_Entry['"&amp;Long_Data[[#This Row],[Indicator Number]]&amp;"'_DSev_4]"),MATCH(Long_Data[[#This Row],[Key]],Data_Entry[Key],0)),"NA")</f>
        <v>0</v>
      </c>
      <c r="P216">
        <f ca="1">IF(Long_Data[[#This Row],[Indicator Class]]="Degree",INDEX(INDIRECT("Data_Entry['"&amp;Long_Data[[#This Row],[Indicator Number]]&amp;"'_DSev_5]"),MATCH(Long_Data[[#This Row],[Key]],Data_Entry[Key],0)),"NA")</f>
        <v>0</v>
      </c>
      <c r="Q216" t="str">
        <f ca="1">IFERROR(IF(Long_Data[[#This Row],[Indicator Class]]="Magnitude", INDEX(INDIRECT("Data_Entry[Sev_"&amp;Long_Data[[#This Row],[Indicator Number]]&amp;"]"),MATCH(Long_Data[[#This Row],[Key]], Data_Entry[Key],0)),"NA"),"")</f>
        <v>NA</v>
      </c>
      <c r="R21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6" s="70">
        <f ca="1">IFERROR(IF(J216="Magnitude",INDEX(INDIRECT("Data_Entry[PIN_"&amp;Long_Data[[#This Row],[Indicator Number]]&amp;"]"),MATCH(Long_Data[[#This Row],[Key]],Data_Entry[Key],0)),SUM(N216:P216)*INDEX(Baseline_Pop[Population],MATCH(Long_Data[[#This Row],[Key]],Baseline_Pop[Key],0))),"")</f>
        <v>8760.9492826047572</v>
      </c>
    </row>
    <row r="217" spans="2:19">
      <c r="B217">
        <v>216</v>
      </c>
      <c r="C217">
        <v>6</v>
      </c>
      <c r="D217" t="str">
        <f>IFERROR(INDEX(Data_Entry[ADM2_Pcode],MATCH('Step 4-Long Data'!C217,Data_Entry[ID],0)),"NA")</f>
        <v>AF06</v>
      </c>
      <c r="E217" t="str">
        <f>IFERROR(INDEX(Data_Entry[Key],MATCH('Step 4-Long Data'!C217,Data_Entry[ID],0)),"NA")</f>
        <v>AF06-All_Others</v>
      </c>
      <c r="F217">
        <v>8</v>
      </c>
      <c r="G217" t="str">
        <f>IFERROR(INDEX(Framework[Pillar],MATCH('Step 4-Long Data'!F217,Framework[Number],0)),"")</f>
        <v>Humanitarian Conditions</v>
      </c>
      <c r="H217" t="str">
        <f>IFERROR(INDEX(Framework[Sub_Pillar],MATCH('Step 4-Long Data'!F217,Framework[Number],0)),"")</f>
        <v>Coping mechanisms</v>
      </c>
      <c r="I217" t="str">
        <f>IFERROR(INDEX(Framework[Indicator],MATCH('Step 4-Long Data'!F217,Framework[Number],0)),"")</f>
        <v>% of households reporting  "Marriage of daughters earlier than intended" due to lack of food or income to buy food in the last 30 days (yes, or unable due to strategy exhausted)</v>
      </c>
      <c r="J217" t="str">
        <f>IFERROR(INDEX(Framework[Class],MATCH('Step 4-Long Data'!F217,Framework[Number],0)),"")</f>
        <v>Degree</v>
      </c>
      <c r="K217" t="str">
        <f>IFERROR(INDEX(Framework[Critical],MATCH('Step 4-Long Data'!F217,Framework[Number],0)),"")</f>
        <v>No</v>
      </c>
      <c r="L217">
        <f ca="1">IF(Long_Data[[#This Row],[Indicator Class]]="Degree",INDEX(INDIRECT("Data_Entry['"&amp;Long_Data[[#This Row],[Indicator Number]]&amp;"'_DSev_1]"),MATCH(Long_Data[[#This Row],[Key]],Data_Entry[Key],0)),"NA")</f>
        <v>0.95581435812489302</v>
      </c>
      <c r="M217">
        <f ca="1">IF(Long_Data[[#This Row],[Indicator Class]]="Degree",INDEX(INDIRECT("Data_Entry['"&amp;Long_Data[[#This Row],[Indicator Number]]&amp;"'_DSev_2]"),MATCH(Long_Data[[#This Row],[Key]],Data_Entry[Key],0)),"NA")</f>
        <v>0</v>
      </c>
      <c r="N217">
        <f ca="1">IF(Long_Data[[#This Row],[Indicator Class]]="Degree",INDEX(INDIRECT("Data_Entry['"&amp;Long_Data[[#This Row],[Indicator Number]]&amp;"'_DSev_3]"),MATCH(Long_Data[[#This Row],[Key]],Data_Entry[Key],0)),"NA")</f>
        <v>1.9220964681486302E-2</v>
      </c>
      <c r="O217">
        <f ca="1">IF(Long_Data[[#This Row],[Indicator Class]]="Degree",INDEX(INDIRECT("Data_Entry['"&amp;Long_Data[[#This Row],[Indicator Number]]&amp;"'_DSev_4]"),MATCH(Long_Data[[#This Row],[Key]],Data_Entry[Key],0)),"NA")</f>
        <v>2.4964677193620402E-2</v>
      </c>
      <c r="P217">
        <f ca="1">IF(Long_Data[[#This Row],[Indicator Class]]="Degree",INDEX(INDIRECT("Data_Entry['"&amp;Long_Data[[#This Row],[Indicator Number]]&amp;"'_DSev_5]"),MATCH(Long_Data[[#This Row],[Key]],Data_Entry[Key],0)),"NA")</f>
        <v>0</v>
      </c>
      <c r="Q217" t="str">
        <f ca="1">IFERROR(IF(Long_Data[[#This Row],[Indicator Class]]="Magnitude", INDEX(INDIRECT("Data_Entry[Sev_"&amp;Long_Data[[#This Row],[Indicator Number]]&amp;"]"),MATCH(Long_Data[[#This Row],[Key]], Data_Entry[Key],0)),"NA"),"")</f>
        <v>NA</v>
      </c>
      <c r="R217">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7" s="70">
        <f ca="1">IFERROR(IF(J217="Magnitude",INDEX(INDIRECT("Data_Entry[PIN_"&amp;Long_Data[[#This Row],[Indicator Number]]&amp;"]"),MATCH(Long_Data[[#This Row],[Key]],Data_Entry[Key],0)),SUM(N217:P217)*INDEX(Baseline_Pop[Population],MATCH(Long_Data[[#This Row],[Key]],Baseline_Pop[Key],0))),"")</f>
        <v>67760.449241151146</v>
      </c>
    </row>
    <row r="218" spans="2:19">
      <c r="B218">
        <v>217</v>
      </c>
      <c r="C218">
        <v>7</v>
      </c>
      <c r="D218" t="str">
        <f>IFERROR(INDEX(Data_Entry[ADM2_Pcode],MATCH('Step 4-Long Data'!C218,Data_Entry[ID],0)),"NA")</f>
        <v>AF07</v>
      </c>
      <c r="E218" t="str">
        <f>IFERROR(INDEX(Data_Entry[Key],MATCH('Step 4-Long Data'!C218,Data_Entry[ID],0)),"NA")</f>
        <v>AF07-All_Others</v>
      </c>
      <c r="F218">
        <v>8</v>
      </c>
      <c r="G218" t="str">
        <f>IFERROR(INDEX(Framework[Pillar],MATCH('Step 4-Long Data'!F218,Framework[Number],0)),"")</f>
        <v>Humanitarian Conditions</v>
      </c>
      <c r="H218" t="str">
        <f>IFERROR(INDEX(Framework[Sub_Pillar],MATCH('Step 4-Long Data'!F218,Framework[Number],0)),"")</f>
        <v>Coping mechanisms</v>
      </c>
      <c r="I218" t="str">
        <f>IFERROR(INDEX(Framework[Indicator],MATCH('Step 4-Long Data'!F218,Framework[Number],0)),"")</f>
        <v>% of households reporting  "Marriage of daughters earlier than intended" due to lack of food or income to buy food in the last 30 days (yes, or unable due to strategy exhausted)</v>
      </c>
      <c r="J218" t="str">
        <f>IFERROR(INDEX(Framework[Class],MATCH('Step 4-Long Data'!F218,Framework[Number],0)),"")</f>
        <v>Degree</v>
      </c>
      <c r="K218" t="str">
        <f>IFERROR(INDEX(Framework[Critical],MATCH('Step 4-Long Data'!F218,Framework[Number],0)),"")</f>
        <v>No</v>
      </c>
      <c r="L218">
        <f ca="1">IF(Long_Data[[#This Row],[Indicator Class]]="Degree",INDEX(INDIRECT("Data_Entry['"&amp;Long_Data[[#This Row],[Indicator Number]]&amp;"'_DSev_1]"),MATCH(Long_Data[[#This Row],[Key]],Data_Entry[Key],0)),"NA")</f>
        <v>0.88316245120293102</v>
      </c>
      <c r="M218">
        <f ca="1">IF(Long_Data[[#This Row],[Indicator Class]]="Degree",INDEX(INDIRECT("Data_Entry['"&amp;Long_Data[[#This Row],[Indicator Number]]&amp;"'_DSev_2]"),MATCH(Long_Data[[#This Row],[Key]],Data_Entry[Key],0)),"NA")</f>
        <v>0</v>
      </c>
      <c r="N218">
        <f ca="1">IF(Long_Data[[#This Row],[Indicator Class]]="Degree",INDEX(INDIRECT("Data_Entry['"&amp;Long_Data[[#This Row],[Indicator Number]]&amp;"'_DSev_3]"),MATCH(Long_Data[[#This Row],[Key]],Data_Entry[Key],0)),"NA")</f>
        <v>5.3240655955713798E-2</v>
      </c>
      <c r="O218">
        <f ca="1">IF(Long_Data[[#This Row],[Indicator Class]]="Degree",INDEX(INDIRECT("Data_Entry['"&amp;Long_Data[[#This Row],[Indicator Number]]&amp;"'_DSev_4]"),MATCH(Long_Data[[#This Row],[Key]],Data_Entry[Key],0)),"NA")</f>
        <v>6.3596892841355598E-2</v>
      </c>
      <c r="P218">
        <f ca="1">IF(Long_Data[[#This Row],[Indicator Class]]="Degree",INDEX(INDIRECT("Data_Entry['"&amp;Long_Data[[#This Row],[Indicator Number]]&amp;"'_DSev_5]"),MATCH(Long_Data[[#This Row],[Key]],Data_Entry[Key],0)),"NA")</f>
        <v>0</v>
      </c>
      <c r="Q218" t="str">
        <f ca="1">IFERROR(IF(Long_Data[[#This Row],[Indicator Class]]="Magnitude", INDEX(INDIRECT("Data_Entry[Sev_"&amp;Long_Data[[#This Row],[Indicator Number]]&amp;"]"),MATCH(Long_Data[[#This Row],[Key]], Data_Entry[Key],0)),"NA"),"")</f>
        <v>NA</v>
      </c>
      <c r="R21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8" s="70">
        <f ca="1">IFERROR(IF(J218="Magnitude",INDEX(INDIRECT("Data_Entry[PIN_"&amp;Long_Data[[#This Row],[Indicator Number]]&amp;"]"),MATCH(Long_Data[[#This Row],[Key]],Data_Entry[Key],0)),SUM(N218:P218)*INDEX(Baseline_Pop[Population],MATCH(Long_Data[[#This Row],[Key]],Baseline_Pop[Key],0))),"")</f>
        <v>51960.228376130297</v>
      </c>
    </row>
    <row r="219" spans="2:19">
      <c r="B219">
        <v>218</v>
      </c>
      <c r="C219">
        <v>8</v>
      </c>
      <c r="D219" t="str">
        <f>IFERROR(INDEX(Data_Entry[ADM2_Pcode],MATCH('Step 4-Long Data'!C219,Data_Entry[ID],0)),"NA")</f>
        <v>AF08</v>
      </c>
      <c r="E219" t="str">
        <f>IFERROR(INDEX(Data_Entry[Key],MATCH('Step 4-Long Data'!C219,Data_Entry[ID],0)),"NA")</f>
        <v>AF08-All_Others</v>
      </c>
      <c r="F219">
        <v>8</v>
      </c>
      <c r="G219" t="str">
        <f>IFERROR(INDEX(Framework[Pillar],MATCH('Step 4-Long Data'!F219,Framework[Number],0)),"")</f>
        <v>Humanitarian Conditions</v>
      </c>
      <c r="H219" t="str">
        <f>IFERROR(INDEX(Framework[Sub_Pillar],MATCH('Step 4-Long Data'!F219,Framework[Number],0)),"")</f>
        <v>Coping mechanisms</v>
      </c>
      <c r="I219" t="str">
        <f>IFERROR(INDEX(Framework[Indicator],MATCH('Step 4-Long Data'!F219,Framework[Number],0)),"")</f>
        <v>% of households reporting  "Marriage of daughters earlier than intended" due to lack of food or income to buy food in the last 30 days (yes, or unable due to strategy exhausted)</v>
      </c>
      <c r="J219" t="str">
        <f>IFERROR(INDEX(Framework[Class],MATCH('Step 4-Long Data'!F219,Framework[Number],0)),"")</f>
        <v>Degree</v>
      </c>
      <c r="K219" t="str">
        <f>IFERROR(INDEX(Framework[Critical],MATCH('Step 4-Long Data'!F219,Framework[Number],0)),"")</f>
        <v>No</v>
      </c>
      <c r="L219">
        <f ca="1">IF(Long_Data[[#This Row],[Indicator Class]]="Degree",INDEX(INDIRECT("Data_Entry['"&amp;Long_Data[[#This Row],[Indicator Number]]&amp;"'_DSev_1]"),MATCH(Long_Data[[#This Row],[Key]],Data_Entry[Key],0)),"NA")</f>
        <v>0.98373983739837401</v>
      </c>
      <c r="M219">
        <f ca="1">IF(Long_Data[[#This Row],[Indicator Class]]="Degree",INDEX(INDIRECT("Data_Entry['"&amp;Long_Data[[#This Row],[Indicator Number]]&amp;"'_DSev_2]"),MATCH(Long_Data[[#This Row],[Key]],Data_Entry[Key],0)),"NA")</f>
        <v>0</v>
      </c>
      <c r="N219">
        <f ca="1">IF(Long_Data[[#This Row],[Indicator Class]]="Degree",INDEX(INDIRECT("Data_Entry['"&amp;Long_Data[[#This Row],[Indicator Number]]&amp;"'_DSev_3]"),MATCH(Long_Data[[#This Row],[Key]],Data_Entry[Key],0)),"NA")</f>
        <v>8.1300813008130107E-3</v>
      </c>
      <c r="O219">
        <f ca="1">IF(Long_Data[[#This Row],[Indicator Class]]="Degree",INDEX(INDIRECT("Data_Entry['"&amp;Long_Data[[#This Row],[Indicator Number]]&amp;"'_DSev_4]"),MATCH(Long_Data[[#This Row],[Key]],Data_Entry[Key],0)),"NA")</f>
        <v>8.1300813008130107E-3</v>
      </c>
      <c r="P219">
        <f ca="1">IF(Long_Data[[#This Row],[Indicator Class]]="Degree",INDEX(INDIRECT("Data_Entry['"&amp;Long_Data[[#This Row],[Indicator Number]]&amp;"'_DSev_5]"),MATCH(Long_Data[[#This Row],[Key]],Data_Entry[Key],0)),"NA")</f>
        <v>0</v>
      </c>
      <c r="Q219" t="str">
        <f ca="1">IFERROR(IF(Long_Data[[#This Row],[Indicator Class]]="Magnitude", INDEX(INDIRECT("Data_Entry[Sev_"&amp;Long_Data[[#This Row],[Indicator Number]]&amp;"]"),MATCH(Long_Data[[#This Row],[Key]], Data_Entry[Key],0)),"NA"),"")</f>
        <v>NA</v>
      </c>
      <c r="R21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19" s="70">
        <f ca="1">IFERROR(IF(J219="Magnitude",INDEX(INDIRECT("Data_Entry[PIN_"&amp;Long_Data[[#This Row],[Indicator Number]]&amp;"]"),MATCH(Long_Data[[#This Row],[Key]],Data_Entry[Key],0)),SUM(N219:P219)*INDEX(Baseline_Pop[Population],MATCH(Long_Data[[#This Row],[Key]],Baseline_Pop[Key],0))),"")</f>
        <v>2489.9837398373993</v>
      </c>
    </row>
    <row r="220" spans="2:19">
      <c r="B220">
        <v>219</v>
      </c>
      <c r="C220">
        <v>9</v>
      </c>
      <c r="D220" t="str">
        <f>IFERROR(INDEX(Data_Entry[ADM2_Pcode],MATCH('Step 4-Long Data'!C220,Data_Entry[ID],0)),"NA")</f>
        <v>AF09</v>
      </c>
      <c r="E220" t="str">
        <f>IFERROR(INDEX(Data_Entry[Key],MATCH('Step 4-Long Data'!C220,Data_Entry[ID],0)),"NA")</f>
        <v>AF09-All_Others</v>
      </c>
      <c r="F220">
        <v>8</v>
      </c>
      <c r="G220" t="str">
        <f>IFERROR(INDEX(Framework[Pillar],MATCH('Step 4-Long Data'!F220,Framework[Number],0)),"")</f>
        <v>Humanitarian Conditions</v>
      </c>
      <c r="H220" t="str">
        <f>IFERROR(INDEX(Framework[Sub_Pillar],MATCH('Step 4-Long Data'!F220,Framework[Number],0)),"")</f>
        <v>Coping mechanisms</v>
      </c>
      <c r="I220" t="str">
        <f>IFERROR(INDEX(Framework[Indicator],MATCH('Step 4-Long Data'!F220,Framework[Number],0)),"")</f>
        <v>% of households reporting  "Marriage of daughters earlier than intended" due to lack of food or income to buy food in the last 30 days (yes, or unable due to strategy exhausted)</v>
      </c>
      <c r="J220" t="str">
        <f>IFERROR(INDEX(Framework[Class],MATCH('Step 4-Long Data'!F220,Framework[Number],0)),"")</f>
        <v>Degree</v>
      </c>
      <c r="K220" t="str">
        <f>IFERROR(INDEX(Framework[Critical],MATCH('Step 4-Long Data'!F220,Framework[Number],0)),"")</f>
        <v>No</v>
      </c>
      <c r="L220">
        <f ca="1">IF(Long_Data[[#This Row],[Indicator Class]]="Degree",INDEX(INDIRECT("Data_Entry['"&amp;Long_Data[[#This Row],[Indicator Number]]&amp;"'_DSev_1]"),MATCH(Long_Data[[#This Row],[Key]],Data_Entry[Key],0)),"NA")</f>
        <v>0.96586736272168294</v>
      </c>
      <c r="M220">
        <f ca="1">IF(Long_Data[[#This Row],[Indicator Class]]="Degree",INDEX(INDIRECT("Data_Entry['"&amp;Long_Data[[#This Row],[Indicator Number]]&amp;"'_DSev_2]"),MATCH(Long_Data[[#This Row],[Key]],Data_Entry[Key],0)),"NA")</f>
        <v>0</v>
      </c>
      <c r="N220">
        <f ca="1">IF(Long_Data[[#This Row],[Indicator Class]]="Degree",INDEX(INDIRECT("Data_Entry['"&amp;Long_Data[[#This Row],[Indicator Number]]&amp;"'_DSev_3]"),MATCH(Long_Data[[#This Row],[Key]],Data_Entry[Key],0)),"NA")</f>
        <v>3.2186397676611904E-2</v>
      </c>
      <c r="O220">
        <f ca="1">IF(Long_Data[[#This Row],[Indicator Class]]="Degree",INDEX(INDIRECT("Data_Entry['"&amp;Long_Data[[#This Row],[Indicator Number]]&amp;"'_DSev_4]"),MATCH(Long_Data[[#This Row],[Key]],Data_Entry[Key],0)),"NA")</f>
        <v>1.9462396017048899E-3</v>
      </c>
      <c r="P220">
        <f ca="1">IF(Long_Data[[#This Row],[Indicator Class]]="Degree",INDEX(INDIRECT("Data_Entry['"&amp;Long_Data[[#This Row],[Indicator Number]]&amp;"'_DSev_5]"),MATCH(Long_Data[[#This Row],[Key]],Data_Entry[Key],0)),"NA")</f>
        <v>0</v>
      </c>
      <c r="Q220" t="str">
        <f ca="1">IFERROR(IF(Long_Data[[#This Row],[Indicator Class]]="Magnitude", INDEX(INDIRECT("Data_Entry[Sev_"&amp;Long_Data[[#This Row],[Indicator Number]]&amp;"]"),MATCH(Long_Data[[#This Row],[Key]], Data_Entry[Key],0)),"NA"),"")</f>
        <v>NA</v>
      </c>
      <c r="R220">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0" s="70">
        <f ca="1">IFERROR(IF(J220="Magnitude",INDEX(INDIRECT("Data_Entry[PIN_"&amp;Long_Data[[#This Row],[Indicator Number]]&amp;"]"),MATCH(Long_Data[[#This Row],[Key]],Data_Entry[Key],0)),SUM(N220:P220)*INDEX(Baseline_Pop[Population],MATCH(Long_Data[[#This Row],[Key]],Baseline_Pop[Key],0))),"")</f>
        <v>31209.859548174525</v>
      </c>
    </row>
    <row r="221" spans="2:19">
      <c r="B221">
        <v>220</v>
      </c>
      <c r="C221">
        <v>10</v>
      </c>
      <c r="D221" t="str">
        <f>IFERROR(INDEX(Data_Entry[ADM2_Pcode],MATCH('Step 4-Long Data'!C221,Data_Entry[ID],0)),"NA")</f>
        <v>AF10</v>
      </c>
      <c r="E221" t="str">
        <f>IFERROR(INDEX(Data_Entry[Key],MATCH('Step 4-Long Data'!C221,Data_Entry[ID],0)),"NA")</f>
        <v>AF10-All_Others</v>
      </c>
      <c r="F221">
        <v>8</v>
      </c>
      <c r="G221" t="str">
        <f>IFERROR(INDEX(Framework[Pillar],MATCH('Step 4-Long Data'!F221,Framework[Number],0)),"")</f>
        <v>Humanitarian Conditions</v>
      </c>
      <c r="H221" t="str">
        <f>IFERROR(INDEX(Framework[Sub_Pillar],MATCH('Step 4-Long Data'!F221,Framework[Number],0)),"")</f>
        <v>Coping mechanisms</v>
      </c>
      <c r="I221" t="str">
        <f>IFERROR(INDEX(Framework[Indicator],MATCH('Step 4-Long Data'!F221,Framework[Number],0)),"")</f>
        <v>% of households reporting  "Marriage of daughters earlier than intended" due to lack of food or income to buy food in the last 30 days (yes, or unable due to strategy exhausted)</v>
      </c>
      <c r="J221" t="str">
        <f>IFERROR(INDEX(Framework[Class],MATCH('Step 4-Long Data'!F221,Framework[Number],0)),"")</f>
        <v>Degree</v>
      </c>
      <c r="K221" t="str">
        <f>IFERROR(INDEX(Framework[Critical],MATCH('Step 4-Long Data'!F221,Framework[Number],0)),"")</f>
        <v>No</v>
      </c>
      <c r="L221">
        <f ca="1">IF(Long_Data[[#This Row],[Indicator Class]]="Degree",INDEX(INDIRECT("Data_Entry['"&amp;Long_Data[[#This Row],[Indicator Number]]&amp;"'_DSev_1]"),MATCH(Long_Data[[#This Row],[Key]],Data_Entry[Key],0)),"NA")</f>
        <v>0.92647058823529405</v>
      </c>
      <c r="M221">
        <f ca="1">IF(Long_Data[[#This Row],[Indicator Class]]="Degree",INDEX(INDIRECT("Data_Entry['"&amp;Long_Data[[#This Row],[Indicator Number]]&amp;"'_DSev_2]"),MATCH(Long_Data[[#This Row],[Key]],Data_Entry[Key],0)),"NA")</f>
        <v>0</v>
      </c>
      <c r="N221">
        <f ca="1">IF(Long_Data[[#This Row],[Indicator Class]]="Degree",INDEX(INDIRECT("Data_Entry['"&amp;Long_Data[[#This Row],[Indicator Number]]&amp;"'_DSev_3]"),MATCH(Long_Data[[#This Row],[Key]],Data_Entry[Key],0)),"NA")</f>
        <v>0</v>
      </c>
      <c r="O221">
        <f ca="1">IF(Long_Data[[#This Row],[Indicator Class]]="Degree",INDEX(INDIRECT("Data_Entry['"&amp;Long_Data[[#This Row],[Indicator Number]]&amp;"'_DSev_4]"),MATCH(Long_Data[[#This Row],[Key]],Data_Entry[Key],0)),"NA")</f>
        <v>7.3529411764705899E-2</v>
      </c>
      <c r="P221">
        <f ca="1">IF(Long_Data[[#This Row],[Indicator Class]]="Degree",INDEX(INDIRECT("Data_Entry['"&amp;Long_Data[[#This Row],[Indicator Number]]&amp;"'_DSev_5]"),MATCH(Long_Data[[#This Row],[Key]],Data_Entry[Key],0)),"NA")</f>
        <v>0</v>
      </c>
      <c r="Q221" t="str">
        <f ca="1">IFERROR(IF(Long_Data[[#This Row],[Indicator Class]]="Magnitude", INDEX(INDIRECT("Data_Entry[Sev_"&amp;Long_Data[[#This Row],[Indicator Number]]&amp;"]"),MATCH(Long_Data[[#This Row],[Key]], Data_Entry[Key],0)),"NA"),"")</f>
        <v>NA</v>
      </c>
      <c r="R22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1" s="70">
        <f ca="1">IFERROR(IF(J221="Magnitude",INDEX(INDIRECT("Data_Entry[PIN_"&amp;Long_Data[[#This Row],[Indicator Number]]&amp;"]"),MATCH(Long_Data[[#This Row],[Key]],Data_Entry[Key],0)),SUM(N221:P221)*INDEX(Baseline_Pop[Population],MATCH(Long_Data[[#This Row],[Key]],Baseline_Pop[Key],0))),"")</f>
        <v>32837.352941176476</v>
      </c>
    </row>
    <row r="222" spans="2:19">
      <c r="B222">
        <v>221</v>
      </c>
      <c r="C222">
        <v>11</v>
      </c>
      <c r="D222" t="str">
        <f>IFERROR(INDEX(Data_Entry[ADM2_Pcode],MATCH('Step 4-Long Data'!C222,Data_Entry[ID],0)),"NA")</f>
        <v>AF01</v>
      </c>
      <c r="E222" t="str">
        <f>IFERROR(INDEX(Data_Entry[Key],MATCH('Step 4-Long Data'!C222,Data_Entry[ID],0)),"NA")</f>
        <v>AF01-Non_Displaced</v>
      </c>
      <c r="F222">
        <v>8</v>
      </c>
      <c r="G222" t="str">
        <f>IFERROR(INDEX(Framework[Pillar],MATCH('Step 4-Long Data'!F222,Framework[Number],0)),"")</f>
        <v>Humanitarian Conditions</v>
      </c>
      <c r="H222" t="str">
        <f>IFERROR(INDEX(Framework[Sub_Pillar],MATCH('Step 4-Long Data'!F222,Framework[Number],0)),"")</f>
        <v>Coping mechanisms</v>
      </c>
      <c r="I222" t="str">
        <f>IFERROR(INDEX(Framework[Indicator],MATCH('Step 4-Long Data'!F222,Framework[Number],0)),"")</f>
        <v>% of households reporting  "Marriage of daughters earlier than intended" due to lack of food or income to buy food in the last 30 days (yes, or unable due to strategy exhausted)</v>
      </c>
      <c r="J222" t="str">
        <f>IFERROR(INDEX(Framework[Class],MATCH('Step 4-Long Data'!F222,Framework[Number],0)),"")</f>
        <v>Degree</v>
      </c>
      <c r="K222" t="str">
        <f>IFERROR(INDEX(Framework[Critical],MATCH('Step 4-Long Data'!F222,Framework[Number],0)),"")</f>
        <v>No</v>
      </c>
      <c r="L222">
        <f ca="1">IF(Long_Data[[#This Row],[Indicator Class]]="Degree",INDEX(INDIRECT("Data_Entry['"&amp;Long_Data[[#This Row],[Indicator Number]]&amp;"'_DSev_1]"),MATCH(Long_Data[[#This Row],[Key]],Data_Entry[Key],0)),"NA")</f>
        <v>0.98611111111111105</v>
      </c>
      <c r="M222">
        <f ca="1">IF(Long_Data[[#This Row],[Indicator Class]]="Degree",INDEX(INDIRECT("Data_Entry['"&amp;Long_Data[[#This Row],[Indicator Number]]&amp;"'_DSev_2]"),MATCH(Long_Data[[#This Row],[Key]],Data_Entry[Key],0)),"NA")</f>
        <v>0</v>
      </c>
      <c r="N222">
        <f ca="1">IF(Long_Data[[#This Row],[Indicator Class]]="Degree",INDEX(INDIRECT("Data_Entry['"&amp;Long_Data[[#This Row],[Indicator Number]]&amp;"'_DSev_3]"),MATCH(Long_Data[[#This Row],[Key]],Data_Entry[Key],0)),"NA")</f>
        <v>0</v>
      </c>
      <c r="O222">
        <f ca="1">IF(Long_Data[[#This Row],[Indicator Class]]="Degree",INDEX(INDIRECT("Data_Entry['"&amp;Long_Data[[#This Row],[Indicator Number]]&amp;"'_DSev_4]"),MATCH(Long_Data[[#This Row],[Key]],Data_Entry[Key],0)),"NA")</f>
        <v>1.38888888888889E-2</v>
      </c>
      <c r="P222">
        <f ca="1">IF(Long_Data[[#This Row],[Indicator Class]]="Degree",INDEX(INDIRECT("Data_Entry['"&amp;Long_Data[[#This Row],[Indicator Number]]&amp;"'_DSev_5]"),MATCH(Long_Data[[#This Row],[Key]],Data_Entry[Key],0)),"NA")</f>
        <v>0</v>
      </c>
      <c r="Q222" t="str">
        <f ca="1">IFERROR(IF(Long_Data[[#This Row],[Indicator Class]]="Magnitude", INDEX(INDIRECT("Data_Entry[Sev_"&amp;Long_Data[[#This Row],[Indicator Number]]&amp;"]"),MATCH(Long_Data[[#This Row],[Key]], Data_Entry[Key],0)),"NA"),"")</f>
        <v>NA</v>
      </c>
      <c r="R22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2" s="70">
        <f ca="1">IFERROR(IF(J222="Magnitude",INDEX(INDIRECT("Data_Entry[PIN_"&amp;Long_Data[[#This Row],[Indicator Number]]&amp;"]"),MATCH(Long_Data[[#This Row],[Key]],Data_Entry[Key],0)),SUM(N222:P222)*INDEX(Baseline_Pop[Population],MATCH(Long_Data[[#This Row],[Key]],Baseline_Pop[Key],0))),"")</f>
        <v>9306.2777777777846</v>
      </c>
    </row>
    <row r="223" spans="2:19">
      <c r="B223">
        <v>222</v>
      </c>
      <c r="C223">
        <v>12</v>
      </c>
      <c r="D223" t="str">
        <f>IFERROR(INDEX(Data_Entry[ADM2_Pcode],MATCH('Step 4-Long Data'!C223,Data_Entry[ID],0)),"NA")</f>
        <v>AF02</v>
      </c>
      <c r="E223" t="str">
        <f>IFERROR(INDEX(Data_Entry[Key],MATCH('Step 4-Long Data'!C223,Data_Entry[ID],0)),"NA")</f>
        <v>AF02-Non_Displaced</v>
      </c>
      <c r="F223">
        <v>8</v>
      </c>
      <c r="G223" t="str">
        <f>IFERROR(INDEX(Framework[Pillar],MATCH('Step 4-Long Data'!F223,Framework[Number],0)),"")</f>
        <v>Humanitarian Conditions</v>
      </c>
      <c r="H223" t="str">
        <f>IFERROR(INDEX(Framework[Sub_Pillar],MATCH('Step 4-Long Data'!F223,Framework[Number],0)),"")</f>
        <v>Coping mechanisms</v>
      </c>
      <c r="I223" t="str">
        <f>IFERROR(INDEX(Framework[Indicator],MATCH('Step 4-Long Data'!F223,Framework[Number],0)),"")</f>
        <v>% of households reporting  "Marriage of daughters earlier than intended" due to lack of food or income to buy food in the last 30 days (yes, or unable due to strategy exhausted)</v>
      </c>
      <c r="J223" t="str">
        <f>IFERROR(INDEX(Framework[Class],MATCH('Step 4-Long Data'!F223,Framework[Number],0)),"")</f>
        <v>Degree</v>
      </c>
      <c r="K223" t="str">
        <f>IFERROR(INDEX(Framework[Critical],MATCH('Step 4-Long Data'!F223,Framework[Number],0)),"")</f>
        <v>No</v>
      </c>
      <c r="L223">
        <f ca="1">IF(Long_Data[[#This Row],[Indicator Class]]="Degree",INDEX(INDIRECT("Data_Entry['"&amp;Long_Data[[#This Row],[Indicator Number]]&amp;"'_DSev_1]"),MATCH(Long_Data[[#This Row],[Key]],Data_Entry[Key],0)),"NA")</f>
        <v>1</v>
      </c>
      <c r="M223">
        <f ca="1">IF(Long_Data[[#This Row],[Indicator Class]]="Degree",INDEX(INDIRECT("Data_Entry['"&amp;Long_Data[[#This Row],[Indicator Number]]&amp;"'_DSev_2]"),MATCH(Long_Data[[#This Row],[Key]],Data_Entry[Key],0)),"NA")</f>
        <v>0</v>
      </c>
      <c r="N223">
        <f ca="1">IF(Long_Data[[#This Row],[Indicator Class]]="Degree",INDEX(INDIRECT("Data_Entry['"&amp;Long_Data[[#This Row],[Indicator Number]]&amp;"'_DSev_3]"),MATCH(Long_Data[[#This Row],[Key]],Data_Entry[Key],0)),"NA")</f>
        <v>0</v>
      </c>
      <c r="O223">
        <f ca="1">IF(Long_Data[[#This Row],[Indicator Class]]="Degree",INDEX(INDIRECT("Data_Entry['"&amp;Long_Data[[#This Row],[Indicator Number]]&amp;"'_DSev_4]"),MATCH(Long_Data[[#This Row],[Key]],Data_Entry[Key],0)),"NA")</f>
        <v>0</v>
      </c>
      <c r="P223">
        <f ca="1">IF(Long_Data[[#This Row],[Indicator Class]]="Degree",INDEX(INDIRECT("Data_Entry['"&amp;Long_Data[[#This Row],[Indicator Number]]&amp;"'_DSev_5]"),MATCH(Long_Data[[#This Row],[Key]],Data_Entry[Key],0)),"NA")</f>
        <v>0</v>
      </c>
      <c r="Q223" t="str">
        <f ca="1">IFERROR(IF(Long_Data[[#This Row],[Indicator Class]]="Magnitude", INDEX(INDIRECT("Data_Entry[Sev_"&amp;Long_Data[[#This Row],[Indicator Number]]&amp;"]"),MATCH(Long_Data[[#This Row],[Key]], Data_Entry[Key],0)),"NA"),"")</f>
        <v>NA</v>
      </c>
      <c r="R22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3" s="70">
        <f ca="1">IFERROR(IF(J223="Magnitude",INDEX(INDIRECT("Data_Entry[PIN_"&amp;Long_Data[[#This Row],[Indicator Number]]&amp;"]"),MATCH(Long_Data[[#This Row],[Key]],Data_Entry[Key],0)),SUM(N223:P223)*INDEX(Baseline_Pop[Population],MATCH(Long_Data[[#This Row],[Key]],Baseline_Pop[Key],0))),"")</f>
        <v>0</v>
      </c>
    </row>
    <row r="224" spans="2:19">
      <c r="B224">
        <v>223</v>
      </c>
      <c r="C224">
        <v>13</v>
      </c>
      <c r="D224" t="str">
        <f>IFERROR(INDEX(Data_Entry[ADM2_Pcode],MATCH('Step 4-Long Data'!C224,Data_Entry[ID],0)),"NA")</f>
        <v>AF03</v>
      </c>
      <c r="E224" t="str">
        <f>IFERROR(INDEX(Data_Entry[Key],MATCH('Step 4-Long Data'!C224,Data_Entry[ID],0)),"NA")</f>
        <v>AF03-Non_Displaced</v>
      </c>
      <c r="F224">
        <v>8</v>
      </c>
      <c r="G224" t="str">
        <f>IFERROR(INDEX(Framework[Pillar],MATCH('Step 4-Long Data'!F224,Framework[Number],0)),"")</f>
        <v>Humanitarian Conditions</v>
      </c>
      <c r="H224" t="str">
        <f>IFERROR(INDEX(Framework[Sub_Pillar],MATCH('Step 4-Long Data'!F224,Framework[Number],0)),"")</f>
        <v>Coping mechanisms</v>
      </c>
      <c r="I224" t="str">
        <f>IFERROR(INDEX(Framework[Indicator],MATCH('Step 4-Long Data'!F224,Framework[Number],0)),"")</f>
        <v>% of households reporting  "Marriage of daughters earlier than intended" due to lack of food or income to buy food in the last 30 days (yes, or unable due to strategy exhausted)</v>
      </c>
      <c r="J224" t="str">
        <f>IFERROR(INDEX(Framework[Class],MATCH('Step 4-Long Data'!F224,Framework[Number],0)),"")</f>
        <v>Degree</v>
      </c>
      <c r="K224" t="str">
        <f>IFERROR(INDEX(Framework[Critical],MATCH('Step 4-Long Data'!F224,Framework[Number],0)),"")</f>
        <v>No</v>
      </c>
      <c r="L224">
        <f ca="1">IF(Long_Data[[#This Row],[Indicator Class]]="Degree",INDEX(INDIRECT("Data_Entry['"&amp;Long_Data[[#This Row],[Indicator Number]]&amp;"'_DSev_1]"),MATCH(Long_Data[[#This Row],[Key]],Data_Entry[Key],0)),"NA")</f>
        <v>0.98742138364779908</v>
      </c>
      <c r="M224">
        <f ca="1">IF(Long_Data[[#This Row],[Indicator Class]]="Degree",INDEX(INDIRECT("Data_Entry['"&amp;Long_Data[[#This Row],[Indicator Number]]&amp;"'_DSev_2]"),MATCH(Long_Data[[#This Row],[Key]],Data_Entry[Key],0)),"NA")</f>
        <v>0</v>
      </c>
      <c r="N224">
        <f ca="1">IF(Long_Data[[#This Row],[Indicator Class]]="Degree",INDEX(INDIRECT("Data_Entry['"&amp;Long_Data[[#This Row],[Indicator Number]]&amp;"'_DSev_3]"),MATCH(Long_Data[[#This Row],[Key]],Data_Entry[Key],0)),"NA")</f>
        <v>0</v>
      </c>
      <c r="O224">
        <f ca="1">IF(Long_Data[[#This Row],[Indicator Class]]="Degree",INDEX(INDIRECT("Data_Entry['"&amp;Long_Data[[#This Row],[Indicator Number]]&amp;"'_DSev_4]"),MATCH(Long_Data[[#This Row],[Key]],Data_Entry[Key],0)),"NA")</f>
        <v>1.25786163522013E-2</v>
      </c>
      <c r="P224">
        <f ca="1">IF(Long_Data[[#This Row],[Indicator Class]]="Degree",INDEX(INDIRECT("Data_Entry['"&amp;Long_Data[[#This Row],[Indicator Number]]&amp;"'_DSev_5]"),MATCH(Long_Data[[#This Row],[Key]],Data_Entry[Key],0)),"NA")</f>
        <v>0</v>
      </c>
      <c r="Q224" t="str">
        <f ca="1">IFERROR(IF(Long_Data[[#This Row],[Indicator Class]]="Magnitude", INDEX(INDIRECT("Data_Entry[Sev_"&amp;Long_Data[[#This Row],[Indicator Number]]&amp;"]"),MATCH(Long_Data[[#This Row],[Key]], Data_Entry[Key],0)),"NA"),"")</f>
        <v>NA</v>
      </c>
      <c r="R22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4" s="70">
        <f ca="1">IFERROR(IF(J224="Magnitude",INDEX(INDIRECT("Data_Entry[PIN_"&amp;Long_Data[[#This Row],[Indicator Number]]&amp;"]"),MATCH(Long_Data[[#This Row],[Key]],Data_Entry[Key],0)),SUM(N224:P224)*INDEX(Baseline_Pop[Population],MATCH(Long_Data[[#This Row],[Key]],Baseline_Pop[Key],0))),"")</f>
        <v>1194.6163522012619</v>
      </c>
    </row>
    <row r="225" spans="2:19">
      <c r="B225">
        <v>224</v>
      </c>
      <c r="C225">
        <v>14</v>
      </c>
      <c r="D225" t="str">
        <f>IFERROR(INDEX(Data_Entry[ADM2_Pcode],MATCH('Step 4-Long Data'!C225,Data_Entry[ID],0)),"NA")</f>
        <v>AF04</v>
      </c>
      <c r="E225" t="str">
        <f>IFERROR(INDEX(Data_Entry[Key],MATCH('Step 4-Long Data'!C225,Data_Entry[ID],0)),"NA")</f>
        <v>AF04-Non_Displaced</v>
      </c>
      <c r="F225">
        <v>8</v>
      </c>
      <c r="G225" t="str">
        <f>IFERROR(INDEX(Framework[Pillar],MATCH('Step 4-Long Data'!F225,Framework[Number],0)),"")</f>
        <v>Humanitarian Conditions</v>
      </c>
      <c r="H225" t="str">
        <f>IFERROR(INDEX(Framework[Sub_Pillar],MATCH('Step 4-Long Data'!F225,Framework[Number],0)),"")</f>
        <v>Coping mechanisms</v>
      </c>
      <c r="I225" t="str">
        <f>IFERROR(INDEX(Framework[Indicator],MATCH('Step 4-Long Data'!F225,Framework[Number],0)),"")</f>
        <v>% of households reporting  "Marriage of daughters earlier than intended" due to lack of food or income to buy food in the last 30 days (yes, or unable due to strategy exhausted)</v>
      </c>
      <c r="J225" t="str">
        <f>IFERROR(INDEX(Framework[Class],MATCH('Step 4-Long Data'!F225,Framework[Number],0)),"")</f>
        <v>Degree</v>
      </c>
      <c r="K225" t="str">
        <f>IFERROR(INDEX(Framework[Critical],MATCH('Step 4-Long Data'!F225,Framework[Number],0)),"")</f>
        <v>No</v>
      </c>
      <c r="L225">
        <f ca="1">IF(Long_Data[[#This Row],[Indicator Class]]="Degree",INDEX(INDIRECT("Data_Entry['"&amp;Long_Data[[#This Row],[Indicator Number]]&amp;"'_DSev_1]"),MATCH(Long_Data[[#This Row],[Key]],Data_Entry[Key],0)),"NA")</f>
        <v>0.82396817724411098</v>
      </c>
      <c r="M225">
        <f ca="1">IF(Long_Data[[#This Row],[Indicator Class]]="Degree",INDEX(INDIRECT("Data_Entry['"&amp;Long_Data[[#This Row],[Indicator Number]]&amp;"'_DSev_2]"),MATCH(Long_Data[[#This Row],[Key]],Data_Entry[Key],0)),"NA")</f>
        <v>0</v>
      </c>
      <c r="N225">
        <f ca="1">IF(Long_Data[[#This Row],[Indicator Class]]="Degree",INDEX(INDIRECT("Data_Entry['"&amp;Long_Data[[#This Row],[Indicator Number]]&amp;"'_DSev_3]"),MATCH(Long_Data[[#This Row],[Key]],Data_Entry[Key],0)),"NA")</f>
        <v>0</v>
      </c>
      <c r="O225">
        <f ca="1">IF(Long_Data[[#This Row],[Indicator Class]]="Degree",INDEX(INDIRECT("Data_Entry['"&amp;Long_Data[[#This Row],[Indicator Number]]&amp;"'_DSev_4]"),MATCH(Long_Data[[#This Row],[Key]],Data_Entry[Key],0)),"NA")</f>
        <v>0.17603182275588899</v>
      </c>
      <c r="P225">
        <f ca="1">IF(Long_Data[[#This Row],[Indicator Class]]="Degree",INDEX(INDIRECT("Data_Entry['"&amp;Long_Data[[#This Row],[Indicator Number]]&amp;"'_DSev_5]"),MATCH(Long_Data[[#This Row],[Key]],Data_Entry[Key],0)),"NA")</f>
        <v>0</v>
      </c>
      <c r="Q225" t="str">
        <f ca="1">IFERROR(IF(Long_Data[[#This Row],[Indicator Class]]="Magnitude", INDEX(INDIRECT("Data_Entry[Sev_"&amp;Long_Data[[#This Row],[Indicator Number]]&amp;"]"),MATCH(Long_Data[[#This Row],[Key]], Data_Entry[Key],0)),"NA"),"")</f>
        <v>NA</v>
      </c>
      <c r="R22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5" s="70">
        <f ca="1">IFERROR(IF(J225="Magnitude",INDEX(INDIRECT("Data_Entry[PIN_"&amp;Long_Data[[#This Row],[Indicator Number]]&amp;"]"),MATCH(Long_Data[[#This Row],[Key]],Data_Entry[Key],0)),SUM(N225:P225)*INDEX(Baseline_Pop[Population],MATCH(Long_Data[[#This Row],[Key]],Baseline_Pop[Key],0))),"")</f>
        <v>14963.056997896076</v>
      </c>
    </row>
    <row r="226" spans="2:19">
      <c r="B226">
        <v>225</v>
      </c>
      <c r="C226">
        <v>15</v>
      </c>
      <c r="D226" t="str">
        <f>IFERROR(INDEX(Data_Entry[ADM2_Pcode],MATCH('Step 4-Long Data'!C226,Data_Entry[ID],0)),"NA")</f>
        <v>AF05</v>
      </c>
      <c r="E226" t="str">
        <f>IFERROR(INDEX(Data_Entry[Key],MATCH('Step 4-Long Data'!C226,Data_Entry[ID],0)),"NA")</f>
        <v>AF05-Non_Displaced</v>
      </c>
      <c r="F226">
        <v>8</v>
      </c>
      <c r="G226" t="str">
        <f>IFERROR(INDEX(Framework[Pillar],MATCH('Step 4-Long Data'!F226,Framework[Number],0)),"")</f>
        <v>Humanitarian Conditions</v>
      </c>
      <c r="H226" t="str">
        <f>IFERROR(INDEX(Framework[Sub_Pillar],MATCH('Step 4-Long Data'!F226,Framework[Number],0)),"")</f>
        <v>Coping mechanisms</v>
      </c>
      <c r="I226" t="str">
        <f>IFERROR(INDEX(Framework[Indicator],MATCH('Step 4-Long Data'!F226,Framework[Number],0)),"")</f>
        <v>% of households reporting  "Marriage of daughters earlier than intended" due to lack of food or income to buy food in the last 30 days (yes, or unable due to strategy exhausted)</v>
      </c>
      <c r="J226" t="str">
        <f>IFERROR(INDEX(Framework[Class],MATCH('Step 4-Long Data'!F226,Framework[Number],0)),"")</f>
        <v>Degree</v>
      </c>
      <c r="K226" t="str">
        <f>IFERROR(INDEX(Framework[Critical],MATCH('Step 4-Long Data'!F226,Framework[Number],0)),"")</f>
        <v>No</v>
      </c>
      <c r="L226">
        <f ca="1">IF(Long_Data[[#This Row],[Indicator Class]]="Degree",INDEX(INDIRECT("Data_Entry['"&amp;Long_Data[[#This Row],[Indicator Number]]&amp;"'_DSev_1]"),MATCH(Long_Data[[#This Row],[Key]],Data_Entry[Key],0)),"NA")</f>
        <v>0.97761929517971691</v>
      </c>
      <c r="M226">
        <f ca="1">IF(Long_Data[[#This Row],[Indicator Class]]="Degree",INDEX(INDIRECT("Data_Entry['"&amp;Long_Data[[#This Row],[Indicator Number]]&amp;"'_DSev_2]"),MATCH(Long_Data[[#This Row],[Key]],Data_Entry[Key],0)),"NA")</f>
        <v>0</v>
      </c>
      <c r="N226">
        <f ca="1">IF(Long_Data[[#This Row],[Indicator Class]]="Degree",INDEX(INDIRECT("Data_Entry['"&amp;Long_Data[[#This Row],[Indicator Number]]&amp;"'_DSev_3]"),MATCH(Long_Data[[#This Row],[Key]],Data_Entry[Key],0)),"NA")</f>
        <v>2.2380704820283398E-2</v>
      </c>
      <c r="O226">
        <f ca="1">IF(Long_Data[[#This Row],[Indicator Class]]="Degree",INDEX(INDIRECT("Data_Entry['"&amp;Long_Data[[#This Row],[Indicator Number]]&amp;"'_DSev_4]"),MATCH(Long_Data[[#This Row],[Key]],Data_Entry[Key],0)),"NA")</f>
        <v>0</v>
      </c>
      <c r="P226">
        <f ca="1">IF(Long_Data[[#This Row],[Indicator Class]]="Degree",INDEX(INDIRECT("Data_Entry['"&amp;Long_Data[[#This Row],[Indicator Number]]&amp;"'_DSev_5]"),MATCH(Long_Data[[#This Row],[Key]],Data_Entry[Key],0)),"NA")</f>
        <v>0</v>
      </c>
      <c r="Q226" t="str">
        <f ca="1">IFERROR(IF(Long_Data[[#This Row],[Indicator Class]]="Magnitude", INDEX(INDIRECT("Data_Entry[Sev_"&amp;Long_Data[[#This Row],[Indicator Number]]&amp;"]"),MATCH(Long_Data[[#This Row],[Key]], Data_Entry[Key],0)),"NA"),"")</f>
        <v>NA</v>
      </c>
      <c r="R22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6" s="70">
        <f ca="1">IFERROR(IF(J226="Magnitude",INDEX(INDIRECT("Data_Entry[PIN_"&amp;Long_Data[[#This Row],[Indicator Number]]&amp;"]"),MATCH(Long_Data[[#This Row],[Key]],Data_Entry[Key],0)),SUM(N226:P226)*INDEX(Baseline_Pop[Population],MATCH(Long_Data[[#This Row],[Key]],Baseline_Pop[Key],0))),"")</f>
        <v>1251.5737749598882</v>
      </c>
    </row>
    <row r="227" spans="2:19">
      <c r="B227">
        <v>226</v>
      </c>
      <c r="C227">
        <v>16</v>
      </c>
      <c r="D227" t="str">
        <f>IFERROR(INDEX(Data_Entry[ADM2_Pcode],MATCH('Step 4-Long Data'!C227,Data_Entry[ID],0)),"NA")</f>
        <v>AF06</v>
      </c>
      <c r="E227" t="str">
        <f>IFERROR(INDEX(Data_Entry[Key],MATCH('Step 4-Long Data'!C227,Data_Entry[ID],0)),"NA")</f>
        <v>AF06-Non_Displaced</v>
      </c>
      <c r="F227">
        <v>8</v>
      </c>
      <c r="G227" t="str">
        <f>IFERROR(INDEX(Framework[Pillar],MATCH('Step 4-Long Data'!F227,Framework[Number],0)),"")</f>
        <v>Humanitarian Conditions</v>
      </c>
      <c r="H227" t="str">
        <f>IFERROR(INDEX(Framework[Sub_Pillar],MATCH('Step 4-Long Data'!F227,Framework[Number],0)),"")</f>
        <v>Coping mechanisms</v>
      </c>
      <c r="I227" t="str">
        <f>IFERROR(INDEX(Framework[Indicator],MATCH('Step 4-Long Data'!F227,Framework[Number],0)),"")</f>
        <v>% of households reporting  "Marriage of daughters earlier than intended" due to lack of food or income to buy food in the last 30 days (yes, or unable due to strategy exhausted)</v>
      </c>
      <c r="J227" t="str">
        <f>IFERROR(INDEX(Framework[Class],MATCH('Step 4-Long Data'!F227,Framework[Number],0)),"")</f>
        <v>Degree</v>
      </c>
      <c r="K227" t="str">
        <f>IFERROR(INDEX(Framework[Critical],MATCH('Step 4-Long Data'!F227,Framework[Number],0)),"")</f>
        <v>No</v>
      </c>
      <c r="L227">
        <f ca="1">IF(Long_Data[[#This Row],[Indicator Class]]="Degree",INDEX(INDIRECT("Data_Entry['"&amp;Long_Data[[#This Row],[Indicator Number]]&amp;"'_DSev_1]"),MATCH(Long_Data[[#This Row],[Key]],Data_Entry[Key],0)),"NA")</f>
        <v>0.95581435812489302</v>
      </c>
      <c r="M227">
        <f ca="1">IF(Long_Data[[#This Row],[Indicator Class]]="Degree",INDEX(INDIRECT("Data_Entry['"&amp;Long_Data[[#This Row],[Indicator Number]]&amp;"'_DSev_2]"),MATCH(Long_Data[[#This Row],[Key]],Data_Entry[Key],0)),"NA")</f>
        <v>0</v>
      </c>
      <c r="N227">
        <f ca="1">IF(Long_Data[[#This Row],[Indicator Class]]="Degree",INDEX(INDIRECT("Data_Entry['"&amp;Long_Data[[#This Row],[Indicator Number]]&amp;"'_DSev_3]"),MATCH(Long_Data[[#This Row],[Key]],Data_Entry[Key],0)),"NA")</f>
        <v>1.9220964681486302E-2</v>
      </c>
      <c r="O227">
        <f ca="1">IF(Long_Data[[#This Row],[Indicator Class]]="Degree",INDEX(INDIRECT("Data_Entry['"&amp;Long_Data[[#This Row],[Indicator Number]]&amp;"'_DSev_4]"),MATCH(Long_Data[[#This Row],[Key]],Data_Entry[Key],0)),"NA")</f>
        <v>2.4964677193620402E-2</v>
      </c>
      <c r="P227">
        <f ca="1">IF(Long_Data[[#This Row],[Indicator Class]]="Degree",INDEX(INDIRECT("Data_Entry['"&amp;Long_Data[[#This Row],[Indicator Number]]&amp;"'_DSev_5]"),MATCH(Long_Data[[#This Row],[Key]],Data_Entry[Key],0)),"NA")</f>
        <v>0</v>
      </c>
      <c r="Q227" t="str">
        <f ca="1">IFERROR(IF(Long_Data[[#This Row],[Indicator Class]]="Magnitude", INDEX(INDIRECT("Data_Entry[Sev_"&amp;Long_Data[[#This Row],[Indicator Number]]&amp;"]"),MATCH(Long_Data[[#This Row],[Key]], Data_Entry[Key],0)),"NA"),"")</f>
        <v>NA</v>
      </c>
      <c r="R227">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7" s="70">
        <f ca="1">IFERROR(IF(J227="Magnitude",INDEX(INDIRECT("Data_Entry[PIN_"&amp;Long_Data[[#This Row],[Indicator Number]]&amp;"]"),MATCH(Long_Data[[#This Row],[Key]],Data_Entry[Key],0)),SUM(N227:P227)*INDEX(Baseline_Pop[Population],MATCH(Long_Data[[#This Row],[Key]],Baseline_Pop[Key],0))),"")</f>
        <v>9680.0578650727512</v>
      </c>
    </row>
    <row r="228" spans="2:19">
      <c r="B228">
        <v>227</v>
      </c>
      <c r="C228">
        <v>17</v>
      </c>
      <c r="D228" t="str">
        <f>IFERROR(INDEX(Data_Entry[ADM2_Pcode],MATCH('Step 4-Long Data'!C228,Data_Entry[ID],0)),"NA")</f>
        <v>AF07</v>
      </c>
      <c r="E228" t="str">
        <f>IFERROR(INDEX(Data_Entry[Key],MATCH('Step 4-Long Data'!C228,Data_Entry[ID],0)),"NA")</f>
        <v>AF07-Non_Displaced</v>
      </c>
      <c r="F228">
        <v>8</v>
      </c>
      <c r="G228" t="str">
        <f>IFERROR(INDEX(Framework[Pillar],MATCH('Step 4-Long Data'!F228,Framework[Number],0)),"")</f>
        <v>Humanitarian Conditions</v>
      </c>
      <c r="H228" t="str">
        <f>IFERROR(INDEX(Framework[Sub_Pillar],MATCH('Step 4-Long Data'!F228,Framework[Number],0)),"")</f>
        <v>Coping mechanisms</v>
      </c>
      <c r="I228" t="str">
        <f>IFERROR(INDEX(Framework[Indicator],MATCH('Step 4-Long Data'!F228,Framework[Number],0)),"")</f>
        <v>% of households reporting  "Marriage of daughters earlier than intended" due to lack of food or income to buy food in the last 30 days (yes, or unable due to strategy exhausted)</v>
      </c>
      <c r="J228" t="str">
        <f>IFERROR(INDEX(Framework[Class],MATCH('Step 4-Long Data'!F228,Framework[Number],0)),"")</f>
        <v>Degree</v>
      </c>
      <c r="K228" t="str">
        <f>IFERROR(INDEX(Framework[Critical],MATCH('Step 4-Long Data'!F228,Framework[Number],0)),"")</f>
        <v>No</v>
      </c>
      <c r="L228">
        <f ca="1">IF(Long_Data[[#This Row],[Indicator Class]]="Degree",INDEX(INDIRECT("Data_Entry['"&amp;Long_Data[[#This Row],[Indicator Number]]&amp;"'_DSev_1]"),MATCH(Long_Data[[#This Row],[Key]],Data_Entry[Key],0)),"NA")</f>
        <v>0.88316245120293102</v>
      </c>
      <c r="M228">
        <f ca="1">IF(Long_Data[[#This Row],[Indicator Class]]="Degree",INDEX(INDIRECT("Data_Entry['"&amp;Long_Data[[#This Row],[Indicator Number]]&amp;"'_DSev_2]"),MATCH(Long_Data[[#This Row],[Key]],Data_Entry[Key],0)),"NA")</f>
        <v>0</v>
      </c>
      <c r="N228">
        <f ca="1">IF(Long_Data[[#This Row],[Indicator Class]]="Degree",INDEX(INDIRECT("Data_Entry['"&amp;Long_Data[[#This Row],[Indicator Number]]&amp;"'_DSev_3]"),MATCH(Long_Data[[#This Row],[Key]],Data_Entry[Key],0)),"NA")</f>
        <v>5.3240655955713798E-2</v>
      </c>
      <c r="O228">
        <f ca="1">IF(Long_Data[[#This Row],[Indicator Class]]="Degree",INDEX(INDIRECT("Data_Entry['"&amp;Long_Data[[#This Row],[Indicator Number]]&amp;"'_DSev_4]"),MATCH(Long_Data[[#This Row],[Key]],Data_Entry[Key],0)),"NA")</f>
        <v>6.3596892841355598E-2</v>
      </c>
      <c r="P228">
        <f ca="1">IF(Long_Data[[#This Row],[Indicator Class]]="Degree",INDEX(INDIRECT("Data_Entry['"&amp;Long_Data[[#This Row],[Indicator Number]]&amp;"'_DSev_5]"),MATCH(Long_Data[[#This Row],[Key]],Data_Entry[Key],0)),"NA")</f>
        <v>0</v>
      </c>
      <c r="Q228" t="str">
        <f ca="1">IFERROR(IF(Long_Data[[#This Row],[Indicator Class]]="Magnitude", INDEX(INDIRECT("Data_Entry[Sev_"&amp;Long_Data[[#This Row],[Indicator Number]]&amp;"]"),MATCH(Long_Data[[#This Row],[Key]], Data_Entry[Key],0)),"NA"),"")</f>
        <v>NA</v>
      </c>
      <c r="R22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8" s="70">
        <f ca="1">IFERROR(IF(J228="Magnitude",INDEX(INDIRECT("Data_Entry[PIN_"&amp;Long_Data[[#This Row],[Indicator Number]]&amp;"]"),MATCH(Long_Data[[#This Row],[Key]],Data_Entry[Key],0)),SUM(N228:P228)*INDEX(Baseline_Pop[Population],MATCH(Long_Data[[#This Row],[Key]],Baseline_Pop[Key],0))),"")</f>
        <v>7422.923150175413</v>
      </c>
    </row>
    <row r="229" spans="2:19">
      <c r="B229">
        <v>228</v>
      </c>
      <c r="C229">
        <v>18</v>
      </c>
      <c r="D229" t="str">
        <f>IFERROR(INDEX(Data_Entry[ADM2_Pcode],MATCH('Step 4-Long Data'!C229,Data_Entry[ID],0)),"NA")</f>
        <v>AF08</v>
      </c>
      <c r="E229" t="str">
        <f>IFERROR(INDEX(Data_Entry[Key],MATCH('Step 4-Long Data'!C229,Data_Entry[ID],0)),"NA")</f>
        <v>AF08-Non_Displaced</v>
      </c>
      <c r="F229">
        <v>8</v>
      </c>
      <c r="G229" t="str">
        <f>IFERROR(INDEX(Framework[Pillar],MATCH('Step 4-Long Data'!F229,Framework[Number],0)),"")</f>
        <v>Humanitarian Conditions</v>
      </c>
      <c r="H229" t="str">
        <f>IFERROR(INDEX(Framework[Sub_Pillar],MATCH('Step 4-Long Data'!F229,Framework[Number],0)),"")</f>
        <v>Coping mechanisms</v>
      </c>
      <c r="I229" t="str">
        <f>IFERROR(INDEX(Framework[Indicator],MATCH('Step 4-Long Data'!F229,Framework[Number],0)),"")</f>
        <v>% of households reporting  "Marriage of daughters earlier than intended" due to lack of food or income to buy food in the last 30 days (yes, or unable due to strategy exhausted)</v>
      </c>
      <c r="J229" t="str">
        <f>IFERROR(INDEX(Framework[Class],MATCH('Step 4-Long Data'!F229,Framework[Number],0)),"")</f>
        <v>Degree</v>
      </c>
      <c r="K229" t="str">
        <f>IFERROR(INDEX(Framework[Critical],MATCH('Step 4-Long Data'!F229,Framework[Number],0)),"")</f>
        <v>No</v>
      </c>
      <c r="L229">
        <f ca="1">IF(Long_Data[[#This Row],[Indicator Class]]="Degree",INDEX(INDIRECT("Data_Entry['"&amp;Long_Data[[#This Row],[Indicator Number]]&amp;"'_DSev_1]"),MATCH(Long_Data[[#This Row],[Key]],Data_Entry[Key],0)),"NA")</f>
        <v>0.98373983739837401</v>
      </c>
      <c r="M229">
        <f ca="1">IF(Long_Data[[#This Row],[Indicator Class]]="Degree",INDEX(INDIRECT("Data_Entry['"&amp;Long_Data[[#This Row],[Indicator Number]]&amp;"'_DSev_2]"),MATCH(Long_Data[[#This Row],[Key]],Data_Entry[Key],0)),"NA")</f>
        <v>0</v>
      </c>
      <c r="N229">
        <f ca="1">IF(Long_Data[[#This Row],[Indicator Class]]="Degree",INDEX(INDIRECT("Data_Entry['"&amp;Long_Data[[#This Row],[Indicator Number]]&amp;"'_DSev_3]"),MATCH(Long_Data[[#This Row],[Key]],Data_Entry[Key],0)),"NA")</f>
        <v>8.1300813008130107E-3</v>
      </c>
      <c r="O229">
        <f ca="1">IF(Long_Data[[#This Row],[Indicator Class]]="Degree",INDEX(INDIRECT("Data_Entry['"&amp;Long_Data[[#This Row],[Indicator Number]]&amp;"'_DSev_4]"),MATCH(Long_Data[[#This Row],[Key]],Data_Entry[Key],0)),"NA")</f>
        <v>8.1300813008130107E-3</v>
      </c>
      <c r="P229">
        <f ca="1">IF(Long_Data[[#This Row],[Indicator Class]]="Degree",INDEX(INDIRECT("Data_Entry['"&amp;Long_Data[[#This Row],[Indicator Number]]&amp;"'_DSev_5]"),MATCH(Long_Data[[#This Row],[Key]],Data_Entry[Key],0)),"NA")</f>
        <v>0</v>
      </c>
      <c r="Q229" t="str">
        <f ca="1">IFERROR(IF(Long_Data[[#This Row],[Indicator Class]]="Magnitude", INDEX(INDIRECT("Data_Entry[Sev_"&amp;Long_Data[[#This Row],[Indicator Number]]&amp;"]"),MATCH(Long_Data[[#This Row],[Key]], Data_Entry[Key],0)),"NA"),"")</f>
        <v>NA</v>
      </c>
      <c r="R22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29" s="70">
        <f ca="1">IFERROR(IF(J229="Magnitude",INDEX(INDIRECT("Data_Entry[PIN_"&amp;Long_Data[[#This Row],[Indicator Number]]&amp;"]"),MATCH(Long_Data[[#This Row],[Key]],Data_Entry[Key],0)),SUM(N229:P229)*INDEX(Baseline_Pop[Population],MATCH(Long_Data[[#This Row],[Key]],Baseline_Pop[Key],0))),"")</f>
        <v>355.70731707317083</v>
      </c>
    </row>
    <row r="230" spans="2:19">
      <c r="B230">
        <v>229</v>
      </c>
      <c r="C230">
        <v>19</v>
      </c>
      <c r="D230" t="str">
        <f>IFERROR(INDEX(Data_Entry[ADM2_Pcode],MATCH('Step 4-Long Data'!C230,Data_Entry[ID],0)),"NA")</f>
        <v>AF09</v>
      </c>
      <c r="E230" t="str">
        <f>IFERROR(INDEX(Data_Entry[Key],MATCH('Step 4-Long Data'!C230,Data_Entry[ID],0)),"NA")</f>
        <v>AF09-Non_Displaced</v>
      </c>
      <c r="F230">
        <v>8</v>
      </c>
      <c r="G230" t="str">
        <f>IFERROR(INDEX(Framework[Pillar],MATCH('Step 4-Long Data'!F230,Framework[Number],0)),"")</f>
        <v>Humanitarian Conditions</v>
      </c>
      <c r="H230" t="str">
        <f>IFERROR(INDEX(Framework[Sub_Pillar],MATCH('Step 4-Long Data'!F230,Framework[Number],0)),"")</f>
        <v>Coping mechanisms</v>
      </c>
      <c r="I230" t="str">
        <f>IFERROR(INDEX(Framework[Indicator],MATCH('Step 4-Long Data'!F230,Framework[Number],0)),"")</f>
        <v>% of households reporting  "Marriage of daughters earlier than intended" due to lack of food or income to buy food in the last 30 days (yes, or unable due to strategy exhausted)</v>
      </c>
      <c r="J230" t="str">
        <f>IFERROR(INDEX(Framework[Class],MATCH('Step 4-Long Data'!F230,Framework[Number],0)),"")</f>
        <v>Degree</v>
      </c>
      <c r="K230" t="str">
        <f>IFERROR(INDEX(Framework[Critical],MATCH('Step 4-Long Data'!F230,Framework[Number],0)),"")</f>
        <v>No</v>
      </c>
      <c r="L230">
        <f ca="1">IF(Long_Data[[#This Row],[Indicator Class]]="Degree",INDEX(INDIRECT("Data_Entry['"&amp;Long_Data[[#This Row],[Indicator Number]]&amp;"'_DSev_1]"),MATCH(Long_Data[[#This Row],[Key]],Data_Entry[Key],0)),"NA")</f>
        <v>0.96586736272168294</v>
      </c>
      <c r="M230">
        <f ca="1">IF(Long_Data[[#This Row],[Indicator Class]]="Degree",INDEX(INDIRECT("Data_Entry['"&amp;Long_Data[[#This Row],[Indicator Number]]&amp;"'_DSev_2]"),MATCH(Long_Data[[#This Row],[Key]],Data_Entry[Key],0)),"NA")</f>
        <v>0</v>
      </c>
      <c r="N230">
        <f ca="1">IF(Long_Data[[#This Row],[Indicator Class]]="Degree",INDEX(INDIRECT("Data_Entry['"&amp;Long_Data[[#This Row],[Indicator Number]]&amp;"'_DSev_3]"),MATCH(Long_Data[[#This Row],[Key]],Data_Entry[Key],0)),"NA")</f>
        <v>3.2186397676611904E-2</v>
      </c>
      <c r="O230">
        <f ca="1">IF(Long_Data[[#This Row],[Indicator Class]]="Degree",INDEX(INDIRECT("Data_Entry['"&amp;Long_Data[[#This Row],[Indicator Number]]&amp;"'_DSev_4]"),MATCH(Long_Data[[#This Row],[Key]],Data_Entry[Key],0)),"NA")</f>
        <v>1.9462396017048899E-3</v>
      </c>
      <c r="P230">
        <f ca="1">IF(Long_Data[[#This Row],[Indicator Class]]="Degree",INDEX(INDIRECT("Data_Entry['"&amp;Long_Data[[#This Row],[Indicator Number]]&amp;"'_DSev_5]"),MATCH(Long_Data[[#This Row],[Key]],Data_Entry[Key],0)),"NA")</f>
        <v>0</v>
      </c>
      <c r="Q230" t="str">
        <f ca="1">IFERROR(IF(Long_Data[[#This Row],[Indicator Class]]="Magnitude", INDEX(INDIRECT("Data_Entry[Sev_"&amp;Long_Data[[#This Row],[Indicator Number]]&amp;"]"),MATCH(Long_Data[[#This Row],[Key]], Data_Entry[Key],0)),"NA"),"")</f>
        <v>NA</v>
      </c>
      <c r="R230">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0" s="70">
        <f ca="1">IFERROR(IF(J230="Magnitude",INDEX(INDIRECT("Data_Entry[PIN_"&amp;Long_Data[[#This Row],[Indicator Number]]&amp;"]"),MATCH(Long_Data[[#This Row],[Key]],Data_Entry[Key],0)),SUM(N230:P230)*INDEX(Baseline_Pop[Population],MATCH(Long_Data[[#This Row],[Key]],Baseline_Pop[Key],0))),"")</f>
        <v>4458.5416118428529</v>
      </c>
    </row>
    <row r="231" spans="2:19">
      <c r="B231">
        <v>230</v>
      </c>
      <c r="C231">
        <v>20</v>
      </c>
      <c r="D231" t="str">
        <f>IFERROR(INDEX(Data_Entry[ADM2_Pcode],MATCH('Step 4-Long Data'!C231,Data_Entry[ID],0)),"NA")</f>
        <v>AF10</v>
      </c>
      <c r="E231" t="str">
        <f>IFERROR(INDEX(Data_Entry[Key],MATCH('Step 4-Long Data'!C231,Data_Entry[ID],0)),"NA")</f>
        <v>AF10-Non_Displaced</v>
      </c>
      <c r="F231">
        <v>8</v>
      </c>
      <c r="G231" t="str">
        <f>IFERROR(INDEX(Framework[Pillar],MATCH('Step 4-Long Data'!F231,Framework[Number],0)),"")</f>
        <v>Humanitarian Conditions</v>
      </c>
      <c r="H231" t="str">
        <f>IFERROR(INDEX(Framework[Sub_Pillar],MATCH('Step 4-Long Data'!F231,Framework[Number],0)),"")</f>
        <v>Coping mechanisms</v>
      </c>
      <c r="I231" t="str">
        <f>IFERROR(INDEX(Framework[Indicator],MATCH('Step 4-Long Data'!F231,Framework[Number],0)),"")</f>
        <v>% of households reporting  "Marriage of daughters earlier than intended" due to lack of food or income to buy food in the last 30 days (yes, or unable due to strategy exhausted)</v>
      </c>
      <c r="J231" t="str">
        <f>IFERROR(INDEX(Framework[Class],MATCH('Step 4-Long Data'!F231,Framework[Number],0)),"")</f>
        <v>Degree</v>
      </c>
      <c r="K231" t="str">
        <f>IFERROR(INDEX(Framework[Critical],MATCH('Step 4-Long Data'!F231,Framework[Number],0)),"")</f>
        <v>No</v>
      </c>
      <c r="L231">
        <f ca="1">IF(Long_Data[[#This Row],[Indicator Class]]="Degree",INDEX(INDIRECT("Data_Entry['"&amp;Long_Data[[#This Row],[Indicator Number]]&amp;"'_DSev_1]"),MATCH(Long_Data[[#This Row],[Key]],Data_Entry[Key],0)),"NA")</f>
        <v>0.92647058823529405</v>
      </c>
      <c r="M231">
        <f ca="1">IF(Long_Data[[#This Row],[Indicator Class]]="Degree",INDEX(INDIRECT("Data_Entry['"&amp;Long_Data[[#This Row],[Indicator Number]]&amp;"'_DSev_2]"),MATCH(Long_Data[[#This Row],[Key]],Data_Entry[Key],0)),"NA")</f>
        <v>0</v>
      </c>
      <c r="N231">
        <f ca="1">IF(Long_Data[[#This Row],[Indicator Class]]="Degree",INDEX(INDIRECT("Data_Entry['"&amp;Long_Data[[#This Row],[Indicator Number]]&amp;"'_DSev_3]"),MATCH(Long_Data[[#This Row],[Key]],Data_Entry[Key],0)),"NA")</f>
        <v>0</v>
      </c>
      <c r="O231">
        <f ca="1">IF(Long_Data[[#This Row],[Indicator Class]]="Degree",INDEX(INDIRECT("Data_Entry['"&amp;Long_Data[[#This Row],[Indicator Number]]&amp;"'_DSev_4]"),MATCH(Long_Data[[#This Row],[Key]],Data_Entry[Key],0)),"NA")</f>
        <v>7.3529411764705899E-2</v>
      </c>
      <c r="P231">
        <f ca="1">IF(Long_Data[[#This Row],[Indicator Class]]="Degree",INDEX(INDIRECT("Data_Entry['"&amp;Long_Data[[#This Row],[Indicator Number]]&amp;"'_DSev_5]"),MATCH(Long_Data[[#This Row],[Key]],Data_Entry[Key],0)),"NA")</f>
        <v>0</v>
      </c>
      <c r="Q231" t="str">
        <f ca="1">IFERROR(IF(Long_Data[[#This Row],[Indicator Class]]="Magnitude", INDEX(INDIRECT("Data_Entry[Sev_"&amp;Long_Data[[#This Row],[Indicator Number]]&amp;"]"),MATCH(Long_Data[[#This Row],[Key]], Data_Entry[Key],0)),"NA"),"")</f>
        <v>NA</v>
      </c>
      <c r="R23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1" s="70">
        <f ca="1">IFERROR(IF(J231="Magnitude",INDEX(INDIRECT("Data_Entry[PIN_"&amp;Long_Data[[#This Row],[Indicator Number]]&amp;"]"),MATCH(Long_Data[[#This Row],[Key]],Data_Entry[Key],0)),SUM(N231:P231)*INDEX(Baseline_Pop[Population],MATCH(Long_Data[[#This Row],[Key]],Baseline_Pop[Key],0))),"")</f>
        <v>4691.0294117647072</v>
      </c>
    </row>
    <row r="232" spans="2:19">
      <c r="B232">
        <v>231</v>
      </c>
      <c r="C232">
        <v>21</v>
      </c>
      <c r="D232" t="str">
        <f>IFERROR(INDEX(Data_Entry[ADM2_Pcode],MATCH('Step 4-Long Data'!C232,Data_Entry[ID],0)),"NA")</f>
        <v>AF01</v>
      </c>
      <c r="E232" t="str">
        <f>IFERROR(INDEX(Data_Entry[Key],MATCH('Step 4-Long Data'!C232,Data_Entry[ID],0)),"NA")</f>
        <v>AF01-Migrants</v>
      </c>
      <c r="F232">
        <v>8</v>
      </c>
      <c r="G232" t="str">
        <f>IFERROR(INDEX(Framework[Pillar],MATCH('Step 4-Long Data'!F232,Framework[Number],0)),"")</f>
        <v>Humanitarian Conditions</v>
      </c>
      <c r="H232" t="str">
        <f>IFERROR(INDEX(Framework[Sub_Pillar],MATCH('Step 4-Long Data'!F232,Framework[Number],0)),"")</f>
        <v>Coping mechanisms</v>
      </c>
      <c r="I232" t="str">
        <f>IFERROR(INDEX(Framework[Indicator],MATCH('Step 4-Long Data'!F232,Framework[Number],0)),"")</f>
        <v>% of households reporting  "Marriage of daughters earlier than intended" due to lack of food or income to buy food in the last 30 days (yes, or unable due to strategy exhausted)</v>
      </c>
      <c r="J232" t="str">
        <f>IFERROR(INDEX(Framework[Class],MATCH('Step 4-Long Data'!F232,Framework[Number],0)),"")</f>
        <v>Degree</v>
      </c>
      <c r="K232" t="str">
        <f>IFERROR(INDEX(Framework[Critical],MATCH('Step 4-Long Data'!F232,Framework[Number],0)),"")</f>
        <v>No</v>
      </c>
      <c r="L232">
        <f ca="1">IF(Long_Data[[#This Row],[Indicator Class]]="Degree",INDEX(INDIRECT("Data_Entry['"&amp;Long_Data[[#This Row],[Indicator Number]]&amp;"'_DSev_1]"),MATCH(Long_Data[[#This Row],[Key]],Data_Entry[Key],0)),"NA")</f>
        <v>0.98611111111111105</v>
      </c>
      <c r="M232">
        <f ca="1">IF(Long_Data[[#This Row],[Indicator Class]]="Degree",INDEX(INDIRECT("Data_Entry['"&amp;Long_Data[[#This Row],[Indicator Number]]&amp;"'_DSev_2]"),MATCH(Long_Data[[#This Row],[Key]],Data_Entry[Key],0)),"NA")</f>
        <v>0</v>
      </c>
      <c r="N232">
        <f ca="1">IF(Long_Data[[#This Row],[Indicator Class]]="Degree",INDEX(INDIRECT("Data_Entry['"&amp;Long_Data[[#This Row],[Indicator Number]]&amp;"'_DSev_3]"),MATCH(Long_Data[[#This Row],[Key]],Data_Entry[Key],0)),"NA")</f>
        <v>0</v>
      </c>
      <c r="O232">
        <f ca="1">IF(Long_Data[[#This Row],[Indicator Class]]="Degree",INDEX(INDIRECT("Data_Entry['"&amp;Long_Data[[#This Row],[Indicator Number]]&amp;"'_DSev_4]"),MATCH(Long_Data[[#This Row],[Key]],Data_Entry[Key],0)),"NA")</f>
        <v>1.38888888888889E-2</v>
      </c>
      <c r="P232">
        <f ca="1">IF(Long_Data[[#This Row],[Indicator Class]]="Degree",INDEX(INDIRECT("Data_Entry['"&amp;Long_Data[[#This Row],[Indicator Number]]&amp;"'_DSev_5]"),MATCH(Long_Data[[#This Row],[Key]],Data_Entry[Key],0)),"NA")</f>
        <v>0</v>
      </c>
      <c r="Q232" t="str">
        <f ca="1">IFERROR(IF(Long_Data[[#This Row],[Indicator Class]]="Magnitude", INDEX(INDIRECT("Data_Entry[Sev_"&amp;Long_Data[[#This Row],[Indicator Number]]&amp;"]"),MATCH(Long_Data[[#This Row],[Key]], Data_Entry[Key],0)),"NA"),"")</f>
        <v>NA</v>
      </c>
      <c r="R232">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2" s="70">
        <f ca="1">IFERROR(IF(J232="Magnitude",INDEX(INDIRECT("Data_Entry[PIN_"&amp;Long_Data[[#This Row],[Indicator Number]]&amp;"]"),MATCH(Long_Data[[#This Row],[Key]],Data_Entry[Key],0)),SUM(N232:P232)*INDEX(Baseline_Pop[Population],MATCH(Long_Data[[#This Row],[Key]],Baseline_Pop[Key],0))),"")</f>
        <v>18612.541666666682</v>
      </c>
    </row>
    <row r="233" spans="2:19">
      <c r="B233">
        <v>232</v>
      </c>
      <c r="C233">
        <v>22</v>
      </c>
      <c r="D233" t="str">
        <f>IFERROR(INDEX(Data_Entry[ADM2_Pcode],MATCH('Step 4-Long Data'!C233,Data_Entry[ID],0)),"NA")</f>
        <v>AF02</v>
      </c>
      <c r="E233" t="str">
        <f>IFERROR(INDEX(Data_Entry[Key],MATCH('Step 4-Long Data'!C233,Data_Entry[ID],0)),"NA")</f>
        <v>AF02-Migrants</v>
      </c>
      <c r="F233">
        <v>8</v>
      </c>
      <c r="G233" t="str">
        <f>IFERROR(INDEX(Framework[Pillar],MATCH('Step 4-Long Data'!F233,Framework[Number],0)),"")</f>
        <v>Humanitarian Conditions</v>
      </c>
      <c r="H233" t="str">
        <f>IFERROR(INDEX(Framework[Sub_Pillar],MATCH('Step 4-Long Data'!F233,Framework[Number],0)),"")</f>
        <v>Coping mechanisms</v>
      </c>
      <c r="I233" t="str">
        <f>IFERROR(INDEX(Framework[Indicator],MATCH('Step 4-Long Data'!F233,Framework[Number],0)),"")</f>
        <v>% of households reporting  "Marriage of daughters earlier than intended" due to lack of food or income to buy food in the last 30 days (yes, or unable due to strategy exhausted)</v>
      </c>
      <c r="J233" t="str">
        <f>IFERROR(INDEX(Framework[Class],MATCH('Step 4-Long Data'!F233,Framework[Number],0)),"")</f>
        <v>Degree</v>
      </c>
      <c r="K233" t="str">
        <f>IFERROR(INDEX(Framework[Critical],MATCH('Step 4-Long Data'!F233,Framework[Number],0)),"")</f>
        <v>No</v>
      </c>
      <c r="L233">
        <f ca="1">IF(Long_Data[[#This Row],[Indicator Class]]="Degree",INDEX(INDIRECT("Data_Entry['"&amp;Long_Data[[#This Row],[Indicator Number]]&amp;"'_DSev_1]"),MATCH(Long_Data[[#This Row],[Key]],Data_Entry[Key],0)),"NA")</f>
        <v>1</v>
      </c>
      <c r="M233">
        <f ca="1">IF(Long_Data[[#This Row],[Indicator Class]]="Degree",INDEX(INDIRECT("Data_Entry['"&amp;Long_Data[[#This Row],[Indicator Number]]&amp;"'_DSev_2]"),MATCH(Long_Data[[#This Row],[Key]],Data_Entry[Key],0)),"NA")</f>
        <v>0</v>
      </c>
      <c r="N233">
        <f ca="1">IF(Long_Data[[#This Row],[Indicator Class]]="Degree",INDEX(INDIRECT("Data_Entry['"&amp;Long_Data[[#This Row],[Indicator Number]]&amp;"'_DSev_3]"),MATCH(Long_Data[[#This Row],[Key]],Data_Entry[Key],0)),"NA")</f>
        <v>0</v>
      </c>
      <c r="O233">
        <f ca="1">IF(Long_Data[[#This Row],[Indicator Class]]="Degree",INDEX(INDIRECT("Data_Entry['"&amp;Long_Data[[#This Row],[Indicator Number]]&amp;"'_DSev_4]"),MATCH(Long_Data[[#This Row],[Key]],Data_Entry[Key],0)),"NA")</f>
        <v>0</v>
      </c>
      <c r="P233">
        <f ca="1">IF(Long_Data[[#This Row],[Indicator Class]]="Degree",INDEX(INDIRECT("Data_Entry['"&amp;Long_Data[[#This Row],[Indicator Number]]&amp;"'_DSev_5]"),MATCH(Long_Data[[#This Row],[Key]],Data_Entry[Key],0)),"NA")</f>
        <v>0</v>
      </c>
      <c r="Q233" t="str">
        <f ca="1">IFERROR(IF(Long_Data[[#This Row],[Indicator Class]]="Magnitude", INDEX(INDIRECT("Data_Entry[Sev_"&amp;Long_Data[[#This Row],[Indicator Number]]&amp;"]"),MATCH(Long_Data[[#This Row],[Key]], Data_Entry[Key],0)),"NA"),"")</f>
        <v>NA</v>
      </c>
      <c r="R23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3" s="70">
        <f ca="1">IFERROR(IF(J233="Magnitude",INDEX(INDIRECT("Data_Entry[PIN_"&amp;Long_Data[[#This Row],[Indicator Number]]&amp;"]"),MATCH(Long_Data[[#This Row],[Key]],Data_Entry[Key],0)),SUM(N233:P233)*INDEX(Baseline_Pop[Population],MATCH(Long_Data[[#This Row],[Key]],Baseline_Pop[Key],0))),"")</f>
        <v>0</v>
      </c>
    </row>
    <row r="234" spans="2:19">
      <c r="B234">
        <v>233</v>
      </c>
      <c r="C234">
        <v>23</v>
      </c>
      <c r="D234" t="str">
        <f>IFERROR(INDEX(Data_Entry[ADM2_Pcode],MATCH('Step 4-Long Data'!C234,Data_Entry[ID],0)),"NA")</f>
        <v>AF03</v>
      </c>
      <c r="E234" t="str">
        <f>IFERROR(INDEX(Data_Entry[Key],MATCH('Step 4-Long Data'!C234,Data_Entry[ID],0)),"NA")</f>
        <v>AF03-Migrants</v>
      </c>
      <c r="F234">
        <v>8</v>
      </c>
      <c r="G234" t="str">
        <f>IFERROR(INDEX(Framework[Pillar],MATCH('Step 4-Long Data'!F234,Framework[Number],0)),"")</f>
        <v>Humanitarian Conditions</v>
      </c>
      <c r="H234" t="str">
        <f>IFERROR(INDEX(Framework[Sub_Pillar],MATCH('Step 4-Long Data'!F234,Framework[Number],0)),"")</f>
        <v>Coping mechanisms</v>
      </c>
      <c r="I234" t="str">
        <f>IFERROR(INDEX(Framework[Indicator],MATCH('Step 4-Long Data'!F234,Framework[Number],0)),"")</f>
        <v>% of households reporting  "Marriage of daughters earlier than intended" due to lack of food or income to buy food in the last 30 days (yes, or unable due to strategy exhausted)</v>
      </c>
      <c r="J234" t="str">
        <f>IFERROR(INDEX(Framework[Class],MATCH('Step 4-Long Data'!F234,Framework[Number],0)),"")</f>
        <v>Degree</v>
      </c>
      <c r="K234" t="str">
        <f>IFERROR(INDEX(Framework[Critical],MATCH('Step 4-Long Data'!F234,Framework[Number],0)),"")</f>
        <v>No</v>
      </c>
      <c r="L234">
        <f ca="1">IF(Long_Data[[#This Row],[Indicator Class]]="Degree",INDEX(INDIRECT("Data_Entry['"&amp;Long_Data[[#This Row],[Indicator Number]]&amp;"'_DSev_1]"),MATCH(Long_Data[[#This Row],[Key]],Data_Entry[Key],0)),"NA")</f>
        <v>0.98742138364779908</v>
      </c>
      <c r="M234">
        <f ca="1">IF(Long_Data[[#This Row],[Indicator Class]]="Degree",INDEX(INDIRECT("Data_Entry['"&amp;Long_Data[[#This Row],[Indicator Number]]&amp;"'_DSev_2]"),MATCH(Long_Data[[#This Row],[Key]],Data_Entry[Key],0)),"NA")</f>
        <v>0</v>
      </c>
      <c r="N234">
        <f ca="1">IF(Long_Data[[#This Row],[Indicator Class]]="Degree",INDEX(INDIRECT("Data_Entry['"&amp;Long_Data[[#This Row],[Indicator Number]]&amp;"'_DSev_3]"),MATCH(Long_Data[[#This Row],[Key]],Data_Entry[Key],0)),"NA")</f>
        <v>0</v>
      </c>
      <c r="O234">
        <f ca="1">IF(Long_Data[[#This Row],[Indicator Class]]="Degree",INDEX(INDIRECT("Data_Entry['"&amp;Long_Data[[#This Row],[Indicator Number]]&amp;"'_DSev_4]"),MATCH(Long_Data[[#This Row],[Key]],Data_Entry[Key],0)),"NA")</f>
        <v>1.25786163522013E-2</v>
      </c>
      <c r="P234">
        <f ca="1">IF(Long_Data[[#This Row],[Indicator Class]]="Degree",INDEX(INDIRECT("Data_Entry['"&amp;Long_Data[[#This Row],[Indicator Number]]&amp;"'_DSev_5]"),MATCH(Long_Data[[#This Row],[Key]],Data_Entry[Key],0)),"NA")</f>
        <v>0</v>
      </c>
      <c r="Q234" t="str">
        <f ca="1">IFERROR(IF(Long_Data[[#This Row],[Indicator Class]]="Magnitude", INDEX(INDIRECT("Data_Entry[Sev_"&amp;Long_Data[[#This Row],[Indicator Number]]&amp;"]"),MATCH(Long_Data[[#This Row],[Key]], Data_Entry[Key],0)),"NA"),"")</f>
        <v>NA</v>
      </c>
      <c r="R23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4" s="70">
        <f ca="1">IFERROR(IF(J234="Magnitude",INDEX(INDIRECT("Data_Entry[PIN_"&amp;Long_Data[[#This Row],[Indicator Number]]&amp;"]"),MATCH(Long_Data[[#This Row],[Key]],Data_Entry[Key],0)),SUM(N234:P234)*INDEX(Baseline_Pop[Population],MATCH(Long_Data[[#This Row],[Key]],Baseline_Pop[Key],0))),"")</f>
        <v>2389.2327044025237</v>
      </c>
    </row>
    <row r="235" spans="2:19">
      <c r="B235">
        <v>234</v>
      </c>
      <c r="C235">
        <v>24</v>
      </c>
      <c r="D235" t="str">
        <f>IFERROR(INDEX(Data_Entry[ADM2_Pcode],MATCH('Step 4-Long Data'!C235,Data_Entry[ID],0)),"NA")</f>
        <v>AF04</v>
      </c>
      <c r="E235" t="str">
        <f>IFERROR(INDEX(Data_Entry[Key],MATCH('Step 4-Long Data'!C235,Data_Entry[ID],0)),"NA")</f>
        <v>AF04-Migrants</v>
      </c>
      <c r="F235">
        <v>8</v>
      </c>
      <c r="G235" t="str">
        <f>IFERROR(INDEX(Framework[Pillar],MATCH('Step 4-Long Data'!F235,Framework[Number],0)),"")</f>
        <v>Humanitarian Conditions</v>
      </c>
      <c r="H235" t="str">
        <f>IFERROR(INDEX(Framework[Sub_Pillar],MATCH('Step 4-Long Data'!F235,Framework[Number],0)),"")</f>
        <v>Coping mechanisms</v>
      </c>
      <c r="I235" t="str">
        <f>IFERROR(INDEX(Framework[Indicator],MATCH('Step 4-Long Data'!F235,Framework[Number],0)),"")</f>
        <v>% of households reporting  "Marriage of daughters earlier than intended" due to lack of food or income to buy food in the last 30 days (yes, or unable due to strategy exhausted)</v>
      </c>
      <c r="J235" t="str">
        <f>IFERROR(INDEX(Framework[Class],MATCH('Step 4-Long Data'!F235,Framework[Number],0)),"")</f>
        <v>Degree</v>
      </c>
      <c r="K235" t="str">
        <f>IFERROR(INDEX(Framework[Critical],MATCH('Step 4-Long Data'!F235,Framework[Number],0)),"")</f>
        <v>No</v>
      </c>
      <c r="L235">
        <f ca="1">IF(Long_Data[[#This Row],[Indicator Class]]="Degree",INDEX(INDIRECT("Data_Entry['"&amp;Long_Data[[#This Row],[Indicator Number]]&amp;"'_DSev_1]"),MATCH(Long_Data[[#This Row],[Key]],Data_Entry[Key],0)),"NA")</f>
        <v>0.82396817724411098</v>
      </c>
      <c r="M235">
        <f ca="1">IF(Long_Data[[#This Row],[Indicator Class]]="Degree",INDEX(INDIRECT("Data_Entry['"&amp;Long_Data[[#This Row],[Indicator Number]]&amp;"'_DSev_2]"),MATCH(Long_Data[[#This Row],[Key]],Data_Entry[Key],0)),"NA")</f>
        <v>0</v>
      </c>
      <c r="N235">
        <f ca="1">IF(Long_Data[[#This Row],[Indicator Class]]="Degree",INDEX(INDIRECT("Data_Entry['"&amp;Long_Data[[#This Row],[Indicator Number]]&amp;"'_DSev_3]"),MATCH(Long_Data[[#This Row],[Key]],Data_Entry[Key],0)),"NA")</f>
        <v>0</v>
      </c>
      <c r="O235">
        <f ca="1">IF(Long_Data[[#This Row],[Indicator Class]]="Degree",INDEX(INDIRECT("Data_Entry['"&amp;Long_Data[[#This Row],[Indicator Number]]&amp;"'_DSev_4]"),MATCH(Long_Data[[#This Row],[Key]],Data_Entry[Key],0)),"NA")</f>
        <v>0.17603182275588899</v>
      </c>
      <c r="P235">
        <f ca="1">IF(Long_Data[[#This Row],[Indicator Class]]="Degree",INDEX(INDIRECT("Data_Entry['"&amp;Long_Data[[#This Row],[Indicator Number]]&amp;"'_DSev_5]"),MATCH(Long_Data[[#This Row],[Key]],Data_Entry[Key],0)),"NA")</f>
        <v>0</v>
      </c>
      <c r="Q235" t="str">
        <f ca="1">IFERROR(IF(Long_Data[[#This Row],[Indicator Class]]="Magnitude", INDEX(INDIRECT("Data_Entry[Sev_"&amp;Long_Data[[#This Row],[Indicator Number]]&amp;"]"),MATCH(Long_Data[[#This Row],[Key]], Data_Entry[Key],0)),"NA"),"")</f>
        <v>NA</v>
      </c>
      <c r="R23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5" s="70">
        <f ca="1">IFERROR(IF(J235="Magnitude",INDEX(INDIRECT("Data_Entry[PIN_"&amp;Long_Data[[#This Row],[Indicator Number]]&amp;"]"),MATCH(Long_Data[[#This Row],[Key]],Data_Entry[Key],0)),SUM(N235:P235)*INDEX(Baseline_Pop[Population],MATCH(Long_Data[[#This Row],[Key]],Baseline_Pop[Key],0))),"")</f>
        <v>29926.113995792151</v>
      </c>
    </row>
    <row r="236" spans="2:19">
      <c r="B236">
        <v>235</v>
      </c>
      <c r="C236">
        <v>25</v>
      </c>
      <c r="D236" t="str">
        <f>IFERROR(INDEX(Data_Entry[ADM2_Pcode],MATCH('Step 4-Long Data'!C236,Data_Entry[ID],0)),"NA")</f>
        <v>AF05</v>
      </c>
      <c r="E236" t="str">
        <f>IFERROR(INDEX(Data_Entry[Key],MATCH('Step 4-Long Data'!C236,Data_Entry[ID],0)),"NA")</f>
        <v>AF05-Migrants</v>
      </c>
      <c r="F236">
        <v>8</v>
      </c>
      <c r="G236" t="str">
        <f>IFERROR(INDEX(Framework[Pillar],MATCH('Step 4-Long Data'!F236,Framework[Number],0)),"")</f>
        <v>Humanitarian Conditions</v>
      </c>
      <c r="H236" t="str">
        <f>IFERROR(INDEX(Framework[Sub_Pillar],MATCH('Step 4-Long Data'!F236,Framework[Number],0)),"")</f>
        <v>Coping mechanisms</v>
      </c>
      <c r="I236" t="str">
        <f>IFERROR(INDEX(Framework[Indicator],MATCH('Step 4-Long Data'!F236,Framework[Number],0)),"")</f>
        <v>% of households reporting  "Marriage of daughters earlier than intended" due to lack of food or income to buy food in the last 30 days (yes, or unable due to strategy exhausted)</v>
      </c>
      <c r="J236" t="str">
        <f>IFERROR(INDEX(Framework[Class],MATCH('Step 4-Long Data'!F236,Framework[Number],0)),"")</f>
        <v>Degree</v>
      </c>
      <c r="K236" t="str">
        <f>IFERROR(INDEX(Framework[Critical],MATCH('Step 4-Long Data'!F236,Framework[Number],0)),"")</f>
        <v>No</v>
      </c>
      <c r="L236">
        <f ca="1">IF(Long_Data[[#This Row],[Indicator Class]]="Degree",INDEX(INDIRECT("Data_Entry['"&amp;Long_Data[[#This Row],[Indicator Number]]&amp;"'_DSev_1]"),MATCH(Long_Data[[#This Row],[Key]],Data_Entry[Key],0)),"NA")</f>
        <v>0.97761929517971691</v>
      </c>
      <c r="M236">
        <f ca="1">IF(Long_Data[[#This Row],[Indicator Class]]="Degree",INDEX(INDIRECT("Data_Entry['"&amp;Long_Data[[#This Row],[Indicator Number]]&amp;"'_DSev_2]"),MATCH(Long_Data[[#This Row],[Key]],Data_Entry[Key],0)),"NA")</f>
        <v>0</v>
      </c>
      <c r="N236">
        <f ca="1">IF(Long_Data[[#This Row],[Indicator Class]]="Degree",INDEX(INDIRECT("Data_Entry['"&amp;Long_Data[[#This Row],[Indicator Number]]&amp;"'_DSev_3]"),MATCH(Long_Data[[#This Row],[Key]],Data_Entry[Key],0)),"NA")</f>
        <v>2.2380704820283398E-2</v>
      </c>
      <c r="O236">
        <f ca="1">IF(Long_Data[[#This Row],[Indicator Class]]="Degree",INDEX(INDIRECT("Data_Entry['"&amp;Long_Data[[#This Row],[Indicator Number]]&amp;"'_DSev_4]"),MATCH(Long_Data[[#This Row],[Key]],Data_Entry[Key],0)),"NA")</f>
        <v>0</v>
      </c>
      <c r="P236">
        <f ca="1">IF(Long_Data[[#This Row],[Indicator Class]]="Degree",INDEX(INDIRECT("Data_Entry['"&amp;Long_Data[[#This Row],[Indicator Number]]&amp;"'_DSev_5]"),MATCH(Long_Data[[#This Row],[Key]],Data_Entry[Key],0)),"NA")</f>
        <v>0</v>
      </c>
      <c r="Q236" t="str">
        <f ca="1">IFERROR(IF(Long_Data[[#This Row],[Indicator Class]]="Magnitude", INDEX(INDIRECT("Data_Entry[Sev_"&amp;Long_Data[[#This Row],[Indicator Number]]&amp;"]"),MATCH(Long_Data[[#This Row],[Key]], Data_Entry[Key],0)),"NA"),"")</f>
        <v>NA</v>
      </c>
      <c r="R23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6" s="70">
        <f ca="1">IFERROR(IF(J236="Magnitude",INDEX(INDIRECT("Data_Entry[PIN_"&amp;Long_Data[[#This Row],[Indicator Number]]&amp;"]"),MATCH(Long_Data[[#This Row],[Key]],Data_Entry[Key],0)),SUM(N236:P236)*INDEX(Baseline_Pop[Population],MATCH(Long_Data[[#This Row],[Key]],Baseline_Pop[Key],0))),"")</f>
        <v>2503.1251692149563</v>
      </c>
    </row>
    <row r="237" spans="2:19">
      <c r="B237">
        <v>236</v>
      </c>
      <c r="C237">
        <v>26</v>
      </c>
      <c r="D237" t="str">
        <f>IFERROR(INDEX(Data_Entry[ADM2_Pcode],MATCH('Step 4-Long Data'!C237,Data_Entry[ID],0)),"NA")</f>
        <v>AF06</v>
      </c>
      <c r="E237" t="str">
        <f>IFERROR(INDEX(Data_Entry[Key],MATCH('Step 4-Long Data'!C237,Data_Entry[ID],0)),"NA")</f>
        <v>AF06-Migrants</v>
      </c>
      <c r="F237">
        <v>8</v>
      </c>
      <c r="G237" t="str">
        <f>IFERROR(INDEX(Framework[Pillar],MATCH('Step 4-Long Data'!F237,Framework[Number],0)),"")</f>
        <v>Humanitarian Conditions</v>
      </c>
      <c r="H237" t="str">
        <f>IFERROR(INDEX(Framework[Sub_Pillar],MATCH('Step 4-Long Data'!F237,Framework[Number],0)),"")</f>
        <v>Coping mechanisms</v>
      </c>
      <c r="I237" t="str">
        <f>IFERROR(INDEX(Framework[Indicator],MATCH('Step 4-Long Data'!F237,Framework[Number],0)),"")</f>
        <v>% of households reporting  "Marriage of daughters earlier than intended" due to lack of food or income to buy food in the last 30 days (yes, or unable due to strategy exhausted)</v>
      </c>
      <c r="J237" t="str">
        <f>IFERROR(INDEX(Framework[Class],MATCH('Step 4-Long Data'!F237,Framework[Number],0)),"")</f>
        <v>Degree</v>
      </c>
      <c r="K237" t="str">
        <f>IFERROR(INDEX(Framework[Critical],MATCH('Step 4-Long Data'!F237,Framework[Number],0)),"")</f>
        <v>No</v>
      </c>
      <c r="L237">
        <f ca="1">IF(Long_Data[[#This Row],[Indicator Class]]="Degree",INDEX(INDIRECT("Data_Entry['"&amp;Long_Data[[#This Row],[Indicator Number]]&amp;"'_DSev_1]"),MATCH(Long_Data[[#This Row],[Key]],Data_Entry[Key],0)),"NA")</f>
        <v>0.95581435812489302</v>
      </c>
      <c r="M237">
        <f ca="1">IF(Long_Data[[#This Row],[Indicator Class]]="Degree",INDEX(INDIRECT("Data_Entry['"&amp;Long_Data[[#This Row],[Indicator Number]]&amp;"'_DSev_2]"),MATCH(Long_Data[[#This Row],[Key]],Data_Entry[Key],0)),"NA")</f>
        <v>0</v>
      </c>
      <c r="N237">
        <f ca="1">IF(Long_Data[[#This Row],[Indicator Class]]="Degree",INDEX(INDIRECT("Data_Entry['"&amp;Long_Data[[#This Row],[Indicator Number]]&amp;"'_DSev_3]"),MATCH(Long_Data[[#This Row],[Key]],Data_Entry[Key],0)),"NA")</f>
        <v>1.9220964681486302E-2</v>
      </c>
      <c r="O237">
        <f ca="1">IF(Long_Data[[#This Row],[Indicator Class]]="Degree",INDEX(INDIRECT("Data_Entry['"&amp;Long_Data[[#This Row],[Indicator Number]]&amp;"'_DSev_4]"),MATCH(Long_Data[[#This Row],[Key]],Data_Entry[Key],0)),"NA")</f>
        <v>2.4964677193620402E-2</v>
      </c>
      <c r="P237">
        <f ca="1">IF(Long_Data[[#This Row],[Indicator Class]]="Degree",INDEX(INDIRECT("Data_Entry['"&amp;Long_Data[[#This Row],[Indicator Number]]&amp;"'_DSev_5]"),MATCH(Long_Data[[#This Row],[Key]],Data_Entry[Key],0)),"NA")</f>
        <v>0</v>
      </c>
      <c r="Q237" t="str">
        <f ca="1">IFERROR(IF(Long_Data[[#This Row],[Indicator Class]]="Magnitude", INDEX(INDIRECT("Data_Entry[Sev_"&amp;Long_Data[[#This Row],[Indicator Number]]&amp;"]"),MATCH(Long_Data[[#This Row],[Key]], Data_Entry[Key],0)),"NA"),"")</f>
        <v>NA</v>
      </c>
      <c r="R237">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7" s="70">
        <f ca="1">IFERROR(IF(J237="Magnitude",INDEX(INDIRECT("Data_Entry[PIN_"&amp;Long_Data[[#This Row],[Indicator Number]]&amp;"]"),MATCH(Long_Data[[#This Row],[Key]],Data_Entry[Key],0)),SUM(N237:P237)*INDEX(Baseline_Pop[Population],MATCH(Long_Data[[#This Row],[Key]],Baseline_Pop[Key],0))),"")</f>
        <v>19360.115730145502</v>
      </c>
    </row>
    <row r="238" spans="2:19">
      <c r="B238">
        <v>237</v>
      </c>
      <c r="C238">
        <v>27</v>
      </c>
      <c r="D238" t="str">
        <f>IFERROR(INDEX(Data_Entry[ADM2_Pcode],MATCH('Step 4-Long Data'!C238,Data_Entry[ID],0)),"NA")</f>
        <v>AF07</v>
      </c>
      <c r="E238" t="str">
        <f>IFERROR(INDEX(Data_Entry[Key],MATCH('Step 4-Long Data'!C238,Data_Entry[ID],0)),"NA")</f>
        <v>AF07-Migrants</v>
      </c>
      <c r="F238">
        <v>8</v>
      </c>
      <c r="G238" t="str">
        <f>IFERROR(INDEX(Framework[Pillar],MATCH('Step 4-Long Data'!F238,Framework[Number],0)),"")</f>
        <v>Humanitarian Conditions</v>
      </c>
      <c r="H238" t="str">
        <f>IFERROR(INDEX(Framework[Sub_Pillar],MATCH('Step 4-Long Data'!F238,Framework[Number],0)),"")</f>
        <v>Coping mechanisms</v>
      </c>
      <c r="I238" t="str">
        <f>IFERROR(INDEX(Framework[Indicator],MATCH('Step 4-Long Data'!F238,Framework[Number],0)),"")</f>
        <v>% of households reporting  "Marriage of daughters earlier than intended" due to lack of food or income to buy food in the last 30 days (yes, or unable due to strategy exhausted)</v>
      </c>
      <c r="J238" t="str">
        <f>IFERROR(INDEX(Framework[Class],MATCH('Step 4-Long Data'!F238,Framework[Number],0)),"")</f>
        <v>Degree</v>
      </c>
      <c r="K238" t="str">
        <f>IFERROR(INDEX(Framework[Critical],MATCH('Step 4-Long Data'!F238,Framework[Number],0)),"")</f>
        <v>No</v>
      </c>
      <c r="L238">
        <f ca="1">IF(Long_Data[[#This Row],[Indicator Class]]="Degree",INDEX(INDIRECT("Data_Entry['"&amp;Long_Data[[#This Row],[Indicator Number]]&amp;"'_DSev_1]"),MATCH(Long_Data[[#This Row],[Key]],Data_Entry[Key],0)),"NA")</f>
        <v>0.88316245120293102</v>
      </c>
      <c r="M238">
        <f ca="1">IF(Long_Data[[#This Row],[Indicator Class]]="Degree",INDEX(INDIRECT("Data_Entry['"&amp;Long_Data[[#This Row],[Indicator Number]]&amp;"'_DSev_2]"),MATCH(Long_Data[[#This Row],[Key]],Data_Entry[Key],0)),"NA")</f>
        <v>0</v>
      </c>
      <c r="N238">
        <f ca="1">IF(Long_Data[[#This Row],[Indicator Class]]="Degree",INDEX(INDIRECT("Data_Entry['"&amp;Long_Data[[#This Row],[Indicator Number]]&amp;"'_DSev_3]"),MATCH(Long_Data[[#This Row],[Key]],Data_Entry[Key],0)),"NA")</f>
        <v>5.3240655955713798E-2</v>
      </c>
      <c r="O238">
        <f ca="1">IF(Long_Data[[#This Row],[Indicator Class]]="Degree",INDEX(INDIRECT("Data_Entry['"&amp;Long_Data[[#This Row],[Indicator Number]]&amp;"'_DSev_4]"),MATCH(Long_Data[[#This Row],[Key]],Data_Entry[Key],0)),"NA")</f>
        <v>6.3596892841355598E-2</v>
      </c>
      <c r="P238">
        <f ca="1">IF(Long_Data[[#This Row],[Indicator Class]]="Degree",INDEX(INDIRECT("Data_Entry['"&amp;Long_Data[[#This Row],[Indicator Number]]&amp;"'_DSev_5]"),MATCH(Long_Data[[#This Row],[Key]],Data_Entry[Key],0)),"NA")</f>
        <v>0</v>
      </c>
      <c r="Q238" t="str">
        <f ca="1">IFERROR(IF(Long_Data[[#This Row],[Indicator Class]]="Magnitude", INDEX(INDIRECT("Data_Entry[Sev_"&amp;Long_Data[[#This Row],[Indicator Number]]&amp;"]"),MATCH(Long_Data[[#This Row],[Key]], Data_Entry[Key],0)),"NA"),"")</f>
        <v>NA</v>
      </c>
      <c r="R23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8" s="70">
        <f ca="1">IFERROR(IF(J238="Magnitude",INDEX(INDIRECT("Data_Entry[PIN_"&amp;Long_Data[[#This Row],[Indicator Number]]&amp;"]"),MATCH(Long_Data[[#This Row],[Key]],Data_Entry[Key],0)),SUM(N238:P238)*INDEX(Baseline_Pop[Population],MATCH(Long_Data[[#This Row],[Key]],Baseline_Pop[Key],0))),"")</f>
        <v>14845.729462802028</v>
      </c>
    </row>
    <row r="239" spans="2:19">
      <c r="B239">
        <v>238</v>
      </c>
      <c r="C239">
        <v>28</v>
      </c>
      <c r="D239" t="str">
        <f>IFERROR(INDEX(Data_Entry[ADM2_Pcode],MATCH('Step 4-Long Data'!C239,Data_Entry[ID],0)),"NA")</f>
        <v>AF08</v>
      </c>
      <c r="E239" t="str">
        <f>IFERROR(INDEX(Data_Entry[Key],MATCH('Step 4-Long Data'!C239,Data_Entry[ID],0)),"NA")</f>
        <v>AF08-Migrants</v>
      </c>
      <c r="F239">
        <v>8</v>
      </c>
      <c r="G239" t="str">
        <f>IFERROR(INDEX(Framework[Pillar],MATCH('Step 4-Long Data'!F239,Framework[Number],0)),"")</f>
        <v>Humanitarian Conditions</v>
      </c>
      <c r="H239" t="str">
        <f>IFERROR(INDEX(Framework[Sub_Pillar],MATCH('Step 4-Long Data'!F239,Framework[Number],0)),"")</f>
        <v>Coping mechanisms</v>
      </c>
      <c r="I239" t="str">
        <f>IFERROR(INDEX(Framework[Indicator],MATCH('Step 4-Long Data'!F239,Framework[Number],0)),"")</f>
        <v>% of households reporting  "Marriage of daughters earlier than intended" due to lack of food or income to buy food in the last 30 days (yes, or unable due to strategy exhausted)</v>
      </c>
      <c r="J239" t="str">
        <f>IFERROR(INDEX(Framework[Class],MATCH('Step 4-Long Data'!F239,Framework[Number],0)),"")</f>
        <v>Degree</v>
      </c>
      <c r="K239" t="str">
        <f>IFERROR(INDEX(Framework[Critical],MATCH('Step 4-Long Data'!F239,Framework[Number],0)),"")</f>
        <v>No</v>
      </c>
      <c r="L239">
        <f ca="1">IF(Long_Data[[#This Row],[Indicator Class]]="Degree",INDEX(INDIRECT("Data_Entry['"&amp;Long_Data[[#This Row],[Indicator Number]]&amp;"'_DSev_1]"),MATCH(Long_Data[[#This Row],[Key]],Data_Entry[Key],0)),"NA")</f>
        <v>0.98373983739837401</v>
      </c>
      <c r="M239">
        <f ca="1">IF(Long_Data[[#This Row],[Indicator Class]]="Degree",INDEX(INDIRECT("Data_Entry['"&amp;Long_Data[[#This Row],[Indicator Number]]&amp;"'_DSev_2]"),MATCH(Long_Data[[#This Row],[Key]],Data_Entry[Key],0)),"NA")</f>
        <v>0</v>
      </c>
      <c r="N239">
        <f ca="1">IF(Long_Data[[#This Row],[Indicator Class]]="Degree",INDEX(INDIRECT("Data_Entry['"&amp;Long_Data[[#This Row],[Indicator Number]]&amp;"'_DSev_3]"),MATCH(Long_Data[[#This Row],[Key]],Data_Entry[Key],0)),"NA")</f>
        <v>8.1300813008130107E-3</v>
      </c>
      <c r="O239">
        <f ca="1">IF(Long_Data[[#This Row],[Indicator Class]]="Degree",INDEX(INDIRECT("Data_Entry['"&amp;Long_Data[[#This Row],[Indicator Number]]&amp;"'_DSev_4]"),MATCH(Long_Data[[#This Row],[Key]],Data_Entry[Key],0)),"NA")</f>
        <v>8.1300813008130107E-3</v>
      </c>
      <c r="P239">
        <f ca="1">IF(Long_Data[[#This Row],[Indicator Class]]="Degree",INDEX(INDIRECT("Data_Entry['"&amp;Long_Data[[#This Row],[Indicator Number]]&amp;"'_DSev_5]"),MATCH(Long_Data[[#This Row],[Key]],Data_Entry[Key],0)),"NA")</f>
        <v>0</v>
      </c>
      <c r="Q239" t="str">
        <f ca="1">IFERROR(IF(Long_Data[[#This Row],[Indicator Class]]="Magnitude", INDEX(INDIRECT("Data_Entry[Sev_"&amp;Long_Data[[#This Row],[Indicator Number]]&amp;"]"),MATCH(Long_Data[[#This Row],[Key]], Data_Entry[Key],0)),"NA"),"")</f>
        <v>NA</v>
      </c>
      <c r="R23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39" s="70">
        <f ca="1">IFERROR(IF(J239="Magnitude",INDEX(INDIRECT("Data_Entry[PIN_"&amp;Long_Data[[#This Row],[Indicator Number]]&amp;"]"),MATCH(Long_Data[[#This Row],[Key]],Data_Entry[Key],0)),SUM(N239:P239)*INDEX(Baseline_Pop[Population],MATCH(Long_Data[[#This Row],[Key]],Baseline_Pop[Key],0))),"")</f>
        <v>711.43089430894327</v>
      </c>
    </row>
    <row r="240" spans="2:19">
      <c r="B240">
        <v>239</v>
      </c>
      <c r="C240">
        <v>29</v>
      </c>
      <c r="D240" t="str">
        <f>IFERROR(INDEX(Data_Entry[ADM2_Pcode],MATCH('Step 4-Long Data'!C240,Data_Entry[ID],0)),"NA")</f>
        <v>AF09</v>
      </c>
      <c r="E240" t="str">
        <f>IFERROR(INDEX(Data_Entry[Key],MATCH('Step 4-Long Data'!C240,Data_Entry[ID],0)),"NA")</f>
        <v>AF09-Migrants</v>
      </c>
      <c r="F240">
        <v>8</v>
      </c>
      <c r="G240" t="str">
        <f>IFERROR(INDEX(Framework[Pillar],MATCH('Step 4-Long Data'!F240,Framework[Number],0)),"")</f>
        <v>Humanitarian Conditions</v>
      </c>
      <c r="H240" t="str">
        <f>IFERROR(INDEX(Framework[Sub_Pillar],MATCH('Step 4-Long Data'!F240,Framework[Number],0)),"")</f>
        <v>Coping mechanisms</v>
      </c>
      <c r="I240" t="str">
        <f>IFERROR(INDEX(Framework[Indicator],MATCH('Step 4-Long Data'!F240,Framework[Number],0)),"")</f>
        <v>% of households reporting  "Marriage of daughters earlier than intended" due to lack of food or income to buy food in the last 30 days (yes, or unable due to strategy exhausted)</v>
      </c>
      <c r="J240" t="str">
        <f>IFERROR(INDEX(Framework[Class],MATCH('Step 4-Long Data'!F240,Framework[Number],0)),"")</f>
        <v>Degree</v>
      </c>
      <c r="K240" t="str">
        <f>IFERROR(INDEX(Framework[Critical],MATCH('Step 4-Long Data'!F240,Framework[Number],0)),"")</f>
        <v>No</v>
      </c>
      <c r="L240">
        <f ca="1">IF(Long_Data[[#This Row],[Indicator Class]]="Degree",INDEX(INDIRECT("Data_Entry['"&amp;Long_Data[[#This Row],[Indicator Number]]&amp;"'_DSev_1]"),MATCH(Long_Data[[#This Row],[Key]],Data_Entry[Key],0)),"NA")</f>
        <v>0.96586736272168294</v>
      </c>
      <c r="M240">
        <f ca="1">IF(Long_Data[[#This Row],[Indicator Class]]="Degree",INDEX(INDIRECT("Data_Entry['"&amp;Long_Data[[#This Row],[Indicator Number]]&amp;"'_DSev_2]"),MATCH(Long_Data[[#This Row],[Key]],Data_Entry[Key],0)),"NA")</f>
        <v>0</v>
      </c>
      <c r="N240">
        <f ca="1">IF(Long_Data[[#This Row],[Indicator Class]]="Degree",INDEX(INDIRECT("Data_Entry['"&amp;Long_Data[[#This Row],[Indicator Number]]&amp;"'_DSev_3]"),MATCH(Long_Data[[#This Row],[Key]],Data_Entry[Key],0)),"NA")</f>
        <v>3.2186397676611904E-2</v>
      </c>
      <c r="O240">
        <f ca="1">IF(Long_Data[[#This Row],[Indicator Class]]="Degree",INDEX(INDIRECT("Data_Entry['"&amp;Long_Data[[#This Row],[Indicator Number]]&amp;"'_DSev_4]"),MATCH(Long_Data[[#This Row],[Key]],Data_Entry[Key],0)),"NA")</f>
        <v>1.9462396017048899E-3</v>
      </c>
      <c r="P240">
        <f ca="1">IF(Long_Data[[#This Row],[Indicator Class]]="Degree",INDEX(INDIRECT("Data_Entry['"&amp;Long_Data[[#This Row],[Indicator Number]]&amp;"'_DSev_5]"),MATCH(Long_Data[[#This Row],[Key]],Data_Entry[Key],0)),"NA")</f>
        <v>0</v>
      </c>
      <c r="Q240" t="str">
        <f ca="1">IFERROR(IF(Long_Data[[#This Row],[Indicator Class]]="Magnitude", INDEX(INDIRECT("Data_Entry[Sev_"&amp;Long_Data[[#This Row],[Indicator Number]]&amp;"]"),MATCH(Long_Data[[#This Row],[Key]], Data_Entry[Key],0)),"NA"),"")</f>
        <v>NA</v>
      </c>
      <c r="R240">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40" s="70">
        <f ca="1">IFERROR(IF(J240="Magnitude",INDEX(INDIRECT("Data_Entry[PIN_"&amp;Long_Data[[#This Row],[Indicator Number]]&amp;"]"),MATCH(Long_Data[[#This Row],[Key]],Data_Entry[Key],0)),SUM(N240:P240)*INDEX(Baseline_Pop[Population],MATCH(Long_Data[[#This Row],[Key]],Baseline_Pop[Key],0))),"")</f>
        <v>8917.1173563229841</v>
      </c>
    </row>
    <row r="241" spans="2:19">
      <c r="B241">
        <v>240</v>
      </c>
      <c r="C241">
        <v>30</v>
      </c>
      <c r="D241" t="str">
        <f>IFERROR(INDEX(Data_Entry[ADM2_Pcode],MATCH('Step 4-Long Data'!C241,Data_Entry[ID],0)),"NA")</f>
        <v>AF10</v>
      </c>
      <c r="E241" t="str">
        <f>IFERROR(INDEX(Data_Entry[Key],MATCH('Step 4-Long Data'!C241,Data_Entry[ID],0)),"NA")</f>
        <v>AF10-Migrants</v>
      </c>
      <c r="F241">
        <v>8</v>
      </c>
      <c r="G241" t="str">
        <f>IFERROR(INDEX(Framework[Pillar],MATCH('Step 4-Long Data'!F241,Framework[Number],0)),"")</f>
        <v>Humanitarian Conditions</v>
      </c>
      <c r="H241" t="str">
        <f>IFERROR(INDEX(Framework[Sub_Pillar],MATCH('Step 4-Long Data'!F241,Framework[Number],0)),"")</f>
        <v>Coping mechanisms</v>
      </c>
      <c r="I241" t="str">
        <f>IFERROR(INDEX(Framework[Indicator],MATCH('Step 4-Long Data'!F241,Framework[Number],0)),"")</f>
        <v>% of households reporting  "Marriage of daughters earlier than intended" due to lack of food or income to buy food in the last 30 days (yes, or unable due to strategy exhausted)</v>
      </c>
      <c r="J241" t="str">
        <f>IFERROR(INDEX(Framework[Class],MATCH('Step 4-Long Data'!F241,Framework[Number],0)),"")</f>
        <v>Degree</v>
      </c>
      <c r="K241" t="str">
        <f>IFERROR(INDEX(Framework[Critical],MATCH('Step 4-Long Data'!F241,Framework[Number],0)),"")</f>
        <v>No</v>
      </c>
      <c r="L241">
        <f ca="1">IF(Long_Data[[#This Row],[Indicator Class]]="Degree",INDEX(INDIRECT("Data_Entry['"&amp;Long_Data[[#This Row],[Indicator Number]]&amp;"'_DSev_1]"),MATCH(Long_Data[[#This Row],[Key]],Data_Entry[Key],0)),"NA")</f>
        <v>0.92647058823529405</v>
      </c>
      <c r="M241">
        <f ca="1">IF(Long_Data[[#This Row],[Indicator Class]]="Degree",INDEX(INDIRECT("Data_Entry['"&amp;Long_Data[[#This Row],[Indicator Number]]&amp;"'_DSev_2]"),MATCH(Long_Data[[#This Row],[Key]],Data_Entry[Key],0)),"NA")</f>
        <v>0</v>
      </c>
      <c r="N241">
        <f ca="1">IF(Long_Data[[#This Row],[Indicator Class]]="Degree",INDEX(INDIRECT("Data_Entry['"&amp;Long_Data[[#This Row],[Indicator Number]]&amp;"'_DSev_3]"),MATCH(Long_Data[[#This Row],[Key]],Data_Entry[Key],0)),"NA")</f>
        <v>0</v>
      </c>
      <c r="O241">
        <f ca="1">IF(Long_Data[[#This Row],[Indicator Class]]="Degree",INDEX(INDIRECT("Data_Entry['"&amp;Long_Data[[#This Row],[Indicator Number]]&amp;"'_DSev_4]"),MATCH(Long_Data[[#This Row],[Key]],Data_Entry[Key],0)),"NA")</f>
        <v>7.3529411764705899E-2</v>
      </c>
      <c r="P241">
        <f ca="1">IF(Long_Data[[#This Row],[Indicator Class]]="Degree",INDEX(INDIRECT("Data_Entry['"&amp;Long_Data[[#This Row],[Indicator Number]]&amp;"'_DSev_5]"),MATCH(Long_Data[[#This Row],[Key]],Data_Entry[Key],0)),"NA")</f>
        <v>0</v>
      </c>
      <c r="Q241" t="str">
        <f ca="1">IFERROR(IF(Long_Data[[#This Row],[Indicator Class]]="Magnitude", INDEX(INDIRECT("Data_Entry[Sev_"&amp;Long_Data[[#This Row],[Indicator Number]]&amp;"]"),MATCH(Long_Data[[#This Row],[Key]], Data_Entry[Key],0)),"NA"),"")</f>
        <v>NA</v>
      </c>
      <c r="R24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41" s="70">
        <f ca="1">IFERROR(IF(J241="Magnitude",INDEX(INDIRECT("Data_Entry[PIN_"&amp;Long_Data[[#This Row],[Indicator Number]]&amp;"]"),MATCH(Long_Data[[#This Row],[Key]],Data_Entry[Key],0)),SUM(N241:P241)*INDEX(Baseline_Pop[Population],MATCH(Long_Data[[#This Row],[Key]],Baseline_Pop[Key],0))),"")</f>
        <v>9382.1323529411784</v>
      </c>
    </row>
    <row r="242" spans="2:19">
      <c r="B242">
        <v>241</v>
      </c>
      <c r="C242">
        <v>1</v>
      </c>
      <c r="D242" t="str">
        <f>IFERROR(INDEX(Data_Entry[ADM2_Pcode],MATCH('Step 4-Long Data'!C242,Data_Entry[ID],0)),"NA")</f>
        <v>AF01</v>
      </c>
      <c r="E242" t="str">
        <f>IFERROR(INDEX(Data_Entry[Key],MATCH('Step 4-Long Data'!C242,Data_Entry[ID],0)),"NA")</f>
        <v>AF01-All_Others</v>
      </c>
      <c r="F242">
        <v>9</v>
      </c>
      <c r="G242" t="str">
        <f>IFERROR(INDEX(Framework[Pillar],MATCH('Step 4-Long Data'!F242,Framework[Number],0)),"")</f>
        <v>Humanitarian Conditions</v>
      </c>
      <c r="H242" t="str">
        <f>IFERROR(INDEX(Framework[Sub_Pillar],MATCH('Step 4-Long Data'!F242,Framework[Number],0)),"")</f>
        <v>Physical and mental wellbeing</v>
      </c>
      <c r="I242" t="str">
        <f>IFERROR(INDEX(Framework[Indicator],MATCH('Step 4-Long Data'!F242,Framework[Number],0)),"")</f>
        <v>IPC analysis</v>
      </c>
      <c r="J242" t="str">
        <f>IFERROR(INDEX(Framework[Class],MATCH('Step 4-Long Data'!F242,Framework[Number],0)),"")</f>
        <v>Magnitude</v>
      </c>
      <c r="K242" t="str">
        <f>IFERROR(INDEX(Framework[Critical],MATCH('Step 4-Long Data'!F242,Framework[Number],0)),"")</f>
        <v>Yes</v>
      </c>
      <c r="L242" t="str">
        <f ca="1">IF(Long_Data[[#This Row],[Indicator Class]]="Degree",INDEX(INDIRECT("Data_Entry['"&amp;Long_Data[[#This Row],[Indicator Number]]&amp;"'_DSev_1]"),MATCH(Long_Data[[#This Row],[Key]],Data_Entry[Key],0)),"NA")</f>
        <v>NA</v>
      </c>
      <c r="M242" t="str">
        <f ca="1">IF(Long_Data[[#This Row],[Indicator Class]]="Degree",INDEX(INDIRECT("Data_Entry['"&amp;Long_Data[[#This Row],[Indicator Number]]&amp;"'_DSev_2]"),MATCH(Long_Data[[#This Row],[Key]],Data_Entry[Key],0)),"NA")</f>
        <v>NA</v>
      </c>
      <c r="N242" t="str">
        <f ca="1">IF(Long_Data[[#This Row],[Indicator Class]]="Degree",INDEX(INDIRECT("Data_Entry['"&amp;Long_Data[[#This Row],[Indicator Number]]&amp;"'_DSev_3]"),MATCH(Long_Data[[#This Row],[Key]],Data_Entry[Key],0)),"NA")</f>
        <v>NA</v>
      </c>
      <c r="O242" t="str">
        <f ca="1">IF(Long_Data[[#This Row],[Indicator Class]]="Degree",INDEX(INDIRECT("Data_Entry['"&amp;Long_Data[[#This Row],[Indicator Number]]&amp;"'_DSev_4]"),MATCH(Long_Data[[#This Row],[Key]],Data_Entry[Key],0)),"NA")</f>
        <v>NA</v>
      </c>
      <c r="P242" t="str">
        <f ca="1">IF(Long_Data[[#This Row],[Indicator Class]]="Degree",INDEX(INDIRECT("Data_Entry['"&amp;Long_Data[[#This Row],[Indicator Number]]&amp;"'_DSev_5]"),MATCH(Long_Data[[#This Row],[Key]],Data_Entry[Key],0)),"NA")</f>
        <v>NA</v>
      </c>
      <c r="Q242">
        <f ca="1">IFERROR(IF(Long_Data[[#This Row],[Indicator Class]]="Magnitude", INDEX(INDIRECT("Data_Entry[Sev_"&amp;Long_Data[[#This Row],[Indicator Number]]&amp;"]"),MATCH(Long_Data[[#This Row],[Key]], Data_Entry[Key],0)),"NA"),"")</f>
        <v>3</v>
      </c>
      <c r="R24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2" s="70">
        <f ca="1">IFERROR(IF(J242="Magnitude",INDEX(INDIRECT("Data_Entry[PIN_"&amp;Long_Data[[#This Row],[Indicator Number]]&amp;"]"),MATCH(Long_Data[[#This Row],[Key]],Data_Entry[Key],0)),SUM(N242:P242)*INDEX(Baseline_Pop[Population],MATCH(Long_Data[[#This Row],[Key]],Baseline_Pop[Key],0))),"")</f>
        <v>0</v>
      </c>
    </row>
    <row r="243" spans="2:19">
      <c r="B243">
        <v>242</v>
      </c>
      <c r="C243">
        <v>2</v>
      </c>
      <c r="D243" t="str">
        <f>IFERROR(INDEX(Data_Entry[ADM2_Pcode],MATCH('Step 4-Long Data'!C243,Data_Entry[ID],0)),"NA")</f>
        <v>AF02</v>
      </c>
      <c r="E243" t="str">
        <f>IFERROR(INDEX(Data_Entry[Key],MATCH('Step 4-Long Data'!C243,Data_Entry[ID],0)),"NA")</f>
        <v>AF02-All_Others</v>
      </c>
      <c r="F243">
        <v>9</v>
      </c>
      <c r="G243" t="str">
        <f>IFERROR(INDEX(Framework[Pillar],MATCH('Step 4-Long Data'!F243,Framework[Number],0)),"")</f>
        <v>Humanitarian Conditions</v>
      </c>
      <c r="H243" t="str">
        <f>IFERROR(INDEX(Framework[Sub_Pillar],MATCH('Step 4-Long Data'!F243,Framework[Number],0)),"")</f>
        <v>Physical and mental wellbeing</v>
      </c>
      <c r="I243" t="str">
        <f>IFERROR(INDEX(Framework[Indicator],MATCH('Step 4-Long Data'!F243,Framework[Number],0)),"")</f>
        <v>IPC analysis</v>
      </c>
      <c r="J243" t="str">
        <f>IFERROR(INDEX(Framework[Class],MATCH('Step 4-Long Data'!F243,Framework[Number],0)),"")</f>
        <v>Magnitude</v>
      </c>
      <c r="K243" t="str">
        <f>IFERROR(INDEX(Framework[Critical],MATCH('Step 4-Long Data'!F243,Framework[Number],0)),"")</f>
        <v>Yes</v>
      </c>
      <c r="L243" t="str">
        <f ca="1">IF(Long_Data[[#This Row],[Indicator Class]]="Degree",INDEX(INDIRECT("Data_Entry['"&amp;Long_Data[[#This Row],[Indicator Number]]&amp;"'_DSev_1]"),MATCH(Long_Data[[#This Row],[Key]],Data_Entry[Key],0)),"NA")</f>
        <v>NA</v>
      </c>
      <c r="M243" t="str">
        <f ca="1">IF(Long_Data[[#This Row],[Indicator Class]]="Degree",INDEX(INDIRECT("Data_Entry['"&amp;Long_Data[[#This Row],[Indicator Number]]&amp;"'_DSev_2]"),MATCH(Long_Data[[#This Row],[Key]],Data_Entry[Key],0)),"NA")</f>
        <v>NA</v>
      </c>
      <c r="N243" t="str">
        <f ca="1">IF(Long_Data[[#This Row],[Indicator Class]]="Degree",INDEX(INDIRECT("Data_Entry['"&amp;Long_Data[[#This Row],[Indicator Number]]&amp;"'_DSev_3]"),MATCH(Long_Data[[#This Row],[Key]],Data_Entry[Key],0)),"NA")</f>
        <v>NA</v>
      </c>
      <c r="O243" t="str">
        <f ca="1">IF(Long_Data[[#This Row],[Indicator Class]]="Degree",INDEX(INDIRECT("Data_Entry['"&amp;Long_Data[[#This Row],[Indicator Number]]&amp;"'_DSev_4]"),MATCH(Long_Data[[#This Row],[Key]],Data_Entry[Key],0)),"NA")</f>
        <v>NA</v>
      </c>
      <c r="P243" t="str">
        <f ca="1">IF(Long_Data[[#This Row],[Indicator Class]]="Degree",INDEX(INDIRECT("Data_Entry['"&amp;Long_Data[[#This Row],[Indicator Number]]&amp;"'_DSev_5]"),MATCH(Long_Data[[#This Row],[Key]],Data_Entry[Key],0)),"NA")</f>
        <v>NA</v>
      </c>
      <c r="Q243">
        <f ca="1">IFERROR(IF(Long_Data[[#This Row],[Indicator Class]]="Magnitude", INDEX(INDIRECT("Data_Entry[Sev_"&amp;Long_Data[[#This Row],[Indicator Number]]&amp;"]"),MATCH(Long_Data[[#This Row],[Key]], Data_Entry[Key],0)),"NA"),"")</f>
        <v>3</v>
      </c>
      <c r="R24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3" s="70">
        <f ca="1">IFERROR(IF(J243="Magnitude",INDEX(INDIRECT("Data_Entry[PIN_"&amp;Long_Data[[#This Row],[Indicator Number]]&amp;"]"),MATCH(Long_Data[[#This Row],[Key]],Data_Entry[Key],0)),SUM(N243:P243)*INDEX(Baseline_Pop[Population],MATCH(Long_Data[[#This Row],[Key]],Baseline_Pop[Key],0))),"")</f>
        <v>0</v>
      </c>
    </row>
    <row r="244" spans="2:19">
      <c r="B244">
        <v>243</v>
      </c>
      <c r="C244">
        <v>3</v>
      </c>
      <c r="D244" t="str">
        <f>IFERROR(INDEX(Data_Entry[ADM2_Pcode],MATCH('Step 4-Long Data'!C244,Data_Entry[ID],0)),"NA")</f>
        <v>AF03</v>
      </c>
      <c r="E244" t="str">
        <f>IFERROR(INDEX(Data_Entry[Key],MATCH('Step 4-Long Data'!C244,Data_Entry[ID],0)),"NA")</f>
        <v>AF03-All_Others</v>
      </c>
      <c r="F244">
        <v>9</v>
      </c>
      <c r="G244" t="str">
        <f>IFERROR(INDEX(Framework[Pillar],MATCH('Step 4-Long Data'!F244,Framework[Number],0)),"")</f>
        <v>Humanitarian Conditions</v>
      </c>
      <c r="H244" t="str">
        <f>IFERROR(INDEX(Framework[Sub_Pillar],MATCH('Step 4-Long Data'!F244,Framework[Number],0)),"")</f>
        <v>Physical and mental wellbeing</v>
      </c>
      <c r="I244" t="str">
        <f>IFERROR(INDEX(Framework[Indicator],MATCH('Step 4-Long Data'!F244,Framework[Number],0)),"")</f>
        <v>IPC analysis</v>
      </c>
      <c r="J244" t="str">
        <f>IFERROR(INDEX(Framework[Class],MATCH('Step 4-Long Data'!F244,Framework[Number],0)),"")</f>
        <v>Magnitude</v>
      </c>
      <c r="K244" t="str">
        <f>IFERROR(INDEX(Framework[Critical],MATCH('Step 4-Long Data'!F244,Framework[Number],0)),"")</f>
        <v>Yes</v>
      </c>
      <c r="L244" t="str">
        <f ca="1">IF(Long_Data[[#This Row],[Indicator Class]]="Degree",INDEX(INDIRECT("Data_Entry['"&amp;Long_Data[[#This Row],[Indicator Number]]&amp;"'_DSev_1]"),MATCH(Long_Data[[#This Row],[Key]],Data_Entry[Key],0)),"NA")</f>
        <v>NA</v>
      </c>
      <c r="M244" t="str">
        <f ca="1">IF(Long_Data[[#This Row],[Indicator Class]]="Degree",INDEX(INDIRECT("Data_Entry['"&amp;Long_Data[[#This Row],[Indicator Number]]&amp;"'_DSev_2]"),MATCH(Long_Data[[#This Row],[Key]],Data_Entry[Key],0)),"NA")</f>
        <v>NA</v>
      </c>
      <c r="N244" t="str">
        <f ca="1">IF(Long_Data[[#This Row],[Indicator Class]]="Degree",INDEX(INDIRECT("Data_Entry['"&amp;Long_Data[[#This Row],[Indicator Number]]&amp;"'_DSev_3]"),MATCH(Long_Data[[#This Row],[Key]],Data_Entry[Key],0)),"NA")</f>
        <v>NA</v>
      </c>
      <c r="O244" t="str">
        <f ca="1">IF(Long_Data[[#This Row],[Indicator Class]]="Degree",INDEX(INDIRECT("Data_Entry['"&amp;Long_Data[[#This Row],[Indicator Number]]&amp;"'_DSev_4]"),MATCH(Long_Data[[#This Row],[Key]],Data_Entry[Key],0)),"NA")</f>
        <v>NA</v>
      </c>
      <c r="P244" t="str">
        <f ca="1">IF(Long_Data[[#This Row],[Indicator Class]]="Degree",INDEX(INDIRECT("Data_Entry['"&amp;Long_Data[[#This Row],[Indicator Number]]&amp;"'_DSev_5]"),MATCH(Long_Data[[#This Row],[Key]],Data_Entry[Key],0)),"NA")</f>
        <v>NA</v>
      </c>
      <c r="Q244">
        <f ca="1">IFERROR(IF(Long_Data[[#This Row],[Indicator Class]]="Magnitude", INDEX(INDIRECT("Data_Entry[Sev_"&amp;Long_Data[[#This Row],[Indicator Number]]&amp;"]"),MATCH(Long_Data[[#This Row],[Key]], Data_Entry[Key],0)),"NA"),"")</f>
        <v>3</v>
      </c>
      <c r="R24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4" s="70">
        <f ca="1">IFERROR(IF(J244="Magnitude",INDEX(INDIRECT("Data_Entry[PIN_"&amp;Long_Data[[#This Row],[Indicator Number]]&amp;"]"),MATCH(Long_Data[[#This Row],[Key]],Data_Entry[Key],0)),SUM(N244:P244)*INDEX(Baseline_Pop[Population],MATCH(Long_Data[[#This Row],[Key]],Baseline_Pop[Key],0))),"")</f>
        <v>0</v>
      </c>
    </row>
    <row r="245" spans="2:19">
      <c r="B245">
        <v>244</v>
      </c>
      <c r="C245">
        <v>4</v>
      </c>
      <c r="D245" t="str">
        <f>IFERROR(INDEX(Data_Entry[ADM2_Pcode],MATCH('Step 4-Long Data'!C245,Data_Entry[ID],0)),"NA")</f>
        <v>AF04</v>
      </c>
      <c r="E245" t="str">
        <f>IFERROR(INDEX(Data_Entry[Key],MATCH('Step 4-Long Data'!C245,Data_Entry[ID],0)),"NA")</f>
        <v>AF04-All_Others</v>
      </c>
      <c r="F245">
        <v>9</v>
      </c>
      <c r="G245" t="str">
        <f>IFERROR(INDEX(Framework[Pillar],MATCH('Step 4-Long Data'!F245,Framework[Number],0)),"")</f>
        <v>Humanitarian Conditions</v>
      </c>
      <c r="H245" t="str">
        <f>IFERROR(INDEX(Framework[Sub_Pillar],MATCH('Step 4-Long Data'!F245,Framework[Number],0)),"")</f>
        <v>Physical and mental wellbeing</v>
      </c>
      <c r="I245" t="str">
        <f>IFERROR(INDEX(Framework[Indicator],MATCH('Step 4-Long Data'!F245,Framework[Number],0)),"")</f>
        <v>IPC analysis</v>
      </c>
      <c r="J245" t="str">
        <f>IFERROR(INDEX(Framework[Class],MATCH('Step 4-Long Data'!F245,Framework[Number],0)),"")</f>
        <v>Magnitude</v>
      </c>
      <c r="K245" t="str">
        <f>IFERROR(INDEX(Framework[Critical],MATCH('Step 4-Long Data'!F245,Framework[Number],0)),"")</f>
        <v>Yes</v>
      </c>
      <c r="L245" t="str">
        <f ca="1">IF(Long_Data[[#This Row],[Indicator Class]]="Degree",INDEX(INDIRECT("Data_Entry['"&amp;Long_Data[[#This Row],[Indicator Number]]&amp;"'_DSev_1]"),MATCH(Long_Data[[#This Row],[Key]],Data_Entry[Key],0)),"NA")</f>
        <v>NA</v>
      </c>
      <c r="M245" t="str">
        <f ca="1">IF(Long_Data[[#This Row],[Indicator Class]]="Degree",INDEX(INDIRECT("Data_Entry['"&amp;Long_Data[[#This Row],[Indicator Number]]&amp;"'_DSev_2]"),MATCH(Long_Data[[#This Row],[Key]],Data_Entry[Key],0)),"NA")</f>
        <v>NA</v>
      </c>
      <c r="N245" t="str">
        <f ca="1">IF(Long_Data[[#This Row],[Indicator Class]]="Degree",INDEX(INDIRECT("Data_Entry['"&amp;Long_Data[[#This Row],[Indicator Number]]&amp;"'_DSev_3]"),MATCH(Long_Data[[#This Row],[Key]],Data_Entry[Key],0)),"NA")</f>
        <v>NA</v>
      </c>
      <c r="O245" t="str">
        <f ca="1">IF(Long_Data[[#This Row],[Indicator Class]]="Degree",INDEX(INDIRECT("Data_Entry['"&amp;Long_Data[[#This Row],[Indicator Number]]&amp;"'_DSev_4]"),MATCH(Long_Data[[#This Row],[Key]],Data_Entry[Key],0)),"NA")</f>
        <v>NA</v>
      </c>
      <c r="P245" t="str">
        <f ca="1">IF(Long_Data[[#This Row],[Indicator Class]]="Degree",INDEX(INDIRECT("Data_Entry['"&amp;Long_Data[[#This Row],[Indicator Number]]&amp;"'_DSev_5]"),MATCH(Long_Data[[#This Row],[Key]],Data_Entry[Key],0)),"NA")</f>
        <v>NA</v>
      </c>
      <c r="Q245">
        <f ca="1">IFERROR(IF(Long_Data[[#This Row],[Indicator Class]]="Magnitude", INDEX(INDIRECT("Data_Entry[Sev_"&amp;Long_Data[[#This Row],[Indicator Number]]&amp;"]"),MATCH(Long_Data[[#This Row],[Key]], Data_Entry[Key],0)),"NA"),"")</f>
        <v>3</v>
      </c>
      <c r="R24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5" s="70">
        <f ca="1">IFERROR(IF(J245="Magnitude",INDEX(INDIRECT("Data_Entry[PIN_"&amp;Long_Data[[#This Row],[Indicator Number]]&amp;"]"),MATCH(Long_Data[[#This Row],[Key]],Data_Entry[Key],0)),SUM(N245:P245)*INDEX(Baseline_Pop[Population],MATCH(Long_Data[[#This Row],[Key]],Baseline_Pop[Key],0))),"")</f>
        <v>0</v>
      </c>
    </row>
    <row r="246" spans="2:19">
      <c r="B246">
        <v>245</v>
      </c>
      <c r="C246">
        <v>5</v>
      </c>
      <c r="D246" t="str">
        <f>IFERROR(INDEX(Data_Entry[ADM2_Pcode],MATCH('Step 4-Long Data'!C246,Data_Entry[ID],0)),"NA")</f>
        <v>AF05</v>
      </c>
      <c r="E246" t="str">
        <f>IFERROR(INDEX(Data_Entry[Key],MATCH('Step 4-Long Data'!C246,Data_Entry[ID],0)),"NA")</f>
        <v>AF05-All_Others</v>
      </c>
      <c r="F246">
        <v>9</v>
      </c>
      <c r="G246" t="str">
        <f>IFERROR(INDEX(Framework[Pillar],MATCH('Step 4-Long Data'!F246,Framework[Number],0)),"")</f>
        <v>Humanitarian Conditions</v>
      </c>
      <c r="H246" t="str">
        <f>IFERROR(INDEX(Framework[Sub_Pillar],MATCH('Step 4-Long Data'!F246,Framework[Number],0)),"")</f>
        <v>Physical and mental wellbeing</v>
      </c>
      <c r="I246" t="str">
        <f>IFERROR(INDEX(Framework[Indicator],MATCH('Step 4-Long Data'!F246,Framework[Number],0)),"")</f>
        <v>IPC analysis</v>
      </c>
      <c r="J246" t="str">
        <f>IFERROR(INDEX(Framework[Class],MATCH('Step 4-Long Data'!F246,Framework[Number],0)),"")</f>
        <v>Magnitude</v>
      </c>
      <c r="K246" t="str">
        <f>IFERROR(INDEX(Framework[Critical],MATCH('Step 4-Long Data'!F246,Framework[Number],0)),"")</f>
        <v>Yes</v>
      </c>
      <c r="L246" t="str">
        <f ca="1">IF(Long_Data[[#This Row],[Indicator Class]]="Degree",INDEX(INDIRECT("Data_Entry['"&amp;Long_Data[[#This Row],[Indicator Number]]&amp;"'_DSev_1]"),MATCH(Long_Data[[#This Row],[Key]],Data_Entry[Key],0)),"NA")</f>
        <v>NA</v>
      </c>
      <c r="M246" t="str">
        <f ca="1">IF(Long_Data[[#This Row],[Indicator Class]]="Degree",INDEX(INDIRECT("Data_Entry['"&amp;Long_Data[[#This Row],[Indicator Number]]&amp;"'_DSev_2]"),MATCH(Long_Data[[#This Row],[Key]],Data_Entry[Key],0)),"NA")</f>
        <v>NA</v>
      </c>
      <c r="N246" t="str">
        <f ca="1">IF(Long_Data[[#This Row],[Indicator Class]]="Degree",INDEX(INDIRECT("Data_Entry['"&amp;Long_Data[[#This Row],[Indicator Number]]&amp;"'_DSev_3]"),MATCH(Long_Data[[#This Row],[Key]],Data_Entry[Key],0)),"NA")</f>
        <v>NA</v>
      </c>
      <c r="O246" t="str">
        <f ca="1">IF(Long_Data[[#This Row],[Indicator Class]]="Degree",INDEX(INDIRECT("Data_Entry['"&amp;Long_Data[[#This Row],[Indicator Number]]&amp;"'_DSev_4]"),MATCH(Long_Data[[#This Row],[Key]],Data_Entry[Key],0)),"NA")</f>
        <v>NA</v>
      </c>
      <c r="P246" t="str">
        <f ca="1">IF(Long_Data[[#This Row],[Indicator Class]]="Degree",INDEX(INDIRECT("Data_Entry['"&amp;Long_Data[[#This Row],[Indicator Number]]&amp;"'_DSev_5]"),MATCH(Long_Data[[#This Row],[Key]],Data_Entry[Key],0)),"NA")</f>
        <v>NA</v>
      </c>
      <c r="Q246">
        <f ca="1">IFERROR(IF(Long_Data[[#This Row],[Indicator Class]]="Magnitude", INDEX(INDIRECT("Data_Entry[Sev_"&amp;Long_Data[[#This Row],[Indicator Number]]&amp;"]"),MATCH(Long_Data[[#This Row],[Key]], Data_Entry[Key],0)),"NA"),"")</f>
        <v>3</v>
      </c>
      <c r="R24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6" s="70">
        <f ca="1">IFERROR(IF(J246="Magnitude",INDEX(INDIRECT("Data_Entry[PIN_"&amp;Long_Data[[#This Row],[Indicator Number]]&amp;"]"),MATCH(Long_Data[[#This Row],[Key]],Data_Entry[Key],0)),SUM(N246:P246)*INDEX(Baseline_Pop[Population],MATCH(Long_Data[[#This Row],[Key]],Baseline_Pop[Key],0))),"")</f>
        <v>0</v>
      </c>
    </row>
    <row r="247" spans="2:19">
      <c r="B247">
        <v>246</v>
      </c>
      <c r="C247">
        <v>6</v>
      </c>
      <c r="D247" t="str">
        <f>IFERROR(INDEX(Data_Entry[ADM2_Pcode],MATCH('Step 4-Long Data'!C247,Data_Entry[ID],0)),"NA")</f>
        <v>AF06</v>
      </c>
      <c r="E247" t="str">
        <f>IFERROR(INDEX(Data_Entry[Key],MATCH('Step 4-Long Data'!C247,Data_Entry[ID],0)),"NA")</f>
        <v>AF06-All_Others</v>
      </c>
      <c r="F247">
        <v>9</v>
      </c>
      <c r="G247" t="str">
        <f>IFERROR(INDEX(Framework[Pillar],MATCH('Step 4-Long Data'!F247,Framework[Number],0)),"")</f>
        <v>Humanitarian Conditions</v>
      </c>
      <c r="H247" t="str">
        <f>IFERROR(INDEX(Framework[Sub_Pillar],MATCH('Step 4-Long Data'!F247,Framework[Number],0)),"")</f>
        <v>Physical and mental wellbeing</v>
      </c>
      <c r="I247" t="str">
        <f>IFERROR(INDEX(Framework[Indicator],MATCH('Step 4-Long Data'!F247,Framework[Number],0)),"")</f>
        <v>IPC analysis</v>
      </c>
      <c r="J247" t="str">
        <f>IFERROR(INDEX(Framework[Class],MATCH('Step 4-Long Data'!F247,Framework[Number],0)),"")</f>
        <v>Magnitude</v>
      </c>
      <c r="K247" t="str">
        <f>IFERROR(INDEX(Framework[Critical],MATCH('Step 4-Long Data'!F247,Framework[Number],0)),"")</f>
        <v>Yes</v>
      </c>
      <c r="L247" t="str">
        <f ca="1">IF(Long_Data[[#This Row],[Indicator Class]]="Degree",INDEX(INDIRECT("Data_Entry['"&amp;Long_Data[[#This Row],[Indicator Number]]&amp;"'_DSev_1]"),MATCH(Long_Data[[#This Row],[Key]],Data_Entry[Key],0)),"NA")</f>
        <v>NA</v>
      </c>
      <c r="M247" t="str">
        <f ca="1">IF(Long_Data[[#This Row],[Indicator Class]]="Degree",INDEX(INDIRECT("Data_Entry['"&amp;Long_Data[[#This Row],[Indicator Number]]&amp;"'_DSev_2]"),MATCH(Long_Data[[#This Row],[Key]],Data_Entry[Key],0)),"NA")</f>
        <v>NA</v>
      </c>
      <c r="N247" t="str">
        <f ca="1">IF(Long_Data[[#This Row],[Indicator Class]]="Degree",INDEX(INDIRECT("Data_Entry['"&amp;Long_Data[[#This Row],[Indicator Number]]&amp;"'_DSev_3]"),MATCH(Long_Data[[#This Row],[Key]],Data_Entry[Key],0)),"NA")</f>
        <v>NA</v>
      </c>
      <c r="O247" t="str">
        <f ca="1">IF(Long_Data[[#This Row],[Indicator Class]]="Degree",INDEX(INDIRECT("Data_Entry['"&amp;Long_Data[[#This Row],[Indicator Number]]&amp;"'_DSev_4]"),MATCH(Long_Data[[#This Row],[Key]],Data_Entry[Key],0)),"NA")</f>
        <v>NA</v>
      </c>
      <c r="P247" t="str">
        <f ca="1">IF(Long_Data[[#This Row],[Indicator Class]]="Degree",INDEX(INDIRECT("Data_Entry['"&amp;Long_Data[[#This Row],[Indicator Number]]&amp;"'_DSev_5]"),MATCH(Long_Data[[#This Row],[Key]],Data_Entry[Key],0)),"NA")</f>
        <v>NA</v>
      </c>
      <c r="Q247">
        <f ca="1">IFERROR(IF(Long_Data[[#This Row],[Indicator Class]]="Magnitude", INDEX(INDIRECT("Data_Entry[Sev_"&amp;Long_Data[[#This Row],[Indicator Number]]&amp;"]"),MATCH(Long_Data[[#This Row],[Key]], Data_Entry[Key],0)),"NA"),"")</f>
        <v>3</v>
      </c>
      <c r="R24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7" s="70">
        <f ca="1">IFERROR(IF(J247="Magnitude",INDEX(INDIRECT("Data_Entry[PIN_"&amp;Long_Data[[#This Row],[Indicator Number]]&amp;"]"),MATCH(Long_Data[[#This Row],[Key]],Data_Entry[Key],0)),SUM(N247:P247)*INDEX(Baseline_Pop[Population],MATCH(Long_Data[[#This Row],[Key]],Baseline_Pop[Key],0))),"")</f>
        <v>0</v>
      </c>
    </row>
    <row r="248" spans="2:19">
      <c r="B248">
        <v>247</v>
      </c>
      <c r="C248">
        <v>7</v>
      </c>
      <c r="D248" t="str">
        <f>IFERROR(INDEX(Data_Entry[ADM2_Pcode],MATCH('Step 4-Long Data'!C248,Data_Entry[ID],0)),"NA")</f>
        <v>AF07</v>
      </c>
      <c r="E248" t="str">
        <f>IFERROR(INDEX(Data_Entry[Key],MATCH('Step 4-Long Data'!C248,Data_Entry[ID],0)),"NA")</f>
        <v>AF07-All_Others</v>
      </c>
      <c r="F248">
        <v>9</v>
      </c>
      <c r="G248" t="str">
        <f>IFERROR(INDEX(Framework[Pillar],MATCH('Step 4-Long Data'!F248,Framework[Number],0)),"")</f>
        <v>Humanitarian Conditions</v>
      </c>
      <c r="H248" t="str">
        <f>IFERROR(INDEX(Framework[Sub_Pillar],MATCH('Step 4-Long Data'!F248,Framework[Number],0)),"")</f>
        <v>Physical and mental wellbeing</v>
      </c>
      <c r="I248" t="str">
        <f>IFERROR(INDEX(Framework[Indicator],MATCH('Step 4-Long Data'!F248,Framework[Number],0)),"")</f>
        <v>IPC analysis</v>
      </c>
      <c r="J248" t="str">
        <f>IFERROR(INDEX(Framework[Class],MATCH('Step 4-Long Data'!F248,Framework[Number],0)),"")</f>
        <v>Magnitude</v>
      </c>
      <c r="K248" t="str">
        <f>IFERROR(INDEX(Framework[Critical],MATCH('Step 4-Long Data'!F248,Framework[Number],0)),"")</f>
        <v>Yes</v>
      </c>
      <c r="L248" t="str">
        <f ca="1">IF(Long_Data[[#This Row],[Indicator Class]]="Degree",INDEX(INDIRECT("Data_Entry['"&amp;Long_Data[[#This Row],[Indicator Number]]&amp;"'_DSev_1]"),MATCH(Long_Data[[#This Row],[Key]],Data_Entry[Key],0)),"NA")</f>
        <v>NA</v>
      </c>
      <c r="M248" t="str">
        <f ca="1">IF(Long_Data[[#This Row],[Indicator Class]]="Degree",INDEX(INDIRECT("Data_Entry['"&amp;Long_Data[[#This Row],[Indicator Number]]&amp;"'_DSev_2]"),MATCH(Long_Data[[#This Row],[Key]],Data_Entry[Key],0)),"NA")</f>
        <v>NA</v>
      </c>
      <c r="N248" t="str">
        <f ca="1">IF(Long_Data[[#This Row],[Indicator Class]]="Degree",INDEX(INDIRECT("Data_Entry['"&amp;Long_Data[[#This Row],[Indicator Number]]&amp;"'_DSev_3]"),MATCH(Long_Data[[#This Row],[Key]],Data_Entry[Key],0)),"NA")</f>
        <v>NA</v>
      </c>
      <c r="O248" t="str">
        <f ca="1">IF(Long_Data[[#This Row],[Indicator Class]]="Degree",INDEX(INDIRECT("Data_Entry['"&amp;Long_Data[[#This Row],[Indicator Number]]&amp;"'_DSev_4]"),MATCH(Long_Data[[#This Row],[Key]],Data_Entry[Key],0)),"NA")</f>
        <v>NA</v>
      </c>
      <c r="P248" t="str">
        <f ca="1">IF(Long_Data[[#This Row],[Indicator Class]]="Degree",INDEX(INDIRECT("Data_Entry['"&amp;Long_Data[[#This Row],[Indicator Number]]&amp;"'_DSev_5]"),MATCH(Long_Data[[#This Row],[Key]],Data_Entry[Key],0)),"NA")</f>
        <v>NA</v>
      </c>
      <c r="Q248">
        <f ca="1">IFERROR(IF(Long_Data[[#This Row],[Indicator Class]]="Magnitude", INDEX(INDIRECT("Data_Entry[Sev_"&amp;Long_Data[[#This Row],[Indicator Number]]&amp;"]"),MATCH(Long_Data[[#This Row],[Key]], Data_Entry[Key],0)),"NA"),"")</f>
        <v>3</v>
      </c>
      <c r="R24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8" s="70">
        <f ca="1">IFERROR(IF(J248="Magnitude",INDEX(INDIRECT("Data_Entry[PIN_"&amp;Long_Data[[#This Row],[Indicator Number]]&amp;"]"),MATCH(Long_Data[[#This Row],[Key]],Data_Entry[Key],0)),SUM(N248:P248)*INDEX(Baseline_Pop[Population],MATCH(Long_Data[[#This Row],[Key]],Baseline_Pop[Key],0))),"")</f>
        <v>0</v>
      </c>
    </row>
    <row r="249" spans="2:19">
      <c r="B249">
        <v>248</v>
      </c>
      <c r="C249">
        <v>8</v>
      </c>
      <c r="D249" t="str">
        <f>IFERROR(INDEX(Data_Entry[ADM2_Pcode],MATCH('Step 4-Long Data'!C249,Data_Entry[ID],0)),"NA")</f>
        <v>AF08</v>
      </c>
      <c r="E249" t="str">
        <f>IFERROR(INDEX(Data_Entry[Key],MATCH('Step 4-Long Data'!C249,Data_Entry[ID],0)),"NA")</f>
        <v>AF08-All_Others</v>
      </c>
      <c r="F249">
        <v>9</v>
      </c>
      <c r="G249" t="str">
        <f>IFERROR(INDEX(Framework[Pillar],MATCH('Step 4-Long Data'!F249,Framework[Number],0)),"")</f>
        <v>Humanitarian Conditions</v>
      </c>
      <c r="H249" t="str">
        <f>IFERROR(INDEX(Framework[Sub_Pillar],MATCH('Step 4-Long Data'!F249,Framework[Number],0)),"")</f>
        <v>Physical and mental wellbeing</v>
      </c>
      <c r="I249" t="str">
        <f>IFERROR(INDEX(Framework[Indicator],MATCH('Step 4-Long Data'!F249,Framework[Number],0)),"")</f>
        <v>IPC analysis</v>
      </c>
      <c r="J249" t="str">
        <f>IFERROR(INDEX(Framework[Class],MATCH('Step 4-Long Data'!F249,Framework[Number],0)),"")</f>
        <v>Magnitude</v>
      </c>
      <c r="K249" t="str">
        <f>IFERROR(INDEX(Framework[Critical],MATCH('Step 4-Long Data'!F249,Framework[Number],0)),"")</f>
        <v>Yes</v>
      </c>
      <c r="L249" t="str">
        <f ca="1">IF(Long_Data[[#This Row],[Indicator Class]]="Degree",INDEX(INDIRECT("Data_Entry['"&amp;Long_Data[[#This Row],[Indicator Number]]&amp;"'_DSev_1]"),MATCH(Long_Data[[#This Row],[Key]],Data_Entry[Key],0)),"NA")</f>
        <v>NA</v>
      </c>
      <c r="M249" t="str">
        <f ca="1">IF(Long_Data[[#This Row],[Indicator Class]]="Degree",INDEX(INDIRECT("Data_Entry['"&amp;Long_Data[[#This Row],[Indicator Number]]&amp;"'_DSev_2]"),MATCH(Long_Data[[#This Row],[Key]],Data_Entry[Key],0)),"NA")</f>
        <v>NA</v>
      </c>
      <c r="N249" t="str">
        <f ca="1">IF(Long_Data[[#This Row],[Indicator Class]]="Degree",INDEX(INDIRECT("Data_Entry['"&amp;Long_Data[[#This Row],[Indicator Number]]&amp;"'_DSev_3]"),MATCH(Long_Data[[#This Row],[Key]],Data_Entry[Key],0)),"NA")</f>
        <v>NA</v>
      </c>
      <c r="O249" t="str">
        <f ca="1">IF(Long_Data[[#This Row],[Indicator Class]]="Degree",INDEX(INDIRECT("Data_Entry['"&amp;Long_Data[[#This Row],[Indicator Number]]&amp;"'_DSev_4]"),MATCH(Long_Data[[#This Row],[Key]],Data_Entry[Key],0)),"NA")</f>
        <v>NA</v>
      </c>
      <c r="P249" t="str">
        <f ca="1">IF(Long_Data[[#This Row],[Indicator Class]]="Degree",INDEX(INDIRECT("Data_Entry['"&amp;Long_Data[[#This Row],[Indicator Number]]&amp;"'_DSev_5]"),MATCH(Long_Data[[#This Row],[Key]],Data_Entry[Key],0)),"NA")</f>
        <v>NA</v>
      </c>
      <c r="Q249">
        <f ca="1">IFERROR(IF(Long_Data[[#This Row],[Indicator Class]]="Magnitude", INDEX(INDIRECT("Data_Entry[Sev_"&amp;Long_Data[[#This Row],[Indicator Number]]&amp;"]"),MATCH(Long_Data[[#This Row],[Key]], Data_Entry[Key],0)),"NA"),"")</f>
        <v>3</v>
      </c>
      <c r="R24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49" s="70">
        <f ca="1">IFERROR(IF(J249="Magnitude",INDEX(INDIRECT("Data_Entry[PIN_"&amp;Long_Data[[#This Row],[Indicator Number]]&amp;"]"),MATCH(Long_Data[[#This Row],[Key]],Data_Entry[Key],0)),SUM(N249:P249)*INDEX(Baseline_Pop[Population],MATCH(Long_Data[[#This Row],[Key]],Baseline_Pop[Key],0))),"")</f>
        <v>0</v>
      </c>
    </row>
    <row r="250" spans="2:19">
      <c r="B250">
        <v>249</v>
      </c>
      <c r="C250">
        <v>9</v>
      </c>
      <c r="D250" t="str">
        <f>IFERROR(INDEX(Data_Entry[ADM2_Pcode],MATCH('Step 4-Long Data'!C250,Data_Entry[ID],0)),"NA")</f>
        <v>AF09</v>
      </c>
      <c r="E250" t="str">
        <f>IFERROR(INDEX(Data_Entry[Key],MATCH('Step 4-Long Data'!C250,Data_Entry[ID],0)),"NA")</f>
        <v>AF09-All_Others</v>
      </c>
      <c r="F250">
        <v>9</v>
      </c>
      <c r="G250" t="str">
        <f>IFERROR(INDEX(Framework[Pillar],MATCH('Step 4-Long Data'!F250,Framework[Number],0)),"")</f>
        <v>Humanitarian Conditions</v>
      </c>
      <c r="H250" t="str">
        <f>IFERROR(INDEX(Framework[Sub_Pillar],MATCH('Step 4-Long Data'!F250,Framework[Number],0)),"")</f>
        <v>Physical and mental wellbeing</v>
      </c>
      <c r="I250" t="str">
        <f>IFERROR(INDEX(Framework[Indicator],MATCH('Step 4-Long Data'!F250,Framework[Number],0)),"")</f>
        <v>IPC analysis</v>
      </c>
      <c r="J250" t="str">
        <f>IFERROR(INDEX(Framework[Class],MATCH('Step 4-Long Data'!F250,Framework[Number],0)),"")</f>
        <v>Magnitude</v>
      </c>
      <c r="K250" t="str">
        <f>IFERROR(INDEX(Framework[Critical],MATCH('Step 4-Long Data'!F250,Framework[Number],0)),"")</f>
        <v>Yes</v>
      </c>
      <c r="L250" t="str">
        <f ca="1">IF(Long_Data[[#This Row],[Indicator Class]]="Degree",INDEX(INDIRECT("Data_Entry['"&amp;Long_Data[[#This Row],[Indicator Number]]&amp;"'_DSev_1]"),MATCH(Long_Data[[#This Row],[Key]],Data_Entry[Key],0)),"NA")</f>
        <v>NA</v>
      </c>
      <c r="M250" t="str">
        <f ca="1">IF(Long_Data[[#This Row],[Indicator Class]]="Degree",INDEX(INDIRECT("Data_Entry['"&amp;Long_Data[[#This Row],[Indicator Number]]&amp;"'_DSev_2]"),MATCH(Long_Data[[#This Row],[Key]],Data_Entry[Key],0)),"NA")</f>
        <v>NA</v>
      </c>
      <c r="N250" t="str">
        <f ca="1">IF(Long_Data[[#This Row],[Indicator Class]]="Degree",INDEX(INDIRECT("Data_Entry['"&amp;Long_Data[[#This Row],[Indicator Number]]&amp;"'_DSev_3]"),MATCH(Long_Data[[#This Row],[Key]],Data_Entry[Key],0)),"NA")</f>
        <v>NA</v>
      </c>
      <c r="O250" t="str">
        <f ca="1">IF(Long_Data[[#This Row],[Indicator Class]]="Degree",INDEX(INDIRECT("Data_Entry['"&amp;Long_Data[[#This Row],[Indicator Number]]&amp;"'_DSev_4]"),MATCH(Long_Data[[#This Row],[Key]],Data_Entry[Key],0)),"NA")</f>
        <v>NA</v>
      </c>
      <c r="P250" t="str">
        <f ca="1">IF(Long_Data[[#This Row],[Indicator Class]]="Degree",INDEX(INDIRECT("Data_Entry['"&amp;Long_Data[[#This Row],[Indicator Number]]&amp;"'_DSev_5]"),MATCH(Long_Data[[#This Row],[Key]],Data_Entry[Key],0)),"NA")</f>
        <v>NA</v>
      </c>
      <c r="Q250">
        <f ca="1">IFERROR(IF(Long_Data[[#This Row],[Indicator Class]]="Magnitude", INDEX(INDIRECT("Data_Entry[Sev_"&amp;Long_Data[[#This Row],[Indicator Number]]&amp;"]"),MATCH(Long_Data[[#This Row],[Key]], Data_Entry[Key],0)),"NA"),"")</f>
        <v>3</v>
      </c>
      <c r="R25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0" s="70">
        <f ca="1">IFERROR(IF(J250="Magnitude",INDEX(INDIRECT("Data_Entry[PIN_"&amp;Long_Data[[#This Row],[Indicator Number]]&amp;"]"),MATCH(Long_Data[[#This Row],[Key]],Data_Entry[Key],0)),SUM(N250:P250)*INDEX(Baseline_Pop[Population],MATCH(Long_Data[[#This Row],[Key]],Baseline_Pop[Key],0))),"")</f>
        <v>0</v>
      </c>
    </row>
    <row r="251" spans="2:19">
      <c r="B251">
        <v>250</v>
      </c>
      <c r="C251">
        <v>10</v>
      </c>
      <c r="D251" t="str">
        <f>IFERROR(INDEX(Data_Entry[ADM2_Pcode],MATCH('Step 4-Long Data'!C251,Data_Entry[ID],0)),"NA")</f>
        <v>AF10</v>
      </c>
      <c r="E251" t="str">
        <f>IFERROR(INDEX(Data_Entry[Key],MATCH('Step 4-Long Data'!C251,Data_Entry[ID],0)),"NA")</f>
        <v>AF10-All_Others</v>
      </c>
      <c r="F251">
        <v>9</v>
      </c>
      <c r="G251" t="str">
        <f>IFERROR(INDEX(Framework[Pillar],MATCH('Step 4-Long Data'!F251,Framework[Number],0)),"")</f>
        <v>Humanitarian Conditions</v>
      </c>
      <c r="H251" t="str">
        <f>IFERROR(INDEX(Framework[Sub_Pillar],MATCH('Step 4-Long Data'!F251,Framework[Number],0)),"")</f>
        <v>Physical and mental wellbeing</v>
      </c>
      <c r="I251" t="str">
        <f>IFERROR(INDEX(Framework[Indicator],MATCH('Step 4-Long Data'!F251,Framework[Number],0)),"")</f>
        <v>IPC analysis</v>
      </c>
      <c r="J251" t="str">
        <f>IFERROR(INDEX(Framework[Class],MATCH('Step 4-Long Data'!F251,Framework[Number],0)),"")</f>
        <v>Magnitude</v>
      </c>
      <c r="K251" t="str">
        <f>IFERROR(INDEX(Framework[Critical],MATCH('Step 4-Long Data'!F251,Framework[Number],0)),"")</f>
        <v>Yes</v>
      </c>
      <c r="L251" t="str">
        <f ca="1">IF(Long_Data[[#This Row],[Indicator Class]]="Degree",INDEX(INDIRECT("Data_Entry['"&amp;Long_Data[[#This Row],[Indicator Number]]&amp;"'_DSev_1]"),MATCH(Long_Data[[#This Row],[Key]],Data_Entry[Key],0)),"NA")</f>
        <v>NA</v>
      </c>
      <c r="M251" t="str">
        <f ca="1">IF(Long_Data[[#This Row],[Indicator Class]]="Degree",INDEX(INDIRECT("Data_Entry['"&amp;Long_Data[[#This Row],[Indicator Number]]&amp;"'_DSev_2]"),MATCH(Long_Data[[#This Row],[Key]],Data_Entry[Key],0)),"NA")</f>
        <v>NA</v>
      </c>
      <c r="N251" t="str">
        <f ca="1">IF(Long_Data[[#This Row],[Indicator Class]]="Degree",INDEX(INDIRECT("Data_Entry['"&amp;Long_Data[[#This Row],[Indicator Number]]&amp;"'_DSev_3]"),MATCH(Long_Data[[#This Row],[Key]],Data_Entry[Key],0)),"NA")</f>
        <v>NA</v>
      </c>
      <c r="O251" t="str">
        <f ca="1">IF(Long_Data[[#This Row],[Indicator Class]]="Degree",INDEX(INDIRECT("Data_Entry['"&amp;Long_Data[[#This Row],[Indicator Number]]&amp;"'_DSev_4]"),MATCH(Long_Data[[#This Row],[Key]],Data_Entry[Key],0)),"NA")</f>
        <v>NA</v>
      </c>
      <c r="P251" t="str">
        <f ca="1">IF(Long_Data[[#This Row],[Indicator Class]]="Degree",INDEX(INDIRECT("Data_Entry['"&amp;Long_Data[[#This Row],[Indicator Number]]&amp;"'_DSev_5]"),MATCH(Long_Data[[#This Row],[Key]],Data_Entry[Key],0)),"NA")</f>
        <v>NA</v>
      </c>
      <c r="Q251">
        <f ca="1">IFERROR(IF(Long_Data[[#This Row],[Indicator Class]]="Magnitude", INDEX(INDIRECT("Data_Entry[Sev_"&amp;Long_Data[[#This Row],[Indicator Number]]&amp;"]"),MATCH(Long_Data[[#This Row],[Key]], Data_Entry[Key],0)),"NA"),"")</f>
        <v>3</v>
      </c>
      <c r="R25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1" s="70">
        <f ca="1">IFERROR(IF(J251="Magnitude",INDEX(INDIRECT("Data_Entry[PIN_"&amp;Long_Data[[#This Row],[Indicator Number]]&amp;"]"),MATCH(Long_Data[[#This Row],[Key]],Data_Entry[Key],0)),SUM(N251:P251)*INDEX(Baseline_Pop[Population],MATCH(Long_Data[[#This Row],[Key]],Baseline_Pop[Key],0))),"")</f>
        <v>0</v>
      </c>
    </row>
    <row r="252" spans="2:19">
      <c r="B252">
        <v>251</v>
      </c>
      <c r="C252">
        <v>11</v>
      </c>
      <c r="D252" t="str">
        <f>IFERROR(INDEX(Data_Entry[ADM2_Pcode],MATCH('Step 4-Long Data'!C252,Data_Entry[ID],0)),"NA")</f>
        <v>AF01</v>
      </c>
      <c r="E252" t="str">
        <f>IFERROR(INDEX(Data_Entry[Key],MATCH('Step 4-Long Data'!C252,Data_Entry[ID],0)),"NA")</f>
        <v>AF01-Non_Displaced</v>
      </c>
      <c r="F252">
        <v>9</v>
      </c>
      <c r="G252" t="str">
        <f>IFERROR(INDEX(Framework[Pillar],MATCH('Step 4-Long Data'!F252,Framework[Number],0)),"")</f>
        <v>Humanitarian Conditions</v>
      </c>
      <c r="H252" t="str">
        <f>IFERROR(INDEX(Framework[Sub_Pillar],MATCH('Step 4-Long Data'!F252,Framework[Number],0)),"")</f>
        <v>Physical and mental wellbeing</v>
      </c>
      <c r="I252" t="str">
        <f>IFERROR(INDEX(Framework[Indicator],MATCH('Step 4-Long Data'!F252,Framework[Number],0)),"")</f>
        <v>IPC analysis</v>
      </c>
      <c r="J252" t="str">
        <f>IFERROR(INDEX(Framework[Class],MATCH('Step 4-Long Data'!F252,Framework[Number],0)),"")</f>
        <v>Magnitude</v>
      </c>
      <c r="K252" t="str">
        <f>IFERROR(INDEX(Framework[Critical],MATCH('Step 4-Long Data'!F252,Framework[Number],0)),"")</f>
        <v>Yes</v>
      </c>
      <c r="L252" t="str">
        <f ca="1">IF(Long_Data[[#This Row],[Indicator Class]]="Degree",INDEX(INDIRECT("Data_Entry['"&amp;Long_Data[[#This Row],[Indicator Number]]&amp;"'_DSev_1]"),MATCH(Long_Data[[#This Row],[Key]],Data_Entry[Key],0)),"NA")</f>
        <v>NA</v>
      </c>
      <c r="M252" t="str">
        <f ca="1">IF(Long_Data[[#This Row],[Indicator Class]]="Degree",INDEX(INDIRECT("Data_Entry['"&amp;Long_Data[[#This Row],[Indicator Number]]&amp;"'_DSev_2]"),MATCH(Long_Data[[#This Row],[Key]],Data_Entry[Key],0)),"NA")</f>
        <v>NA</v>
      </c>
      <c r="N252" t="str">
        <f ca="1">IF(Long_Data[[#This Row],[Indicator Class]]="Degree",INDEX(INDIRECT("Data_Entry['"&amp;Long_Data[[#This Row],[Indicator Number]]&amp;"'_DSev_3]"),MATCH(Long_Data[[#This Row],[Key]],Data_Entry[Key],0)),"NA")</f>
        <v>NA</v>
      </c>
      <c r="O252" t="str">
        <f ca="1">IF(Long_Data[[#This Row],[Indicator Class]]="Degree",INDEX(INDIRECT("Data_Entry['"&amp;Long_Data[[#This Row],[Indicator Number]]&amp;"'_DSev_4]"),MATCH(Long_Data[[#This Row],[Key]],Data_Entry[Key],0)),"NA")</f>
        <v>NA</v>
      </c>
      <c r="P252" t="str">
        <f ca="1">IF(Long_Data[[#This Row],[Indicator Class]]="Degree",INDEX(INDIRECT("Data_Entry['"&amp;Long_Data[[#This Row],[Indicator Number]]&amp;"'_DSev_5]"),MATCH(Long_Data[[#This Row],[Key]],Data_Entry[Key],0)),"NA")</f>
        <v>NA</v>
      </c>
      <c r="Q252">
        <f ca="1">IFERROR(IF(Long_Data[[#This Row],[Indicator Class]]="Magnitude", INDEX(INDIRECT("Data_Entry[Sev_"&amp;Long_Data[[#This Row],[Indicator Number]]&amp;"]"),MATCH(Long_Data[[#This Row],[Key]], Data_Entry[Key],0)),"NA"),"")</f>
        <v>3</v>
      </c>
      <c r="R25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2" s="70">
        <f ca="1">IFERROR(IF(J252="Magnitude",INDEX(INDIRECT("Data_Entry[PIN_"&amp;Long_Data[[#This Row],[Indicator Number]]&amp;"]"),MATCH(Long_Data[[#This Row],[Key]],Data_Entry[Key],0)),SUM(N252:P252)*INDEX(Baseline_Pop[Population],MATCH(Long_Data[[#This Row],[Key]],Baseline_Pop[Key],0))),"")</f>
        <v>0</v>
      </c>
    </row>
    <row r="253" spans="2:19">
      <c r="B253">
        <v>252</v>
      </c>
      <c r="C253">
        <v>12</v>
      </c>
      <c r="D253" t="str">
        <f>IFERROR(INDEX(Data_Entry[ADM2_Pcode],MATCH('Step 4-Long Data'!C253,Data_Entry[ID],0)),"NA")</f>
        <v>AF02</v>
      </c>
      <c r="E253" t="str">
        <f>IFERROR(INDEX(Data_Entry[Key],MATCH('Step 4-Long Data'!C253,Data_Entry[ID],0)),"NA")</f>
        <v>AF02-Non_Displaced</v>
      </c>
      <c r="F253">
        <v>9</v>
      </c>
      <c r="G253" t="str">
        <f>IFERROR(INDEX(Framework[Pillar],MATCH('Step 4-Long Data'!F253,Framework[Number],0)),"")</f>
        <v>Humanitarian Conditions</v>
      </c>
      <c r="H253" t="str">
        <f>IFERROR(INDEX(Framework[Sub_Pillar],MATCH('Step 4-Long Data'!F253,Framework[Number],0)),"")</f>
        <v>Physical and mental wellbeing</v>
      </c>
      <c r="I253" t="str">
        <f>IFERROR(INDEX(Framework[Indicator],MATCH('Step 4-Long Data'!F253,Framework[Number],0)),"")</f>
        <v>IPC analysis</v>
      </c>
      <c r="J253" t="str">
        <f>IFERROR(INDEX(Framework[Class],MATCH('Step 4-Long Data'!F253,Framework[Number],0)),"")</f>
        <v>Magnitude</v>
      </c>
      <c r="K253" t="str">
        <f>IFERROR(INDEX(Framework[Critical],MATCH('Step 4-Long Data'!F253,Framework[Number],0)),"")</f>
        <v>Yes</v>
      </c>
      <c r="L253" t="str">
        <f ca="1">IF(Long_Data[[#This Row],[Indicator Class]]="Degree",INDEX(INDIRECT("Data_Entry['"&amp;Long_Data[[#This Row],[Indicator Number]]&amp;"'_DSev_1]"),MATCH(Long_Data[[#This Row],[Key]],Data_Entry[Key],0)),"NA")</f>
        <v>NA</v>
      </c>
      <c r="M253" t="str">
        <f ca="1">IF(Long_Data[[#This Row],[Indicator Class]]="Degree",INDEX(INDIRECT("Data_Entry['"&amp;Long_Data[[#This Row],[Indicator Number]]&amp;"'_DSev_2]"),MATCH(Long_Data[[#This Row],[Key]],Data_Entry[Key],0)),"NA")</f>
        <v>NA</v>
      </c>
      <c r="N253" t="str">
        <f ca="1">IF(Long_Data[[#This Row],[Indicator Class]]="Degree",INDEX(INDIRECT("Data_Entry['"&amp;Long_Data[[#This Row],[Indicator Number]]&amp;"'_DSev_3]"),MATCH(Long_Data[[#This Row],[Key]],Data_Entry[Key],0)),"NA")</f>
        <v>NA</v>
      </c>
      <c r="O253" t="str">
        <f ca="1">IF(Long_Data[[#This Row],[Indicator Class]]="Degree",INDEX(INDIRECT("Data_Entry['"&amp;Long_Data[[#This Row],[Indicator Number]]&amp;"'_DSev_4]"),MATCH(Long_Data[[#This Row],[Key]],Data_Entry[Key],0)),"NA")</f>
        <v>NA</v>
      </c>
      <c r="P253" t="str">
        <f ca="1">IF(Long_Data[[#This Row],[Indicator Class]]="Degree",INDEX(INDIRECT("Data_Entry['"&amp;Long_Data[[#This Row],[Indicator Number]]&amp;"'_DSev_5]"),MATCH(Long_Data[[#This Row],[Key]],Data_Entry[Key],0)),"NA")</f>
        <v>NA</v>
      </c>
      <c r="Q253">
        <f ca="1">IFERROR(IF(Long_Data[[#This Row],[Indicator Class]]="Magnitude", INDEX(INDIRECT("Data_Entry[Sev_"&amp;Long_Data[[#This Row],[Indicator Number]]&amp;"]"),MATCH(Long_Data[[#This Row],[Key]], Data_Entry[Key],0)),"NA"),"")</f>
        <v>3</v>
      </c>
      <c r="R25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3" s="70">
        <f ca="1">IFERROR(IF(J253="Magnitude",INDEX(INDIRECT("Data_Entry[PIN_"&amp;Long_Data[[#This Row],[Indicator Number]]&amp;"]"),MATCH(Long_Data[[#This Row],[Key]],Data_Entry[Key],0)),SUM(N253:P253)*INDEX(Baseline_Pop[Population],MATCH(Long_Data[[#This Row],[Key]],Baseline_Pop[Key],0))),"")</f>
        <v>0</v>
      </c>
    </row>
    <row r="254" spans="2:19">
      <c r="B254">
        <v>253</v>
      </c>
      <c r="C254">
        <v>13</v>
      </c>
      <c r="D254" t="str">
        <f>IFERROR(INDEX(Data_Entry[ADM2_Pcode],MATCH('Step 4-Long Data'!C254,Data_Entry[ID],0)),"NA")</f>
        <v>AF03</v>
      </c>
      <c r="E254" t="str">
        <f>IFERROR(INDEX(Data_Entry[Key],MATCH('Step 4-Long Data'!C254,Data_Entry[ID],0)),"NA")</f>
        <v>AF03-Non_Displaced</v>
      </c>
      <c r="F254">
        <v>9</v>
      </c>
      <c r="G254" t="str">
        <f>IFERROR(INDEX(Framework[Pillar],MATCH('Step 4-Long Data'!F254,Framework[Number],0)),"")</f>
        <v>Humanitarian Conditions</v>
      </c>
      <c r="H254" t="str">
        <f>IFERROR(INDEX(Framework[Sub_Pillar],MATCH('Step 4-Long Data'!F254,Framework[Number],0)),"")</f>
        <v>Physical and mental wellbeing</v>
      </c>
      <c r="I254" t="str">
        <f>IFERROR(INDEX(Framework[Indicator],MATCH('Step 4-Long Data'!F254,Framework[Number],0)),"")</f>
        <v>IPC analysis</v>
      </c>
      <c r="J254" t="str">
        <f>IFERROR(INDEX(Framework[Class],MATCH('Step 4-Long Data'!F254,Framework[Number],0)),"")</f>
        <v>Magnitude</v>
      </c>
      <c r="K254" t="str">
        <f>IFERROR(INDEX(Framework[Critical],MATCH('Step 4-Long Data'!F254,Framework[Number],0)),"")</f>
        <v>Yes</v>
      </c>
      <c r="L254" t="str">
        <f ca="1">IF(Long_Data[[#This Row],[Indicator Class]]="Degree",INDEX(INDIRECT("Data_Entry['"&amp;Long_Data[[#This Row],[Indicator Number]]&amp;"'_DSev_1]"),MATCH(Long_Data[[#This Row],[Key]],Data_Entry[Key],0)),"NA")</f>
        <v>NA</v>
      </c>
      <c r="M254" t="str">
        <f ca="1">IF(Long_Data[[#This Row],[Indicator Class]]="Degree",INDEX(INDIRECT("Data_Entry['"&amp;Long_Data[[#This Row],[Indicator Number]]&amp;"'_DSev_2]"),MATCH(Long_Data[[#This Row],[Key]],Data_Entry[Key],0)),"NA")</f>
        <v>NA</v>
      </c>
      <c r="N254" t="str">
        <f ca="1">IF(Long_Data[[#This Row],[Indicator Class]]="Degree",INDEX(INDIRECT("Data_Entry['"&amp;Long_Data[[#This Row],[Indicator Number]]&amp;"'_DSev_3]"),MATCH(Long_Data[[#This Row],[Key]],Data_Entry[Key],0)),"NA")</f>
        <v>NA</v>
      </c>
      <c r="O254" t="str">
        <f ca="1">IF(Long_Data[[#This Row],[Indicator Class]]="Degree",INDEX(INDIRECT("Data_Entry['"&amp;Long_Data[[#This Row],[Indicator Number]]&amp;"'_DSev_4]"),MATCH(Long_Data[[#This Row],[Key]],Data_Entry[Key],0)),"NA")</f>
        <v>NA</v>
      </c>
      <c r="P254" t="str">
        <f ca="1">IF(Long_Data[[#This Row],[Indicator Class]]="Degree",INDEX(INDIRECT("Data_Entry['"&amp;Long_Data[[#This Row],[Indicator Number]]&amp;"'_DSev_5]"),MATCH(Long_Data[[#This Row],[Key]],Data_Entry[Key],0)),"NA")</f>
        <v>NA</v>
      </c>
      <c r="Q254">
        <f ca="1">IFERROR(IF(Long_Data[[#This Row],[Indicator Class]]="Magnitude", INDEX(INDIRECT("Data_Entry[Sev_"&amp;Long_Data[[#This Row],[Indicator Number]]&amp;"]"),MATCH(Long_Data[[#This Row],[Key]], Data_Entry[Key],0)),"NA"),"")</f>
        <v>3</v>
      </c>
      <c r="R25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4" s="70">
        <f ca="1">IFERROR(IF(J254="Magnitude",INDEX(INDIRECT("Data_Entry[PIN_"&amp;Long_Data[[#This Row],[Indicator Number]]&amp;"]"),MATCH(Long_Data[[#This Row],[Key]],Data_Entry[Key],0)),SUM(N254:P254)*INDEX(Baseline_Pop[Population],MATCH(Long_Data[[#This Row],[Key]],Baseline_Pop[Key],0))),"")</f>
        <v>0</v>
      </c>
    </row>
    <row r="255" spans="2:19">
      <c r="B255">
        <v>254</v>
      </c>
      <c r="C255">
        <v>14</v>
      </c>
      <c r="D255" t="str">
        <f>IFERROR(INDEX(Data_Entry[ADM2_Pcode],MATCH('Step 4-Long Data'!C255,Data_Entry[ID],0)),"NA")</f>
        <v>AF04</v>
      </c>
      <c r="E255" t="str">
        <f>IFERROR(INDEX(Data_Entry[Key],MATCH('Step 4-Long Data'!C255,Data_Entry[ID],0)),"NA")</f>
        <v>AF04-Non_Displaced</v>
      </c>
      <c r="F255">
        <v>9</v>
      </c>
      <c r="G255" t="str">
        <f>IFERROR(INDEX(Framework[Pillar],MATCH('Step 4-Long Data'!F255,Framework[Number],0)),"")</f>
        <v>Humanitarian Conditions</v>
      </c>
      <c r="H255" t="str">
        <f>IFERROR(INDEX(Framework[Sub_Pillar],MATCH('Step 4-Long Data'!F255,Framework[Number],0)),"")</f>
        <v>Physical and mental wellbeing</v>
      </c>
      <c r="I255" t="str">
        <f>IFERROR(INDEX(Framework[Indicator],MATCH('Step 4-Long Data'!F255,Framework[Number],0)),"")</f>
        <v>IPC analysis</v>
      </c>
      <c r="J255" t="str">
        <f>IFERROR(INDEX(Framework[Class],MATCH('Step 4-Long Data'!F255,Framework[Number],0)),"")</f>
        <v>Magnitude</v>
      </c>
      <c r="K255" t="str">
        <f>IFERROR(INDEX(Framework[Critical],MATCH('Step 4-Long Data'!F255,Framework[Number],0)),"")</f>
        <v>Yes</v>
      </c>
      <c r="L255" t="str">
        <f ca="1">IF(Long_Data[[#This Row],[Indicator Class]]="Degree",INDEX(INDIRECT("Data_Entry['"&amp;Long_Data[[#This Row],[Indicator Number]]&amp;"'_DSev_1]"),MATCH(Long_Data[[#This Row],[Key]],Data_Entry[Key],0)),"NA")</f>
        <v>NA</v>
      </c>
      <c r="M255" t="str">
        <f ca="1">IF(Long_Data[[#This Row],[Indicator Class]]="Degree",INDEX(INDIRECT("Data_Entry['"&amp;Long_Data[[#This Row],[Indicator Number]]&amp;"'_DSev_2]"),MATCH(Long_Data[[#This Row],[Key]],Data_Entry[Key],0)),"NA")</f>
        <v>NA</v>
      </c>
      <c r="N255" t="str">
        <f ca="1">IF(Long_Data[[#This Row],[Indicator Class]]="Degree",INDEX(INDIRECT("Data_Entry['"&amp;Long_Data[[#This Row],[Indicator Number]]&amp;"'_DSev_3]"),MATCH(Long_Data[[#This Row],[Key]],Data_Entry[Key],0)),"NA")</f>
        <v>NA</v>
      </c>
      <c r="O255" t="str">
        <f ca="1">IF(Long_Data[[#This Row],[Indicator Class]]="Degree",INDEX(INDIRECT("Data_Entry['"&amp;Long_Data[[#This Row],[Indicator Number]]&amp;"'_DSev_4]"),MATCH(Long_Data[[#This Row],[Key]],Data_Entry[Key],0)),"NA")</f>
        <v>NA</v>
      </c>
      <c r="P255" t="str">
        <f ca="1">IF(Long_Data[[#This Row],[Indicator Class]]="Degree",INDEX(INDIRECT("Data_Entry['"&amp;Long_Data[[#This Row],[Indicator Number]]&amp;"'_DSev_5]"),MATCH(Long_Data[[#This Row],[Key]],Data_Entry[Key],0)),"NA")</f>
        <v>NA</v>
      </c>
      <c r="Q255">
        <f ca="1">IFERROR(IF(Long_Data[[#This Row],[Indicator Class]]="Magnitude", INDEX(INDIRECT("Data_Entry[Sev_"&amp;Long_Data[[#This Row],[Indicator Number]]&amp;"]"),MATCH(Long_Data[[#This Row],[Key]], Data_Entry[Key],0)),"NA"),"")</f>
        <v>3</v>
      </c>
      <c r="R25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5" s="70">
        <f ca="1">IFERROR(IF(J255="Magnitude",INDEX(INDIRECT("Data_Entry[PIN_"&amp;Long_Data[[#This Row],[Indicator Number]]&amp;"]"),MATCH(Long_Data[[#This Row],[Key]],Data_Entry[Key],0)),SUM(N255:P255)*INDEX(Baseline_Pop[Population],MATCH(Long_Data[[#This Row],[Key]],Baseline_Pop[Key],0))),"")</f>
        <v>0</v>
      </c>
    </row>
    <row r="256" spans="2:19">
      <c r="B256">
        <v>255</v>
      </c>
      <c r="C256">
        <v>15</v>
      </c>
      <c r="D256" t="str">
        <f>IFERROR(INDEX(Data_Entry[ADM2_Pcode],MATCH('Step 4-Long Data'!C256,Data_Entry[ID],0)),"NA")</f>
        <v>AF05</v>
      </c>
      <c r="E256" t="str">
        <f>IFERROR(INDEX(Data_Entry[Key],MATCH('Step 4-Long Data'!C256,Data_Entry[ID],0)),"NA")</f>
        <v>AF05-Non_Displaced</v>
      </c>
      <c r="F256">
        <v>9</v>
      </c>
      <c r="G256" t="str">
        <f>IFERROR(INDEX(Framework[Pillar],MATCH('Step 4-Long Data'!F256,Framework[Number],0)),"")</f>
        <v>Humanitarian Conditions</v>
      </c>
      <c r="H256" t="str">
        <f>IFERROR(INDEX(Framework[Sub_Pillar],MATCH('Step 4-Long Data'!F256,Framework[Number],0)),"")</f>
        <v>Physical and mental wellbeing</v>
      </c>
      <c r="I256" t="str">
        <f>IFERROR(INDEX(Framework[Indicator],MATCH('Step 4-Long Data'!F256,Framework[Number],0)),"")</f>
        <v>IPC analysis</v>
      </c>
      <c r="J256" t="str">
        <f>IFERROR(INDEX(Framework[Class],MATCH('Step 4-Long Data'!F256,Framework[Number],0)),"")</f>
        <v>Magnitude</v>
      </c>
      <c r="K256" t="str">
        <f>IFERROR(INDEX(Framework[Critical],MATCH('Step 4-Long Data'!F256,Framework[Number],0)),"")</f>
        <v>Yes</v>
      </c>
      <c r="L256" t="str">
        <f ca="1">IF(Long_Data[[#This Row],[Indicator Class]]="Degree",INDEX(INDIRECT("Data_Entry['"&amp;Long_Data[[#This Row],[Indicator Number]]&amp;"'_DSev_1]"),MATCH(Long_Data[[#This Row],[Key]],Data_Entry[Key],0)),"NA")</f>
        <v>NA</v>
      </c>
      <c r="M256" t="str">
        <f ca="1">IF(Long_Data[[#This Row],[Indicator Class]]="Degree",INDEX(INDIRECT("Data_Entry['"&amp;Long_Data[[#This Row],[Indicator Number]]&amp;"'_DSev_2]"),MATCH(Long_Data[[#This Row],[Key]],Data_Entry[Key],0)),"NA")</f>
        <v>NA</v>
      </c>
      <c r="N256" t="str">
        <f ca="1">IF(Long_Data[[#This Row],[Indicator Class]]="Degree",INDEX(INDIRECT("Data_Entry['"&amp;Long_Data[[#This Row],[Indicator Number]]&amp;"'_DSev_3]"),MATCH(Long_Data[[#This Row],[Key]],Data_Entry[Key],0)),"NA")</f>
        <v>NA</v>
      </c>
      <c r="O256" t="str">
        <f ca="1">IF(Long_Data[[#This Row],[Indicator Class]]="Degree",INDEX(INDIRECT("Data_Entry['"&amp;Long_Data[[#This Row],[Indicator Number]]&amp;"'_DSev_4]"),MATCH(Long_Data[[#This Row],[Key]],Data_Entry[Key],0)),"NA")</f>
        <v>NA</v>
      </c>
      <c r="P256" t="str">
        <f ca="1">IF(Long_Data[[#This Row],[Indicator Class]]="Degree",INDEX(INDIRECT("Data_Entry['"&amp;Long_Data[[#This Row],[Indicator Number]]&amp;"'_DSev_5]"),MATCH(Long_Data[[#This Row],[Key]],Data_Entry[Key],0)),"NA")</f>
        <v>NA</v>
      </c>
      <c r="Q256">
        <f ca="1">IFERROR(IF(Long_Data[[#This Row],[Indicator Class]]="Magnitude", INDEX(INDIRECT("Data_Entry[Sev_"&amp;Long_Data[[#This Row],[Indicator Number]]&amp;"]"),MATCH(Long_Data[[#This Row],[Key]], Data_Entry[Key],0)),"NA"),"")</f>
        <v>3</v>
      </c>
      <c r="R25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6" s="70">
        <f ca="1">IFERROR(IF(J256="Magnitude",INDEX(INDIRECT("Data_Entry[PIN_"&amp;Long_Data[[#This Row],[Indicator Number]]&amp;"]"),MATCH(Long_Data[[#This Row],[Key]],Data_Entry[Key],0)),SUM(N256:P256)*INDEX(Baseline_Pop[Population],MATCH(Long_Data[[#This Row],[Key]],Baseline_Pop[Key],0))),"")</f>
        <v>0</v>
      </c>
    </row>
    <row r="257" spans="2:19">
      <c r="B257">
        <v>256</v>
      </c>
      <c r="C257">
        <v>16</v>
      </c>
      <c r="D257" t="str">
        <f>IFERROR(INDEX(Data_Entry[ADM2_Pcode],MATCH('Step 4-Long Data'!C257,Data_Entry[ID],0)),"NA")</f>
        <v>AF06</v>
      </c>
      <c r="E257" t="str">
        <f>IFERROR(INDEX(Data_Entry[Key],MATCH('Step 4-Long Data'!C257,Data_Entry[ID],0)),"NA")</f>
        <v>AF06-Non_Displaced</v>
      </c>
      <c r="F257">
        <v>9</v>
      </c>
      <c r="G257" t="str">
        <f>IFERROR(INDEX(Framework[Pillar],MATCH('Step 4-Long Data'!F257,Framework[Number],0)),"")</f>
        <v>Humanitarian Conditions</v>
      </c>
      <c r="H257" t="str">
        <f>IFERROR(INDEX(Framework[Sub_Pillar],MATCH('Step 4-Long Data'!F257,Framework[Number],0)),"")</f>
        <v>Physical and mental wellbeing</v>
      </c>
      <c r="I257" t="str">
        <f>IFERROR(INDEX(Framework[Indicator],MATCH('Step 4-Long Data'!F257,Framework[Number],0)),"")</f>
        <v>IPC analysis</v>
      </c>
      <c r="J257" t="str">
        <f>IFERROR(INDEX(Framework[Class],MATCH('Step 4-Long Data'!F257,Framework[Number],0)),"")</f>
        <v>Magnitude</v>
      </c>
      <c r="K257" t="str">
        <f>IFERROR(INDEX(Framework[Critical],MATCH('Step 4-Long Data'!F257,Framework[Number],0)),"")</f>
        <v>Yes</v>
      </c>
      <c r="L257" t="str">
        <f ca="1">IF(Long_Data[[#This Row],[Indicator Class]]="Degree",INDEX(INDIRECT("Data_Entry['"&amp;Long_Data[[#This Row],[Indicator Number]]&amp;"'_DSev_1]"),MATCH(Long_Data[[#This Row],[Key]],Data_Entry[Key],0)),"NA")</f>
        <v>NA</v>
      </c>
      <c r="M257" t="str">
        <f ca="1">IF(Long_Data[[#This Row],[Indicator Class]]="Degree",INDEX(INDIRECT("Data_Entry['"&amp;Long_Data[[#This Row],[Indicator Number]]&amp;"'_DSev_2]"),MATCH(Long_Data[[#This Row],[Key]],Data_Entry[Key],0)),"NA")</f>
        <v>NA</v>
      </c>
      <c r="N257" t="str">
        <f ca="1">IF(Long_Data[[#This Row],[Indicator Class]]="Degree",INDEX(INDIRECT("Data_Entry['"&amp;Long_Data[[#This Row],[Indicator Number]]&amp;"'_DSev_3]"),MATCH(Long_Data[[#This Row],[Key]],Data_Entry[Key],0)),"NA")</f>
        <v>NA</v>
      </c>
      <c r="O257" t="str">
        <f ca="1">IF(Long_Data[[#This Row],[Indicator Class]]="Degree",INDEX(INDIRECT("Data_Entry['"&amp;Long_Data[[#This Row],[Indicator Number]]&amp;"'_DSev_4]"),MATCH(Long_Data[[#This Row],[Key]],Data_Entry[Key],0)),"NA")</f>
        <v>NA</v>
      </c>
      <c r="P257" t="str">
        <f ca="1">IF(Long_Data[[#This Row],[Indicator Class]]="Degree",INDEX(INDIRECT("Data_Entry['"&amp;Long_Data[[#This Row],[Indicator Number]]&amp;"'_DSev_5]"),MATCH(Long_Data[[#This Row],[Key]],Data_Entry[Key],0)),"NA")</f>
        <v>NA</v>
      </c>
      <c r="Q257">
        <f ca="1">IFERROR(IF(Long_Data[[#This Row],[Indicator Class]]="Magnitude", INDEX(INDIRECT("Data_Entry[Sev_"&amp;Long_Data[[#This Row],[Indicator Number]]&amp;"]"),MATCH(Long_Data[[#This Row],[Key]], Data_Entry[Key],0)),"NA"),"")</f>
        <v>3</v>
      </c>
      <c r="R25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7" s="70">
        <f ca="1">IFERROR(IF(J257="Magnitude",INDEX(INDIRECT("Data_Entry[PIN_"&amp;Long_Data[[#This Row],[Indicator Number]]&amp;"]"),MATCH(Long_Data[[#This Row],[Key]],Data_Entry[Key],0)),SUM(N257:P257)*INDEX(Baseline_Pop[Population],MATCH(Long_Data[[#This Row],[Key]],Baseline_Pop[Key],0))),"")</f>
        <v>0</v>
      </c>
    </row>
    <row r="258" spans="2:19">
      <c r="B258">
        <v>257</v>
      </c>
      <c r="C258">
        <v>17</v>
      </c>
      <c r="D258" t="str">
        <f>IFERROR(INDEX(Data_Entry[ADM2_Pcode],MATCH('Step 4-Long Data'!C258,Data_Entry[ID],0)),"NA")</f>
        <v>AF07</v>
      </c>
      <c r="E258" t="str">
        <f>IFERROR(INDEX(Data_Entry[Key],MATCH('Step 4-Long Data'!C258,Data_Entry[ID],0)),"NA")</f>
        <v>AF07-Non_Displaced</v>
      </c>
      <c r="F258">
        <v>9</v>
      </c>
      <c r="G258" t="str">
        <f>IFERROR(INDEX(Framework[Pillar],MATCH('Step 4-Long Data'!F258,Framework[Number],0)),"")</f>
        <v>Humanitarian Conditions</v>
      </c>
      <c r="H258" t="str">
        <f>IFERROR(INDEX(Framework[Sub_Pillar],MATCH('Step 4-Long Data'!F258,Framework[Number],0)),"")</f>
        <v>Physical and mental wellbeing</v>
      </c>
      <c r="I258" t="str">
        <f>IFERROR(INDEX(Framework[Indicator],MATCH('Step 4-Long Data'!F258,Framework[Number],0)),"")</f>
        <v>IPC analysis</v>
      </c>
      <c r="J258" t="str">
        <f>IFERROR(INDEX(Framework[Class],MATCH('Step 4-Long Data'!F258,Framework[Number],0)),"")</f>
        <v>Magnitude</v>
      </c>
      <c r="K258" t="str">
        <f>IFERROR(INDEX(Framework[Critical],MATCH('Step 4-Long Data'!F258,Framework[Number],0)),"")</f>
        <v>Yes</v>
      </c>
      <c r="L258" t="str">
        <f ca="1">IF(Long_Data[[#This Row],[Indicator Class]]="Degree",INDEX(INDIRECT("Data_Entry['"&amp;Long_Data[[#This Row],[Indicator Number]]&amp;"'_DSev_1]"),MATCH(Long_Data[[#This Row],[Key]],Data_Entry[Key],0)),"NA")</f>
        <v>NA</v>
      </c>
      <c r="M258" t="str">
        <f ca="1">IF(Long_Data[[#This Row],[Indicator Class]]="Degree",INDEX(INDIRECT("Data_Entry['"&amp;Long_Data[[#This Row],[Indicator Number]]&amp;"'_DSev_2]"),MATCH(Long_Data[[#This Row],[Key]],Data_Entry[Key],0)),"NA")</f>
        <v>NA</v>
      </c>
      <c r="N258" t="str">
        <f ca="1">IF(Long_Data[[#This Row],[Indicator Class]]="Degree",INDEX(INDIRECT("Data_Entry['"&amp;Long_Data[[#This Row],[Indicator Number]]&amp;"'_DSev_3]"),MATCH(Long_Data[[#This Row],[Key]],Data_Entry[Key],0)),"NA")</f>
        <v>NA</v>
      </c>
      <c r="O258" t="str">
        <f ca="1">IF(Long_Data[[#This Row],[Indicator Class]]="Degree",INDEX(INDIRECT("Data_Entry['"&amp;Long_Data[[#This Row],[Indicator Number]]&amp;"'_DSev_4]"),MATCH(Long_Data[[#This Row],[Key]],Data_Entry[Key],0)),"NA")</f>
        <v>NA</v>
      </c>
      <c r="P258" t="str">
        <f ca="1">IF(Long_Data[[#This Row],[Indicator Class]]="Degree",INDEX(INDIRECT("Data_Entry['"&amp;Long_Data[[#This Row],[Indicator Number]]&amp;"'_DSev_5]"),MATCH(Long_Data[[#This Row],[Key]],Data_Entry[Key],0)),"NA")</f>
        <v>NA</v>
      </c>
      <c r="Q258">
        <f ca="1">IFERROR(IF(Long_Data[[#This Row],[Indicator Class]]="Magnitude", INDEX(INDIRECT("Data_Entry[Sev_"&amp;Long_Data[[#This Row],[Indicator Number]]&amp;"]"),MATCH(Long_Data[[#This Row],[Key]], Data_Entry[Key],0)),"NA"),"")</f>
        <v>3</v>
      </c>
      <c r="R25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8" s="70">
        <f ca="1">IFERROR(IF(J258="Magnitude",INDEX(INDIRECT("Data_Entry[PIN_"&amp;Long_Data[[#This Row],[Indicator Number]]&amp;"]"),MATCH(Long_Data[[#This Row],[Key]],Data_Entry[Key],0)),SUM(N258:P258)*INDEX(Baseline_Pop[Population],MATCH(Long_Data[[#This Row],[Key]],Baseline_Pop[Key],0))),"")</f>
        <v>0</v>
      </c>
    </row>
    <row r="259" spans="2:19">
      <c r="B259">
        <v>258</v>
      </c>
      <c r="C259">
        <v>18</v>
      </c>
      <c r="D259" t="str">
        <f>IFERROR(INDEX(Data_Entry[ADM2_Pcode],MATCH('Step 4-Long Data'!C259,Data_Entry[ID],0)),"NA")</f>
        <v>AF08</v>
      </c>
      <c r="E259" t="str">
        <f>IFERROR(INDEX(Data_Entry[Key],MATCH('Step 4-Long Data'!C259,Data_Entry[ID],0)),"NA")</f>
        <v>AF08-Non_Displaced</v>
      </c>
      <c r="F259">
        <v>9</v>
      </c>
      <c r="G259" t="str">
        <f>IFERROR(INDEX(Framework[Pillar],MATCH('Step 4-Long Data'!F259,Framework[Number],0)),"")</f>
        <v>Humanitarian Conditions</v>
      </c>
      <c r="H259" t="str">
        <f>IFERROR(INDEX(Framework[Sub_Pillar],MATCH('Step 4-Long Data'!F259,Framework[Number],0)),"")</f>
        <v>Physical and mental wellbeing</v>
      </c>
      <c r="I259" t="str">
        <f>IFERROR(INDEX(Framework[Indicator],MATCH('Step 4-Long Data'!F259,Framework[Number],0)),"")</f>
        <v>IPC analysis</v>
      </c>
      <c r="J259" t="str">
        <f>IFERROR(INDEX(Framework[Class],MATCH('Step 4-Long Data'!F259,Framework[Number],0)),"")</f>
        <v>Magnitude</v>
      </c>
      <c r="K259" t="str">
        <f>IFERROR(INDEX(Framework[Critical],MATCH('Step 4-Long Data'!F259,Framework[Number],0)),"")</f>
        <v>Yes</v>
      </c>
      <c r="L259" t="str">
        <f ca="1">IF(Long_Data[[#This Row],[Indicator Class]]="Degree",INDEX(INDIRECT("Data_Entry['"&amp;Long_Data[[#This Row],[Indicator Number]]&amp;"'_DSev_1]"),MATCH(Long_Data[[#This Row],[Key]],Data_Entry[Key],0)),"NA")</f>
        <v>NA</v>
      </c>
      <c r="M259" t="str">
        <f ca="1">IF(Long_Data[[#This Row],[Indicator Class]]="Degree",INDEX(INDIRECT("Data_Entry['"&amp;Long_Data[[#This Row],[Indicator Number]]&amp;"'_DSev_2]"),MATCH(Long_Data[[#This Row],[Key]],Data_Entry[Key],0)),"NA")</f>
        <v>NA</v>
      </c>
      <c r="N259" t="str">
        <f ca="1">IF(Long_Data[[#This Row],[Indicator Class]]="Degree",INDEX(INDIRECT("Data_Entry['"&amp;Long_Data[[#This Row],[Indicator Number]]&amp;"'_DSev_3]"),MATCH(Long_Data[[#This Row],[Key]],Data_Entry[Key],0)),"NA")</f>
        <v>NA</v>
      </c>
      <c r="O259" t="str">
        <f ca="1">IF(Long_Data[[#This Row],[Indicator Class]]="Degree",INDEX(INDIRECT("Data_Entry['"&amp;Long_Data[[#This Row],[Indicator Number]]&amp;"'_DSev_4]"),MATCH(Long_Data[[#This Row],[Key]],Data_Entry[Key],0)),"NA")</f>
        <v>NA</v>
      </c>
      <c r="P259" t="str">
        <f ca="1">IF(Long_Data[[#This Row],[Indicator Class]]="Degree",INDEX(INDIRECT("Data_Entry['"&amp;Long_Data[[#This Row],[Indicator Number]]&amp;"'_DSev_5]"),MATCH(Long_Data[[#This Row],[Key]],Data_Entry[Key],0)),"NA")</f>
        <v>NA</v>
      </c>
      <c r="Q259">
        <f ca="1">IFERROR(IF(Long_Data[[#This Row],[Indicator Class]]="Magnitude", INDEX(INDIRECT("Data_Entry[Sev_"&amp;Long_Data[[#This Row],[Indicator Number]]&amp;"]"),MATCH(Long_Data[[#This Row],[Key]], Data_Entry[Key],0)),"NA"),"")</f>
        <v>3</v>
      </c>
      <c r="R25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59" s="70">
        <f ca="1">IFERROR(IF(J259="Magnitude",INDEX(INDIRECT("Data_Entry[PIN_"&amp;Long_Data[[#This Row],[Indicator Number]]&amp;"]"),MATCH(Long_Data[[#This Row],[Key]],Data_Entry[Key],0)),SUM(N259:P259)*INDEX(Baseline_Pop[Population],MATCH(Long_Data[[#This Row],[Key]],Baseline_Pop[Key],0))),"")</f>
        <v>0</v>
      </c>
    </row>
    <row r="260" spans="2:19">
      <c r="B260">
        <v>259</v>
      </c>
      <c r="C260">
        <v>19</v>
      </c>
      <c r="D260" t="str">
        <f>IFERROR(INDEX(Data_Entry[ADM2_Pcode],MATCH('Step 4-Long Data'!C260,Data_Entry[ID],0)),"NA")</f>
        <v>AF09</v>
      </c>
      <c r="E260" t="str">
        <f>IFERROR(INDEX(Data_Entry[Key],MATCH('Step 4-Long Data'!C260,Data_Entry[ID],0)),"NA")</f>
        <v>AF09-Non_Displaced</v>
      </c>
      <c r="F260">
        <v>9</v>
      </c>
      <c r="G260" t="str">
        <f>IFERROR(INDEX(Framework[Pillar],MATCH('Step 4-Long Data'!F260,Framework[Number],0)),"")</f>
        <v>Humanitarian Conditions</v>
      </c>
      <c r="H260" t="str">
        <f>IFERROR(INDEX(Framework[Sub_Pillar],MATCH('Step 4-Long Data'!F260,Framework[Number],0)),"")</f>
        <v>Physical and mental wellbeing</v>
      </c>
      <c r="I260" t="str">
        <f>IFERROR(INDEX(Framework[Indicator],MATCH('Step 4-Long Data'!F260,Framework[Number],0)),"")</f>
        <v>IPC analysis</v>
      </c>
      <c r="J260" t="str">
        <f>IFERROR(INDEX(Framework[Class],MATCH('Step 4-Long Data'!F260,Framework[Number],0)),"")</f>
        <v>Magnitude</v>
      </c>
      <c r="K260" t="str">
        <f>IFERROR(INDEX(Framework[Critical],MATCH('Step 4-Long Data'!F260,Framework[Number],0)),"")</f>
        <v>Yes</v>
      </c>
      <c r="L260" t="str">
        <f ca="1">IF(Long_Data[[#This Row],[Indicator Class]]="Degree",INDEX(INDIRECT("Data_Entry['"&amp;Long_Data[[#This Row],[Indicator Number]]&amp;"'_DSev_1]"),MATCH(Long_Data[[#This Row],[Key]],Data_Entry[Key],0)),"NA")</f>
        <v>NA</v>
      </c>
      <c r="M260" t="str">
        <f ca="1">IF(Long_Data[[#This Row],[Indicator Class]]="Degree",INDEX(INDIRECT("Data_Entry['"&amp;Long_Data[[#This Row],[Indicator Number]]&amp;"'_DSev_2]"),MATCH(Long_Data[[#This Row],[Key]],Data_Entry[Key],0)),"NA")</f>
        <v>NA</v>
      </c>
      <c r="N260" t="str">
        <f ca="1">IF(Long_Data[[#This Row],[Indicator Class]]="Degree",INDEX(INDIRECT("Data_Entry['"&amp;Long_Data[[#This Row],[Indicator Number]]&amp;"'_DSev_3]"),MATCH(Long_Data[[#This Row],[Key]],Data_Entry[Key],0)),"NA")</f>
        <v>NA</v>
      </c>
      <c r="O260" t="str">
        <f ca="1">IF(Long_Data[[#This Row],[Indicator Class]]="Degree",INDEX(INDIRECT("Data_Entry['"&amp;Long_Data[[#This Row],[Indicator Number]]&amp;"'_DSev_4]"),MATCH(Long_Data[[#This Row],[Key]],Data_Entry[Key],0)),"NA")</f>
        <v>NA</v>
      </c>
      <c r="P260" t="str">
        <f ca="1">IF(Long_Data[[#This Row],[Indicator Class]]="Degree",INDEX(INDIRECT("Data_Entry['"&amp;Long_Data[[#This Row],[Indicator Number]]&amp;"'_DSev_5]"),MATCH(Long_Data[[#This Row],[Key]],Data_Entry[Key],0)),"NA")</f>
        <v>NA</v>
      </c>
      <c r="Q260">
        <f ca="1">IFERROR(IF(Long_Data[[#This Row],[Indicator Class]]="Magnitude", INDEX(INDIRECT("Data_Entry[Sev_"&amp;Long_Data[[#This Row],[Indicator Number]]&amp;"]"),MATCH(Long_Data[[#This Row],[Key]], Data_Entry[Key],0)),"NA"),"")</f>
        <v>3</v>
      </c>
      <c r="R26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0" s="70">
        <f ca="1">IFERROR(IF(J260="Magnitude",INDEX(INDIRECT("Data_Entry[PIN_"&amp;Long_Data[[#This Row],[Indicator Number]]&amp;"]"),MATCH(Long_Data[[#This Row],[Key]],Data_Entry[Key],0)),SUM(N260:P260)*INDEX(Baseline_Pop[Population],MATCH(Long_Data[[#This Row],[Key]],Baseline_Pop[Key],0))),"")</f>
        <v>0</v>
      </c>
    </row>
    <row r="261" spans="2:19">
      <c r="B261">
        <v>260</v>
      </c>
      <c r="C261">
        <v>20</v>
      </c>
      <c r="D261" t="str">
        <f>IFERROR(INDEX(Data_Entry[ADM2_Pcode],MATCH('Step 4-Long Data'!C261,Data_Entry[ID],0)),"NA")</f>
        <v>AF10</v>
      </c>
      <c r="E261" t="str">
        <f>IFERROR(INDEX(Data_Entry[Key],MATCH('Step 4-Long Data'!C261,Data_Entry[ID],0)),"NA")</f>
        <v>AF10-Non_Displaced</v>
      </c>
      <c r="F261">
        <v>9</v>
      </c>
      <c r="G261" t="str">
        <f>IFERROR(INDEX(Framework[Pillar],MATCH('Step 4-Long Data'!F261,Framework[Number],0)),"")</f>
        <v>Humanitarian Conditions</v>
      </c>
      <c r="H261" t="str">
        <f>IFERROR(INDEX(Framework[Sub_Pillar],MATCH('Step 4-Long Data'!F261,Framework[Number],0)),"")</f>
        <v>Physical and mental wellbeing</v>
      </c>
      <c r="I261" t="str">
        <f>IFERROR(INDEX(Framework[Indicator],MATCH('Step 4-Long Data'!F261,Framework[Number],0)),"")</f>
        <v>IPC analysis</v>
      </c>
      <c r="J261" t="str">
        <f>IFERROR(INDEX(Framework[Class],MATCH('Step 4-Long Data'!F261,Framework[Number],0)),"")</f>
        <v>Magnitude</v>
      </c>
      <c r="K261" t="str">
        <f>IFERROR(INDEX(Framework[Critical],MATCH('Step 4-Long Data'!F261,Framework[Number],0)),"")</f>
        <v>Yes</v>
      </c>
      <c r="L261" t="str">
        <f ca="1">IF(Long_Data[[#This Row],[Indicator Class]]="Degree",INDEX(INDIRECT("Data_Entry['"&amp;Long_Data[[#This Row],[Indicator Number]]&amp;"'_DSev_1]"),MATCH(Long_Data[[#This Row],[Key]],Data_Entry[Key],0)),"NA")</f>
        <v>NA</v>
      </c>
      <c r="M261" t="str">
        <f ca="1">IF(Long_Data[[#This Row],[Indicator Class]]="Degree",INDEX(INDIRECT("Data_Entry['"&amp;Long_Data[[#This Row],[Indicator Number]]&amp;"'_DSev_2]"),MATCH(Long_Data[[#This Row],[Key]],Data_Entry[Key],0)),"NA")</f>
        <v>NA</v>
      </c>
      <c r="N261" t="str">
        <f ca="1">IF(Long_Data[[#This Row],[Indicator Class]]="Degree",INDEX(INDIRECT("Data_Entry['"&amp;Long_Data[[#This Row],[Indicator Number]]&amp;"'_DSev_3]"),MATCH(Long_Data[[#This Row],[Key]],Data_Entry[Key],0)),"NA")</f>
        <v>NA</v>
      </c>
      <c r="O261" t="str">
        <f ca="1">IF(Long_Data[[#This Row],[Indicator Class]]="Degree",INDEX(INDIRECT("Data_Entry['"&amp;Long_Data[[#This Row],[Indicator Number]]&amp;"'_DSev_4]"),MATCH(Long_Data[[#This Row],[Key]],Data_Entry[Key],0)),"NA")</f>
        <v>NA</v>
      </c>
      <c r="P261" t="str">
        <f ca="1">IF(Long_Data[[#This Row],[Indicator Class]]="Degree",INDEX(INDIRECT("Data_Entry['"&amp;Long_Data[[#This Row],[Indicator Number]]&amp;"'_DSev_5]"),MATCH(Long_Data[[#This Row],[Key]],Data_Entry[Key],0)),"NA")</f>
        <v>NA</v>
      </c>
      <c r="Q261">
        <f ca="1">IFERROR(IF(Long_Data[[#This Row],[Indicator Class]]="Magnitude", INDEX(INDIRECT("Data_Entry[Sev_"&amp;Long_Data[[#This Row],[Indicator Number]]&amp;"]"),MATCH(Long_Data[[#This Row],[Key]], Data_Entry[Key],0)),"NA"),"")</f>
        <v>3</v>
      </c>
      <c r="R26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1" s="70">
        <f ca="1">IFERROR(IF(J261="Magnitude",INDEX(INDIRECT("Data_Entry[PIN_"&amp;Long_Data[[#This Row],[Indicator Number]]&amp;"]"),MATCH(Long_Data[[#This Row],[Key]],Data_Entry[Key],0)),SUM(N261:P261)*INDEX(Baseline_Pop[Population],MATCH(Long_Data[[#This Row],[Key]],Baseline_Pop[Key],0))),"")</f>
        <v>0</v>
      </c>
    </row>
    <row r="262" spans="2:19">
      <c r="B262">
        <v>261</v>
      </c>
      <c r="C262">
        <v>21</v>
      </c>
      <c r="D262" t="str">
        <f>IFERROR(INDEX(Data_Entry[ADM2_Pcode],MATCH('Step 4-Long Data'!C262,Data_Entry[ID],0)),"NA")</f>
        <v>AF01</v>
      </c>
      <c r="E262" t="str">
        <f>IFERROR(INDEX(Data_Entry[Key],MATCH('Step 4-Long Data'!C262,Data_Entry[ID],0)),"NA")</f>
        <v>AF01-Migrants</v>
      </c>
      <c r="F262">
        <v>9</v>
      </c>
      <c r="G262" t="str">
        <f>IFERROR(INDEX(Framework[Pillar],MATCH('Step 4-Long Data'!F262,Framework[Number],0)),"")</f>
        <v>Humanitarian Conditions</v>
      </c>
      <c r="H262" t="str">
        <f>IFERROR(INDEX(Framework[Sub_Pillar],MATCH('Step 4-Long Data'!F262,Framework[Number],0)),"")</f>
        <v>Physical and mental wellbeing</v>
      </c>
      <c r="I262" t="str">
        <f>IFERROR(INDEX(Framework[Indicator],MATCH('Step 4-Long Data'!F262,Framework[Number],0)),"")</f>
        <v>IPC analysis</v>
      </c>
      <c r="J262" t="str">
        <f>IFERROR(INDEX(Framework[Class],MATCH('Step 4-Long Data'!F262,Framework[Number],0)),"")</f>
        <v>Magnitude</v>
      </c>
      <c r="K262" t="str">
        <f>IFERROR(INDEX(Framework[Critical],MATCH('Step 4-Long Data'!F262,Framework[Number],0)),"")</f>
        <v>Yes</v>
      </c>
      <c r="L262" t="str">
        <f ca="1">IF(Long_Data[[#This Row],[Indicator Class]]="Degree",INDEX(INDIRECT("Data_Entry['"&amp;Long_Data[[#This Row],[Indicator Number]]&amp;"'_DSev_1]"),MATCH(Long_Data[[#This Row],[Key]],Data_Entry[Key],0)),"NA")</f>
        <v>NA</v>
      </c>
      <c r="M262" t="str">
        <f ca="1">IF(Long_Data[[#This Row],[Indicator Class]]="Degree",INDEX(INDIRECT("Data_Entry['"&amp;Long_Data[[#This Row],[Indicator Number]]&amp;"'_DSev_2]"),MATCH(Long_Data[[#This Row],[Key]],Data_Entry[Key],0)),"NA")</f>
        <v>NA</v>
      </c>
      <c r="N262" t="str">
        <f ca="1">IF(Long_Data[[#This Row],[Indicator Class]]="Degree",INDEX(INDIRECT("Data_Entry['"&amp;Long_Data[[#This Row],[Indicator Number]]&amp;"'_DSev_3]"),MATCH(Long_Data[[#This Row],[Key]],Data_Entry[Key],0)),"NA")</f>
        <v>NA</v>
      </c>
      <c r="O262" t="str">
        <f ca="1">IF(Long_Data[[#This Row],[Indicator Class]]="Degree",INDEX(INDIRECT("Data_Entry['"&amp;Long_Data[[#This Row],[Indicator Number]]&amp;"'_DSev_4]"),MATCH(Long_Data[[#This Row],[Key]],Data_Entry[Key],0)),"NA")</f>
        <v>NA</v>
      </c>
      <c r="P262" t="str">
        <f ca="1">IF(Long_Data[[#This Row],[Indicator Class]]="Degree",INDEX(INDIRECT("Data_Entry['"&amp;Long_Data[[#This Row],[Indicator Number]]&amp;"'_DSev_5]"),MATCH(Long_Data[[#This Row],[Key]],Data_Entry[Key],0)),"NA")</f>
        <v>NA</v>
      </c>
      <c r="Q262">
        <f ca="1">IFERROR(IF(Long_Data[[#This Row],[Indicator Class]]="Magnitude", INDEX(INDIRECT("Data_Entry[Sev_"&amp;Long_Data[[#This Row],[Indicator Number]]&amp;"]"),MATCH(Long_Data[[#This Row],[Key]], Data_Entry[Key],0)),"NA"),"")</f>
        <v>3</v>
      </c>
      <c r="R26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2" s="70">
        <f ca="1">IFERROR(IF(J262="Magnitude",INDEX(INDIRECT("Data_Entry[PIN_"&amp;Long_Data[[#This Row],[Indicator Number]]&amp;"]"),MATCH(Long_Data[[#This Row],[Key]],Data_Entry[Key],0)),SUM(N262:P262)*INDEX(Baseline_Pop[Population],MATCH(Long_Data[[#This Row],[Key]],Baseline_Pop[Key],0))),"")</f>
        <v>0</v>
      </c>
    </row>
    <row r="263" spans="2:19">
      <c r="B263">
        <v>262</v>
      </c>
      <c r="C263">
        <v>22</v>
      </c>
      <c r="D263" t="str">
        <f>IFERROR(INDEX(Data_Entry[ADM2_Pcode],MATCH('Step 4-Long Data'!C263,Data_Entry[ID],0)),"NA")</f>
        <v>AF02</v>
      </c>
      <c r="E263" t="str">
        <f>IFERROR(INDEX(Data_Entry[Key],MATCH('Step 4-Long Data'!C263,Data_Entry[ID],0)),"NA")</f>
        <v>AF02-Migrants</v>
      </c>
      <c r="F263">
        <v>9</v>
      </c>
      <c r="G263" t="str">
        <f>IFERROR(INDEX(Framework[Pillar],MATCH('Step 4-Long Data'!F263,Framework[Number],0)),"")</f>
        <v>Humanitarian Conditions</v>
      </c>
      <c r="H263" t="str">
        <f>IFERROR(INDEX(Framework[Sub_Pillar],MATCH('Step 4-Long Data'!F263,Framework[Number],0)),"")</f>
        <v>Physical and mental wellbeing</v>
      </c>
      <c r="I263" t="str">
        <f>IFERROR(INDEX(Framework[Indicator],MATCH('Step 4-Long Data'!F263,Framework[Number],0)),"")</f>
        <v>IPC analysis</v>
      </c>
      <c r="J263" t="str">
        <f>IFERROR(INDEX(Framework[Class],MATCH('Step 4-Long Data'!F263,Framework[Number],0)),"")</f>
        <v>Magnitude</v>
      </c>
      <c r="K263" t="str">
        <f>IFERROR(INDEX(Framework[Critical],MATCH('Step 4-Long Data'!F263,Framework[Number],0)),"")</f>
        <v>Yes</v>
      </c>
      <c r="L263" t="str">
        <f ca="1">IF(Long_Data[[#This Row],[Indicator Class]]="Degree",INDEX(INDIRECT("Data_Entry['"&amp;Long_Data[[#This Row],[Indicator Number]]&amp;"'_DSev_1]"),MATCH(Long_Data[[#This Row],[Key]],Data_Entry[Key],0)),"NA")</f>
        <v>NA</v>
      </c>
      <c r="M263" t="str">
        <f ca="1">IF(Long_Data[[#This Row],[Indicator Class]]="Degree",INDEX(INDIRECT("Data_Entry['"&amp;Long_Data[[#This Row],[Indicator Number]]&amp;"'_DSev_2]"),MATCH(Long_Data[[#This Row],[Key]],Data_Entry[Key],0)),"NA")</f>
        <v>NA</v>
      </c>
      <c r="N263" t="str">
        <f ca="1">IF(Long_Data[[#This Row],[Indicator Class]]="Degree",INDEX(INDIRECT("Data_Entry['"&amp;Long_Data[[#This Row],[Indicator Number]]&amp;"'_DSev_3]"),MATCH(Long_Data[[#This Row],[Key]],Data_Entry[Key],0)),"NA")</f>
        <v>NA</v>
      </c>
      <c r="O263" t="str">
        <f ca="1">IF(Long_Data[[#This Row],[Indicator Class]]="Degree",INDEX(INDIRECT("Data_Entry['"&amp;Long_Data[[#This Row],[Indicator Number]]&amp;"'_DSev_4]"),MATCH(Long_Data[[#This Row],[Key]],Data_Entry[Key],0)),"NA")</f>
        <v>NA</v>
      </c>
      <c r="P263" t="str">
        <f ca="1">IF(Long_Data[[#This Row],[Indicator Class]]="Degree",INDEX(INDIRECT("Data_Entry['"&amp;Long_Data[[#This Row],[Indicator Number]]&amp;"'_DSev_5]"),MATCH(Long_Data[[#This Row],[Key]],Data_Entry[Key],0)),"NA")</f>
        <v>NA</v>
      </c>
      <c r="Q263">
        <f ca="1">IFERROR(IF(Long_Data[[#This Row],[Indicator Class]]="Magnitude", INDEX(INDIRECT("Data_Entry[Sev_"&amp;Long_Data[[#This Row],[Indicator Number]]&amp;"]"),MATCH(Long_Data[[#This Row],[Key]], Data_Entry[Key],0)),"NA"),"")</f>
        <v>3</v>
      </c>
      <c r="R263">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3" s="70">
        <f ca="1">IFERROR(IF(J263="Magnitude",INDEX(INDIRECT("Data_Entry[PIN_"&amp;Long_Data[[#This Row],[Indicator Number]]&amp;"]"),MATCH(Long_Data[[#This Row],[Key]],Data_Entry[Key],0)),SUM(N263:P263)*INDEX(Baseline_Pop[Population],MATCH(Long_Data[[#This Row],[Key]],Baseline_Pop[Key],0))),"")</f>
        <v>0</v>
      </c>
    </row>
    <row r="264" spans="2:19">
      <c r="B264">
        <v>263</v>
      </c>
      <c r="C264">
        <v>23</v>
      </c>
      <c r="D264" t="str">
        <f>IFERROR(INDEX(Data_Entry[ADM2_Pcode],MATCH('Step 4-Long Data'!C264,Data_Entry[ID],0)),"NA")</f>
        <v>AF03</v>
      </c>
      <c r="E264" t="str">
        <f>IFERROR(INDEX(Data_Entry[Key],MATCH('Step 4-Long Data'!C264,Data_Entry[ID],0)),"NA")</f>
        <v>AF03-Migrants</v>
      </c>
      <c r="F264">
        <v>9</v>
      </c>
      <c r="G264" t="str">
        <f>IFERROR(INDEX(Framework[Pillar],MATCH('Step 4-Long Data'!F264,Framework[Number],0)),"")</f>
        <v>Humanitarian Conditions</v>
      </c>
      <c r="H264" t="str">
        <f>IFERROR(INDEX(Framework[Sub_Pillar],MATCH('Step 4-Long Data'!F264,Framework[Number],0)),"")</f>
        <v>Physical and mental wellbeing</v>
      </c>
      <c r="I264" t="str">
        <f>IFERROR(INDEX(Framework[Indicator],MATCH('Step 4-Long Data'!F264,Framework[Number],0)),"")</f>
        <v>IPC analysis</v>
      </c>
      <c r="J264" t="str">
        <f>IFERROR(INDEX(Framework[Class],MATCH('Step 4-Long Data'!F264,Framework[Number],0)),"")</f>
        <v>Magnitude</v>
      </c>
      <c r="K264" t="str">
        <f>IFERROR(INDEX(Framework[Critical],MATCH('Step 4-Long Data'!F264,Framework[Number],0)),"")</f>
        <v>Yes</v>
      </c>
      <c r="L264" t="str">
        <f ca="1">IF(Long_Data[[#This Row],[Indicator Class]]="Degree",INDEX(INDIRECT("Data_Entry['"&amp;Long_Data[[#This Row],[Indicator Number]]&amp;"'_DSev_1]"),MATCH(Long_Data[[#This Row],[Key]],Data_Entry[Key],0)),"NA")</f>
        <v>NA</v>
      </c>
      <c r="M264" t="str">
        <f ca="1">IF(Long_Data[[#This Row],[Indicator Class]]="Degree",INDEX(INDIRECT("Data_Entry['"&amp;Long_Data[[#This Row],[Indicator Number]]&amp;"'_DSev_2]"),MATCH(Long_Data[[#This Row],[Key]],Data_Entry[Key],0)),"NA")</f>
        <v>NA</v>
      </c>
      <c r="N264" t="str">
        <f ca="1">IF(Long_Data[[#This Row],[Indicator Class]]="Degree",INDEX(INDIRECT("Data_Entry['"&amp;Long_Data[[#This Row],[Indicator Number]]&amp;"'_DSev_3]"),MATCH(Long_Data[[#This Row],[Key]],Data_Entry[Key],0)),"NA")</f>
        <v>NA</v>
      </c>
      <c r="O264" t="str">
        <f ca="1">IF(Long_Data[[#This Row],[Indicator Class]]="Degree",INDEX(INDIRECT("Data_Entry['"&amp;Long_Data[[#This Row],[Indicator Number]]&amp;"'_DSev_4]"),MATCH(Long_Data[[#This Row],[Key]],Data_Entry[Key],0)),"NA")</f>
        <v>NA</v>
      </c>
      <c r="P264" t="str">
        <f ca="1">IF(Long_Data[[#This Row],[Indicator Class]]="Degree",INDEX(INDIRECT("Data_Entry['"&amp;Long_Data[[#This Row],[Indicator Number]]&amp;"'_DSev_5]"),MATCH(Long_Data[[#This Row],[Key]],Data_Entry[Key],0)),"NA")</f>
        <v>NA</v>
      </c>
      <c r="Q264">
        <f ca="1">IFERROR(IF(Long_Data[[#This Row],[Indicator Class]]="Magnitude", INDEX(INDIRECT("Data_Entry[Sev_"&amp;Long_Data[[#This Row],[Indicator Number]]&amp;"]"),MATCH(Long_Data[[#This Row],[Key]], Data_Entry[Key],0)),"NA"),"")</f>
        <v>3</v>
      </c>
      <c r="R26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4" s="70">
        <f ca="1">IFERROR(IF(J264="Magnitude",INDEX(INDIRECT("Data_Entry[PIN_"&amp;Long_Data[[#This Row],[Indicator Number]]&amp;"]"),MATCH(Long_Data[[#This Row],[Key]],Data_Entry[Key],0)),SUM(N264:P264)*INDEX(Baseline_Pop[Population],MATCH(Long_Data[[#This Row],[Key]],Baseline_Pop[Key],0))),"")</f>
        <v>0</v>
      </c>
    </row>
    <row r="265" spans="2:19">
      <c r="B265">
        <v>264</v>
      </c>
      <c r="C265">
        <v>24</v>
      </c>
      <c r="D265" t="str">
        <f>IFERROR(INDEX(Data_Entry[ADM2_Pcode],MATCH('Step 4-Long Data'!C265,Data_Entry[ID],0)),"NA")</f>
        <v>AF04</v>
      </c>
      <c r="E265" t="str">
        <f>IFERROR(INDEX(Data_Entry[Key],MATCH('Step 4-Long Data'!C265,Data_Entry[ID],0)),"NA")</f>
        <v>AF04-Migrants</v>
      </c>
      <c r="F265">
        <v>9</v>
      </c>
      <c r="G265" t="str">
        <f>IFERROR(INDEX(Framework[Pillar],MATCH('Step 4-Long Data'!F265,Framework[Number],0)),"")</f>
        <v>Humanitarian Conditions</v>
      </c>
      <c r="H265" t="str">
        <f>IFERROR(INDEX(Framework[Sub_Pillar],MATCH('Step 4-Long Data'!F265,Framework[Number],0)),"")</f>
        <v>Physical and mental wellbeing</v>
      </c>
      <c r="I265" t="str">
        <f>IFERROR(INDEX(Framework[Indicator],MATCH('Step 4-Long Data'!F265,Framework[Number],0)),"")</f>
        <v>IPC analysis</v>
      </c>
      <c r="J265" t="str">
        <f>IFERROR(INDEX(Framework[Class],MATCH('Step 4-Long Data'!F265,Framework[Number],0)),"")</f>
        <v>Magnitude</v>
      </c>
      <c r="K265" t="str">
        <f>IFERROR(INDEX(Framework[Critical],MATCH('Step 4-Long Data'!F265,Framework[Number],0)),"")</f>
        <v>Yes</v>
      </c>
      <c r="L265" t="str">
        <f ca="1">IF(Long_Data[[#This Row],[Indicator Class]]="Degree",INDEX(INDIRECT("Data_Entry['"&amp;Long_Data[[#This Row],[Indicator Number]]&amp;"'_DSev_1]"),MATCH(Long_Data[[#This Row],[Key]],Data_Entry[Key],0)),"NA")</f>
        <v>NA</v>
      </c>
      <c r="M265" t="str">
        <f ca="1">IF(Long_Data[[#This Row],[Indicator Class]]="Degree",INDEX(INDIRECT("Data_Entry['"&amp;Long_Data[[#This Row],[Indicator Number]]&amp;"'_DSev_2]"),MATCH(Long_Data[[#This Row],[Key]],Data_Entry[Key],0)),"NA")</f>
        <v>NA</v>
      </c>
      <c r="N265" t="str">
        <f ca="1">IF(Long_Data[[#This Row],[Indicator Class]]="Degree",INDEX(INDIRECT("Data_Entry['"&amp;Long_Data[[#This Row],[Indicator Number]]&amp;"'_DSev_3]"),MATCH(Long_Data[[#This Row],[Key]],Data_Entry[Key],0)),"NA")</f>
        <v>NA</v>
      </c>
      <c r="O265" t="str">
        <f ca="1">IF(Long_Data[[#This Row],[Indicator Class]]="Degree",INDEX(INDIRECT("Data_Entry['"&amp;Long_Data[[#This Row],[Indicator Number]]&amp;"'_DSev_4]"),MATCH(Long_Data[[#This Row],[Key]],Data_Entry[Key],0)),"NA")</f>
        <v>NA</v>
      </c>
      <c r="P265" t="str">
        <f ca="1">IF(Long_Data[[#This Row],[Indicator Class]]="Degree",INDEX(INDIRECT("Data_Entry['"&amp;Long_Data[[#This Row],[Indicator Number]]&amp;"'_DSev_5]"),MATCH(Long_Data[[#This Row],[Key]],Data_Entry[Key],0)),"NA")</f>
        <v>NA</v>
      </c>
      <c r="Q265">
        <f ca="1">IFERROR(IF(Long_Data[[#This Row],[Indicator Class]]="Magnitude", INDEX(INDIRECT("Data_Entry[Sev_"&amp;Long_Data[[#This Row],[Indicator Number]]&amp;"]"),MATCH(Long_Data[[#This Row],[Key]], Data_Entry[Key],0)),"NA"),"")</f>
        <v>3</v>
      </c>
      <c r="R26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5" s="70">
        <f ca="1">IFERROR(IF(J265="Magnitude",INDEX(INDIRECT("Data_Entry[PIN_"&amp;Long_Data[[#This Row],[Indicator Number]]&amp;"]"),MATCH(Long_Data[[#This Row],[Key]],Data_Entry[Key],0)),SUM(N265:P265)*INDEX(Baseline_Pop[Population],MATCH(Long_Data[[#This Row],[Key]],Baseline_Pop[Key],0))),"")</f>
        <v>0</v>
      </c>
    </row>
    <row r="266" spans="2:19">
      <c r="B266">
        <v>265</v>
      </c>
      <c r="C266">
        <v>25</v>
      </c>
      <c r="D266" t="str">
        <f>IFERROR(INDEX(Data_Entry[ADM2_Pcode],MATCH('Step 4-Long Data'!C266,Data_Entry[ID],0)),"NA")</f>
        <v>AF05</v>
      </c>
      <c r="E266" t="str">
        <f>IFERROR(INDEX(Data_Entry[Key],MATCH('Step 4-Long Data'!C266,Data_Entry[ID],0)),"NA")</f>
        <v>AF05-Migrants</v>
      </c>
      <c r="F266">
        <v>9</v>
      </c>
      <c r="G266" t="str">
        <f>IFERROR(INDEX(Framework[Pillar],MATCH('Step 4-Long Data'!F266,Framework[Number],0)),"")</f>
        <v>Humanitarian Conditions</v>
      </c>
      <c r="H266" t="str">
        <f>IFERROR(INDEX(Framework[Sub_Pillar],MATCH('Step 4-Long Data'!F266,Framework[Number],0)),"")</f>
        <v>Physical and mental wellbeing</v>
      </c>
      <c r="I266" t="str">
        <f>IFERROR(INDEX(Framework[Indicator],MATCH('Step 4-Long Data'!F266,Framework[Number],0)),"")</f>
        <v>IPC analysis</v>
      </c>
      <c r="J266" t="str">
        <f>IFERROR(INDEX(Framework[Class],MATCH('Step 4-Long Data'!F266,Framework[Number],0)),"")</f>
        <v>Magnitude</v>
      </c>
      <c r="K266" t="str">
        <f>IFERROR(INDEX(Framework[Critical],MATCH('Step 4-Long Data'!F266,Framework[Number],0)),"")</f>
        <v>Yes</v>
      </c>
      <c r="L266" t="str">
        <f ca="1">IF(Long_Data[[#This Row],[Indicator Class]]="Degree",INDEX(INDIRECT("Data_Entry['"&amp;Long_Data[[#This Row],[Indicator Number]]&amp;"'_DSev_1]"),MATCH(Long_Data[[#This Row],[Key]],Data_Entry[Key],0)),"NA")</f>
        <v>NA</v>
      </c>
      <c r="M266" t="str">
        <f ca="1">IF(Long_Data[[#This Row],[Indicator Class]]="Degree",INDEX(INDIRECT("Data_Entry['"&amp;Long_Data[[#This Row],[Indicator Number]]&amp;"'_DSev_2]"),MATCH(Long_Data[[#This Row],[Key]],Data_Entry[Key],0)),"NA")</f>
        <v>NA</v>
      </c>
      <c r="N266" t="str">
        <f ca="1">IF(Long_Data[[#This Row],[Indicator Class]]="Degree",INDEX(INDIRECT("Data_Entry['"&amp;Long_Data[[#This Row],[Indicator Number]]&amp;"'_DSev_3]"),MATCH(Long_Data[[#This Row],[Key]],Data_Entry[Key],0)),"NA")</f>
        <v>NA</v>
      </c>
      <c r="O266" t="str">
        <f ca="1">IF(Long_Data[[#This Row],[Indicator Class]]="Degree",INDEX(INDIRECT("Data_Entry['"&amp;Long_Data[[#This Row],[Indicator Number]]&amp;"'_DSev_4]"),MATCH(Long_Data[[#This Row],[Key]],Data_Entry[Key],0)),"NA")</f>
        <v>NA</v>
      </c>
      <c r="P266" t="str">
        <f ca="1">IF(Long_Data[[#This Row],[Indicator Class]]="Degree",INDEX(INDIRECT("Data_Entry['"&amp;Long_Data[[#This Row],[Indicator Number]]&amp;"'_DSev_5]"),MATCH(Long_Data[[#This Row],[Key]],Data_Entry[Key],0)),"NA")</f>
        <v>NA</v>
      </c>
      <c r="Q266">
        <f ca="1">IFERROR(IF(Long_Data[[#This Row],[Indicator Class]]="Magnitude", INDEX(INDIRECT("Data_Entry[Sev_"&amp;Long_Data[[#This Row],[Indicator Number]]&amp;"]"),MATCH(Long_Data[[#This Row],[Key]], Data_Entry[Key],0)),"NA"),"")</f>
        <v>3</v>
      </c>
      <c r="R26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6" s="70">
        <f ca="1">IFERROR(IF(J266="Magnitude",INDEX(INDIRECT("Data_Entry[PIN_"&amp;Long_Data[[#This Row],[Indicator Number]]&amp;"]"),MATCH(Long_Data[[#This Row],[Key]],Data_Entry[Key],0)),SUM(N266:P266)*INDEX(Baseline_Pop[Population],MATCH(Long_Data[[#This Row],[Key]],Baseline_Pop[Key],0))),"")</f>
        <v>0</v>
      </c>
    </row>
    <row r="267" spans="2:19">
      <c r="B267">
        <v>266</v>
      </c>
      <c r="C267">
        <v>26</v>
      </c>
      <c r="D267" t="str">
        <f>IFERROR(INDEX(Data_Entry[ADM2_Pcode],MATCH('Step 4-Long Data'!C267,Data_Entry[ID],0)),"NA")</f>
        <v>AF06</v>
      </c>
      <c r="E267" t="str">
        <f>IFERROR(INDEX(Data_Entry[Key],MATCH('Step 4-Long Data'!C267,Data_Entry[ID],0)),"NA")</f>
        <v>AF06-Migrants</v>
      </c>
      <c r="F267">
        <v>9</v>
      </c>
      <c r="G267" t="str">
        <f>IFERROR(INDEX(Framework[Pillar],MATCH('Step 4-Long Data'!F267,Framework[Number],0)),"")</f>
        <v>Humanitarian Conditions</v>
      </c>
      <c r="H267" t="str">
        <f>IFERROR(INDEX(Framework[Sub_Pillar],MATCH('Step 4-Long Data'!F267,Framework[Number],0)),"")</f>
        <v>Physical and mental wellbeing</v>
      </c>
      <c r="I267" t="str">
        <f>IFERROR(INDEX(Framework[Indicator],MATCH('Step 4-Long Data'!F267,Framework[Number],0)),"")</f>
        <v>IPC analysis</v>
      </c>
      <c r="J267" t="str">
        <f>IFERROR(INDEX(Framework[Class],MATCH('Step 4-Long Data'!F267,Framework[Number],0)),"")</f>
        <v>Magnitude</v>
      </c>
      <c r="K267" t="str">
        <f>IFERROR(INDEX(Framework[Critical],MATCH('Step 4-Long Data'!F267,Framework[Number],0)),"")</f>
        <v>Yes</v>
      </c>
      <c r="L267" t="str">
        <f ca="1">IF(Long_Data[[#This Row],[Indicator Class]]="Degree",INDEX(INDIRECT("Data_Entry['"&amp;Long_Data[[#This Row],[Indicator Number]]&amp;"'_DSev_1]"),MATCH(Long_Data[[#This Row],[Key]],Data_Entry[Key],0)),"NA")</f>
        <v>NA</v>
      </c>
      <c r="M267" t="str">
        <f ca="1">IF(Long_Data[[#This Row],[Indicator Class]]="Degree",INDEX(INDIRECT("Data_Entry['"&amp;Long_Data[[#This Row],[Indicator Number]]&amp;"'_DSev_2]"),MATCH(Long_Data[[#This Row],[Key]],Data_Entry[Key],0)),"NA")</f>
        <v>NA</v>
      </c>
      <c r="N267" t="str">
        <f ca="1">IF(Long_Data[[#This Row],[Indicator Class]]="Degree",INDEX(INDIRECT("Data_Entry['"&amp;Long_Data[[#This Row],[Indicator Number]]&amp;"'_DSev_3]"),MATCH(Long_Data[[#This Row],[Key]],Data_Entry[Key],0)),"NA")</f>
        <v>NA</v>
      </c>
      <c r="O267" t="str">
        <f ca="1">IF(Long_Data[[#This Row],[Indicator Class]]="Degree",INDEX(INDIRECT("Data_Entry['"&amp;Long_Data[[#This Row],[Indicator Number]]&amp;"'_DSev_4]"),MATCH(Long_Data[[#This Row],[Key]],Data_Entry[Key],0)),"NA")</f>
        <v>NA</v>
      </c>
      <c r="P267" t="str">
        <f ca="1">IF(Long_Data[[#This Row],[Indicator Class]]="Degree",INDEX(INDIRECT("Data_Entry['"&amp;Long_Data[[#This Row],[Indicator Number]]&amp;"'_DSev_5]"),MATCH(Long_Data[[#This Row],[Key]],Data_Entry[Key],0)),"NA")</f>
        <v>NA</v>
      </c>
      <c r="Q267">
        <f ca="1">IFERROR(IF(Long_Data[[#This Row],[Indicator Class]]="Magnitude", INDEX(INDIRECT("Data_Entry[Sev_"&amp;Long_Data[[#This Row],[Indicator Number]]&amp;"]"),MATCH(Long_Data[[#This Row],[Key]], Data_Entry[Key],0)),"NA"),"")</f>
        <v>3</v>
      </c>
      <c r="R267">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7" s="70">
        <f ca="1">IFERROR(IF(J267="Magnitude",INDEX(INDIRECT("Data_Entry[PIN_"&amp;Long_Data[[#This Row],[Indicator Number]]&amp;"]"),MATCH(Long_Data[[#This Row],[Key]],Data_Entry[Key],0)),SUM(N267:P267)*INDEX(Baseline_Pop[Population],MATCH(Long_Data[[#This Row],[Key]],Baseline_Pop[Key],0))),"")</f>
        <v>0</v>
      </c>
    </row>
    <row r="268" spans="2:19">
      <c r="B268">
        <v>267</v>
      </c>
      <c r="C268">
        <v>27</v>
      </c>
      <c r="D268" t="str">
        <f>IFERROR(INDEX(Data_Entry[ADM2_Pcode],MATCH('Step 4-Long Data'!C268,Data_Entry[ID],0)),"NA")</f>
        <v>AF07</v>
      </c>
      <c r="E268" t="str">
        <f>IFERROR(INDEX(Data_Entry[Key],MATCH('Step 4-Long Data'!C268,Data_Entry[ID],0)),"NA")</f>
        <v>AF07-Migrants</v>
      </c>
      <c r="F268">
        <v>9</v>
      </c>
      <c r="G268" t="str">
        <f>IFERROR(INDEX(Framework[Pillar],MATCH('Step 4-Long Data'!F268,Framework[Number],0)),"")</f>
        <v>Humanitarian Conditions</v>
      </c>
      <c r="H268" t="str">
        <f>IFERROR(INDEX(Framework[Sub_Pillar],MATCH('Step 4-Long Data'!F268,Framework[Number],0)),"")</f>
        <v>Physical and mental wellbeing</v>
      </c>
      <c r="I268" t="str">
        <f>IFERROR(INDEX(Framework[Indicator],MATCH('Step 4-Long Data'!F268,Framework[Number],0)),"")</f>
        <v>IPC analysis</v>
      </c>
      <c r="J268" t="str">
        <f>IFERROR(INDEX(Framework[Class],MATCH('Step 4-Long Data'!F268,Framework[Number],0)),"")</f>
        <v>Magnitude</v>
      </c>
      <c r="K268" t="str">
        <f>IFERROR(INDEX(Framework[Critical],MATCH('Step 4-Long Data'!F268,Framework[Number],0)),"")</f>
        <v>Yes</v>
      </c>
      <c r="L268" t="str">
        <f ca="1">IF(Long_Data[[#This Row],[Indicator Class]]="Degree",INDEX(INDIRECT("Data_Entry['"&amp;Long_Data[[#This Row],[Indicator Number]]&amp;"'_DSev_1]"),MATCH(Long_Data[[#This Row],[Key]],Data_Entry[Key],0)),"NA")</f>
        <v>NA</v>
      </c>
      <c r="M268" t="str">
        <f ca="1">IF(Long_Data[[#This Row],[Indicator Class]]="Degree",INDEX(INDIRECT("Data_Entry['"&amp;Long_Data[[#This Row],[Indicator Number]]&amp;"'_DSev_2]"),MATCH(Long_Data[[#This Row],[Key]],Data_Entry[Key],0)),"NA")</f>
        <v>NA</v>
      </c>
      <c r="N268" t="str">
        <f ca="1">IF(Long_Data[[#This Row],[Indicator Class]]="Degree",INDEX(INDIRECT("Data_Entry['"&amp;Long_Data[[#This Row],[Indicator Number]]&amp;"'_DSev_3]"),MATCH(Long_Data[[#This Row],[Key]],Data_Entry[Key],0)),"NA")</f>
        <v>NA</v>
      </c>
      <c r="O268" t="str">
        <f ca="1">IF(Long_Data[[#This Row],[Indicator Class]]="Degree",INDEX(INDIRECT("Data_Entry['"&amp;Long_Data[[#This Row],[Indicator Number]]&amp;"'_DSev_4]"),MATCH(Long_Data[[#This Row],[Key]],Data_Entry[Key],0)),"NA")</f>
        <v>NA</v>
      </c>
      <c r="P268" t="str">
        <f ca="1">IF(Long_Data[[#This Row],[Indicator Class]]="Degree",INDEX(INDIRECT("Data_Entry['"&amp;Long_Data[[#This Row],[Indicator Number]]&amp;"'_DSev_5]"),MATCH(Long_Data[[#This Row],[Key]],Data_Entry[Key],0)),"NA")</f>
        <v>NA</v>
      </c>
      <c r="Q268">
        <f ca="1">IFERROR(IF(Long_Data[[#This Row],[Indicator Class]]="Magnitude", INDEX(INDIRECT("Data_Entry[Sev_"&amp;Long_Data[[#This Row],[Indicator Number]]&amp;"]"),MATCH(Long_Data[[#This Row],[Key]], Data_Entry[Key],0)),"NA"),"")</f>
        <v>3</v>
      </c>
      <c r="R26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8" s="70">
        <f ca="1">IFERROR(IF(J268="Magnitude",INDEX(INDIRECT("Data_Entry[PIN_"&amp;Long_Data[[#This Row],[Indicator Number]]&amp;"]"),MATCH(Long_Data[[#This Row],[Key]],Data_Entry[Key],0)),SUM(N268:P268)*INDEX(Baseline_Pop[Population],MATCH(Long_Data[[#This Row],[Key]],Baseline_Pop[Key],0))),"")</f>
        <v>0</v>
      </c>
    </row>
    <row r="269" spans="2:19">
      <c r="B269">
        <v>268</v>
      </c>
      <c r="C269">
        <v>28</v>
      </c>
      <c r="D269" t="str">
        <f>IFERROR(INDEX(Data_Entry[ADM2_Pcode],MATCH('Step 4-Long Data'!C269,Data_Entry[ID],0)),"NA")</f>
        <v>AF08</v>
      </c>
      <c r="E269" t="str">
        <f>IFERROR(INDEX(Data_Entry[Key],MATCH('Step 4-Long Data'!C269,Data_Entry[ID],0)),"NA")</f>
        <v>AF08-Migrants</v>
      </c>
      <c r="F269">
        <v>9</v>
      </c>
      <c r="G269" t="str">
        <f>IFERROR(INDEX(Framework[Pillar],MATCH('Step 4-Long Data'!F269,Framework[Number],0)),"")</f>
        <v>Humanitarian Conditions</v>
      </c>
      <c r="H269" t="str">
        <f>IFERROR(INDEX(Framework[Sub_Pillar],MATCH('Step 4-Long Data'!F269,Framework[Number],0)),"")</f>
        <v>Physical and mental wellbeing</v>
      </c>
      <c r="I269" t="str">
        <f>IFERROR(INDEX(Framework[Indicator],MATCH('Step 4-Long Data'!F269,Framework[Number],0)),"")</f>
        <v>IPC analysis</v>
      </c>
      <c r="J269" t="str">
        <f>IFERROR(INDEX(Framework[Class],MATCH('Step 4-Long Data'!F269,Framework[Number],0)),"")</f>
        <v>Magnitude</v>
      </c>
      <c r="K269" t="str">
        <f>IFERROR(INDEX(Framework[Critical],MATCH('Step 4-Long Data'!F269,Framework[Number],0)),"")</f>
        <v>Yes</v>
      </c>
      <c r="L269" t="str">
        <f ca="1">IF(Long_Data[[#This Row],[Indicator Class]]="Degree",INDEX(INDIRECT("Data_Entry['"&amp;Long_Data[[#This Row],[Indicator Number]]&amp;"'_DSev_1]"),MATCH(Long_Data[[#This Row],[Key]],Data_Entry[Key],0)),"NA")</f>
        <v>NA</v>
      </c>
      <c r="M269" t="str">
        <f ca="1">IF(Long_Data[[#This Row],[Indicator Class]]="Degree",INDEX(INDIRECT("Data_Entry['"&amp;Long_Data[[#This Row],[Indicator Number]]&amp;"'_DSev_2]"),MATCH(Long_Data[[#This Row],[Key]],Data_Entry[Key],0)),"NA")</f>
        <v>NA</v>
      </c>
      <c r="N269" t="str">
        <f ca="1">IF(Long_Data[[#This Row],[Indicator Class]]="Degree",INDEX(INDIRECT("Data_Entry['"&amp;Long_Data[[#This Row],[Indicator Number]]&amp;"'_DSev_3]"),MATCH(Long_Data[[#This Row],[Key]],Data_Entry[Key],0)),"NA")</f>
        <v>NA</v>
      </c>
      <c r="O269" t="str">
        <f ca="1">IF(Long_Data[[#This Row],[Indicator Class]]="Degree",INDEX(INDIRECT("Data_Entry['"&amp;Long_Data[[#This Row],[Indicator Number]]&amp;"'_DSev_4]"),MATCH(Long_Data[[#This Row],[Key]],Data_Entry[Key],0)),"NA")</f>
        <v>NA</v>
      </c>
      <c r="P269" t="str">
        <f ca="1">IF(Long_Data[[#This Row],[Indicator Class]]="Degree",INDEX(INDIRECT("Data_Entry['"&amp;Long_Data[[#This Row],[Indicator Number]]&amp;"'_DSev_5]"),MATCH(Long_Data[[#This Row],[Key]],Data_Entry[Key],0)),"NA")</f>
        <v>NA</v>
      </c>
      <c r="Q269">
        <f ca="1">IFERROR(IF(Long_Data[[#This Row],[Indicator Class]]="Magnitude", INDEX(INDIRECT("Data_Entry[Sev_"&amp;Long_Data[[#This Row],[Indicator Number]]&amp;"]"),MATCH(Long_Data[[#This Row],[Key]], Data_Entry[Key],0)),"NA"),"")</f>
        <v>3</v>
      </c>
      <c r="R269">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69" s="70">
        <f ca="1">IFERROR(IF(J269="Magnitude",INDEX(INDIRECT("Data_Entry[PIN_"&amp;Long_Data[[#This Row],[Indicator Number]]&amp;"]"),MATCH(Long_Data[[#This Row],[Key]],Data_Entry[Key],0)),SUM(N269:P269)*INDEX(Baseline_Pop[Population],MATCH(Long_Data[[#This Row],[Key]],Baseline_Pop[Key],0))),"")</f>
        <v>0</v>
      </c>
    </row>
    <row r="270" spans="2:19">
      <c r="B270">
        <v>269</v>
      </c>
      <c r="C270">
        <v>29</v>
      </c>
      <c r="D270" t="str">
        <f>IFERROR(INDEX(Data_Entry[ADM2_Pcode],MATCH('Step 4-Long Data'!C270,Data_Entry[ID],0)),"NA")</f>
        <v>AF09</v>
      </c>
      <c r="E270" t="str">
        <f>IFERROR(INDEX(Data_Entry[Key],MATCH('Step 4-Long Data'!C270,Data_Entry[ID],0)),"NA")</f>
        <v>AF09-Migrants</v>
      </c>
      <c r="F270">
        <v>9</v>
      </c>
      <c r="G270" t="str">
        <f>IFERROR(INDEX(Framework[Pillar],MATCH('Step 4-Long Data'!F270,Framework[Number],0)),"")</f>
        <v>Humanitarian Conditions</v>
      </c>
      <c r="H270" t="str">
        <f>IFERROR(INDEX(Framework[Sub_Pillar],MATCH('Step 4-Long Data'!F270,Framework[Number],0)),"")</f>
        <v>Physical and mental wellbeing</v>
      </c>
      <c r="I270" t="str">
        <f>IFERROR(INDEX(Framework[Indicator],MATCH('Step 4-Long Data'!F270,Framework[Number],0)),"")</f>
        <v>IPC analysis</v>
      </c>
      <c r="J270" t="str">
        <f>IFERROR(INDEX(Framework[Class],MATCH('Step 4-Long Data'!F270,Framework[Number],0)),"")</f>
        <v>Magnitude</v>
      </c>
      <c r="K270" t="str">
        <f>IFERROR(INDEX(Framework[Critical],MATCH('Step 4-Long Data'!F270,Framework[Number],0)),"")</f>
        <v>Yes</v>
      </c>
      <c r="L270" t="str">
        <f ca="1">IF(Long_Data[[#This Row],[Indicator Class]]="Degree",INDEX(INDIRECT("Data_Entry['"&amp;Long_Data[[#This Row],[Indicator Number]]&amp;"'_DSev_1]"),MATCH(Long_Data[[#This Row],[Key]],Data_Entry[Key],0)),"NA")</f>
        <v>NA</v>
      </c>
      <c r="M270" t="str">
        <f ca="1">IF(Long_Data[[#This Row],[Indicator Class]]="Degree",INDEX(INDIRECT("Data_Entry['"&amp;Long_Data[[#This Row],[Indicator Number]]&amp;"'_DSev_2]"),MATCH(Long_Data[[#This Row],[Key]],Data_Entry[Key],0)),"NA")</f>
        <v>NA</v>
      </c>
      <c r="N270" t="str">
        <f ca="1">IF(Long_Data[[#This Row],[Indicator Class]]="Degree",INDEX(INDIRECT("Data_Entry['"&amp;Long_Data[[#This Row],[Indicator Number]]&amp;"'_DSev_3]"),MATCH(Long_Data[[#This Row],[Key]],Data_Entry[Key],0)),"NA")</f>
        <v>NA</v>
      </c>
      <c r="O270" t="str">
        <f ca="1">IF(Long_Data[[#This Row],[Indicator Class]]="Degree",INDEX(INDIRECT("Data_Entry['"&amp;Long_Data[[#This Row],[Indicator Number]]&amp;"'_DSev_4]"),MATCH(Long_Data[[#This Row],[Key]],Data_Entry[Key],0)),"NA")</f>
        <v>NA</v>
      </c>
      <c r="P270" t="str">
        <f ca="1">IF(Long_Data[[#This Row],[Indicator Class]]="Degree",INDEX(INDIRECT("Data_Entry['"&amp;Long_Data[[#This Row],[Indicator Number]]&amp;"'_DSev_5]"),MATCH(Long_Data[[#This Row],[Key]],Data_Entry[Key],0)),"NA")</f>
        <v>NA</v>
      </c>
      <c r="Q270">
        <f ca="1">IFERROR(IF(Long_Data[[#This Row],[Indicator Class]]="Magnitude", INDEX(INDIRECT("Data_Entry[Sev_"&amp;Long_Data[[#This Row],[Indicator Number]]&amp;"]"),MATCH(Long_Data[[#This Row],[Key]], Data_Entry[Key],0)),"NA"),"")</f>
        <v>3</v>
      </c>
      <c r="R27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70" s="70">
        <f ca="1">IFERROR(IF(J270="Magnitude",INDEX(INDIRECT("Data_Entry[PIN_"&amp;Long_Data[[#This Row],[Indicator Number]]&amp;"]"),MATCH(Long_Data[[#This Row],[Key]],Data_Entry[Key],0)),SUM(N270:P270)*INDEX(Baseline_Pop[Population],MATCH(Long_Data[[#This Row],[Key]],Baseline_Pop[Key],0))),"")</f>
        <v>0</v>
      </c>
    </row>
    <row r="271" spans="2:19">
      <c r="B271">
        <v>270</v>
      </c>
      <c r="C271">
        <v>30</v>
      </c>
      <c r="D271" t="str">
        <f>IFERROR(INDEX(Data_Entry[ADM2_Pcode],MATCH('Step 4-Long Data'!C271,Data_Entry[ID],0)),"NA")</f>
        <v>AF10</v>
      </c>
      <c r="E271" t="str">
        <f>IFERROR(INDEX(Data_Entry[Key],MATCH('Step 4-Long Data'!C271,Data_Entry[ID],0)),"NA")</f>
        <v>AF10-Migrants</v>
      </c>
      <c r="F271">
        <v>9</v>
      </c>
      <c r="G271" t="str">
        <f>IFERROR(INDEX(Framework[Pillar],MATCH('Step 4-Long Data'!F271,Framework[Number],0)),"")</f>
        <v>Humanitarian Conditions</v>
      </c>
      <c r="H271" t="str">
        <f>IFERROR(INDEX(Framework[Sub_Pillar],MATCH('Step 4-Long Data'!F271,Framework[Number],0)),"")</f>
        <v>Physical and mental wellbeing</v>
      </c>
      <c r="I271" t="str">
        <f>IFERROR(INDEX(Framework[Indicator],MATCH('Step 4-Long Data'!F271,Framework[Number],0)),"")</f>
        <v>IPC analysis</v>
      </c>
      <c r="J271" t="str">
        <f>IFERROR(INDEX(Framework[Class],MATCH('Step 4-Long Data'!F271,Framework[Number],0)),"")</f>
        <v>Magnitude</v>
      </c>
      <c r="K271" t="str">
        <f>IFERROR(INDEX(Framework[Critical],MATCH('Step 4-Long Data'!F271,Framework[Number],0)),"")</f>
        <v>Yes</v>
      </c>
      <c r="L271" t="str">
        <f ca="1">IF(Long_Data[[#This Row],[Indicator Class]]="Degree",INDEX(INDIRECT("Data_Entry['"&amp;Long_Data[[#This Row],[Indicator Number]]&amp;"'_DSev_1]"),MATCH(Long_Data[[#This Row],[Key]],Data_Entry[Key],0)),"NA")</f>
        <v>NA</v>
      </c>
      <c r="M271" t="str">
        <f ca="1">IF(Long_Data[[#This Row],[Indicator Class]]="Degree",INDEX(INDIRECT("Data_Entry['"&amp;Long_Data[[#This Row],[Indicator Number]]&amp;"'_DSev_2]"),MATCH(Long_Data[[#This Row],[Key]],Data_Entry[Key],0)),"NA")</f>
        <v>NA</v>
      </c>
      <c r="N271" t="str">
        <f ca="1">IF(Long_Data[[#This Row],[Indicator Class]]="Degree",INDEX(INDIRECT("Data_Entry['"&amp;Long_Data[[#This Row],[Indicator Number]]&amp;"'_DSev_3]"),MATCH(Long_Data[[#This Row],[Key]],Data_Entry[Key],0)),"NA")</f>
        <v>NA</v>
      </c>
      <c r="O271" t="str">
        <f ca="1">IF(Long_Data[[#This Row],[Indicator Class]]="Degree",INDEX(INDIRECT("Data_Entry['"&amp;Long_Data[[#This Row],[Indicator Number]]&amp;"'_DSev_4]"),MATCH(Long_Data[[#This Row],[Key]],Data_Entry[Key],0)),"NA")</f>
        <v>NA</v>
      </c>
      <c r="P271" t="str">
        <f ca="1">IF(Long_Data[[#This Row],[Indicator Class]]="Degree",INDEX(INDIRECT("Data_Entry['"&amp;Long_Data[[#This Row],[Indicator Number]]&amp;"'_DSev_5]"),MATCH(Long_Data[[#This Row],[Key]],Data_Entry[Key],0)),"NA")</f>
        <v>NA</v>
      </c>
      <c r="Q271">
        <f ca="1">IFERROR(IF(Long_Data[[#This Row],[Indicator Class]]="Magnitude", INDEX(INDIRECT("Data_Entry[Sev_"&amp;Long_Data[[#This Row],[Indicator Number]]&amp;"]"),MATCH(Long_Data[[#This Row],[Key]], Data_Entry[Key],0)),"NA"),"")</f>
        <v>3</v>
      </c>
      <c r="R27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71" s="70">
        <f ca="1">IFERROR(IF(J271="Magnitude",INDEX(INDIRECT("Data_Entry[PIN_"&amp;Long_Data[[#This Row],[Indicator Number]]&amp;"]"),MATCH(Long_Data[[#This Row],[Key]],Data_Entry[Key],0)),SUM(N271:P271)*INDEX(Baseline_Pop[Population],MATCH(Long_Data[[#This Row],[Key]],Baseline_Pop[Key],0))),"")</f>
        <v>0</v>
      </c>
    </row>
    <row r="272" spans="2:19">
      <c r="B272">
        <v>271</v>
      </c>
      <c r="C272">
        <v>1</v>
      </c>
      <c r="D272" t="str">
        <f>IFERROR(INDEX(Data_Entry[ADM2_Pcode],MATCH('Step 4-Long Data'!C272,Data_Entry[ID],0)),"NA")</f>
        <v>AF01</v>
      </c>
      <c r="E272" t="str">
        <f>IFERROR(INDEX(Data_Entry[Key],MATCH('Step 4-Long Data'!C272,Data_Entry[ID],0)),"NA")</f>
        <v>AF01-All_Others</v>
      </c>
      <c r="F272">
        <v>10</v>
      </c>
      <c r="G272" t="str">
        <f>IFERROR(INDEX(Framework[Pillar],MATCH('Step 4-Long Data'!F272,Framework[Number],0)),"")</f>
        <v>Humanitarian Conditions</v>
      </c>
      <c r="H272" t="str">
        <f>IFERROR(INDEX(Framework[Sub_Pillar],MATCH('Step 4-Long Data'!F272,Framework[Number],0)),"")</f>
        <v>Living standards</v>
      </c>
      <c r="I272" t="str">
        <f>IFERROR(INDEX(Framework[Indicator],MATCH('Step 4-Long Data'!F272,Framework[Number],0)),"")</f>
        <v>% of HHs having access to a sufficient quality and quantity of water for drinking, cooking, bathing, washing or other domestic use</v>
      </c>
      <c r="J272" t="str">
        <f>IFERROR(INDEX(Framework[Class],MATCH('Step 4-Long Data'!F272,Framework[Number],0)),"")</f>
        <v>Degree</v>
      </c>
      <c r="K272" t="str">
        <f>IFERROR(INDEX(Framework[Critical],MATCH('Step 4-Long Data'!F272,Framework[Number],0)),"")</f>
        <v>No</v>
      </c>
      <c r="L272">
        <f ca="1">IF(Long_Data[[#This Row],[Indicator Class]]="Degree",INDEX(INDIRECT("Data_Entry['"&amp;Long_Data[[#This Row],[Indicator Number]]&amp;"'_DSev_1]"),MATCH(Long_Data[[#This Row],[Key]],Data_Entry[Key],0)),"NA")</f>
        <v>0.22</v>
      </c>
      <c r="M272">
        <f ca="1">IF(Long_Data[[#This Row],[Indicator Class]]="Degree",INDEX(INDIRECT("Data_Entry['"&amp;Long_Data[[#This Row],[Indicator Number]]&amp;"'_DSev_2]"),MATCH(Long_Data[[#This Row],[Key]],Data_Entry[Key],0)),"NA")</f>
        <v>0</v>
      </c>
      <c r="N272">
        <f ca="1">IF(Long_Data[[#This Row],[Indicator Class]]="Degree",INDEX(INDIRECT("Data_Entry['"&amp;Long_Data[[#This Row],[Indicator Number]]&amp;"'_DSev_3]"),MATCH(Long_Data[[#This Row],[Key]],Data_Entry[Key],0)),"NA")</f>
        <v>0.47</v>
      </c>
      <c r="O272">
        <f ca="1">IF(Long_Data[[#This Row],[Indicator Class]]="Degree",INDEX(INDIRECT("Data_Entry['"&amp;Long_Data[[#This Row],[Indicator Number]]&amp;"'_DSev_4]"),MATCH(Long_Data[[#This Row],[Key]],Data_Entry[Key],0)),"NA")</f>
        <v>0.31</v>
      </c>
      <c r="P272">
        <f ca="1">IF(Long_Data[[#This Row],[Indicator Class]]="Degree",INDEX(INDIRECT("Data_Entry['"&amp;Long_Data[[#This Row],[Indicator Number]]&amp;"'_DSev_5]"),MATCH(Long_Data[[#This Row],[Key]],Data_Entry[Key],0)),"NA")</f>
        <v>0</v>
      </c>
      <c r="Q272" t="str">
        <f ca="1">IFERROR(IF(Long_Data[[#This Row],[Indicator Class]]="Magnitude", INDEX(INDIRECT("Data_Entry[Sev_"&amp;Long_Data[[#This Row],[Indicator Number]]&amp;"]"),MATCH(Long_Data[[#This Row],[Key]], Data_Entry[Key],0)),"NA"),"")</f>
        <v>NA</v>
      </c>
      <c r="R27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272" s="70">
        <f ca="1">IFERROR(IF(J272="Magnitude",INDEX(INDIRECT("Data_Entry[PIN_"&amp;Long_Data[[#This Row],[Indicator Number]]&amp;"]"),MATCH(Long_Data[[#This Row],[Key]],Data_Entry[Key],0)),SUM(N272:P272)*INDEX(Baseline_Pop[Population],MATCH(Long_Data[[#This Row],[Key]],Baseline_Pop[Key],0))),"")</f>
        <v>3658481.58</v>
      </c>
    </row>
    <row r="273" spans="2:19">
      <c r="B273">
        <v>272</v>
      </c>
      <c r="C273">
        <v>2</v>
      </c>
      <c r="D273" t="str">
        <f>IFERROR(INDEX(Data_Entry[ADM2_Pcode],MATCH('Step 4-Long Data'!C273,Data_Entry[ID],0)),"NA")</f>
        <v>AF02</v>
      </c>
      <c r="E273" t="str">
        <f>IFERROR(INDEX(Data_Entry[Key],MATCH('Step 4-Long Data'!C273,Data_Entry[ID],0)),"NA")</f>
        <v>AF02-All_Others</v>
      </c>
      <c r="F273">
        <v>10</v>
      </c>
      <c r="G273" t="str">
        <f>IFERROR(INDEX(Framework[Pillar],MATCH('Step 4-Long Data'!F273,Framework[Number],0)),"")</f>
        <v>Humanitarian Conditions</v>
      </c>
      <c r="H273" t="str">
        <f>IFERROR(INDEX(Framework[Sub_Pillar],MATCH('Step 4-Long Data'!F273,Framework[Number],0)),"")</f>
        <v>Living standards</v>
      </c>
      <c r="I273" t="str">
        <f>IFERROR(INDEX(Framework[Indicator],MATCH('Step 4-Long Data'!F273,Framework[Number],0)),"")</f>
        <v>% of HHs having access to a sufficient quality and quantity of water for drinking, cooking, bathing, washing or other domestic use</v>
      </c>
      <c r="J273" t="str">
        <f>IFERROR(INDEX(Framework[Class],MATCH('Step 4-Long Data'!F273,Framework[Number],0)),"")</f>
        <v>Degree</v>
      </c>
      <c r="K273" t="str">
        <f>IFERROR(INDEX(Framework[Critical],MATCH('Step 4-Long Data'!F273,Framework[Number],0)),"")</f>
        <v>No</v>
      </c>
      <c r="L273">
        <f ca="1">IF(Long_Data[[#This Row],[Indicator Class]]="Degree",INDEX(INDIRECT("Data_Entry['"&amp;Long_Data[[#This Row],[Indicator Number]]&amp;"'_DSev_1]"),MATCH(Long_Data[[#This Row],[Key]],Data_Entry[Key],0)),"NA")</f>
        <v>0</v>
      </c>
      <c r="M273">
        <f ca="1">IF(Long_Data[[#This Row],[Indicator Class]]="Degree",INDEX(INDIRECT("Data_Entry['"&amp;Long_Data[[#This Row],[Indicator Number]]&amp;"'_DSev_2]"),MATCH(Long_Data[[#This Row],[Key]],Data_Entry[Key],0)),"NA")</f>
        <v>0</v>
      </c>
      <c r="N273">
        <f ca="1">IF(Long_Data[[#This Row],[Indicator Class]]="Degree",INDEX(INDIRECT("Data_Entry['"&amp;Long_Data[[#This Row],[Indicator Number]]&amp;"'_DSev_3]"),MATCH(Long_Data[[#This Row],[Key]],Data_Entry[Key],0)),"NA")</f>
        <v>0</v>
      </c>
      <c r="O273">
        <f ca="1">IF(Long_Data[[#This Row],[Indicator Class]]="Degree",INDEX(INDIRECT("Data_Entry['"&amp;Long_Data[[#This Row],[Indicator Number]]&amp;"'_DSev_4]"),MATCH(Long_Data[[#This Row],[Key]],Data_Entry[Key],0)),"NA")</f>
        <v>0</v>
      </c>
      <c r="P273">
        <f ca="1">IF(Long_Data[[#This Row],[Indicator Class]]="Degree",INDEX(INDIRECT("Data_Entry['"&amp;Long_Data[[#This Row],[Indicator Number]]&amp;"'_DSev_5]"),MATCH(Long_Data[[#This Row],[Key]],Data_Entry[Key],0)),"NA")</f>
        <v>0</v>
      </c>
      <c r="Q273" t="str">
        <f ca="1">IFERROR(IF(Long_Data[[#This Row],[Indicator Class]]="Magnitude", INDEX(INDIRECT("Data_Entry[Sev_"&amp;Long_Data[[#This Row],[Indicator Number]]&amp;"]"),MATCH(Long_Data[[#This Row],[Key]], Data_Entry[Key],0)),"NA"),"")</f>
        <v>NA</v>
      </c>
      <c r="R27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73" s="70">
        <f ca="1">IFERROR(IF(J273="Magnitude",INDEX(INDIRECT("Data_Entry[PIN_"&amp;Long_Data[[#This Row],[Indicator Number]]&amp;"]"),MATCH(Long_Data[[#This Row],[Key]],Data_Entry[Key],0)),SUM(N273:P273)*INDEX(Baseline_Pop[Population],MATCH(Long_Data[[#This Row],[Key]],Baseline_Pop[Key],0))),"")</f>
        <v>0</v>
      </c>
    </row>
    <row r="274" spans="2:19">
      <c r="B274">
        <v>273</v>
      </c>
      <c r="C274">
        <v>3</v>
      </c>
      <c r="D274" t="str">
        <f>IFERROR(INDEX(Data_Entry[ADM2_Pcode],MATCH('Step 4-Long Data'!C274,Data_Entry[ID],0)),"NA")</f>
        <v>AF03</v>
      </c>
      <c r="E274" t="str">
        <f>IFERROR(INDEX(Data_Entry[Key],MATCH('Step 4-Long Data'!C274,Data_Entry[ID],0)),"NA")</f>
        <v>AF03-All_Others</v>
      </c>
      <c r="F274">
        <v>10</v>
      </c>
      <c r="G274" t="str">
        <f>IFERROR(INDEX(Framework[Pillar],MATCH('Step 4-Long Data'!F274,Framework[Number],0)),"")</f>
        <v>Humanitarian Conditions</v>
      </c>
      <c r="H274" t="str">
        <f>IFERROR(INDEX(Framework[Sub_Pillar],MATCH('Step 4-Long Data'!F274,Framework[Number],0)),"")</f>
        <v>Living standards</v>
      </c>
      <c r="I274" t="str">
        <f>IFERROR(INDEX(Framework[Indicator],MATCH('Step 4-Long Data'!F274,Framework[Number],0)),"")</f>
        <v>% of HHs having access to a sufficient quality and quantity of water for drinking, cooking, bathing, washing or other domestic use</v>
      </c>
      <c r="J274" t="str">
        <f>IFERROR(INDEX(Framework[Class],MATCH('Step 4-Long Data'!F274,Framework[Number],0)),"")</f>
        <v>Degree</v>
      </c>
      <c r="K274" t="str">
        <f>IFERROR(INDEX(Framework[Critical],MATCH('Step 4-Long Data'!F274,Framework[Number],0)),"")</f>
        <v>No</v>
      </c>
      <c r="L274">
        <f ca="1">IF(Long_Data[[#This Row],[Indicator Class]]="Degree",INDEX(INDIRECT("Data_Entry['"&amp;Long_Data[[#This Row],[Indicator Number]]&amp;"'_DSev_1]"),MATCH(Long_Data[[#This Row],[Key]],Data_Entry[Key],0)),"NA")</f>
        <v>0.82</v>
      </c>
      <c r="M274">
        <f ca="1">IF(Long_Data[[#This Row],[Indicator Class]]="Degree",INDEX(INDIRECT("Data_Entry['"&amp;Long_Data[[#This Row],[Indicator Number]]&amp;"'_DSev_2]"),MATCH(Long_Data[[#This Row],[Key]],Data_Entry[Key],0)),"NA")</f>
        <v>0</v>
      </c>
      <c r="N274">
        <f ca="1">IF(Long_Data[[#This Row],[Indicator Class]]="Degree",INDEX(INDIRECT("Data_Entry['"&amp;Long_Data[[#This Row],[Indicator Number]]&amp;"'_DSev_3]"),MATCH(Long_Data[[#This Row],[Key]],Data_Entry[Key],0)),"NA")</f>
        <v>0.18</v>
      </c>
      <c r="O274">
        <f ca="1">IF(Long_Data[[#This Row],[Indicator Class]]="Degree",INDEX(INDIRECT("Data_Entry['"&amp;Long_Data[[#This Row],[Indicator Number]]&amp;"'_DSev_4]"),MATCH(Long_Data[[#This Row],[Key]],Data_Entry[Key],0)),"NA")</f>
        <v>0</v>
      </c>
      <c r="P274">
        <f ca="1">IF(Long_Data[[#This Row],[Indicator Class]]="Degree",INDEX(INDIRECT("Data_Entry['"&amp;Long_Data[[#This Row],[Indicator Number]]&amp;"'_DSev_5]"),MATCH(Long_Data[[#This Row],[Key]],Data_Entry[Key],0)),"NA")</f>
        <v>0</v>
      </c>
      <c r="Q274" t="str">
        <f ca="1">IFERROR(IF(Long_Data[[#This Row],[Indicator Class]]="Magnitude", INDEX(INDIRECT("Data_Entry[Sev_"&amp;Long_Data[[#This Row],[Indicator Number]]&amp;"]"),MATCH(Long_Data[[#This Row],[Key]], Data_Entry[Key],0)),"NA"),"")</f>
        <v>NA</v>
      </c>
      <c r="R27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74" s="70">
        <f ca="1">IFERROR(IF(J274="Magnitude",INDEX(INDIRECT("Data_Entry[PIN_"&amp;Long_Data[[#This Row],[Indicator Number]]&amp;"]"),MATCH(Long_Data[[#This Row],[Key]],Data_Entry[Key],0)),SUM(N274:P274)*INDEX(Baseline_Pop[Population],MATCH(Long_Data[[#This Row],[Key]],Baseline_Pop[Key],0))),"")</f>
        <v>119664.9</v>
      </c>
    </row>
    <row r="275" spans="2:19">
      <c r="B275">
        <v>274</v>
      </c>
      <c r="C275">
        <v>4</v>
      </c>
      <c r="D275" t="str">
        <f>IFERROR(INDEX(Data_Entry[ADM2_Pcode],MATCH('Step 4-Long Data'!C275,Data_Entry[ID],0)),"NA")</f>
        <v>AF04</v>
      </c>
      <c r="E275" t="str">
        <f>IFERROR(INDEX(Data_Entry[Key],MATCH('Step 4-Long Data'!C275,Data_Entry[ID],0)),"NA")</f>
        <v>AF04-All_Others</v>
      </c>
      <c r="F275">
        <v>10</v>
      </c>
      <c r="G275" t="str">
        <f>IFERROR(INDEX(Framework[Pillar],MATCH('Step 4-Long Data'!F275,Framework[Number],0)),"")</f>
        <v>Humanitarian Conditions</v>
      </c>
      <c r="H275" t="str">
        <f>IFERROR(INDEX(Framework[Sub_Pillar],MATCH('Step 4-Long Data'!F275,Framework[Number],0)),"")</f>
        <v>Living standards</v>
      </c>
      <c r="I275" t="str">
        <f>IFERROR(INDEX(Framework[Indicator],MATCH('Step 4-Long Data'!F275,Framework[Number],0)),"")</f>
        <v>% of HHs having access to a sufficient quality and quantity of water for drinking, cooking, bathing, washing or other domestic use</v>
      </c>
      <c r="J275" t="str">
        <f>IFERROR(INDEX(Framework[Class],MATCH('Step 4-Long Data'!F275,Framework[Number],0)),"")</f>
        <v>Degree</v>
      </c>
      <c r="K275" t="str">
        <f>IFERROR(INDEX(Framework[Critical],MATCH('Step 4-Long Data'!F275,Framework[Number],0)),"")</f>
        <v>No</v>
      </c>
      <c r="L275">
        <f ca="1">IF(Long_Data[[#This Row],[Indicator Class]]="Degree",INDEX(INDIRECT("Data_Entry['"&amp;Long_Data[[#This Row],[Indicator Number]]&amp;"'_DSev_1]"),MATCH(Long_Data[[#This Row],[Key]],Data_Entry[Key],0)),"NA")</f>
        <v>0</v>
      </c>
      <c r="M275">
        <f ca="1">IF(Long_Data[[#This Row],[Indicator Class]]="Degree",INDEX(INDIRECT("Data_Entry['"&amp;Long_Data[[#This Row],[Indicator Number]]&amp;"'_DSev_2]"),MATCH(Long_Data[[#This Row],[Key]],Data_Entry[Key],0)),"NA")</f>
        <v>0</v>
      </c>
      <c r="N275">
        <f ca="1">IF(Long_Data[[#This Row],[Indicator Class]]="Degree",INDEX(INDIRECT("Data_Entry['"&amp;Long_Data[[#This Row],[Indicator Number]]&amp;"'_DSev_3]"),MATCH(Long_Data[[#This Row],[Key]],Data_Entry[Key],0)),"NA")</f>
        <v>0</v>
      </c>
      <c r="O275">
        <f ca="1">IF(Long_Data[[#This Row],[Indicator Class]]="Degree",INDEX(INDIRECT("Data_Entry['"&amp;Long_Data[[#This Row],[Indicator Number]]&amp;"'_DSev_4]"),MATCH(Long_Data[[#This Row],[Key]],Data_Entry[Key],0)),"NA")</f>
        <v>0</v>
      </c>
      <c r="P275">
        <f ca="1">IF(Long_Data[[#This Row],[Indicator Class]]="Degree",INDEX(INDIRECT("Data_Entry['"&amp;Long_Data[[#This Row],[Indicator Number]]&amp;"'_DSev_5]"),MATCH(Long_Data[[#This Row],[Key]],Data_Entry[Key],0)),"NA")</f>
        <v>0</v>
      </c>
      <c r="Q275" t="str">
        <f ca="1">IFERROR(IF(Long_Data[[#This Row],[Indicator Class]]="Magnitude", INDEX(INDIRECT("Data_Entry[Sev_"&amp;Long_Data[[#This Row],[Indicator Number]]&amp;"]"),MATCH(Long_Data[[#This Row],[Key]], Data_Entry[Key],0)),"NA"),"")</f>
        <v>NA</v>
      </c>
      <c r="R27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75" s="70">
        <f ca="1">IFERROR(IF(J275="Magnitude",INDEX(INDIRECT("Data_Entry[PIN_"&amp;Long_Data[[#This Row],[Indicator Number]]&amp;"]"),MATCH(Long_Data[[#This Row],[Key]],Data_Entry[Key],0)),SUM(N275:P275)*INDEX(Baseline_Pop[Population],MATCH(Long_Data[[#This Row],[Key]],Baseline_Pop[Key],0))),"")</f>
        <v>0</v>
      </c>
    </row>
    <row r="276" spans="2:19">
      <c r="B276">
        <v>275</v>
      </c>
      <c r="C276">
        <v>5</v>
      </c>
      <c r="D276" t="str">
        <f>IFERROR(INDEX(Data_Entry[ADM2_Pcode],MATCH('Step 4-Long Data'!C276,Data_Entry[ID],0)),"NA")</f>
        <v>AF05</v>
      </c>
      <c r="E276" t="str">
        <f>IFERROR(INDEX(Data_Entry[Key],MATCH('Step 4-Long Data'!C276,Data_Entry[ID],0)),"NA")</f>
        <v>AF05-All_Others</v>
      </c>
      <c r="F276">
        <v>10</v>
      </c>
      <c r="G276" t="str">
        <f>IFERROR(INDEX(Framework[Pillar],MATCH('Step 4-Long Data'!F276,Framework[Number],0)),"")</f>
        <v>Humanitarian Conditions</v>
      </c>
      <c r="H276" t="str">
        <f>IFERROR(INDEX(Framework[Sub_Pillar],MATCH('Step 4-Long Data'!F276,Framework[Number],0)),"")</f>
        <v>Living standards</v>
      </c>
      <c r="I276" t="str">
        <f>IFERROR(INDEX(Framework[Indicator],MATCH('Step 4-Long Data'!F276,Framework[Number],0)),"")</f>
        <v>% of HHs having access to a sufficient quality and quantity of water for drinking, cooking, bathing, washing or other domestic use</v>
      </c>
      <c r="J276" t="str">
        <f>IFERROR(INDEX(Framework[Class],MATCH('Step 4-Long Data'!F276,Framework[Number],0)),"")</f>
        <v>Degree</v>
      </c>
      <c r="K276" t="str">
        <f>IFERROR(INDEX(Framework[Critical],MATCH('Step 4-Long Data'!F276,Framework[Number],0)),"")</f>
        <v>No</v>
      </c>
      <c r="L276">
        <f ca="1">IF(Long_Data[[#This Row],[Indicator Class]]="Degree",INDEX(INDIRECT("Data_Entry['"&amp;Long_Data[[#This Row],[Indicator Number]]&amp;"'_DSev_1]"),MATCH(Long_Data[[#This Row],[Key]],Data_Entry[Key],0)),"NA")</f>
        <v>0</v>
      </c>
      <c r="M276">
        <f ca="1">IF(Long_Data[[#This Row],[Indicator Class]]="Degree",INDEX(INDIRECT("Data_Entry['"&amp;Long_Data[[#This Row],[Indicator Number]]&amp;"'_DSev_2]"),MATCH(Long_Data[[#This Row],[Key]],Data_Entry[Key],0)),"NA")</f>
        <v>0</v>
      </c>
      <c r="N276">
        <f ca="1">IF(Long_Data[[#This Row],[Indicator Class]]="Degree",INDEX(INDIRECT("Data_Entry['"&amp;Long_Data[[#This Row],[Indicator Number]]&amp;"'_DSev_3]"),MATCH(Long_Data[[#This Row],[Key]],Data_Entry[Key],0)),"NA")</f>
        <v>0</v>
      </c>
      <c r="O276">
        <f ca="1">IF(Long_Data[[#This Row],[Indicator Class]]="Degree",INDEX(INDIRECT("Data_Entry['"&amp;Long_Data[[#This Row],[Indicator Number]]&amp;"'_DSev_4]"),MATCH(Long_Data[[#This Row],[Key]],Data_Entry[Key],0)),"NA")</f>
        <v>0</v>
      </c>
      <c r="P276">
        <f ca="1">IF(Long_Data[[#This Row],[Indicator Class]]="Degree",INDEX(INDIRECT("Data_Entry['"&amp;Long_Data[[#This Row],[Indicator Number]]&amp;"'_DSev_5]"),MATCH(Long_Data[[#This Row],[Key]],Data_Entry[Key],0)),"NA")</f>
        <v>0</v>
      </c>
      <c r="Q276" t="str">
        <f ca="1">IFERROR(IF(Long_Data[[#This Row],[Indicator Class]]="Magnitude", INDEX(INDIRECT("Data_Entry[Sev_"&amp;Long_Data[[#This Row],[Indicator Number]]&amp;"]"),MATCH(Long_Data[[#This Row],[Key]], Data_Entry[Key],0)),"NA"),"")</f>
        <v>NA</v>
      </c>
      <c r="R27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76" s="70">
        <f ca="1">IFERROR(IF(J276="Magnitude",INDEX(INDIRECT("Data_Entry[PIN_"&amp;Long_Data[[#This Row],[Indicator Number]]&amp;"]"),MATCH(Long_Data[[#This Row],[Key]],Data_Entry[Key],0)),SUM(N276:P276)*INDEX(Baseline_Pop[Population],MATCH(Long_Data[[#This Row],[Key]],Baseline_Pop[Key],0))),"")</f>
        <v>0</v>
      </c>
    </row>
    <row r="277" spans="2:19">
      <c r="B277">
        <v>276</v>
      </c>
      <c r="C277">
        <v>6</v>
      </c>
      <c r="D277" t="str">
        <f>IFERROR(INDEX(Data_Entry[ADM2_Pcode],MATCH('Step 4-Long Data'!C277,Data_Entry[ID],0)),"NA")</f>
        <v>AF06</v>
      </c>
      <c r="E277" t="str">
        <f>IFERROR(INDEX(Data_Entry[Key],MATCH('Step 4-Long Data'!C277,Data_Entry[ID],0)),"NA")</f>
        <v>AF06-All_Others</v>
      </c>
      <c r="F277">
        <v>10</v>
      </c>
      <c r="G277" t="str">
        <f>IFERROR(INDEX(Framework[Pillar],MATCH('Step 4-Long Data'!F277,Framework[Number],0)),"")</f>
        <v>Humanitarian Conditions</v>
      </c>
      <c r="H277" t="str">
        <f>IFERROR(INDEX(Framework[Sub_Pillar],MATCH('Step 4-Long Data'!F277,Framework[Number],0)),"")</f>
        <v>Living standards</v>
      </c>
      <c r="I277" t="str">
        <f>IFERROR(INDEX(Framework[Indicator],MATCH('Step 4-Long Data'!F277,Framework[Number],0)),"")</f>
        <v>% of HHs having access to a sufficient quality and quantity of water for drinking, cooking, bathing, washing or other domestic use</v>
      </c>
      <c r="J277" t="str">
        <f>IFERROR(INDEX(Framework[Class],MATCH('Step 4-Long Data'!F277,Framework[Number],0)),"")</f>
        <v>Degree</v>
      </c>
      <c r="K277" t="str">
        <f>IFERROR(INDEX(Framework[Critical],MATCH('Step 4-Long Data'!F277,Framework[Number],0)),"")</f>
        <v>No</v>
      </c>
      <c r="L277">
        <f ca="1">IF(Long_Data[[#This Row],[Indicator Class]]="Degree",INDEX(INDIRECT("Data_Entry['"&amp;Long_Data[[#This Row],[Indicator Number]]&amp;"'_DSev_1]"),MATCH(Long_Data[[#This Row],[Key]],Data_Entry[Key],0)),"NA")</f>
        <v>0.35</v>
      </c>
      <c r="M277">
        <f ca="1">IF(Long_Data[[#This Row],[Indicator Class]]="Degree",INDEX(INDIRECT("Data_Entry['"&amp;Long_Data[[#This Row],[Indicator Number]]&amp;"'_DSev_2]"),MATCH(Long_Data[[#This Row],[Key]],Data_Entry[Key],0)),"NA")</f>
        <v>0</v>
      </c>
      <c r="N277">
        <f ca="1">IF(Long_Data[[#This Row],[Indicator Class]]="Degree",INDEX(INDIRECT("Data_Entry['"&amp;Long_Data[[#This Row],[Indicator Number]]&amp;"'_DSev_3]"),MATCH(Long_Data[[#This Row],[Key]],Data_Entry[Key],0)),"NA")</f>
        <v>0.28999999999999998</v>
      </c>
      <c r="O277">
        <f ca="1">IF(Long_Data[[#This Row],[Indicator Class]]="Degree",INDEX(INDIRECT("Data_Entry['"&amp;Long_Data[[#This Row],[Indicator Number]]&amp;"'_DSev_4]"),MATCH(Long_Data[[#This Row],[Key]],Data_Entry[Key],0)),"NA")</f>
        <v>0.36</v>
      </c>
      <c r="P277">
        <f ca="1">IF(Long_Data[[#This Row],[Indicator Class]]="Degree",INDEX(INDIRECT("Data_Entry['"&amp;Long_Data[[#This Row],[Indicator Number]]&amp;"'_DSev_5]"),MATCH(Long_Data[[#This Row],[Key]],Data_Entry[Key],0)),"NA")</f>
        <v>0</v>
      </c>
      <c r="Q277" t="str">
        <f ca="1">IFERROR(IF(Long_Data[[#This Row],[Indicator Class]]="Magnitude", INDEX(INDIRECT("Data_Entry[Sev_"&amp;Long_Data[[#This Row],[Indicator Number]]&amp;"]"),MATCH(Long_Data[[#This Row],[Key]], Data_Entry[Key],0)),"NA"),"")</f>
        <v>NA</v>
      </c>
      <c r="R27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277" s="70">
        <f ca="1">IFERROR(IF(J277="Magnitude",INDEX(INDIRECT("Data_Entry[PIN_"&amp;Long_Data[[#This Row],[Indicator Number]]&amp;"]"),MATCH(Long_Data[[#This Row],[Key]],Data_Entry[Key],0)),SUM(N277:P277)*INDEX(Baseline_Pop[Population],MATCH(Long_Data[[#This Row],[Key]],Baseline_Pop[Key],0))),"")</f>
        <v>996800.99999999988</v>
      </c>
    </row>
    <row r="278" spans="2:19">
      <c r="B278">
        <v>277</v>
      </c>
      <c r="C278">
        <v>7</v>
      </c>
      <c r="D278" t="str">
        <f>IFERROR(INDEX(Data_Entry[ADM2_Pcode],MATCH('Step 4-Long Data'!C278,Data_Entry[ID],0)),"NA")</f>
        <v>AF07</v>
      </c>
      <c r="E278" t="str">
        <f>IFERROR(INDEX(Data_Entry[Key],MATCH('Step 4-Long Data'!C278,Data_Entry[ID],0)),"NA")</f>
        <v>AF07-All_Others</v>
      </c>
      <c r="F278">
        <v>10</v>
      </c>
      <c r="G278" t="str">
        <f>IFERROR(INDEX(Framework[Pillar],MATCH('Step 4-Long Data'!F278,Framework[Number],0)),"")</f>
        <v>Humanitarian Conditions</v>
      </c>
      <c r="H278" t="str">
        <f>IFERROR(INDEX(Framework[Sub_Pillar],MATCH('Step 4-Long Data'!F278,Framework[Number],0)),"")</f>
        <v>Living standards</v>
      </c>
      <c r="I278" t="str">
        <f>IFERROR(INDEX(Framework[Indicator],MATCH('Step 4-Long Data'!F278,Framework[Number],0)),"")</f>
        <v>% of HHs having access to a sufficient quality and quantity of water for drinking, cooking, bathing, washing or other domestic use</v>
      </c>
      <c r="J278" t="str">
        <f>IFERROR(INDEX(Framework[Class],MATCH('Step 4-Long Data'!F278,Framework[Number],0)),"")</f>
        <v>Degree</v>
      </c>
      <c r="K278" t="str">
        <f>IFERROR(INDEX(Framework[Critical],MATCH('Step 4-Long Data'!F278,Framework[Number],0)),"")</f>
        <v>No</v>
      </c>
      <c r="L278">
        <f ca="1">IF(Long_Data[[#This Row],[Indicator Class]]="Degree",INDEX(INDIRECT("Data_Entry['"&amp;Long_Data[[#This Row],[Indicator Number]]&amp;"'_DSev_1]"),MATCH(Long_Data[[#This Row],[Key]],Data_Entry[Key],0)),"NA")</f>
        <v>0</v>
      </c>
      <c r="M278">
        <f ca="1">IF(Long_Data[[#This Row],[Indicator Class]]="Degree",INDEX(INDIRECT("Data_Entry['"&amp;Long_Data[[#This Row],[Indicator Number]]&amp;"'_DSev_2]"),MATCH(Long_Data[[#This Row],[Key]],Data_Entry[Key],0)),"NA")</f>
        <v>0</v>
      </c>
      <c r="N278">
        <f ca="1">IF(Long_Data[[#This Row],[Indicator Class]]="Degree",INDEX(INDIRECT("Data_Entry['"&amp;Long_Data[[#This Row],[Indicator Number]]&amp;"'_DSev_3]"),MATCH(Long_Data[[#This Row],[Key]],Data_Entry[Key],0)),"NA")</f>
        <v>0</v>
      </c>
      <c r="O278">
        <f ca="1">IF(Long_Data[[#This Row],[Indicator Class]]="Degree",INDEX(INDIRECT("Data_Entry['"&amp;Long_Data[[#This Row],[Indicator Number]]&amp;"'_DSev_4]"),MATCH(Long_Data[[#This Row],[Key]],Data_Entry[Key],0)),"NA")</f>
        <v>0</v>
      </c>
      <c r="P278">
        <f ca="1">IF(Long_Data[[#This Row],[Indicator Class]]="Degree",INDEX(INDIRECT("Data_Entry['"&amp;Long_Data[[#This Row],[Indicator Number]]&amp;"'_DSev_5]"),MATCH(Long_Data[[#This Row],[Key]],Data_Entry[Key],0)),"NA")</f>
        <v>0</v>
      </c>
      <c r="Q278" t="str">
        <f ca="1">IFERROR(IF(Long_Data[[#This Row],[Indicator Class]]="Magnitude", INDEX(INDIRECT("Data_Entry[Sev_"&amp;Long_Data[[#This Row],[Indicator Number]]&amp;"]"),MATCH(Long_Data[[#This Row],[Key]], Data_Entry[Key],0)),"NA"),"")</f>
        <v>NA</v>
      </c>
      <c r="R27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78" s="70">
        <f ca="1">IFERROR(IF(J278="Magnitude",INDEX(INDIRECT("Data_Entry[PIN_"&amp;Long_Data[[#This Row],[Indicator Number]]&amp;"]"),MATCH(Long_Data[[#This Row],[Key]],Data_Entry[Key],0)),SUM(N278:P278)*INDEX(Baseline_Pop[Population],MATCH(Long_Data[[#This Row],[Key]],Baseline_Pop[Key],0))),"")</f>
        <v>0</v>
      </c>
    </row>
    <row r="279" spans="2:19">
      <c r="B279">
        <v>278</v>
      </c>
      <c r="C279">
        <v>8</v>
      </c>
      <c r="D279" t="str">
        <f>IFERROR(INDEX(Data_Entry[ADM2_Pcode],MATCH('Step 4-Long Data'!C279,Data_Entry[ID],0)),"NA")</f>
        <v>AF08</v>
      </c>
      <c r="E279" t="str">
        <f>IFERROR(INDEX(Data_Entry[Key],MATCH('Step 4-Long Data'!C279,Data_Entry[ID],0)),"NA")</f>
        <v>AF08-All_Others</v>
      </c>
      <c r="F279">
        <v>10</v>
      </c>
      <c r="G279" t="str">
        <f>IFERROR(INDEX(Framework[Pillar],MATCH('Step 4-Long Data'!F279,Framework[Number],0)),"")</f>
        <v>Humanitarian Conditions</v>
      </c>
      <c r="H279" t="str">
        <f>IFERROR(INDEX(Framework[Sub_Pillar],MATCH('Step 4-Long Data'!F279,Framework[Number],0)),"")</f>
        <v>Living standards</v>
      </c>
      <c r="I279" t="str">
        <f>IFERROR(INDEX(Framework[Indicator],MATCH('Step 4-Long Data'!F279,Framework[Number],0)),"")</f>
        <v>% of HHs having access to a sufficient quality and quantity of water for drinking, cooking, bathing, washing or other domestic use</v>
      </c>
      <c r="J279" t="str">
        <f>IFERROR(INDEX(Framework[Class],MATCH('Step 4-Long Data'!F279,Framework[Number],0)),"")</f>
        <v>Degree</v>
      </c>
      <c r="K279" t="str">
        <f>IFERROR(INDEX(Framework[Critical],MATCH('Step 4-Long Data'!F279,Framework[Number],0)),"")</f>
        <v>No</v>
      </c>
      <c r="L279">
        <f ca="1">IF(Long_Data[[#This Row],[Indicator Class]]="Degree",INDEX(INDIRECT("Data_Entry['"&amp;Long_Data[[#This Row],[Indicator Number]]&amp;"'_DSev_1]"),MATCH(Long_Data[[#This Row],[Key]],Data_Entry[Key],0)),"NA")</f>
        <v>0</v>
      </c>
      <c r="M279">
        <f ca="1">IF(Long_Data[[#This Row],[Indicator Class]]="Degree",INDEX(INDIRECT("Data_Entry['"&amp;Long_Data[[#This Row],[Indicator Number]]&amp;"'_DSev_2]"),MATCH(Long_Data[[#This Row],[Key]],Data_Entry[Key],0)),"NA")</f>
        <v>0</v>
      </c>
      <c r="N279">
        <f ca="1">IF(Long_Data[[#This Row],[Indicator Class]]="Degree",INDEX(INDIRECT("Data_Entry['"&amp;Long_Data[[#This Row],[Indicator Number]]&amp;"'_DSev_3]"),MATCH(Long_Data[[#This Row],[Key]],Data_Entry[Key],0)),"NA")</f>
        <v>0</v>
      </c>
      <c r="O279">
        <f ca="1">IF(Long_Data[[#This Row],[Indicator Class]]="Degree",INDEX(INDIRECT("Data_Entry['"&amp;Long_Data[[#This Row],[Indicator Number]]&amp;"'_DSev_4]"),MATCH(Long_Data[[#This Row],[Key]],Data_Entry[Key],0)),"NA")</f>
        <v>0</v>
      </c>
      <c r="P279">
        <f ca="1">IF(Long_Data[[#This Row],[Indicator Class]]="Degree",INDEX(INDIRECT("Data_Entry['"&amp;Long_Data[[#This Row],[Indicator Number]]&amp;"'_DSev_5]"),MATCH(Long_Data[[#This Row],[Key]],Data_Entry[Key],0)),"NA")</f>
        <v>0</v>
      </c>
      <c r="Q279" t="str">
        <f ca="1">IFERROR(IF(Long_Data[[#This Row],[Indicator Class]]="Magnitude", INDEX(INDIRECT("Data_Entry[Sev_"&amp;Long_Data[[#This Row],[Indicator Number]]&amp;"]"),MATCH(Long_Data[[#This Row],[Key]], Data_Entry[Key],0)),"NA"),"")</f>
        <v>NA</v>
      </c>
      <c r="R27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79" s="70">
        <f ca="1">IFERROR(IF(J279="Magnitude",INDEX(INDIRECT("Data_Entry[PIN_"&amp;Long_Data[[#This Row],[Indicator Number]]&amp;"]"),MATCH(Long_Data[[#This Row],[Key]],Data_Entry[Key],0)),SUM(N279:P279)*INDEX(Baseline_Pop[Population],MATCH(Long_Data[[#This Row],[Key]],Baseline_Pop[Key],0))),"")</f>
        <v>0</v>
      </c>
    </row>
    <row r="280" spans="2:19">
      <c r="B280">
        <v>279</v>
      </c>
      <c r="C280">
        <v>9</v>
      </c>
      <c r="D280" t="str">
        <f>IFERROR(INDEX(Data_Entry[ADM2_Pcode],MATCH('Step 4-Long Data'!C280,Data_Entry[ID],0)),"NA")</f>
        <v>AF09</v>
      </c>
      <c r="E280" t="str">
        <f>IFERROR(INDEX(Data_Entry[Key],MATCH('Step 4-Long Data'!C280,Data_Entry[ID],0)),"NA")</f>
        <v>AF09-All_Others</v>
      </c>
      <c r="F280">
        <v>10</v>
      </c>
      <c r="G280" t="str">
        <f>IFERROR(INDEX(Framework[Pillar],MATCH('Step 4-Long Data'!F280,Framework[Number],0)),"")</f>
        <v>Humanitarian Conditions</v>
      </c>
      <c r="H280" t="str">
        <f>IFERROR(INDEX(Framework[Sub_Pillar],MATCH('Step 4-Long Data'!F280,Framework[Number],0)),"")</f>
        <v>Living standards</v>
      </c>
      <c r="I280" t="str">
        <f>IFERROR(INDEX(Framework[Indicator],MATCH('Step 4-Long Data'!F280,Framework[Number],0)),"")</f>
        <v>% of HHs having access to a sufficient quality and quantity of water for drinking, cooking, bathing, washing or other domestic use</v>
      </c>
      <c r="J280" t="str">
        <f>IFERROR(INDEX(Framework[Class],MATCH('Step 4-Long Data'!F280,Framework[Number],0)),"")</f>
        <v>Degree</v>
      </c>
      <c r="K280" t="str">
        <f>IFERROR(INDEX(Framework[Critical],MATCH('Step 4-Long Data'!F280,Framework[Number],0)),"")</f>
        <v>No</v>
      </c>
      <c r="L280">
        <f ca="1">IF(Long_Data[[#This Row],[Indicator Class]]="Degree",INDEX(INDIRECT("Data_Entry['"&amp;Long_Data[[#This Row],[Indicator Number]]&amp;"'_DSev_1]"),MATCH(Long_Data[[#This Row],[Key]],Data_Entry[Key],0)),"NA")</f>
        <v>0.41</v>
      </c>
      <c r="M280">
        <f ca="1">IF(Long_Data[[#This Row],[Indicator Class]]="Degree",INDEX(INDIRECT("Data_Entry['"&amp;Long_Data[[#This Row],[Indicator Number]]&amp;"'_DSev_2]"),MATCH(Long_Data[[#This Row],[Key]],Data_Entry[Key],0)),"NA")</f>
        <v>0</v>
      </c>
      <c r="N280">
        <f ca="1">IF(Long_Data[[#This Row],[Indicator Class]]="Degree",INDEX(INDIRECT("Data_Entry['"&amp;Long_Data[[#This Row],[Indicator Number]]&amp;"'_DSev_3]"),MATCH(Long_Data[[#This Row],[Key]],Data_Entry[Key],0)),"NA")</f>
        <v>0.45</v>
      </c>
      <c r="O280">
        <f ca="1">IF(Long_Data[[#This Row],[Indicator Class]]="Degree",INDEX(INDIRECT("Data_Entry['"&amp;Long_Data[[#This Row],[Indicator Number]]&amp;"'_DSev_4]"),MATCH(Long_Data[[#This Row],[Key]],Data_Entry[Key],0)),"NA")</f>
        <v>0.14000000000000001</v>
      </c>
      <c r="P280">
        <f ca="1">IF(Long_Data[[#This Row],[Indicator Class]]="Degree",INDEX(INDIRECT("Data_Entry['"&amp;Long_Data[[#This Row],[Indicator Number]]&amp;"'_DSev_5]"),MATCH(Long_Data[[#This Row],[Key]],Data_Entry[Key],0)),"NA")</f>
        <v>0</v>
      </c>
      <c r="Q280" t="str">
        <f ca="1">IFERROR(IF(Long_Data[[#This Row],[Indicator Class]]="Magnitude", INDEX(INDIRECT("Data_Entry[Sev_"&amp;Long_Data[[#This Row],[Indicator Number]]&amp;"]"),MATCH(Long_Data[[#This Row],[Key]], Data_Entry[Key],0)),"NA"),"")</f>
        <v>NA</v>
      </c>
      <c r="R28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80" s="70">
        <f ca="1">IFERROR(IF(J280="Magnitude",INDEX(INDIRECT("Data_Entry[PIN_"&amp;Long_Data[[#This Row],[Indicator Number]]&amp;"]"),MATCH(Long_Data[[#This Row],[Key]],Data_Entry[Key],0)),SUM(N280:P280)*INDEX(Baseline_Pop[Population],MATCH(Long_Data[[#This Row],[Key]],Baseline_Pop[Key],0))),"")</f>
        <v>539478.30000000005</v>
      </c>
    </row>
    <row r="281" spans="2:19">
      <c r="B281">
        <v>280</v>
      </c>
      <c r="C281">
        <v>10</v>
      </c>
      <c r="D281" t="str">
        <f>IFERROR(INDEX(Data_Entry[ADM2_Pcode],MATCH('Step 4-Long Data'!C281,Data_Entry[ID],0)),"NA")</f>
        <v>AF10</v>
      </c>
      <c r="E281" t="str">
        <f>IFERROR(INDEX(Data_Entry[Key],MATCH('Step 4-Long Data'!C281,Data_Entry[ID],0)),"NA")</f>
        <v>AF10-All_Others</v>
      </c>
      <c r="F281">
        <v>10</v>
      </c>
      <c r="G281" t="str">
        <f>IFERROR(INDEX(Framework[Pillar],MATCH('Step 4-Long Data'!F281,Framework[Number],0)),"")</f>
        <v>Humanitarian Conditions</v>
      </c>
      <c r="H281" t="str">
        <f>IFERROR(INDEX(Framework[Sub_Pillar],MATCH('Step 4-Long Data'!F281,Framework[Number],0)),"")</f>
        <v>Living standards</v>
      </c>
      <c r="I281" t="str">
        <f>IFERROR(INDEX(Framework[Indicator],MATCH('Step 4-Long Data'!F281,Framework[Number],0)),"")</f>
        <v>% of HHs having access to a sufficient quality and quantity of water for drinking, cooking, bathing, washing or other domestic use</v>
      </c>
      <c r="J281" t="str">
        <f>IFERROR(INDEX(Framework[Class],MATCH('Step 4-Long Data'!F281,Framework[Number],0)),"")</f>
        <v>Degree</v>
      </c>
      <c r="K281" t="str">
        <f>IFERROR(INDEX(Framework[Critical],MATCH('Step 4-Long Data'!F281,Framework[Number],0)),"")</f>
        <v>No</v>
      </c>
      <c r="L281">
        <f ca="1">IF(Long_Data[[#This Row],[Indicator Class]]="Degree",INDEX(INDIRECT("Data_Entry['"&amp;Long_Data[[#This Row],[Indicator Number]]&amp;"'_DSev_1]"),MATCH(Long_Data[[#This Row],[Key]],Data_Entry[Key],0)),"NA")</f>
        <v>0</v>
      </c>
      <c r="M281">
        <f ca="1">IF(Long_Data[[#This Row],[Indicator Class]]="Degree",INDEX(INDIRECT("Data_Entry['"&amp;Long_Data[[#This Row],[Indicator Number]]&amp;"'_DSev_2]"),MATCH(Long_Data[[#This Row],[Key]],Data_Entry[Key],0)),"NA")</f>
        <v>0</v>
      </c>
      <c r="N281">
        <f ca="1">IF(Long_Data[[#This Row],[Indicator Class]]="Degree",INDEX(INDIRECT("Data_Entry['"&amp;Long_Data[[#This Row],[Indicator Number]]&amp;"'_DSev_3]"),MATCH(Long_Data[[#This Row],[Key]],Data_Entry[Key],0)),"NA")</f>
        <v>0</v>
      </c>
      <c r="O281">
        <f ca="1">IF(Long_Data[[#This Row],[Indicator Class]]="Degree",INDEX(INDIRECT("Data_Entry['"&amp;Long_Data[[#This Row],[Indicator Number]]&amp;"'_DSev_4]"),MATCH(Long_Data[[#This Row],[Key]],Data_Entry[Key],0)),"NA")</f>
        <v>0</v>
      </c>
      <c r="P281">
        <f ca="1">IF(Long_Data[[#This Row],[Indicator Class]]="Degree",INDEX(INDIRECT("Data_Entry['"&amp;Long_Data[[#This Row],[Indicator Number]]&amp;"'_DSev_5]"),MATCH(Long_Data[[#This Row],[Key]],Data_Entry[Key],0)),"NA")</f>
        <v>0</v>
      </c>
      <c r="Q281" t="str">
        <f ca="1">IFERROR(IF(Long_Data[[#This Row],[Indicator Class]]="Magnitude", INDEX(INDIRECT("Data_Entry[Sev_"&amp;Long_Data[[#This Row],[Indicator Number]]&amp;"]"),MATCH(Long_Data[[#This Row],[Key]], Data_Entry[Key],0)),"NA"),"")</f>
        <v>NA</v>
      </c>
      <c r="R28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1" s="70">
        <f ca="1">IFERROR(IF(J281="Magnitude",INDEX(INDIRECT("Data_Entry[PIN_"&amp;Long_Data[[#This Row],[Indicator Number]]&amp;"]"),MATCH(Long_Data[[#This Row],[Key]],Data_Entry[Key],0)),SUM(N281:P281)*INDEX(Baseline_Pop[Population],MATCH(Long_Data[[#This Row],[Key]],Baseline_Pop[Key],0))),"")</f>
        <v>0</v>
      </c>
    </row>
    <row r="282" spans="2:19">
      <c r="B282">
        <v>281</v>
      </c>
      <c r="C282">
        <v>11</v>
      </c>
      <c r="D282" t="str">
        <f>IFERROR(INDEX(Data_Entry[ADM2_Pcode],MATCH('Step 4-Long Data'!C282,Data_Entry[ID],0)),"NA")</f>
        <v>AF01</v>
      </c>
      <c r="E282" t="str">
        <f>IFERROR(INDEX(Data_Entry[Key],MATCH('Step 4-Long Data'!C282,Data_Entry[ID],0)),"NA")</f>
        <v>AF01-Non_Displaced</v>
      </c>
      <c r="F282">
        <v>10</v>
      </c>
      <c r="G282" t="str">
        <f>IFERROR(INDEX(Framework[Pillar],MATCH('Step 4-Long Data'!F282,Framework[Number],0)),"")</f>
        <v>Humanitarian Conditions</v>
      </c>
      <c r="H282" t="str">
        <f>IFERROR(INDEX(Framework[Sub_Pillar],MATCH('Step 4-Long Data'!F282,Framework[Number],0)),"")</f>
        <v>Living standards</v>
      </c>
      <c r="I282" t="str">
        <f>IFERROR(INDEX(Framework[Indicator],MATCH('Step 4-Long Data'!F282,Framework[Number],0)),"")</f>
        <v>% of HHs having access to a sufficient quality and quantity of water for drinking, cooking, bathing, washing or other domestic use</v>
      </c>
      <c r="J282" t="str">
        <f>IFERROR(INDEX(Framework[Class],MATCH('Step 4-Long Data'!F282,Framework[Number],0)),"")</f>
        <v>Degree</v>
      </c>
      <c r="K282" t="str">
        <f>IFERROR(INDEX(Framework[Critical],MATCH('Step 4-Long Data'!F282,Framework[Number],0)),"")</f>
        <v>No</v>
      </c>
      <c r="L282">
        <f ca="1">IF(Long_Data[[#This Row],[Indicator Class]]="Degree",INDEX(INDIRECT("Data_Entry['"&amp;Long_Data[[#This Row],[Indicator Number]]&amp;"'_DSev_1]"),MATCH(Long_Data[[#This Row],[Key]],Data_Entry[Key],0)),"NA")</f>
        <v>0.22</v>
      </c>
      <c r="M282">
        <f ca="1">IF(Long_Data[[#This Row],[Indicator Class]]="Degree",INDEX(INDIRECT("Data_Entry['"&amp;Long_Data[[#This Row],[Indicator Number]]&amp;"'_DSev_2]"),MATCH(Long_Data[[#This Row],[Key]],Data_Entry[Key],0)),"NA")</f>
        <v>0</v>
      </c>
      <c r="N282">
        <f ca="1">IF(Long_Data[[#This Row],[Indicator Class]]="Degree",INDEX(INDIRECT("Data_Entry['"&amp;Long_Data[[#This Row],[Indicator Number]]&amp;"'_DSev_3]"),MATCH(Long_Data[[#This Row],[Key]],Data_Entry[Key],0)),"NA")</f>
        <v>0.47</v>
      </c>
      <c r="O282">
        <f ca="1">IF(Long_Data[[#This Row],[Indicator Class]]="Degree",INDEX(INDIRECT("Data_Entry['"&amp;Long_Data[[#This Row],[Indicator Number]]&amp;"'_DSev_4]"),MATCH(Long_Data[[#This Row],[Key]],Data_Entry[Key],0)),"NA")</f>
        <v>0.31</v>
      </c>
      <c r="P282">
        <f ca="1">IF(Long_Data[[#This Row],[Indicator Class]]="Degree",INDEX(INDIRECT("Data_Entry['"&amp;Long_Data[[#This Row],[Indicator Number]]&amp;"'_DSev_5]"),MATCH(Long_Data[[#This Row],[Key]],Data_Entry[Key],0)),"NA")</f>
        <v>0</v>
      </c>
      <c r="Q282" t="str">
        <f ca="1">IFERROR(IF(Long_Data[[#This Row],[Indicator Class]]="Magnitude", INDEX(INDIRECT("Data_Entry[Sev_"&amp;Long_Data[[#This Row],[Indicator Number]]&amp;"]"),MATCH(Long_Data[[#This Row],[Key]], Data_Entry[Key],0)),"NA"),"")</f>
        <v>NA</v>
      </c>
      <c r="R28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282" s="70">
        <f ca="1">IFERROR(IF(J282="Magnitude",INDEX(INDIRECT("Data_Entry[PIN_"&amp;Long_Data[[#This Row],[Indicator Number]]&amp;"]"),MATCH(Long_Data[[#This Row],[Key]],Data_Entry[Key],0)),SUM(N282:P282)*INDEX(Baseline_Pop[Population],MATCH(Long_Data[[#This Row],[Key]],Baseline_Pop[Key],0))),"")</f>
        <v>522640.56</v>
      </c>
    </row>
    <row r="283" spans="2:19">
      <c r="B283">
        <v>282</v>
      </c>
      <c r="C283">
        <v>12</v>
      </c>
      <c r="D283" t="str">
        <f>IFERROR(INDEX(Data_Entry[ADM2_Pcode],MATCH('Step 4-Long Data'!C283,Data_Entry[ID],0)),"NA")</f>
        <v>AF02</v>
      </c>
      <c r="E283" t="str">
        <f>IFERROR(INDEX(Data_Entry[Key],MATCH('Step 4-Long Data'!C283,Data_Entry[ID],0)),"NA")</f>
        <v>AF02-Non_Displaced</v>
      </c>
      <c r="F283">
        <v>10</v>
      </c>
      <c r="G283" t="str">
        <f>IFERROR(INDEX(Framework[Pillar],MATCH('Step 4-Long Data'!F283,Framework[Number],0)),"")</f>
        <v>Humanitarian Conditions</v>
      </c>
      <c r="H283" t="str">
        <f>IFERROR(INDEX(Framework[Sub_Pillar],MATCH('Step 4-Long Data'!F283,Framework[Number],0)),"")</f>
        <v>Living standards</v>
      </c>
      <c r="I283" t="str">
        <f>IFERROR(INDEX(Framework[Indicator],MATCH('Step 4-Long Data'!F283,Framework[Number],0)),"")</f>
        <v>% of HHs having access to a sufficient quality and quantity of water for drinking, cooking, bathing, washing or other domestic use</v>
      </c>
      <c r="J283" t="str">
        <f>IFERROR(INDEX(Framework[Class],MATCH('Step 4-Long Data'!F283,Framework[Number],0)),"")</f>
        <v>Degree</v>
      </c>
      <c r="K283" t="str">
        <f>IFERROR(INDEX(Framework[Critical],MATCH('Step 4-Long Data'!F283,Framework[Number],0)),"")</f>
        <v>No</v>
      </c>
      <c r="L283">
        <f ca="1">IF(Long_Data[[#This Row],[Indicator Class]]="Degree",INDEX(INDIRECT("Data_Entry['"&amp;Long_Data[[#This Row],[Indicator Number]]&amp;"'_DSev_1]"),MATCH(Long_Data[[#This Row],[Key]],Data_Entry[Key],0)),"NA")</f>
        <v>0</v>
      </c>
      <c r="M283">
        <f ca="1">IF(Long_Data[[#This Row],[Indicator Class]]="Degree",INDEX(INDIRECT("Data_Entry['"&amp;Long_Data[[#This Row],[Indicator Number]]&amp;"'_DSev_2]"),MATCH(Long_Data[[#This Row],[Key]],Data_Entry[Key],0)),"NA")</f>
        <v>0</v>
      </c>
      <c r="N283">
        <f ca="1">IF(Long_Data[[#This Row],[Indicator Class]]="Degree",INDEX(INDIRECT("Data_Entry['"&amp;Long_Data[[#This Row],[Indicator Number]]&amp;"'_DSev_3]"),MATCH(Long_Data[[#This Row],[Key]],Data_Entry[Key],0)),"NA")</f>
        <v>0</v>
      </c>
      <c r="O283">
        <f ca="1">IF(Long_Data[[#This Row],[Indicator Class]]="Degree",INDEX(INDIRECT("Data_Entry['"&amp;Long_Data[[#This Row],[Indicator Number]]&amp;"'_DSev_4]"),MATCH(Long_Data[[#This Row],[Key]],Data_Entry[Key],0)),"NA")</f>
        <v>0</v>
      </c>
      <c r="P283">
        <f ca="1">IF(Long_Data[[#This Row],[Indicator Class]]="Degree",INDEX(INDIRECT("Data_Entry['"&amp;Long_Data[[#This Row],[Indicator Number]]&amp;"'_DSev_5]"),MATCH(Long_Data[[#This Row],[Key]],Data_Entry[Key],0)),"NA")</f>
        <v>0</v>
      </c>
      <c r="Q283" t="str">
        <f ca="1">IFERROR(IF(Long_Data[[#This Row],[Indicator Class]]="Magnitude", INDEX(INDIRECT("Data_Entry[Sev_"&amp;Long_Data[[#This Row],[Indicator Number]]&amp;"]"),MATCH(Long_Data[[#This Row],[Key]], Data_Entry[Key],0)),"NA"),"")</f>
        <v>NA</v>
      </c>
      <c r="R28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3" s="70">
        <f ca="1">IFERROR(IF(J283="Magnitude",INDEX(INDIRECT("Data_Entry[PIN_"&amp;Long_Data[[#This Row],[Indicator Number]]&amp;"]"),MATCH(Long_Data[[#This Row],[Key]],Data_Entry[Key],0)),SUM(N283:P283)*INDEX(Baseline_Pop[Population],MATCH(Long_Data[[#This Row],[Key]],Baseline_Pop[Key],0))),"")</f>
        <v>0</v>
      </c>
    </row>
    <row r="284" spans="2:19">
      <c r="B284">
        <v>283</v>
      </c>
      <c r="C284">
        <v>13</v>
      </c>
      <c r="D284" t="str">
        <f>IFERROR(INDEX(Data_Entry[ADM2_Pcode],MATCH('Step 4-Long Data'!C284,Data_Entry[ID],0)),"NA")</f>
        <v>AF03</v>
      </c>
      <c r="E284" t="str">
        <f>IFERROR(INDEX(Data_Entry[Key],MATCH('Step 4-Long Data'!C284,Data_Entry[ID],0)),"NA")</f>
        <v>AF03-Non_Displaced</v>
      </c>
      <c r="F284">
        <v>10</v>
      </c>
      <c r="G284" t="str">
        <f>IFERROR(INDEX(Framework[Pillar],MATCH('Step 4-Long Data'!F284,Framework[Number],0)),"")</f>
        <v>Humanitarian Conditions</v>
      </c>
      <c r="H284" t="str">
        <f>IFERROR(INDEX(Framework[Sub_Pillar],MATCH('Step 4-Long Data'!F284,Framework[Number],0)),"")</f>
        <v>Living standards</v>
      </c>
      <c r="I284" t="str">
        <f>IFERROR(INDEX(Framework[Indicator],MATCH('Step 4-Long Data'!F284,Framework[Number],0)),"")</f>
        <v>% of HHs having access to a sufficient quality and quantity of water for drinking, cooking, bathing, washing or other domestic use</v>
      </c>
      <c r="J284" t="str">
        <f>IFERROR(INDEX(Framework[Class],MATCH('Step 4-Long Data'!F284,Framework[Number],0)),"")</f>
        <v>Degree</v>
      </c>
      <c r="K284" t="str">
        <f>IFERROR(INDEX(Framework[Critical],MATCH('Step 4-Long Data'!F284,Framework[Number],0)),"")</f>
        <v>No</v>
      </c>
      <c r="L284">
        <f ca="1">IF(Long_Data[[#This Row],[Indicator Class]]="Degree",INDEX(INDIRECT("Data_Entry['"&amp;Long_Data[[#This Row],[Indicator Number]]&amp;"'_DSev_1]"),MATCH(Long_Data[[#This Row],[Key]],Data_Entry[Key],0)),"NA")</f>
        <v>0.82</v>
      </c>
      <c r="M284">
        <f ca="1">IF(Long_Data[[#This Row],[Indicator Class]]="Degree",INDEX(INDIRECT("Data_Entry['"&amp;Long_Data[[#This Row],[Indicator Number]]&amp;"'_DSev_2]"),MATCH(Long_Data[[#This Row],[Key]],Data_Entry[Key],0)),"NA")</f>
        <v>0</v>
      </c>
      <c r="N284">
        <f ca="1">IF(Long_Data[[#This Row],[Indicator Class]]="Degree",INDEX(INDIRECT("Data_Entry['"&amp;Long_Data[[#This Row],[Indicator Number]]&amp;"'_DSev_3]"),MATCH(Long_Data[[#This Row],[Key]],Data_Entry[Key],0)),"NA")</f>
        <v>0.18</v>
      </c>
      <c r="O284">
        <f ca="1">IF(Long_Data[[#This Row],[Indicator Class]]="Degree",INDEX(INDIRECT("Data_Entry['"&amp;Long_Data[[#This Row],[Indicator Number]]&amp;"'_DSev_4]"),MATCH(Long_Data[[#This Row],[Key]],Data_Entry[Key],0)),"NA")</f>
        <v>0</v>
      </c>
      <c r="P284">
        <f ca="1">IF(Long_Data[[#This Row],[Indicator Class]]="Degree",INDEX(INDIRECT("Data_Entry['"&amp;Long_Data[[#This Row],[Indicator Number]]&amp;"'_DSev_5]"),MATCH(Long_Data[[#This Row],[Key]],Data_Entry[Key],0)),"NA")</f>
        <v>0</v>
      </c>
      <c r="Q284" t="str">
        <f ca="1">IFERROR(IF(Long_Data[[#This Row],[Indicator Class]]="Magnitude", INDEX(INDIRECT("Data_Entry[Sev_"&amp;Long_Data[[#This Row],[Indicator Number]]&amp;"]"),MATCH(Long_Data[[#This Row],[Key]], Data_Entry[Key],0)),"NA"),"")</f>
        <v>NA</v>
      </c>
      <c r="R28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4" s="70">
        <f ca="1">IFERROR(IF(J284="Magnitude",INDEX(INDIRECT("Data_Entry[PIN_"&amp;Long_Data[[#This Row],[Indicator Number]]&amp;"]"),MATCH(Long_Data[[#This Row],[Key]],Data_Entry[Key],0)),SUM(N284:P284)*INDEX(Baseline_Pop[Population],MATCH(Long_Data[[#This Row],[Key]],Baseline_Pop[Key],0))),"")</f>
        <v>17094.96</v>
      </c>
    </row>
    <row r="285" spans="2:19">
      <c r="B285">
        <v>284</v>
      </c>
      <c r="C285">
        <v>14</v>
      </c>
      <c r="D285" t="str">
        <f>IFERROR(INDEX(Data_Entry[ADM2_Pcode],MATCH('Step 4-Long Data'!C285,Data_Entry[ID],0)),"NA")</f>
        <v>AF04</v>
      </c>
      <c r="E285" t="str">
        <f>IFERROR(INDEX(Data_Entry[Key],MATCH('Step 4-Long Data'!C285,Data_Entry[ID],0)),"NA")</f>
        <v>AF04-Non_Displaced</v>
      </c>
      <c r="F285">
        <v>10</v>
      </c>
      <c r="G285" t="str">
        <f>IFERROR(INDEX(Framework[Pillar],MATCH('Step 4-Long Data'!F285,Framework[Number],0)),"")</f>
        <v>Humanitarian Conditions</v>
      </c>
      <c r="H285" t="str">
        <f>IFERROR(INDEX(Framework[Sub_Pillar],MATCH('Step 4-Long Data'!F285,Framework[Number],0)),"")</f>
        <v>Living standards</v>
      </c>
      <c r="I285" t="str">
        <f>IFERROR(INDEX(Framework[Indicator],MATCH('Step 4-Long Data'!F285,Framework[Number],0)),"")</f>
        <v>% of HHs having access to a sufficient quality and quantity of water for drinking, cooking, bathing, washing or other domestic use</v>
      </c>
      <c r="J285" t="str">
        <f>IFERROR(INDEX(Framework[Class],MATCH('Step 4-Long Data'!F285,Framework[Number],0)),"")</f>
        <v>Degree</v>
      </c>
      <c r="K285" t="str">
        <f>IFERROR(INDEX(Framework[Critical],MATCH('Step 4-Long Data'!F285,Framework[Number],0)),"")</f>
        <v>No</v>
      </c>
      <c r="L285">
        <f ca="1">IF(Long_Data[[#This Row],[Indicator Class]]="Degree",INDEX(INDIRECT("Data_Entry['"&amp;Long_Data[[#This Row],[Indicator Number]]&amp;"'_DSev_1]"),MATCH(Long_Data[[#This Row],[Key]],Data_Entry[Key],0)),"NA")</f>
        <v>0</v>
      </c>
      <c r="M285">
        <f ca="1">IF(Long_Data[[#This Row],[Indicator Class]]="Degree",INDEX(INDIRECT("Data_Entry['"&amp;Long_Data[[#This Row],[Indicator Number]]&amp;"'_DSev_2]"),MATCH(Long_Data[[#This Row],[Key]],Data_Entry[Key],0)),"NA")</f>
        <v>0</v>
      </c>
      <c r="N285">
        <f ca="1">IF(Long_Data[[#This Row],[Indicator Class]]="Degree",INDEX(INDIRECT("Data_Entry['"&amp;Long_Data[[#This Row],[Indicator Number]]&amp;"'_DSev_3]"),MATCH(Long_Data[[#This Row],[Key]],Data_Entry[Key],0)),"NA")</f>
        <v>0</v>
      </c>
      <c r="O285">
        <f ca="1">IF(Long_Data[[#This Row],[Indicator Class]]="Degree",INDEX(INDIRECT("Data_Entry['"&amp;Long_Data[[#This Row],[Indicator Number]]&amp;"'_DSev_4]"),MATCH(Long_Data[[#This Row],[Key]],Data_Entry[Key],0)),"NA")</f>
        <v>0</v>
      </c>
      <c r="P285">
        <f ca="1">IF(Long_Data[[#This Row],[Indicator Class]]="Degree",INDEX(INDIRECT("Data_Entry['"&amp;Long_Data[[#This Row],[Indicator Number]]&amp;"'_DSev_5]"),MATCH(Long_Data[[#This Row],[Key]],Data_Entry[Key],0)),"NA")</f>
        <v>0</v>
      </c>
      <c r="Q285" t="str">
        <f ca="1">IFERROR(IF(Long_Data[[#This Row],[Indicator Class]]="Magnitude", INDEX(INDIRECT("Data_Entry[Sev_"&amp;Long_Data[[#This Row],[Indicator Number]]&amp;"]"),MATCH(Long_Data[[#This Row],[Key]], Data_Entry[Key],0)),"NA"),"")</f>
        <v>NA</v>
      </c>
      <c r="R28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5" s="70">
        <f ca="1">IFERROR(IF(J285="Magnitude",INDEX(INDIRECT("Data_Entry[PIN_"&amp;Long_Data[[#This Row],[Indicator Number]]&amp;"]"),MATCH(Long_Data[[#This Row],[Key]],Data_Entry[Key],0)),SUM(N285:P285)*INDEX(Baseline_Pop[Population],MATCH(Long_Data[[#This Row],[Key]],Baseline_Pop[Key],0))),"")</f>
        <v>0</v>
      </c>
    </row>
    <row r="286" spans="2:19">
      <c r="B286">
        <v>285</v>
      </c>
      <c r="C286">
        <v>15</v>
      </c>
      <c r="D286" t="str">
        <f>IFERROR(INDEX(Data_Entry[ADM2_Pcode],MATCH('Step 4-Long Data'!C286,Data_Entry[ID],0)),"NA")</f>
        <v>AF05</v>
      </c>
      <c r="E286" t="str">
        <f>IFERROR(INDEX(Data_Entry[Key],MATCH('Step 4-Long Data'!C286,Data_Entry[ID],0)),"NA")</f>
        <v>AF05-Non_Displaced</v>
      </c>
      <c r="F286">
        <v>10</v>
      </c>
      <c r="G286" t="str">
        <f>IFERROR(INDEX(Framework[Pillar],MATCH('Step 4-Long Data'!F286,Framework[Number],0)),"")</f>
        <v>Humanitarian Conditions</v>
      </c>
      <c r="H286" t="str">
        <f>IFERROR(INDEX(Framework[Sub_Pillar],MATCH('Step 4-Long Data'!F286,Framework[Number],0)),"")</f>
        <v>Living standards</v>
      </c>
      <c r="I286" t="str">
        <f>IFERROR(INDEX(Framework[Indicator],MATCH('Step 4-Long Data'!F286,Framework[Number],0)),"")</f>
        <v>% of HHs having access to a sufficient quality and quantity of water for drinking, cooking, bathing, washing or other domestic use</v>
      </c>
      <c r="J286" t="str">
        <f>IFERROR(INDEX(Framework[Class],MATCH('Step 4-Long Data'!F286,Framework[Number],0)),"")</f>
        <v>Degree</v>
      </c>
      <c r="K286" t="str">
        <f>IFERROR(INDEX(Framework[Critical],MATCH('Step 4-Long Data'!F286,Framework[Number],0)),"")</f>
        <v>No</v>
      </c>
      <c r="L286">
        <f ca="1">IF(Long_Data[[#This Row],[Indicator Class]]="Degree",INDEX(INDIRECT("Data_Entry['"&amp;Long_Data[[#This Row],[Indicator Number]]&amp;"'_DSev_1]"),MATCH(Long_Data[[#This Row],[Key]],Data_Entry[Key],0)),"NA")</f>
        <v>0</v>
      </c>
      <c r="M286">
        <f ca="1">IF(Long_Data[[#This Row],[Indicator Class]]="Degree",INDEX(INDIRECT("Data_Entry['"&amp;Long_Data[[#This Row],[Indicator Number]]&amp;"'_DSev_2]"),MATCH(Long_Data[[#This Row],[Key]],Data_Entry[Key],0)),"NA")</f>
        <v>0</v>
      </c>
      <c r="N286">
        <f ca="1">IF(Long_Data[[#This Row],[Indicator Class]]="Degree",INDEX(INDIRECT("Data_Entry['"&amp;Long_Data[[#This Row],[Indicator Number]]&amp;"'_DSev_3]"),MATCH(Long_Data[[#This Row],[Key]],Data_Entry[Key],0)),"NA")</f>
        <v>0</v>
      </c>
      <c r="O286">
        <f ca="1">IF(Long_Data[[#This Row],[Indicator Class]]="Degree",INDEX(INDIRECT("Data_Entry['"&amp;Long_Data[[#This Row],[Indicator Number]]&amp;"'_DSev_4]"),MATCH(Long_Data[[#This Row],[Key]],Data_Entry[Key],0)),"NA")</f>
        <v>0</v>
      </c>
      <c r="P286">
        <f ca="1">IF(Long_Data[[#This Row],[Indicator Class]]="Degree",INDEX(INDIRECT("Data_Entry['"&amp;Long_Data[[#This Row],[Indicator Number]]&amp;"'_DSev_5]"),MATCH(Long_Data[[#This Row],[Key]],Data_Entry[Key],0)),"NA")</f>
        <v>0</v>
      </c>
      <c r="Q286" t="str">
        <f ca="1">IFERROR(IF(Long_Data[[#This Row],[Indicator Class]]="Magnitude", INDEX(INDIRECT("Data_Entry[Sev_"&amp;Long_Data[[#This Row],[Indicator Number]]&amp;"]"),MATCH(Long_Data[[#This Row],[Key]], Data_Entry[Key],0)),"NA"),"")</f>
        <v>NA</v>
      </c>
      <c r="R28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6" s="70">
        <f ca="1">IFERROR(IF(J286="Magnitude",INDEX(INDIRECT("Data_Entry[PIN_"&amp;Long_Data[[#This Row],[Indicator Number]]&amp;"]"),MATCH(Long_Data[[#This Row],[Key]],Data_Entry[Key],0)),SUM(N286:P286)*INDEX(Baseline_Pop[Population],MATCH(Long_Data[[#This Row],[Key]],Baseline_Pop[Key],0))),"")</f>
        <v>0</v>
      </c>
    </row>
    <row r="287" spans="2:19">
      <c r="B287">
        <v>286</v>
      </c>
      <c r="C287">
        <v>16</v>
      </c>
      <c r="D287" t="str">
        <f>IFERROR(INDEX(Data_Entry[ADM2_Pcode],MATCH('Step 4-Long Data'!C287,Data_Entry[ID],0)),"NA")</f>
        <v>AF06</v>
      </c>
      <c r="E287" t="str">
        <f>IFERROR(INDEX(Data_Entry[Key],MATCH('Step 4-Long Data'!C287,Data_Entry[ID],0)),"NA")</f>
        <v>AF06-Non_Displaced</v>
      </c>
      <c r="F287">
        <v>10</v>
      </c>
      <c r="G287" t="str">
        <f>IFERROR(INDEX(Framework[Pillar],MATCH('Step 4-Long Data'!F287,Framework[Number],0)),"")</f>
        <v>Humanitarian Conditions</v>
      </c>
      <c r="H287" t="str">
        <f>IFERROR(INDEX(Framework[Sub_Pillar],MATCH('Step 4-Long Data'!F287,Framework[Number],0)),"")</f>
        <v>Living standards</v>
      </c>
      <c r="I287" t="str">
        <f>IFERROR(INDEX(Framework[Indicator],MATCH('Step 4-Long Data'!F287,Framework[Number],0)),"")</f>
        <v>% of HHs having access to a sufficient quality and quantity of water for drinking, cooking, bathing, washing or other domestic use</v>
      </c>
      <c r="J287" t="str">
        <f>IFERROR(INDEX(Framework[Class],MATCH('Step 4-Long Data'!F287,Framework[Number],0)),"")</f>
        <v>Degree</v>
      </c>
      <c r="K287" t="str">
        <f>IFERROR(INDEX(Framework[Critical],MATCH('Step 4-Long Data'!F287,Framework[Number],0)),"")</f>
        <v>No</v>
      </c>
      <c r="L287">
        <f ca="1">IF(Long_Data[[#This Row],[Indicator Class]]="Degree",INDEX(INDIRECT("Data_Entry['"&amp;Long_Data[[#This Row],[Indicator Number]]&amp;"'_DSev_1]"),MATCH(Long_Data[[#This Row],[Key]],Data_Entry[Key],0)),"NA")</f>
        <v>0.35</v>
      </c>
      <c r="M287">
        <f ca="1">IF(Long_Data[[#This Row],[Indicator Class]]="Degree",INDEX(INDIRECT("Data_Entry['"&amp;Long_Data[[#This Row],[Indicator Number]]&amp;"'_DSev_2]"),MATCH(Long_Data[[#This Row],[Key]],Data_Entry[Key],0)),"NA")</f>
        <v>0</v>
      </c>
      <c r="N287">
        <f ca="1">IF(Long_Data[[#This Row],[Indicator Class]]="Degree",INDEX(INDIRECT("Data_Entry['"&amp;Long_Data[[#This Row],[Indicator Number]]&amp;"'_DSev_3]"),MATCH(Long_Data[[#This Row],[Key]],Data_Entry[Key],0)),"NA")</f>
        <v>0.28999999999999998</v>
      </c>
      <c r="O287">
        <f ca="1">IF(Long_Data[[#This Row],[Indicator Class]]="Degree",INDEX(INDIRECT("Data_Entry['"&amp;Long_Data[[#This Row],[Indicator Number]]&amp;"'_DSev_4]"),MATCH(Long_Data[[#This Row],[Key]],Data_Entry[Key],0)),"NA")</f>
        <v>0.36</v>
      </c>
      <c r="P287">
        <f ca="1">IF(Long_Data[[#This Row],[Indicator Class]]="Degree",INDEX(INDIRECT("Data_Entry['"&amp;Long_Data[[#This Row],[Indicator Number]]&amp;"'_DSev_5]"),MATCH(Long_Data[[#This Row],[Key]],Data_Entry[Key],0)),"NA")</f>
        <v>0</v>
      </c>
      <c r="Q287" t="str">
        <f ca="1">IFERROR(IF(Long_Data[[#This Row],[Indicator Class]]="Magnitude", INDEX(INDIRECT("Data_Entry[Sev_"&amp;Long_Data[[#This Row],[Indicator Number]]&amp;"]"),MATCH(Long_Data[[#This Row],[Key]], Data_Entry[Key],0)),"NA"),"")</f>
        <v>NA</v>
      </c>
      <c r="R28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287" s="70">
        <f ca="1">IFERROR(IF(J287="Magnitude",INDEX(INDIRECT("Data_Entry[PIN_"&amp;Long_Data[[#This Row],[Indicator Number]]&amp;"]"),MATCH(Long_Data[[#This Row],[Key]],Data_Entry[Key],0)),SUM(N287:P287)*INDEX(Baseline_Pop[Population],MATCH(Long_Data[[#This Row],[Key]],Baseline_Pop[Key],0))),"")</f>
        <v>142400.04999999999</v>
      </c>
    </row>
    <row r="288" spans="2:19">
      <c r="B288">
        <v>287</v>
      </c>
      <c r="C288">
        <v>17</v>
      </c>
      <c r="D288" t="str">
        <f>IFERROR(INDEX(Data_Entry[ADM2_Pcode],MATCH('Step 4-Long Data'!C288,Data_Entry[ID],0)),"NA")</f>
        <v>AF07</v>
      </c>
      <c r="E288" t="str">
        <f>IFERROR(INDEX(Data_Entry[Key],MATCH('Step 4-Long Data'!C288,Data_Entry[ID],0)),"NA")</f>
        <v>AF07-Non_Displaced</v>
      </c>
      <c r="F288">
        <v>10</v>
      </c>
      <c r="G288" t="str">
        <f>IFERROR(INDEX(Framework[Pillar],MATCH('Step 4-Long Data'!F288,Framework[Number],0)),"")</f>
        <v>Humanitarian Conditions</v>
      </c>
      <c r="H288" t="str">
        <f>IFERROR(INDEX(Framework[Sub_Pillar],MATCH('Step 4-Long Data'!F288,Framework[Number],0)),"")</f>
        <v>Living standards</v>
      </c>
      <c r="I288" t="str">
        <f>IFERROR(INDEX(Framework[Indicator],MATCH('Step 4-Long Data'!F288,Framework[Number],0)),"")</f>
        <v>% of HHs having access to a sufficient quality and quantity of water for drinking, cooking, bathing, washing or other domestic use</v>
      </c>
      <c r="J288" t="str">
        <f>IFERROR(INDEX(Framework[Class],MATCH('Step 4-Long Data'!F288,Framework[Number],0)),"")</f>
        <v>Degree</v>
      </c>
      <c r="K288" t="str">
        <f>IFERROR(INDEX(Framework[Critical],MATCH('Step 4-Long Data'!F288,Framework[Number],0)),"")</f>
        <v>No</v>
      </c>
      <c r="L288">
        <f ca="1">IF(Long_Data[[#This Row],[Indicator Class]]="Degree",INDEX(INDIRECT("Data_Entry['"&amp;Long_Data[[#This Row],[Indicator Number]]&amp;"'_DSev_1]"),MATCH(Long_Data[[#This Row],[Key]],Data_Entry[Key],0)),"NA")</f>
        <v>0</v>
      </c>
      <c r="M288">
        <f ca="1">IF(Long_Data[[#This Row],[Indicator Class]]="Degree",INDEX(INDIRECT("Data_Entry['"&amp;Long_Data[[#This Row],[Indicator Number]]&amp;"'_DSev_2]"),MATCH(Long_Data[[#This Row],[Key]],Data_Entry[Key],0)),"NA")</f>
        <v>0</v>
      </c>
      <c r="N288">
        <f ca="1">IF(Long_Data[[#This Row],[Indicator Class]]="Degree",INDEX(INDIRECT("Data_Entry['"&amp;Long_Data[[#This Row],[Indicator Number]]&amp;"'_DSev_3]"),MATCH(Long_Data[[#This Row],[Key]],Data_Entry[Key],0)),"NA")</f>
        <v>0</v>
      </c>
      <c r="O288">
        <f ca="1">IF(Long_Data[[#This Row],[Indicator Class]]="Degree",INDEX(INDIRECT("Data_Entry['"&amp;Long_Data[[#This Row],[Indicator Number]]&amp;"'_DSev_4]"),MATCH(Long_Data[[#This Row],[Key]],Data_Entry[Key],0)),"NA")</f>
        <v>0</v>
      </c>
      <c r="P288">
        <f ca="1">IF(Long_Data[[#This Row],[Indicator Class]]="Degree",INDEX(INDIRECT("Data_Entry['"&amp;Long_Data[[#This Row],[Indicator Number]]&amp;"'_DSev_5]"),MATCH(Long_Data[[#This Row],[Key]],Data_Entry[Key],0)),"NA")</f>
        <v>0</v>
      </c>
      <c r="Q288" t="str">
        <f ca="1">IFERROR(IF(Long_Data[[#This Row],[Indicator Class]]="Magnitude", INDEX(INDIRECT("Data_Entry[Sev_"&amp;Long_Data[[#This Row],[Indicator Number]]&amp;"]"),MATCH(Long_Data[[#This Row],[Key]], Data_Entry[Key],0)),"NA"),"")</f>
        <v>NA</v>
      </c>
      <c r="R28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8" s="70">
        <f ca="1">IFERROR(IF(J288="Magnitude",INDEX(INDIRECT("Data_Entry[PIN_"&amp;Long_Data[[#This Row],[Indicator Number]]&amp;"]"),MATCH(Long_Data[[#This Row],[Key]],Data_Entry[Key],0)),SUM(N288:P288)*INDEX(Baseline_Pop[Population],MATCH(Long_Data[[#This Row],[Key]],Baseline_Pop[Key],0))),"")</f>
        <v>0</v>
      </c>
    </row>
    <row r="289" spans="2:19">
      <c r="B289">
        <v>288</v>
      </c>
      <c r="C289">
        <v>18</v>
      </c>
      <c r="D289" t="str">
        <f>IFERROR(INDEX(Data_Entry[ADM2_Pcode],MATCH('Step 4-Long Data'!C289,Data_Entry[ID],0)),"NA")</f>
        <v>AF08</v>
      </c>
      <c r="E289" t="str">
        <f>IFERROR(INDEX(Data_Entry[Key],MATCH('Step 4-Long Data'!C289,Data_Entry[ID],0)),"NA")</f>
        <v>AF08-Non_Displaced</v>
      </c>
      <c r="F289">
        <v>10</v>
      </c>
      <c r="G289" t="str">
        <f>IFERROR(INDEX(Framework[Pillar],MATCH('Step 4-Long Data'!F289,Framework[Number],0)),"")</f>
        <v>Humanitarian Conditions</v>
      </c>
      <c r="H289" t="str">
        <f>IFERROR(INDEX(Framework[Sub_Pillar],MATCH('Step 4-Long Data'!F289,Framework[Number],0)),"")</f>
        <v>Living standards</v>
      </c>
      <c r="I289" t="str">
        <f>IFERROR(INDEX(Framework[Indicator],MATCH('Step 4-Long Data'!F289,Framework[Number],0)),"")</f>
        <v>% of HHs having access to a sufficient quality and quantity of water for drinking, cooking, bathing, washing or other domestic use</v>
      </c>
      <c r="J289" t="str">
        <f>IFERROR(INDEX(Framework[Class],MATCH('Step 4-Long Data'!F289,Framework[Number],0)),"")</f>
        <v>Degree</v>
      </c>
      <c r="K289" t="str">
        <f>IFERROR(INDEX(Framework[Critical],MATCH('Step 4-Long Data'!F289,Framework[Number],0)),"")</f>
        <v>No</v>
      </c>
      <c r="L289">
        <f ca="1">IF(Long_Data[[#This Row],[Indicator Class]]="Degree",INDEX(INDIRECT("Data_Entry['"&amp;Long_Data[[#This Row],[Indicator Number]]&amp;"'_DSev_1]"),MATCH(Long_Data[[#This Row],[Key]],Data_Entry[Key],0)),"NA")</f>
        <v>0</v>
      </c>
      <c r="M289">
        <f ca="1">IF(Long_Data[[#This Row],[Indicator Class]]="Degree",INDEX(INDIRECT("Data_Entry['"&amp;Long_Data[[#This Row],[Indicator Number]]&amp;"'_DSev_2]"),MATCH(Long_Data[[#This Row],[Key]],Data_Entry[Key],0)),"NA")</f>
        <v>0</v>
      </c>
      <c r="N289">
        <f ca="1">IF(Long_Data[[#This Row],[Indicator Class]]="Degree",INDEX(INDIRECT("Data_Entry['"&amp;Long_Data[[#This Row],[Indicator Number]]&amp;"'_DSev_3]"),MATCH(Long_Data[[#This Row],[Key]],Data_Entry[Key],0)),"NA")</f>
        <v>0</v>
      </c>
      <c r="O289">
        <f ca="1">IF(Long_Data[[#This Row],[Indicator Class]]="Degree",INDEX(INDIRECT("Data_Entry['"&amp;Long_Data[[#This Row],[Indicator Number]]&amp;"'_DSev_4]"),MATCH(Long_Data[[#This Row],[Key]],Data_Entry[Key],0)),"NA")</f>
        <v>0</v>
      </c>
      <c r="P289">
        <f ca="1">IF(Long_Data[[#This Row],[Indicator Class]]="Degree",INDEX(INDIRECT("Data_Entry['"&amp;Long_Data[[#This Row],[Indicator Number]]&amp;"'_DSev_5]"),MATCH(Long_Data[[#This Row],[Key]],Data_Entry[Key],0)),"NA")</f>
        <v>0</v>
      </c>
      <c r="Q289" t="str">
        <f ca="1">IFERROR(IF(Long_Data[[#This Row],[Indicator Class]]="Magnitude", INDEX(INDIRECT("Data_Entry[Sev_"&amp;Long_Data[[#This Row],[Indicator Number]]&amp;"]"),MATCH(Long_Data[[#This Row],[Key]], Data_Entry[Key],0)),"NA"),"")</f>
        <v>NA</v>
      </c>
      <c r="R28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89" s="70">
        <f ca="1">IFERROR(IF(J289="Magnitude",INDEX(INDIRECT("Data_Entry[PIN_"&amp;Long_Data[[#This Row],[Indicator Number]]&amp;"]"),MATCH(Long_Data[[#This Row],[Key]],Data_Entry[Key],0)),SUM(N289:P289)*INDEX(Baseline_Pop[Population],MATCH(Long_Data[[#This Row],[Key]],Baseline_Pop[Key],0))),"")</f>
        <v>0</v>
      </c>
    </row>
    <row r="290" spans="2:19">
      <c r="B290">
        <v>289</v>
      </c>
      <c r="C290">
        <v>19</v>
      </c>
      <c r="D290" t="str">
        <f>IFERROR(INDEX(Data_Entry[ADM2_Pcode],MATCH('Step 4-Long Data'!C290,Data_Entry[ID],0)),"NA")</f>
        <v>AF09</v>
      </c>
      <c r="E290" t="str">
        <f>IFERROR(INDEX(Data_Entry[Key],MATCH('Step 4-Long Data'!C290,Data_Entry[ID],0)),"NA")</f>
        <v>AF09-Non_Displaced</v>
      </c>
      <c r="F290">
        <v>10</v>
      </c>
      <c r="G290" t="str">
        <f>IFERROR(INDEX(Framework[Pillar],MATCH('Step 4-Long Data'!F290,Framework[Number],0)),"")</f>
        <v>Humanitarian Conditions</v>
      </c>
      <c r="H290" t="str">
        <f>IFERROR(INDEX(Framework[Sub_Pillar],MATCH('Step 4-Long Data'!F290,Framework[Number],0)),"")</f>
        <v>Living standards</v>
      </c>
      <c r="I290" t="str">
        <f>IFERROR(INDEX(Framework[Indicator],MATCH('Step 4-Long Data'!F290,Framework[Number],0)),"")</f>
        <v>% of HHs having access to a sufficient quality and quantity of water for drinking, cooking, bathing, washing or other domestic use</v>
      </c>
      <c r="J290" t="str">
        <f>IFERROR(INDEX(Framework[Class],MATCH('Step 4-Long Data'!F290,Framework[Number],0)),"")</f>
        <v>Degree</v>
      </c>
      <c r="K290" t="str">
        <f>IFERROR(INDEX(Framework[Critical],MATCH('Step 4-Long Data'!F290,Framework[Number],0)),"")</f>
        <v>No</v>
      </c>
      <c r="L290">
        <f ca="1">IF(Long_Data[[#This Row],[Indicator Class]]="Degree",INDEX(INDIRECT("Data_Entry['"&amp;Long_Data[[#This Row],[Indicator Number]]&amp;"'_DSev_1]"),MATCH(Long_Data[[#This Row],[Key]],Data_Entry[Key],0)),"NA")</f>
        <v>0.41</v>
      </c>
      <c r="M290">
        <f ca="1">IF(Long_Data[[#This Row],[Indicator Class]]="Degree",INDEX(INDIRECT("Data_Entry['"&amp;Long_Data[[#This Row],[Indicator Number]]&amp;"'_DSev_2]"),MATCH(Long_Data[[#This Row],[Key]],Data_Entry[Key],0)),"NA")</f>
        <v>0</v>
      </c>
      <c r="N290">
        <f ca="1">IF(Long_Data[[#This Row],[Indicator Class]]="Degree",INDEX(INDIRECT("Data_Entry['"&amp;Long_Data[[#This Row],[Indicator Number]]&amp;"'_DSev_3]"),MATCH(Long_Data[[#This Row],[Key]],Data_Entry[Key],0)),"NA")</f>
        <v>0.45</v>
      </c>
      <c r="O290">
        <f ca="1">IF(Long_Data[[#This Row],[Indicator Class]]="Degree",INDEX(INDIRECT("Data_Entry['"&amp;Long_Data[[#This Row],[Indicator Number]]&amp;"'_DSev_4]"),MATCH(Long_Data[[#This Row],[Key]],Data_Entry[Key],0)),"NA")</f>
        <v>0.14000000000000001</v>
      </c>
      <c r="P290">
        <f ca="1">IF(Long_Data[[#This Row],[Indicator Class]]="Degree",INDEX(INDIRECT("Data_Entry['"&amp;Long_Data[[#This Row],[Indicator Number]]&amp;"'_DSev_5]"),MATCH(Long_Data[[#This Row],[Key]],Data_Entry[Key],0)),"NA")</f>
        <v>0</v>
      </c>
      <c r="Q290" t="str">
        <f ca="1">IFERROR(IF(Long_Data[[#This Row],[Indicator Class]]="Magnitude", INDEX(INDIRECT("Data_Entry[Sev_"&amp;Long_Data[[#This Row],[Indicator Number]]&amp;"]"),MATCH(Long_Data[[#This Row],[Key]], Data_Entry[Key],0)),"NA"),"")</f>
        <v>NA</v>
      </c>
      <c r="R29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290" s="70">
        <f ca="1">IFERROR(IF(J290="Magnitude",INDEX(INDIRECT("Data_Entry[PIN_"&amp;Long_Data[[#This Row],[Indicator Number]]&amp;"]"),MATCH(Long_Data[[#This Row],[Key]],Data_Entry[Key],0)),SUM(N290:P290)*INDEX(Baseline_Pop[Population],MATCH(Long_Data[[#This Row],[Key]],Baseline_Pop[Key],0))),"")</f>
        <v>77068.160000000003</v>
      </c>
    </row>
    <row r="291" spans="2:19">
      <c r="B291">
        <v>290</v>
      </c>
      <c r="C291">
        <v>20</v>
      </c>
      <c r="D291" t="str">
        <f>IFERROR(INDEX(Data_Entry[ADM2_Pcode],MATCH('Step 4-Long Data'!C291,Data_Entry[ID],0)),"NA")</f>
        <v>AF10</v>
      </c>
      <c r="E291" t="str">
        <f>IFERROR(INDEX(Data_Entry[Key],MATCH('Step 4-Long Data'!C291,Data_Entry[ID],0)),"NA")</f>
        <v>AF10-Non_Displaced</v>
      </c>
      <c r="F291">
        <v>10</v>
      </c>
      <c r="G291" t="str">
        <f>IFERROR(INDEX(Framework[Pillar],MATCH('Step 4-Long Data'!F291,Framework[Number],0)),"")</f>
        <v>Humanitarian Conditions</v>
      </c>
      <c r="H291" t="str">
        <f>IFERROR(INDEX(Framework[Sub_Pillar],MATCH('Step 4-Long Data'!F291,Framework[Number],0)),"")</f>
        <v>Living standards</v>
      </c>
      <c r="I291" t="str">
        <f>IFERROR(INDEX(Framework[Indicator],MATCH('Step 4-Long Data'!F291,Framework[Number],0)),"")</f>
        <v>% of HHs having access to a sufficient quality and quantity of water for drinking, cooking, bathing, washing or other domestic use</v>
      </c>
      <c r="J291" t="str">
        <f>IFERROR(INDEX(Framework[Class],MATCH('Step 4-Long Data'!F291,Framework[Number],0)),"")</f>
        <v>Degree</v>
      </c>
      <c r="K291" t="str">
        <f>IFERROR(INDEX(Framework[Critical],MATCH('Step 4-Long Data'!F291,Framework[Number],0)),"")</f>
        <v>No</v>
      </c>
      <c r="L291">
        <f ca="1">IF(Long_Data[[#This Row],[Indicator Class]]="Degree",INDEX(INDIRECT("Data_Entry['"&amp;Long_Data[[#This Row],[Indicator Number]]&amp;"'_DSev_1]"),MATCH(Long_Data[[#This Row],[Key]],Data_Entry[Key],0)),"NA")</f>
        <v>0</v>
      </c>
      <c r="M291">
        <f ca="1">IF(Long_Data[[#This Row],[Indicator Class]]="Degree",INDEX(INDIRECT("Data_Entry['"&amp;Long_Data[[#This Row],[Indicator Number]]&amp;"'_DSev_2]"),MATCH(Long_Data[[#This Row],[Key]],Data_Entry[Key],0)),"NA")</f>
        <v>0</v>
      </c>
      <c r="N291">
        <f ca="1">IF(Long_Data[[#This Row],[Indicator Class]]="Degree",INDEX(INDIRECT("Data_Entry['"&amp;Long_Data[[#This Row],[Indicator Number]]&amp;"'_DSev_3]"),MATCH(Long_Data[[#This Row],[Key]],Data_Entry[Key],0)),"NA")</f>
        <v>0</v>
      </c>
      <c r="O291">
        <f ca="1">IF(Long_Data[[#This Row],[Indicator Class]]="Degree",INDEX(INDIRECT("Data_Entry['"&amp;Long_Data[[#This Row],[Indicator Number]]&amp;"'_DSev_4]"),MATCH(Long_Data[[#This Row],[Key]],Data_Entry[Key],0)),"NA")</f>
        <v>0</v>
      </c>
      <c r="P291">
        <f ca="1">IF(Long_Data[[#This Row],[Indicator Class]]="Degree",INDEX(INDIRECT("Data_Entry['"&amp;Long_Data[[#This Row],[Indicator Number]]&amp;"'_DSev_5]"),MATCH(Long_Data[[#This Row],[Key]],Data_Entry[Key],0)),"NA")</f>
        <v>0</v>
      </c>
      <c r="Q291" t="str">
        <f ca="1">IFERROR(IF(Long_Data[[#This Row],[Indicator Class]]="Magnitude", INDEX(INDIRECT("Data_Entry[Sev_"&amp;Long_Data[[#This Row],[Indicator Number]]&amp;"]"),MATCH(Long_Data[[#This Row],[Key]], Data_Entry[Key],0)),"NA"),"")</f>
        <v>NA</v>
      </c>
      <c r="R29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1" s="70">
        <f ca="1">IFERROR(IF(J291="Magnitude",INDEX(INDIRECT("Data_Entry[PIN_"&amp;Long_Data[[#This Row],[Indicator Number]]&amp;"]"),MATCH(Long_Data[[#This Row],[Key]],Data_Entry[Key],0)),SUM(N291:P291)*INDEX(Baseline_Pop[Population],MATCH(Long_Data[[#This Row],[Key]],Baseline_Pop[Key],0))),"")</f>
        <v>0</v>
      </c>
    </row>
    <row r="292" spans="2:19">
      <c r="B292">
        <v>291</v>
      </c>
      <c r="C292">
        <v>21</v>
      </c>
      <c r="D292" t="str">
        <f>IFERROR(INDEX(Data_Entry[ADM2_Pcode],MATCH('Step 4-Long Data'!C292,Data_Entry[ID],0)),"NA")</f>
        <v>AF01</v>
      </c>
      <c r="E292" t="str">
        <f>IFERROR(INDEX(Data_Entry[Key],MATCH('Step 4-Long Data'!C292,Data_Entry[ID],0)),"NA")</f>
        <v>AF01-Migrants</v>
      </c>
      <c r="F292">
        <v>10</v>
      </c>
      <c r="G292" t="str">
        <f>IFERROR(INDEX(Framework[Pillar],MATCH('Step 4-Long Data'!F292,Framework[Number],0)),"")</f>
        <v>Humanitarian Conditions</v>
      </c>
      <c r="H292" t="str">
        <f>IFERROR(INDEX(Framework[Sub_Pillar],MATCH('Step 4-Long Data'!F292,Framework[Number],0)),"")</f>
        <v>Living standards</v>
      </c>
      <c r="I292" t="str">
        <f>IFERROR(INDEX(Framework[Indicator],MATCH('Step 4-Long Data'!F292,Framework[Number],0)),"")</f>
        <v>% of HHs having access to a sufficient quality and quantity of water for drinking, cooking, bathing, washing or other domestic use</v>
      </c>
      <c r="J292" t="str">
        <f>IFERROR(INDEX(Framework[Class],MATCH('Step 4-Long Data'!F292,Framework[Number],0)),"")</f>
        <v>Degree</v>
      </c>
      <c r="K292" t="str">
        <f>IFERROR(INDEX(Framework[Critical],MATCH('Step 4-Long Data'!F292,Framework[Number],0)),"")</f>
        <v>No</v>
      </c>
      <c r="L292">
        <f ca="1">IF(Long_Data[[#This Row],[Indicator Class]]="Degree",INDEX(INDIRECT("Data_Entry['"&amp;Long_Data[[#This Row],[Indicator Number]]&amp;"'_DSev_1]"),MATCH(Long_Data[[#This Row],[Key]],Data_Entry[Key],0)),"NA")</f>
        <v>0.22</v>
      </c>
      <c r="M292">
        <f ca="1">IF(Long_Data[[#This Row],[Indicator Class]]="Degree",INDEX(INDIRECT("Data_Entry['"&amp;Long_Data[[#This Row],[Indicator Number]]&amp;"'_DSev_2]"),MATCH(Long_Data[[#This Row],[Key]],Data_Entry[Key],0)),"NA")</f>
        <v>0</v>
      </c>
      <c r="N292">
        <f ca="1">IF(Long_Data[[#This Row],[Indicator Class]]="Degree",INDEX(INDIRECT("Data_Entry['"&amp;Long_Data[[#This Row],[Indicator Number]]&amp;"'_DSev_3]"),MATCH(Long_Data[[#This Row],[Key]],Data_Entry[Key],0)),"NA")</f>
        <v>0.47</v>
      </c>
      <c r="O292">
        <f ca="1">IF(Long_Data[[#This Row],[Indicator Class]]="Degree",INDEX(INDIRECT("Data_Entry['"&amp;Long_Data[[#This Row],[Indicator Number]]&amp;"'_DSev_4]"),MATCH(Long_Data[[#This Row],[Key]],Data_Entry[Key],0)),"NA")</f>
        <v>0.31</v>
      </c>
      <c r="P292">
        <f ca="1">IF(Long_Data[[#This Row],[Indicator Class]]="Degree",INDEX(INDIRECT("Data_Entry['"&amp;Long_Data[[#This Row],[Indicator Number]]&amp;"'_DSev_5]"),MATCH(Long_Data[[#This Row],[Key]],Data_Entry[Key],0)),"NA")</f>
        <v>0</v>
      </c>
      <c r="Q292" t="str">
        <f ca="1">IFERROR(IF(Long_Data[[#This Row],[Indicator Class]]="Magnitude", INDEX(INDIRECT("Data_Entry[Sev_"&amp;Long_Data[[#This Row],[Indicator Number]]&amp;"]"),MATCH(Long_Data[[#This Row],[Key]], Data_Entry[Key],0)),"NA"),"")</f>
        <v>NA</v>
      </c>
      <c r="R29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292" s="70">
        <f ca="1">IFERROR(IF(J292="Magnitude",INDEX(INDIRECT("Data_Entry[PIN_"&amp;Long_Data[[#This Row],[Indicator Number]]&amp;"]"),MATCH(Long_Data[[#This Row],[Key]],Data_Entry[Key],0)),SUM(N292:P292)*INDEX(Baseline_Pop[Population],MATCH(Long_Data[[#This Row],[Key]],Baseline_Pop[Key],0))),"")</f>
        <v>1045280.3400000001</v>
      </c>
    </row>
    <row r="293" spans="2:19">
      <c r="B293">
        <v>292</v>
      </c>
      <c r="C293">
        <v>22</v>
      </c>
      <c r="D293" t="str">
        <f>IFERROR(INDEX(Data_Entry[ADM2_Pcode],MATCH('Step 4-Long Data'!C293,Data_Entry[ID],0)),"NA")</f>
        <v>AF02</v>
      </c>
      <c r="E293" t="str">
        <f>IFERROR(INDEX(Data_Entry[Key],MATCH('Step 4-Long Data'!C293,Data_Entry[ID],0)),"NA")</f>
        <v>AF02-Migrants</v>
      </c>
      <c r="F293">
        <v>10</v>
      </c>
      <c r="G293" t="str">
        <f>IFERROR(INDEX(Framework[Pillar],MATCH('Step 4-Long Data'!F293,Framework[Number],0)),"")</f>
        <v>Humanitarian Conditions</v>
      </c>
      <c r="H293" t="str">
        <f>IFERROR(INDEX(Framework[Sub_Pillar],MATCH('Step 4-Long Data'!F293,Framework[Number],0)),"")</f>
        <v>Living standards</v>
      </c>
      <c r="I293" t="str">
        <f>IFERROR(INDEX(Framework[Indicator],MATCH('Step 4-Long Data'!F293,Framework[Number],0)),"")</f>
        <v>% of HHs having access to a sufficient quality and quantity of water for drinking, cooking, bathing, washing or other domestic use</v>
      </c>
      <c r="J293" t="str">
        <f>IFERROR(INDEX(Framework[Class],MATCH('Step 4-Long Data'!F293,Framework[Number],0)),"")</f>
        <v>Degree</v>
      </c>
      <c r="K293" t="str">
        <f>IFERROR(INDEX(Framework[Critical],MATCH('Step 4-Long Data'!F293,Framework[Number],0)),"")</f>
        <v>No</v>
      </c>
      <c r="L293">
        <f ca="1">IF(Long_Data[[#This Row],[Indicator Class]]="Degree",INDEX(INDIRECT("Data_Entry['"&amp;Long_Data[[#This Row],[Indicator Number]]&amp;"'_DSev_1]"),MATCH(Long_Data[[#This Row],[Key]],Data_Entry[Key],0)),"NA")</f>
        <v>0</v>
      </c>
      <c r="M293">
        <f ca="1">IF(Long_Data[[#This Row],[Indicator Class]]="Degree",INDEX(INDIRECT("Data_Entry['"&amp;Long_Data[[#This Row],[Indicator Number]]&amp;"'_DSev_2]"),MATCH(Long_Data[[#This Row],[Key]],Data_Entry[Key],0)),"NA")</f>
        <v>0</v>
      </c>
      <c r="N293">
        <f ca="1">IF(Long_Data[[#This Row],[Indicator Class]]="Degree",INDEX(INDIRECT("Data_Entry['"&amp;Long_Data[[#This Row],[Indicator Number]]&amp;"'_DSev_3]"),MATCH(Long_Data[[#This Row],[Key]],Data_Entry[Key],0)),"NA")</f>
        <v>0</v>
      </c>
      <c r="O293">
        <f ca="1">IF(Long_Data[[#This Row],[Indicator Class]]="Degree",INDEX(INDIRECT("Data_Entry['"&amp;Long_Data[[#This Row],[Indicator Number]]&amp;"'_DSev_4]"),MATCH(Long_Data[[#This Row],[Key]],Data_Entry[Key],0)),"NA")</f>
        <v>0</v>
      </c>
      <c r="P293">
        <f ca="1">IF(Long_Data[[#This Row],[Indicator Class]]="Degree",INDEX(INDIRECT("Data_Entry['"&amp;Long_Data[[#This Row],[Indicator Number]]&amp;"'_DSev_5]"),MATCH(Long_Data[[#This Row],[Key]],Data_Entry[Key],0)),"NA")</f>
        <v>0</v>
      </c>
      <c r="Q293" t="str">
        <f ca="1">IFERROR(IF(Long_Data[[#This Row],[Indicator Class]]="Magnitude", INDEX(INDIRECT("Data_Entry[Sev_"&amp;Long_Data[[#This Row],[Indicator Number]]&amp;"]"),MATCH(Long_Data[[#This Row],[Key]], Data_Entry[Key],0)),"NA"),"")</f>
        <v>NA</v>
      </c>
      <c r="R293">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3" s="70">
        <f ca="1">IFERROR(IF(J293="Magnitude",INDEX(INDIRECT("Data_Entry[PIN_"&amp;Long_Data[[#This Row],[Indicator Number]]&amp;"]"),MATCH(Long_Data[[#This Row],[Key]],Data_Entry[Key],0)),SUM(N293:P293)*INDEX(Baseline_Pop[Population],MATCH(Long_Data[[#This Row],[Key]],Baseline_Pop[Key],0))),"")</f>
        <v>0</v>
      </c>
    </row>
    <row r="294" spans="2:19">
      <c r="B294">
        <v>293</v>
      </c>
      <c r="C294">
        <v>23</v>
      </c>
      <c r="D294" t="str">
        <f>IFERROR(INDEX(Data_Entry[ADM2_Pcode],MATCH('Step 4-Long Data'!C294,Data_Entry[ID],0)),"NA")</f>
        <v>AF03</v>
      </c>
      <c r="E294" t="str">
        <f>IFERROR(INDEX(Data_Entry[Key],MATCH('Step 4-Long Data'!C294,Data_Entry[ID],0)),"NA")</f>
        <v>AF03-Migrants</v>
      </c>
      <c r="F294">
        <v>10</v>
      </c>
      <c r="G294" t="str">
        <f>IFERROR(INDEX(Framework[Pillar],MATCH('Step 4-Long Data'!F294,Framework[Number],0)),"")</f>
        <v>Humanitarian Conditions</v>
      </c>
      <c r="H294" t="str">
        <f>IFERROR(INDEX(Framework[Sub_Pillar],MATCH('Step 4-Long Data'!F294,Framework[Number],0)),"")</f>
        <v>Living standards</v>
      </c>
      <c r="I294" t="str">
        <f>IFERROR(INDEX(Framework[Indicator],MATCH('Step 4-Long Data'!F294,Framework[Number],0)),"")</f>
        <v>% of HHs having access to a sufficient quality and quantity of water for drinking, cooking, bathing, washing or other domestic use</v>
      </c>
      <c r="J294" t="str">
        <f>IFERROR(INDEX(Framework[Class],MATCH('Step 4-Long Data'!F294,Framework[Number],0)),"")</f>
        <v>Degree</v>
      </c>
      <c r="K294" t="str">
        <f>IFERROR(INDEX(Framework[Critical],MATCH('Step 4-Long Data'!F294,Framework[Number],0)),"")</f>
        <v>No</v>
      </c>
      <c r="L294">
        <f ca="1">IF(Long_Data[[#This Row],[Indicator Class]]="Degree",INDEX(INDIRECT("Data_Entry['"&amp;Long_Data[[#This Row],[Indicator Number]]&amp;"'_DSev_1]"),MATCH(Long_Data[[#This Row],[Key]],Data_Entry[Key],0)),"NA")</f>
        <v>0.82</v>
      </c>
      <c r="M294">
        <f ca="1">IF(Long_Data[[#This Row],[Indicator Class]]="Degree",INDEX(INDIRECT("Data_Entry['"&amp;Long_Data[[#This Row],[Indicator Number]]&amp;"'_DSev_2]"),MATCH(Long_Data[[#This Row],[Key]],Data_Entry[Key],0)),"NA")</f>
        <v>0</v>
      </c>
      <c r="N294">
        <f ca="1">IF(Long_Data[[#This Row],[Indicator Class]]="Degree",INDEX(INDIRECT("Data_Entry['"&amp;Long_Data[[#This Row],[Indicator Number]]&amp;"'_DSev_3]"),MATCH(Long_Data[[#This Row],[Key]],Data_Entry[Key],0)),"NA")</f>
        <v>0.18</v>
      </c>
      <c r="O294">
        <f ca="1">IF(Long_Data[[#This Row],[Indicator Class]]="Degree",INDEX(INDIRECT("Data_Entry['"&amp;Long_Data[[#This Row],[Indicator Number]]&amp;"'_DSev_4]"),MATCH(Long_Data[[#This Row],[Key]],Data_Entry[Key],0)),"NA")</f>
        <v>0</v>
      </c>
      <c r="P294">
        <f ca="1">IF(Long_Data[[#This Row],[Indicator Class]]="Degree",INDEX(INDIRECT("Data_Entry['"&amp;Long_Data[[#This Row],[Indicator Number]]&amp;"'_DSev_5]"),MATCH(Long_Data[[#This Row],[Key]],Data_Entry[Key],0)),"NA")</f>
        <v>0</v>
      </c>
      <c r="Q294" t="str">
        <f ca="1">IFERROR(IF(Long_Data[[#This Row],[Indicator Class]]="Magnitude", INDEX(INDIRECT("Data_Entry[Sev_"&amp;Long_Data[[#This Row],[Indicator Number]]&amp;"]"),MATCH(Long_Data[[#This Row],[Key]], Data_Entry[Key],0)),"NA"),"")</f>
        <v>NA</v>
      </c>
      <c r="R294">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4" s="70">
        <f ca="1">IFERROR(IF(J294="Magnitude",INDEX(INDIRECT("Data_Entry[PIN_"&amp;Long_Data[[#This Row],[Indicator Number]]&amp;"]"),MATCH(Long_Data[[#This Row],[Key]],Data_Entry[Key],0)),SUM(N294:P294)*INDEX(Baseline_Pop[Population],MATCH(Long_Data[[#This Row],[Key]],Baseline_Pop[Key],0))),"")</f>
        <v>34189.919999999998</v>
      </c>
    </row>
    <row r="295" spans="2:19">
      <c r="B295">
        <v>294</v>
      </c>
      <c r="C295">
        <v>24</v>
      </c>
      <c r="D295" t="str">
        <f>IFERROR(INDEX(Data_Entry[ADM2_Pcode],MATCH('Step 4-Long Data'!C295,Data_Entry[ID],0)),"NA")</f>
        <v>AF04</v>
      </c>
      <c r="E295" t="str">
        <f>IFERROR(INDEX(Data_Entry[Key],MATCH('Step 4-Long Data'!C295,Data_Entry[ID],0)),"NA")</f>
        <v>AF04-Migrants</v>
      </c>
      <c r="F295">
        <v>10</v>
      </c>
      <c r="G295" t="str">
        <f>IFERROR(INDEX(Framework[Pillar],MATCH('Step 4-Long Data'!F295,Framework[Number],0)),"")</f>
        <v>Humanitarian Conditions</v>
      </c>
      <c r="H295" t="str">
        <f>IFERROR(INDEX(Framework[Sub_Pillar],MATCH('Step 4-Long Data'!F295,Framework[Number],0)),"")</f>
        <v>Living standards</v>
      </c>
      <c r="I295" t="str">
        <f>IFERROR(INDEX(Framework[Indicator],MATCH('Step 4-Long Data'!F295,Framework[Number],0)),"")</f>
        <v>% of HHs having access to a sufficient quality and quantity of water for drinking, cooking, bathing, washing or other domestic use</v>
      </c>
      <c r="J295" t="str">
        <f>IFERROR(INDEX(Framework[Class],MATCH('Step 4-Long Data'!F295,Framework[Number],0)),"")</f>
        <v>Degree</v>
      </c>
      <c r="K295" t="str">
        <f>IFERROR(INDEX(Framework[Critical],MATCH('Step 4-Long Data'!F295,Framework[Number],0)),"")</f>
        <v>No</v>
      </c>
      <c r="L295">
        <f ca="1">IF(Long_Data[[#This Row],[Indicator Class]]="Degree",INDEX(INDIRECT("Data_Entry['"&amp;Long_Data[[#This Row],[Indicator Number]]&amp;"'_DSev_1]"),MATCH(Long_Data[[#This Row],[Key]],Data_Entry[Key],0)),"NA")</f>
        <v>0</v>
      </c>
      <c r="M295">
        <f ca="1">IF(Long_Data[[#This Row],[Indicator Class]]="Degree",INDEX(INDIRECT("Data_Entry['"&amp;Long_Data[[#This Row],[Indicator Number]]&amp;"'_DSev_2]"),MATCH(Long_Data[[#This Row],[Key]],Data_Entry[Key],0)),"NA")</f>
        <v>0</v>
      </c>
      <c r="N295">
        <f ca="1">IF(Long_Data[[#This Row],[Indicator Class]]="Degree",INDEX(INDIRECT("Data_Entry['"&amp;Long_Data[[#This Row],[Indicator Number]]&amp;"'_DSev_3]"),MATCH(Long_Data[[#This Row],[Key]],Data_Entry[Key],0)),"NA")</f>
        <v>0</v>
      </c>
      <c r="O295">
        <f ca="1">IF(Long_Data[[#This Row],[Indicator Class]]="Degree",INDEX(INDIRECT("Data_Entry['"&amp;Long_Data[[#This Row],[Indicator Number]]&amp;"'_DSev_4]"),MATCH(Long_Data[[#This Row],[Key]],Data_Entry[Key],0)),"NA")</f>
        <v>0</v>
      </c>
      <c r="P295">
        <f ca="1">IF(Long_Data[[#This Row],[Indicator Class]]="Degree",INDEX(INDIRECT("Data_Entry['"&amp;Long_Data[[#This Row],[Indicator Number]]&amp;"'_DSev_5]"),MATCH(Long_Data[[#This Row],[Key]],Data_Entry[Key],0)),"NA")</f>
        <v>0</v>
      </c>
      <c r="Q295" t="str">
        <f ca="1">IFERROR(IF(Long_Data[[#This Row],[Indicator Class]]="Magnitude", INDEX(INDIRECT("Data_Entry[Sev_"&amp;Long_Data[[#This Row],[Indicator Number]]&amp;"]"),MATCH(Long_Data[[#This Row],[Key]], Data_Entry[Key],0)),"NA"),"")</f>
        <v>NA</v>
      </c>
      <c r="R295">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5" s="70">
        <f ca="1">IFERROR(IF(J295="Magnitude",INDEX(INDIRECT("Data_Entry[PIN_"&amp;Long_Data[[#This Row],[Indicator Number]]&amp;"]"),MATCH(Long_Data[[#This Row],[Key]],Data_Entry[Key],0)),SUM(N295:P295)*INDEX(Baseline_Pop[Population],MATCH(Long_Data[[#This Row],[Key]],Baseline_Pop[Key],0))),"")</f>
        <v>0</v>
      </c>
    </row>
    <row r="296" spans="2:19">
      <c r="B296">
        <v>295</v>
      </c>
      <c r="C296">
        <v>25</v>
      </c>
      <c r="D296" t="str">
        <f>IFERROR(INDEX(Data_Entry[ADM2_Pcode],MATCH('Step 4-Long Data'!C296,Data_Entry[ID],0)),"NA")</f>
        <v>AF05</v>
      </c>
      <c r="E296" t="str">
        <f>IFERROR(INDEX(Data_Entry[Key],MATCH('Step 4-Long Data'!C296,Data_Entry[ID],0)),"NA")</f>
        <v>AF05-Migrants</v>
      </c>
      <c r="F296">
        <v>10</v>
      </c>
      <c r="G296" t="str">
        <f>IFERROR(INDEX(Framework[Pillar],MATCH('Step 4-Long Data'!F296,Framework[Number],0)),"")</f>
        <v>Humanitarian Conditions</v>
      </c>
      <c r="H296" t="str">
        <f>IFERROR(INDEX(Framework[Sub_Pillar],MATCH('Step 4-Long Data'!F296,Framework[Number],0)),"")</f>
        <v>Living standards</v>
      </c>
      <c r="I296" t="str">
        <f>IFERROR(INDEX(Framework[Indicator],MATCH('Step 4-Long Data'!F296,Framework[Number],0)),"")</f>
        <v>% of HHs having access to a sufficient quality and quantity of water for drinking, cooking, bathing, washing or other domestic use</v>
      </c>
      <c r="J296" t="str">
        <f>IFERROR(INDEX(Framework[Class],MATCH('Step 4-Long Data'!F296,Framework[Number],0)),"")</f>
        <v>Degree</v>
      </c>
      <c r="K296" t="str">
        <f>IFERROR(INDEX(Framework[Critical],MATCH('Step 4-Long Data'!F296,Framework[Number],0)),"")</f>
        <v>No</v>
      </c>
      <c r="L296">
        <f ca="1">IF(Long_Data[[#This Row],[Indicator Class]]="Degree",INDEX(INDIRECT("Data_Entry['"&amp;Long_Data[[#This Row],[Indicator Number]]&amp;"'_DSev_1]"),MATCH(Long_Data[[#This Row],[Key]],Data_Entry[Key],0)),"NA")</f>
        <v>0</v>
      </c>
      <c r="M296">
        <f ca="1">IF(Long_Data[[#This Row],[Indicator Class]]="Degree",INDEX(INDIRECT("Data_Entry['"&amp;Long_Data[[#This Row],[Indicator Number]]&amp;"'_DSev_2]"),MATCH(Long_Data[[#This Row],[Key]],Data_Entry[Key],0)),"NA")</f>
        <v>0</v>
      </c>
      <c r="N296">
        <f ca="1">IF(Long_Data[[#This Row],[Indicator Class]]="Degree",INDEX(INDIRECT("Data_Entry['"&amp;Long_Data[[#This Row],[Indicator Number]]&amp;"'_DSev_3]"),MATCH(Long_Data[[#This Row],[Key]],Data_Entry[Key],0)),"NA")</f>
        <v>0</v>
      </c>
      <c r="O296">
        <f ca="1">IF(Long_Data[[#This Row],[Indicator Class]]="Degree",INDEX(INDIRECT("Data_Entry['"&amp;Long_Data[[#This Row],[Indicator Number]]&amp;"'_DSev_4]"),MATCH(Long_Data[[#This Row],[Key]],Data_Entry[Key],0)),"NA")</f>
        <v>0</v>
      </c>
      <c r="P296">
        <f ca="1">IF(Long_Data[[#This Row],[Indicator Class]]="Degree",INDEX(INDIRECT("Data_Entry['"&amp;Long_Data[[#This Row],[Indicator Number]]&amp;"'_DSev_5]"),MATCH(Long_Data[[#This Row],[Key]],Data_Entry[Key],0)),"NA")</f>
        <v>0</v>
      </c>
      <c r="Q296" t="str">
        <f ca="1">IFERROR(IF(Long_Data[[#This Row],[Indicator Class]]="Magnitude", INDEX(INDIRECT("Data_Entry[Sev_"&amp;Long_Data[[#This Row],[Indicator Number]]&amp;"]"),MATCH(Long_Data[[#This Row],[Key]], Data_Entry[Key],0)),"NA"),"")</f>
        <v>NA</v>
      </c>
      <c r="R296">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6" s="70">
        <f ca="1">IFERROR(IF(J296="Magnitude",INDEX(INDIRECT("Data_Entry[PIN_"&amp;Long_Data[[#This Row],[Indicator Number]]&amp;"]"),MATCH(Long_Data[[#This Row],[Key]],Data_Entry[Key],0)),SUM(N296:P296)*INDEX(Baseline_Pop[Population],MATCH(Long_Data[[#This Row],[Key]],Baseline_Pop[Key],0))),"")</f>
        <v>0</v>
      </c>
    </row>
    <row r="297" spans="2:19">
      <c r="B297">
        <v>296</v>
      </c>
      <c r="C297">
        <v>26</v>
      </c>
      <c r="D297" t="str">
        <f>IFERROR(INDEX(Data_Entry[ADM2_Pcode],MATCH('Step 4-Long Data'!C297,Data_Entry[ID],0)),"NA")</f>
        <v>AF06</v>
      </c>
      <c r="E297" t="str">
        <f>IFERROR(INDEX(Data_Entry[Key],MATCH('Step 4-Long Data'!C297,Data_Entry[ID],0)),"NA")</f>
        <v>AF06-Migrants</v>
      </c>
      <c r="F297">
        <v>10</v>
      </c>
      <c r="G297" t="str">
        <f>IFERROR(INDEX(Framework[Pillar],MATCH('Step 4-Long Data'!F297,Framework[Number],0)),"")</f>
        <v>Humanitarian Conditions</v>
      </c>
      <c r="H297" t="str">
        <f>IFERROR(INDEX(Framework[Sub_Pillar],MATCH('Step 4-Long Data'!F297,Framework[Number],0)),"")</f>
        <v>Living standards</v>
      </c>
      <c r="I297" t="str">
        <f>IFERROR(INDEX(Framework[Indicator],MATCH('Step 4-Long Data'!F297,Framework[Number],0)),"")</f>
        <v>% of HHs having access to a sufficient quality and quantity of water for drinking, cooking, bathing, washing or other domestic use</v>
      </c>
      <c r="J297" t="str">
        <f>IFERROR(INDEX(Framework[Class],MATCH('Step 4-Long Data'!F297,Framework[Number],0)),"")</f>
        <v>Degree</v>
      </c>
      <c r="K297" t="str">
        <f>IFERROR(INDEX(Framework[Critical],MATCH('Step 4-Long Data'!F297,Framework[Number],0)),"")</f>
        <v>No</v>
      </c>
      <c r="L297">
        <f ca="1">IF(Long_Data[[#This Row],[Indicator Class]]="Degree",INDEX(INDIRECT("Data_Entry['"&amp;Long_Data[[#This Row],[Indicator Number]]&amp;"'_DSev_1]"),MATCH(Long_Data[[#This Row],[Key]],Data_Entry[Key],0)),"NA")</f>
        <v>0.35</v>
      </c>
      <c r="M297">
        <f ca="1">IF(Long_Data[[#This Row],[Indicator Class]]="Degree",INDEX(INDIRECT("Data_Entry['"&amp;Long_Data[[#This Row],[Indicator Number]]&amp;"'_DSev_2]"),MATCH(Long_Data[[#This Row],[Key]],Data_Entry[Key],0)),"NA")</f>
        <v>0</v>
      </c>
      <c r="N297">
        <f ca="1">IF(Long_Data[[#This Row],[Indicator Class]]="Degree",INDEX(INDIRECT("Data_Entry['"&amp;Long_Data[[#This Row],[Indicator Number]]&amp;"'_DSev_3]"),MATCH(Long_Data[[#This Row],[Key]],Data_Entry[Key],0)),"NA")</f>
        <v>0.28999999999999998</v>
      </c>
      <c r="O297">
        <f ca="1">IF(Long_Data[[#This Row],[Indicator Class]]="Degree",INDEX(INDIRECT("Data_Entry['"&amp;Long_Data[[#This Row],[Indicator Number]]&amp;"'_DSev_4]"),MATCH(Long_Data[[#This Row],[Key]],Data_Entry[Key],0)),"NA")</f>
        <v>0.36</v>
      </c>
      <c r="P297">
        <f ca="1">IF(Long_Data[[#This Row],[Indicator Class]]="Degree",INDEX(INDIRECT("Data_Entry['"&amp;Long_Data[[#This Row],[Indicator Number]]&amp;"'_DSev_5]"),MATCH(Long_Data[[#This Row],[Key]],Data_Entry[Key],0)),"NA")</f>
        <v>0</v>
      </c>
      <c r="Q297" t="str">
        <f ca="1">IFERROR(IF(Long_Data[[#This Row],[Indicator Class]]="Magnitude", INDEX(INDIRECT("Data_Entry[Sev_"&amp;Long_Data[[#This Row],[Indicator Number]]&amp;"]"),MATCH(Long_Data[[#This Row],[Key]], Data_Entry[Key],0)),"NA"),"")</f>
        <v>NA</v>
      </c>
      <c r="R29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297" s="70">
        <f ca="1">IFERROR(IF(J297="Magnitude",INDEX(INDIRECT("Data_Entry[PIN_"&amp;Long_Data[[#This Row],[Indicator Number]]&amp;"]"),MATCH(Long_Data[[#This Row],[Key]],Data_Entry[Key],0)),SUM(N297:P297)*INDEX(Baseline_Pop[Population],MATCH(Long_Data[[#This Row],[Key]],Baseline_Pop[Key],0))),"")</f>
        <v>284800.09999999998</v>
      </c>
    </row>
    <row r="298" spans="2:19">
      <c r="B298">
        <v>297</v>
      </c>
      <c r="C298">
        <v>27</v>
      </c>
      <c r="D298" t="str">
        <f>IFERROR(INDEX(Data_Entry[ADM2_Pcode],MATCH('Step 4-Long Data'!C298,Data_Entry[ID],0)),"NA")</f>
        <v>AF07</v>
      </c>
      <c r="E298" t="str">
        <f>IFERROR(INDEX(Data_Entry[Key],MATCH('Step 4-Long Data'!C298,Data_Entry[ID],0)),"NA")</f>
        <v>AF07-Migrants</v>
      </c>
      <c r="F298">
        <v>10</v>
      </c>
      <c r="G298" t="str">
        <f>IFERROR(INDEX(Framework[Pillar],MATCH('Step 4-Long Data'!F298,Framework[Number],0)),"")</f>
        <v>Humanitarian Conditions</v>
      </c>
      <c r="H298" t="str">
        <f>IFERROR(INDEX(Framework[Sub_Pillar],MATCH('Step 4-Long Data'!F298,Framework[Number],0)),"")</f>
        <v>Living standards</v>
      </c>
      <c r="I298" t="str">
        <f>IFERROR(INDEX(Framework[Indicator],MATCH('Step 4-Long Data'!F298,Framework[Number],0)),"")</f>
        <v>% of HHs having access to a sufficient quality and quantity of water for drinking, cooking, bathing, washing or other domestic use</v>
      </c>
      <c r="J298" t="str">
        <f>IFERROR(INDEX(Framework[Class],MATCH('Step 4-Long Data'!F298,Framework[Number],0)),"")</f>
        <v>Degree</v>
      </c>
      <c r="K298" t="str">
        <f>IFERROR(INDEX(Framework[Critical],MATCH('Step 4-Long Data'!F298,Framework[Number],0)),"")</f>
        <v>No</v>
      </c>
      <c r="L298">
        <f ca="1">IF(Long_Data[[#This Row],[Indicator Class]]="Degree",INDEX(INDIRECT("Data_Entry['"&amp;Long_Data[[#This Row],[Indicator Number]]&amp;"'_DSev_1]"),MATCH(Long_Data[[#This Row],[Key]],Data_Entry[Key],0)),"NA")</f>
        <v>0</v>
      </c>
      <c r="M298">
        <f ca="1">IF(Long_Data[[#This Row],[Indicator Class]]="Degree",INDEX(INDIRECT("Data_Entry['"&amp;Long_Data[[#This Row],[Indicator Number]]&amp;"'_DSev_2]"),MATCH(Long_Data[[#This Row],[Key]],Data_Entry[Key],0)),"NA")</f>
        <v>0</v>
      </c>
      <c r="N298">
        <f ca="1">IF(Long_Data[[#This Row],[Indicator Class]]="Degree",INDEX(INDIRECT("Data_Entry['"&amp;Long_Data[[#This Row],[Indicator Number]]&amp;"'_DSev_3]"),MATCH(Long_Data[[#This Row],[Key]],Data_Entry[Key],0)),"NA")</f>
        <v>0</v>
      </c>
      <c r="O298">
        <f ca="1">IF(Long_Data[[#This Row],[Indicator Class]]="Degree",INDEX(INDIRECT("Data_Entry['"&amp;Long_Data[[#This Row],[Indicator Number]]&amp;"'_DSev_4]"),MATCH(Long_Data[[#This Row],[Key]],Data_Entry[Key],0)),"NA")</f>
        <v>0</v>
      </c>
      <c r="P298">
        <f ca="1">IF(Long_Data[[#This Row],[Indicator Class]]="Degree",INDEX(INDIRECT("Data_Entry['"&amp;Long_Data[[#This Row],[Indicator Number]]&amp;"'_DSev_5]"),MATCH(Long_Data[[#This Row],[Key]],Data_Entry[Key],0)),"NA")</f>
        <v>0</v>
      </c>
      <c r="Q298" t="str">
        <f ca="1">IFERROR(IF(Long_Data[[#This Row],[Indicator Class]]="Magnitude", INDEX(INDIRECT("Data_Entry[Sev_"&amp;Long_Data[[#This Row],[Indicator Number]]&amp;"]"),MATCH(Long_Data[[#This Row],[Key]], Data_Entry[Key],0)),"NA"),"")</f>
        <v>NA</v>
      </c>
      <c r="R298">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8" s="70">
        <f ca="1">IFERROR(IF(J298="Magnitude",INDEX(INDIRECT("Data_Entry[PIN_"&amp;Long_Data[[#This Row],[Indicator Number]]&amp;"]"),MATCH(Long_Data[[#This Row],[Key]],Data_Entry[Key],0)),SUM(N298:P298)*INDEX(Baseline_Pop[Population],MATCH(Long_Data[[#This Row],[Key]],Baseline_Pop[Key],0))),"")</f>
        <v>0</v>
      </c>
    </row>
    <row r="299" spans="2:19">
      <c r="B299">
        <v>298</v>
      </c>
      <c r="C299">
        <v>28</v>
      </c>
      <c r="D299" t="str">
        <f>IFERROR(INDEX(Data_Entry[ADM2_Pcode],MATCH('Step 4-Long Data'!C299,Data_Entry[ID],0)),"NA")</f>
        <v>AF08</v>
      </c>
      <c r="E299" t="str">
        <f>IFERROR(INDEX(Data_Entry[Key],MATCH('Step 4-Long Data'!C299,Data_Entry[ID],0)),"NA")</f>
        <v>AF08-Migrants</v>
      </c>
      <c r="F299">
        <v>10</v>
      </c>
      <c r="G299" t="str">
        <f>IFERROR(INDEX(Framework[Pillar],MATCH('Step 4-Long Data'!F299,Framework[Number],0)),"")</f>
        <v>Humanitarian Conditions</v>
      </c>
      <c r="H299" t="str">
        <f>IFERROR(INDEX(Framework[Sub_Pillar],MATCH('Step 4-Long Data'!F299,Framework[Number],0)),"")</f>
        <v>Living standards</v>
      </c>
      <c r="I299" t="str">
        <f>IFERROR(INDEX(Framework[Indicator],MATCH('Step 4-Long Data'!F299,Framework[Number],0)),"")</f>
        <v>% of HHs having access to a sufficient quality and quantity of water for drinking, cooking, bathing, washing or other domestic use</v>
      </c>
      <c r="J299" t="str">
        <f>IFERROR(INDEX(Framework[Class],MATCH('Step 4-Long Data'!F299,Framework[Number],0)),"")</f>
        <v>Degree</v>
      </c>
      <c r="K299" t="str">
        <f>IFERROR(INDEX(Framework[Critical],MATCH('Step 4-Long Data'!F299,Framework[Number],0)),"")</f>
        <v>No</v>
      </c>
      <c r="L299">
        <f ca="1">IF(Long_Data[[#This Row],[Indicator Class]]="Degree",INDEX(INDIRECT("Data_Entry['"&amp;Long_Data[[#This Row],[Indicator Number]]&amp;"'_DSev_1]"),MATCH(Long_Data[[#This Row],[Key]],Data_Entry[Key],0)),"NA")</f>
        <v>0</v>
      </c>
      <c r="M299">
        <f ca="1">IF(Long_Data[[#This Row],[Indicator Class]]="Degree",INDEX(INDIRECT("Data_Entry['"&amp;Long_Data[[#This Row],[Indicator Number]]&amp;"'_DSev_2]"),MATCH(Long_Data[[#This Row],[Key]],Data_Entry[Key],0)),"NA")</f>
        <v>0</v>
      </c>
      <c r="N299">
        <f ca="1">IF(Long_Data[[#This Row],[Indicator Class]]="Degree",INDEX(INDIRECT("Data_Entry['"&amp;Long_Data[[#This Row],[Indicator Number]]&amp;"'_DSev_3]"),MATCH(Long_Data[[#This Row],[Key]],Data_Entry[Key],0)),"NA")</f>
        <v>0</v>
      </c>
      <c r="O299">
        <f ca="1">IF(Long_Data[[#This Row],[Indicator Class]]="Degree",INDEX(INDIRECT("Data_Entry['"&amp;Long_Data[[#This Row],[Indicator Number]]&amp;"'_DSev_4]"),MATCH(Long_Data[[#This Row],[Key]],Data_Entry[Key],0)),"NA")</f>
        <v>0</v>
      </c>
      <c r="P299">
        <f ca="1">IF(Long_Data[[#This Row],[Indicator Class]]="Degree",INDEX(INDIRECT("Data_Entry['"&amp;Long_Data[[#This Row],[Indicator Number]]&amp;"'_DSev_5]"),MATCH(Long_Data[[#This Row],[Key]],Data_Entry[Key],0)),"NA")</f>
        <v>0</v>
      </c>
      <c r="Q299" t="str">
        <f ca="1">IFERROR(IF(Long_Data[[#This Row],[Indicator Class]]="Magnitude", INDEX(INDIRECT("Data_Entry[Sev_"&amp;Long_Data[[#This Row],[Indicator Number]]&amp;"]"),MATCH(Long_Data[[#This Row],[Key]], Data_Entry[Key],0)),"NA"),"")</f>
        <v>NA</v>
      </c>
      <c r="R299">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299" s="70">
        <f ca="1">IFERROR(IF(J299="Magnitude",INDEX(INDIRECT("Data_Entry[PIN_"&amp;Long_Data[[#This Row],[Indicator Number]]&amp;"]"),MATCH(Long_Data[[#This Row],[Key]],Data_Entry[Key],0)),SUM(N299:P299)*INDEX(Baseline_Pop[Population],MATCH(Long_Data[[#This Row],[Key]],Baseline_Pop[Key],0))),"")</f>
        <v>0</v>
      </c>
    </row>
    <row r="300" spans="2:19">
      <c r="B300">
        <v>299</v>
      </c>
      <c r="C300">
        <v>29</v>
      </c>
      <c r="D300" t="str">
        <f>IFERROR(INDEX(Data_Entry[ADM2_Pcode],MATCH('Step 4-Long Data'!C300,Data_Entry[ID],0)),"NA")</f>
        <v>AF09</v>
      </c>
      <c r="E300" t="str">
        <f>IFERROR(INDEX(Data_Entry[Key],MATCH('Step 4-Long Data'!C300,Data_Entry[ID],0)),"NA")</f>
        <v>AF09-Migrants</v>
      </c>
      <c r="F300">
        <v>10</v>
      </c>
      <c r="G300" t="str">
        <f>IFERROR(INDEX(Framework[Pillar],MATCH('Step 4-Long Data'!F300,Framework[Number],0)),"")</f>
        <v>Humanitarian Conditions</v>
      </c>
      <c r="H300" t="str">
        <f>IFERROR(INDEX(Framework[Sub_Pillar],MATCH('Step 4-Long Data'!F300,Framework[Number],0)),"")</f>
        <v>Living standards</v>
      </c>
      <c r="I300" t="str">
        <f>IFERROR(INDEX(Framework[Indicator],MATCH('Step 4-Long Data'!F300,Framework[Number],0)),"")</f>
        <v>% of HHs having access to a sufficient quality and quantity of water for drinking, cooking, bathing, washing or other domestic use</v>
      </c>
      <c r="J300" t="str">
        <f>IFERROR(INDEX(Framework[Class],MATCH('Step 4-Long Data'!F300,Framework[Number],0)),"")</f>
        <v>Degree</v>
      </c>
      <c r="K300" t="str">
        <f>IFERROR(INDEX(Framework[Critical],MATCH('Step 4-Long Data'!F300,Framework[Number],0)),"")</f>
        <v>No</v>
      </c>
      <c r="L300">
        <f ca="1">IF(Long_Data[[#This Row],[Indicator Class]]="Degree",INDEX(INDIRECT("Data_Entry['"&amp;Long_Data[[#This Row],[Indicator Number]]&amp;"'_DSev_1]"),MATCH(Long_Data[[#This Row],[Key]],Data_Entry[Key],0)),"NA")</f>
        <v>0.41</v>
      </c>
      <c r="M300">
        <f ca="1">IF(Long_Data[[#This Row],[Indicator Class]]="Degree",INDEX(INDIRECT("Data_Entry['"&amp;Long_Data[[#This Row],[Indicator Number]]&amp;"'_DSev_2]"),MATCH(Long_Data[[#This Row],[Key]],Data_Entry[Key],0)),"NA")</f>
        <v>0</v>
      </c>
      <c r="N300">
        <f ca="1">IF(Long_Data[[#This Row],[Indicator Class]]="Degree",INDEX(INDIRECT("Data_Entry['"&amp;Long_Data[[#This Row],[Indicator Number]]&amp;"'_DSev_3]"),MATCH(Long_Data[[#This Row],[Key]],Data_Entry[Key],0)),"NA")</f>
        <v>0.45</v>
      </c>
      <c r="O300">
        <f ca="1">IF(Long_Data[[#This Row],[Indicator Class]]="Degree",INDEX(INDIRECT("Data_Entry['"&amp;Long_Data[[#This Row],[Indicator Number]]&amp;"'_DSev_4]"),MATCH(Long_Data[[#This Row],[Key]],Data_Entry[Key],0)),"NA")</f>
        <v>0.14000000000000001</v>
      </c>
      <c r="P300">
        <f ca="1">IF(Long_Data[[#This Row],[Indicator Class]]="Degree",INDEX(INDIRECT("Data_Entry['"&amp;Long_Data[[#This Row],[Indicator Number]]&amp;"'_DSev_5]"),MATCH(Long_Data[[#This Row],[Key]],Data_Entry[Key],0)),"NA")</f>
        <v>0</v>
      </c>
      <c r="Q300" t="str">
        <f ca="1">IFERROR(IF(Long_Data[[#This Row],[Indicator Class]]="Magnitude", INDEX(INDIRECT("Data_Entry[Sev_"&amp;Long_Data[[#This Row],[Indicator Number]]&amp;"]"),MATCH(Long_Data[[#This Row],[Key]], Data_Entry[Key],0)),"NA"),"")</f>
        <v>NA</v>
      </c>
      <c r="R30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00" s="70">
        <f ca="1">IFERROR(IF(J300="Magnitude",INDEX(INDIRECT("Data_Entry[PIN_"&amp;Long_Data[[#This Row],[Indicator Number]]&amp;"]"),MATCH(Long_Data[[#This Row],[Key]],Data_Entry[Key],0)),SUM(N300:P300)*INDEX(Baseline_Pop[Population],MATCH(Long_Data[[#This Row],[Key]],Baseline_Pop[Key],0))),"")</f>
        <v>154136.91000000003</v>
      </c>
    </row>
    <row r="301" spans="2:19">
      <c r="B301">
        <v>300</v>
      </c>
      <c r="C301">
        <v>30</v>
      </c>
      <c r="D301" t="str">
        <f>IFERROR(INDEX(Data_Entry[ADM2_Pcode],MATCH('Step 4-Long Data'!C301,Data_Entry[ID],0)),"NA")</f>
        <v>AF10</v>
      </c>
      <c r="E301" t="str">
        <f>IFERROR(INDEX(Data_Entry[Key],MATCH('Step 4-Long Data'!C301,Data_Entry[ID],0)),"NA")</f>
        <v>AF10-Migrants</v>
      </c>
      <c r="F301">
        <v>10</v>
      </c>
      <c r="G301" t="str">
        <f>IFERROR(INDEX(Framework[Pillar],MATCH('Step 4-Long Data'!F301,Framework[Number],0)),"")</f>
        <v>Humanitarian Conditions</v>
      </c>
      <c r="H301" t="str">
        <f>IFERROR(INDEX(Framework[Sub_Pillar],MATCH('Step 4-Long Data'!F301,Framework[Number],0)),"")</f>
        <v>Living standards</v>
      </c>
      <c r="I301" t="str">
        <f>IFERROR(INDEX(Framework[Indicator],MATCH('Step 4-Long Data'!F301,Framework[Number],0)),"")</f>
        <v>% of HHs having access to a sufficient quality and quantity of water for drinking, cooking, bathing, washing or other domestic use</v>
      </c>
      <c r="J301" t="str">
        <f>IFERROR(INDEX(Framework[Class],MATCH('Step 4-Long Data'!F301,Framework[Number],0)),"")</f>
        <v>Degree</v>
      </c>
      <c r="K301" t="str">
        <f>IFERROR(INDEX(Framework[Critical],MATCH('Step 4-Long Data'!F301,Framework[Number],0)),"")</f>
        <v>No</v>
      </c>
      <c r="L301">
        <f ca="1">IF(Long_Data[[#This Row],[Indicator Class]]="Degree",INDEX(INDIRECT("Data_Entry['"&amp;Long_Data[[#This Row],[Indicator Number]]&amp;"'_DSev_1]"),MATCH(Long_Data[[#This Row],[Key]],Data_Entry[Key],0)),"NA")</f>
        <v>0</v>
      </c>
      <c r="M301">
        <f ca="1">IF(Long_Data[[#This Row],[Indicator Class]]="Degree",INDEX(INDIRECT("Data_Entry['"&amp;Long_Data[[#This Row],[Indicator Number]]&amp;"'_DSev_2]"),MATCH(Long_Data[[#This Row],[Key]],Data_Entry[Key],0)),"NA")</f>
        <v>0</v>
      </c>
      <c r="N301">
        <f ca="1">IF(Long_Data[[#This Row],[Indicator Class]]="Degree",INDEX(INDIRECT("Data_Entry['"&amp;Long_Data[[#This Row],[Indicator Number]]&amp;"'_DSev_3]"),MATCH(Long_Data[[#This Row],[Key]],Data_Entry[Key],0)),"NA")</f>
        <v>0</v>
      </c>
      <c r="O301">
        <f ca="1">IF(Long_Data[[#This Row],[Indicator Class]]="Degree",INDEX(INDIRECT("Data_Entry['"&amp;Long_Data[[#This Row],[Indicator Number]]&amp;"'_DSev_4]"),MATCH(Long_Data[[#This Row],[Key]],Data_Entry[Key],0)),"NA")</f>
        <v>0</v>
      </c>
      <c r="P301">
        <f ca="1">IF(Long_Data[[#This Row],[Indicator Class]]="Degree",INDEX(INDIRECT("Data_Entry['"&amp;Long_Data[[#This Row],[Indicator Number]]&amp;"'_DSev_5]"),MATCH(Long_Data[[#This Row],[Key]],Data_Entry[Key],0)),"NA")</f>
        <v>0</v>
      </c>
      <c r="Q301" t="str">
        <f ca="1">IFERROR(IF(Long_Data[[#This Row],[Indicator Class]]="Magnitude", INDEX(INDIRECT("Data_Entry[Sev_"&amp;Long_Data[[#This Row],[Indicator Number]]&amp;"]"),MATCH(Long_Data[[#This Row],[Key]], Data_Entry[Key],0)),"NA"),"")</f>
        <v>NA</v>
      </c>
      <c r="R301">
        <f ca="1">IFERROR(IF(Long_Data[[#This Row],[Indicator Class]]="Magnitude", Long_Data[[#This Row],[Magnitude Severity]],IF(Long_Data[[#This Row],[Severity 5]]&gt;=0.25,5,IF(SUM(Long_Data[[#This Row],[Severity 4]:[Severity 5]])&gt;=0.25,4,IF(SUM(Long_Data[[#This Row],[Severity 3]:[Severity 5]])&gt;=0.25,3,IF(SUM(Long_Data[[#This Row],[Severity 2]:[Severity 5]])&gt;=0.25, 2,1))))), "")</f>
        <v>1</v>
      </c>
      <c r="S301" s="70">
        <f ca="1">IFERROR(IF(J301="Magnitude",INDEX(INDIRECT("Data_Entry[PIN_"&amp;Long_Data[[#This Row],[Indicator Number]]&amp;"]"),MATCH(Long_Data[[#This Row],[Key]],Data_Entry[Key],0)),SUM(N301:P301)*INDEX(Baseline_Pop[Population],MATCH(Long_Data[[#This Row],[Key]],Baseline_Pop[Key],0))),"")</f>
        <v>0</v>
      </c>
    </row>
    <row r="302" spans="2:19">
      <c r="B302">
        <v>301</v>
      </c>
      <c r="C302">
        <v>1</v>
      </c>
      <c r="D302" t="str">
        <f>IFERROR(INDEX(Data_Entry[ADM2_Pcode],MATCH('Step 4-Long Data'!C302,Data_Entry[ID],0)),"NA")</f>
        <v>AF01</v>
      </c>
      <c r="E302" t="str">
        <f>IFERROR(INDEX(Data_Entry[Key],MATCH('Step 4-Long Data'!C302,Data_Entry[ID],0)),"NA")</f>
        <v>AF01-All_Others</v>
      </c>
      <c r="F302">
        <v>11</v>
      </c>
      <c r="G302" t="str">
        <f>IFERROR(INDEX(Framework[Pillar],MATCH('Step 4-Long Data'!F302,Framework[Number],0)),"")</f>
        <v>Humanitarian Conditions</v>
      </c>
      <c r="H302" t="str">
        <f>IFERROR(INDEX(Framework[Sub_Pillar],MATCH('Step 4-Long Data'!F302,Framework[Number],0)),"")</f>
        <v>Coping mechanisms</v>
      </c>
      <c r="I302" t="str">
        <f>IFERROR(INDEX(Framework[Indicator],MATCH('Step 4-Long Data'!F302,Framework[Number],0)),"")</f>
        <v>% of HHs unable to obtain seed</v>
      </c>
      <c r="J302" t="str">
        <f>IFERROR(INDEX(Framework[Class],MATCH('Step 4-Long Data'!F302,Framework[Number],0)),"")</f>
        <v>Magnitude</v>
      </c>
      <c r="K302" t="str">
        <f>IFERROR(INDEX(Framework[Critical],MATCH('Step 4-Long Data'!F302,Framework[Number],0)),"")</f>
        <v>No</v>
      </c>
      <c r="L302" t="str">
        <f ca="1">IF(Long_Data[[#This Row],[Indicator Class]]="Degree",INDEX(INDIRECT("Data_Entry['"&amp;Long_Data[[#This Row],[Indicator Number]]&amp;"'_DSev_1]"),MATCH(Long_Data[[#This Row],[Key]],Data_Entry[Key],0)),"NA")</f>
        <v>NA</v>
      </c>
      <c r="M302" t="str">
        <f ca="1">IF(Long_Data[[#This Row],[Indicator Class]]="Degree",INDEX(INDIRECT("Data_Entry['"&amp;Long_Data[[#This Row],[Indicator Number]]&amp;"'_DSev_2]"),MATCH(Long_Data[[#This Row],[Key]],Data_Entry[Key],0)),"NA")</f>
        <v>NA</v>
      </c>
      <c r="N302" t="str">
        <f ca="1">IF(Long_Data[[#This Row],[Indicator Class]]="Degree",INDEX(INDIRECT("Data_Entry['"&amp;Long_Data[[#This Row],[Indicator Number]]&amp;"'_DSev_3]"),MATCH(Long_Data[[#This Row],[Key]],Data_Entry[Key],0)),"NA")</f>
        <v>NA</v>
      </c>
      <c r="O302" t="str">
        <f ca="1">IF(Long_Data[[#This Row],[Indicator Class]]="Degree",INDEX(INDIRECT("Data_Entry['"&amp;Long_Data[[#This Row],[Indicator Number]]&amp;"'_DSev_4]"),MATCH(Long_Data[[#This Row],[Key]],Data_Entry[Key],0)),"NA")</f>
        <v>NA</v>
      </c>
      <c r="P302" t="str">
        <f ca="1">IF(Long_Data[[#This Row],[Indicator Class]]="Degree",INDEX(INDIRECT("Data_Entry['"&amp;Long_Data[[#This Row],[Indicator Number]]&amp;"'_DSev_5]"),MATCH(Long_Data[[#This Row],[Key]],Data_Entry[Key],0)),"NA")</f>
        <v>NA</v>
      </c>
      <c r="Q302">
        <f ca="1">IFERROR(IF(Long_Data[[#This Row],[Indicator Class]]="Magnitude", INDEX(INDIRECT("Data_Entry[Sev_"&amp;Long_Data[[#This Row],[Indicator Number]]&amp;"]"),MATCH(Long_Data[[#This Row],[Key]], Data_Entry[Key],0)),"NA"),"")</f>
        <v>4</v>
      </c>
      <c r="R30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02" s="70">
        <f ca="1">IFERROR(IF(J302="Magnitude",INDEX(INDIRECT("Data_Entry[PIN_"&amp;Long_Data[[#This Row],[Indicator Number]]&amp;"]"),MATCH(Long_Data[[#This Row],[Key]],Data_Entry[Key],0)),SUM(N302:P302)*INDEX(Baseline_Pop[Population],MATCH(Long_Data[[#This Row],[Key]],Baseline_Pop[Key],0))),"")</f>
        <v>3633080.7207261594</v>
      </c>
    </row>
    <row r="303" spans="2:19">
      <c r="B303">
        <v>302</v>
      </c>
      <c r="C303">
        <v>2</v>
      </c>
      <c r="D303" t="str">
        <f>IFERROR(INDEX(Data_Entry[ADM2_Pcode],MATCH('Step 4-Long Data'!C303,Data_Entry[ID],0)),"NA")</f>
        <v>AF02</v>
      </c>
      <c r="E303" t="str">
        <f>IFERROR(INDEX(Data_Entry[Key],MATCH('Step 4-Long Data'!C303,Data_Entry[ID],0)),"NA")</f>
        <v>AF02-All_Others</v>
      </c>
      <c r="F303">
        <v>11</v>
      </c>
      <c r="G303" t="str">
        <f>IFERROR(INDEX(Framework[Pillar],MATCH('Step 4-Long Data'!F303,Framework[Number],0)),"")</f>
        <v>Humanitarian Conditions</v>
      </c>
      <c r="H303" t="str">
        <f>IFERROR(INDEX(Framework[Sub_Pillar],MATCH('Step 4-Long Data'!F303,Framework[Number],0)),"")</f>
        <v>Coping mechanisms</v>
      </c>
      <c r="I303" t="str">
        <f>IFERROR(INDEX(Framework[Indicator],MATCH('Step 4-Long Data'!F303,Framework[Number],0)),"")</f>
        <v>% of HHs unable to obtain seed</v>
      </c>
      <c r="J303" t="str">
        <f>IFERROR(INDEX(Framework[Class],MATCH('Step 4-Long Data'!F303,Framework[Number],0)),"")</f>
        <v>Magnitude</v>
      </c>
      <c r="K303" t="str">
        <f>IFERROR(INDEX(Framework[Critical],MATCH('Step 4-Long Data'!F303,Framework[Number],0)),"")</f>
        <v>No</v>
      </c>
      <c r="L303" t="str">
        <f ca="1">IF(Long_Data[[#This Row],[Indicator Class]]="Degree",INDEX(INDIRECT("Data_Entry['"&amp;Long_Data[[#This Row],[Indicator Number]]&amp;"'_DSev_1]"),MATCH(Long_Data[[#This Row],[Key]],Data_Entry[Key],0)),"NA")</f>
        <v>NA</v>
      </c>
      <c r="M303" t="str">
        <f ca="1">IF(Long_Data[[#This Row],[Indicator Class]]="Degree",INDEX(INDIRECT("Data_Entry['"&amp;Long_Data[[#This Row],[Indicator Number]]&amp;"'_DSev_2]"),MATCH(Long_Data[[#This Row],[Key]],Data_Entry[Key],0)),"NA")</f>
        <v>NA</v>
      </c>
      <c r="N303" t="str">
        <f ca="1">IF(Long_Data[[#This Row],[Indicator Class]]="Degree",INDEX(INDIRECT("Data_Entry['"&amp;Long_Data[[#This Row],[Indicator Number]]&amp;"'_DSev_3]"),MATCH(Long_Data[[#This Row],[Key]],Data_Entry[Key],0)),"NA")</f>
        <v>NA</v>
      </c>
      <c r="O303" t="str">
        <f ca="1">IF(Long_Data[[#This Row],[Indicator Class]]="Degree",INDEX(INDIRECT("Data_Entry['"&amp;Long_Data[[#This Row],[Indicator Number]]&amp;"'_DSev_4]"),MATCH(Long_Data[[#This Row],[Key]],Data_Entry[Key],0)),"NA")</f>
        <v>NA</v>
      </c>
      <c r="P303" t="str">
        <f ca="1">IF(Long_Data[[#This Row],[Indicator Class]]="Degree",INDEX(INDIRECT("Data_Entry['"&amp;Long_Data[[#This Row],[Indicator Number]]&amp;"'_DSev_5]"),MATCH(Long_Data[[#This Row],[Key]],Data_Entry[Key],0)),"NA")</f>
        <v>NA</v>
      </c>
      <c r="Q303">
        <f ca="1">IFERROR(IF(Long_Data[[#This Row],[Indicator Class]]="Magnitude", INDEX(INDIRECT("Data_Entry[Sev_"&amp;Long_Data[[#This Row],[Indicator Number]]&amp;"]"),MATCH(Long_Data[[#This Row],[Key]], Data_Entry[Key],0)),"NA"),"")</f>
        <v>2</v>
      </c>
      <c r="R30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03" s="70">
        <f ca="1">IFERROR(IF(J303="Magnitude",INDEX(INDIRECT("Data_Entry[PIN_"&amp;Long_Data[[#This Row],[Indicator Number]]&amp;"]"),MATCH(Long_Data[[#This Row],[Key]],Data_Entry[Key],0)),SUM(N303:P303)*INDEX(Baseline_Pop[Population],MATCH(Long_Data[[#This Row],[Key]],Baseline_Pop[Key],0))),"")</f>
        <v>186812.40566037688</v>
      </c>
    </row>
    <row r="304" spans="2:19">
      <c r="B304">
        <v>303</v>
      </c>
      <c r="C304">
        <v>3</v>
      </c>
      <c r="D304" t="str">
        <f>IFERROR(INDEX(Data_Entry[ADM2_Pcode],MATCH('Step 4-Long Data'!C304,Data_Entry[ID],0)),"NA")</f>
        <v>AF03</v>
      </c>
      <c r="E304" t="str">
        <f>IFERROR(INDEX(Data_Entry[Key],MATCH('Step 4-Long Data'!C304,Data_Entry[ID],0)),"NA")</f>
        <v>AF03-All_Others</v>
      </c>
      <c r="F304">
        <v>11</v>
      </c>
      <c r="G304" t="str">
        <f>IFERROR(INDEX(Framework[Pillar],MATCH('Step 4-Long Data'!F304,Framework[Number],0)),"")</f>
        <v>Humanitarian Conditions</v>
      </c>
      <c r="H304" t="str">
        <f>IFERROR(INDEX(Framework[Sub_Pillar],MATCH('Step 4-Long Data'!F304,Framework[Number],0)),"")</f>
        <v>Coping mechanisms</v>
      </c>
      <c r="I304" t="str">
        <f>IFERROR(INDEX(Framework[Indicator],MATCH('Step 4-Long Data'!F304,Framework[Number],0)),"")</f>
        <v>% of HHs unable to obtain seed</v>
      </c>
      <c r="J304" t="str">
        <f>IFERROR(INDEX(Framework[Class],MATCH('Step 4-Long Data'!F304,Framework[Number],0)),"")</f>
        <v>Magnitude</v>
      </c>
      <c r="K304" t="str">
        <f>IFERROR(INDEX(Framework[Critical],MATCH('Step 4-Long Data'!F304,Framework[Number],0)),"")</f>
        <v>No</v>
      </c>
      <c r="L304" t="str">
        <f ca="1">IF(Long_Data[[#This Row],[Indicator Class]]="Degree",INDEX(INDIRECT("Data_Entry['"&amp;Long_Data[[#This Row],[Indicator Number]]&amp;"'_DSev_1]"),MATCH(Long_Data[[#This Row],[Key]],Data_Entry[Key],0)),"NA")</f>
        <v>NA</v>
      </c>
      <c r="M304" t="str">
        <f ca="1">IF(Long_Data[[#This Row],[Indicator Class]]="Degree",INDEX(INDIRECT("Data_Entry['"&amp;Long_Data[[#This Row],[Indicator Number]]&amp;"'_DSev_2]"),MATCH(Long_Data[[#This Row],[Key]],Data_Entry[Key],0)),"NA")</f>
        <v>NA</v>
      </c>
      <c r="N304" t="str">
        <f ca="1">IF(Long_Data[[#This Row],[Indicator Class]]="Degree",INDEX(INDIRECT("Data_Entry['"&amp;Long_Data[[#This Row],[Indicator Number]]&amp;"'_DSev_3]"),MATCH(Long_Data[[#This Row],[Key]],Data_Entry[Key],0)),"NA")</f>
        <v>NA</v>
      </c>
      <c r="O304" t="str">
        <f ca="1">IF(Long_Data[[#This Row],[Indicator Class]]="Degree",INDEX(INDIRECT("Data_Entry['"&amp;Long_Data[[#This Row],[Indicator Number]]&amp;"'_DSev_4]"),MATCH(Long_Data[[#This Row],[Key]],Data_Entry[Key],0)),"NA")</f>
        <v>NA</v>
      </c>
      <c r="P304" t="str">
        <f ca="1">IF(Long_Data[[#This Row],[Indicator Class]]="Degree",INDEX(INDIRECT("Data_Entry['"&amp;Long_Data[[#This Row],[Indicator Number]]&amp;"'_DSev_5]"),MATCH(Long_Data[[#This Row],[Key]],Data_Entry[Key],0)),"NA")</f>
        <v>NA</v>
      </c>
      <c r="Q304">
        <f ca="1">IFERROR(IF(Long_Data[[#This Row],[Indicator Class]]="Magnitude", INDEX(INDIRECT("Data_Entry[Sev_"&amp;Long_Data[[#This Row],[Indicator Number]]&amp;"]"),MATCH(Long_Data[[#This Row],[Key]], Data_Entry[Key],0)),"NA"),"")</f>
        <v>3</v>
      </c>
      <c r="R30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04" s="70">
        <f ca="1">IFERROR(IF(J304="Magnitude",INDEX(INDIRECT("Data_Entry[PIN_"&amp;Long_Data[[#This Row],[Indicator Number]]&amp;"]"),MATCH(Long_Data[[#This Row],[Key]],Data_Entry[Key],0)),SUM(N304:P304)*INDEX(Baseline_Pop[Population],MATCH(Long_Data[[#This Row],[Key]],Baseline_Pop[Key],0))),"")</f>
        <v>339343.61948955903</v>
      </c>
    </row>
    <row r="305" spans="2:19">
      <c r="B305">
        <v>304</v>
      </c>
      <c r="C305">
        <v>4</v>
      </c>
      <c r="D305" t="str">
        <f>IFERROR(INDEX(Data_Entry[ADM2_Pcode],MATCH('Step 4-Long Data'!C305,Data_Entry[ID],0)),"NA")</f>
        <v>AF04</v>
      </c>
      <c r="E305" t="str">
        <f>IFERROR(INDEX(Data_Entry[Key],MATCH('Step 4-Long Data'!C305,Data_Entry[ID],0)),"NA")</f>
        <v>AF04-All_Others</v>
      </c>
      <c r="F305">
        <v>11</v>
      </c>
      <c r="G305" t="str">
        <f>IFERROR(INDEX(Framework[Pillar],MATCH('Step 4-Long Data'!F305,Framework[Number],0)),"")</f>
        <v>Humanitarian Conditions</v>
      </c>
      <c r="H305" t="str">
        <f>IFERROR(INDEX(Framework[Sub_Pillar],MATCH('Step 4-Long Data'!F305,Framework[Number],0)),"")</f>
        <v>Coping mechanisms</v>
      </c>
      <c r="I305" t="str">
        <f>IFERROR(INDEX(Framework[Indicator],MATCH('Step 4-Long Data'!F305,Framework[Number],0)),"")</f>
        <v>% of HHs unable to obtain seed</v>
      </c>
      <c r="J305" t="str">
        <f>IFERROR(INDEX(Framework[Class],MATCH('Step 4-Long Data'!F305,Framework[Number],0)),"")</f>
        <v>Magnitude</v>
      </c>
      <c r="K305" t="str">
        <f>IFERROR(INDEX(Framework[Critical],MATCH('Step 4-Long Data'!F305,Framework[Number],0)),"")</f>
        <v>No</v>
      </c>
      <c r="L305" t="str">
        <f ca="1">IF(Long_Data[[#This Row],[Indicator Class]]="Degree",INDEX(INDIRECT("Data_Entry['"&amp;Long_Data[[#This Row],[Indicator Number]]&amp;"'_DSev_1]"),MATCH(Long_Data[[#This Row],[Key]],Data_Entry[Key],0)),"NA")</f>
        <v>NA</v>
      </c>
      <c r="M305" t="str">
        <f ca="1">IF(Long_Data[[#This Row],[Indicator Class]]="Degree",INDEX(INDIRECT("Data_Entry['"&amp;Long_Data[[#This Row],[Indicator Number]]&amp;"'_DSev_2]"),MATCH(Long_Data[[#This Row],[Key]],Data_Entry[Key],0)),"NA")</f>
        <v>NA</v>
      </c>
      <c r="N305" t="str">
        <f ca="1">IF(Long_Data[[#This Row],[Indicator Class]]="Degree",INDEX(INDIRECT("Data_Entry['"&amp;Long_Data[[#This Row],[Indicator Number]]&amp;"'_DSev_3]"),MATCH(Long_Data[[#This Row],[Key]],Data_Entry[Key],0)),"NA")</f>
        <v>NA</v>
      </c>
      <c r="O305" t="str">
        <f ca="1">IF(Long_Data[[#This Row],[Indicator Class]]="Degree",INDEX(INDIRECT("Data_Entry['"&amp;Long_Data[[#This Row],[Indicator Number]]&amp;"'_DSev_4]"),MATCH(Long_Data[[#This Row],[Key]],Data_Entry[Key],0)),"NA")</f>
        <v>NA</v>
      </c>
      <c r="P305" t="str">
        <f ca="1">IF(Long_Data[[#This Row],[Indicator Class]]="Degree",INDEX(INDIRECT("Data_Entry['"&amp;Long_Data[[#This Row],[Indicator Number]]&amp;"'_DSev_5]"),MATCH(Long_Data[[#This Row],[Key]],Data_Entry[Key],0)),"NA")</f>
        <v>NA</v>
      </c>
      <c r="Q305">
        <f ca="1">IFERROR(IF(Long_Data[[#This Row],[Indicator Class]]="Magnitude", INDEX(INDIRECT("Data_Entry[Sev_"&amp;Long_Data[[#This Row],[Indicator Number]]&amp;"]"),MATCH(Long_Data[[#This Row],[Key]], Data_Entry[Key],0)),"NA"),"")</f>
        <v>3</v>
      </c>
      <c r="R30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05" s="70">
        <f ca="1">IFERROR(IF(J305="Magnitude",INDEX(INDIRECT("Data_Entry[PIN_"&amp;Long_Data[[#This Row],[Indicator Number]]&amp;"]"),MATCH(Long_Data[[#This Row],[Key]],Data_Entry[Key],0)),SUM(N305:P305)*INDEX(Baseline_Pop[Population],MATCH(Long_Data[[#This Row],[Key]],Baseline_Pop[Key],0))),"")</f>
        <v>428458.93294144847</v>
      </c>
    </row>
    <row r="306" spans="2:19">
      <c r="B306">
        <v>305</v>
      </c>
      <c r="C306">
        <v>5</v>
      </c>
      <c r="D306" t="str">
        <f>IFERROR(INDEX(Data_Entry[ADM2_Pcode],MATCH('Step 4-Long Data'!C306,Data_Entry[ID],0)),"NA")</f>
        <v>AF05</v>
      </c>
      <c r="E306" t="str">
        <f>IFERROR(INDEX(Data_Entry[Key],MATCH('Step 4-Long Data'!C306,Data_Entry[ID],0)),"NA")</f>
        <v>AF05-All_Others</v>
      </c>
      <c r="F306">
        <v>11</v>
      </c>
      <c r="G306" t="str">
        <f>IFERROR(INDEX(Framework[Pillar],MATCH('Step 4-Long Data'!F306,Framework[Number],0)),"")</f>
        <v>Humanitarian Conditions</v>
      </c>
      <c r="H306" t="str">
        <f>IFERROR(INDEX(Framework[Sub_Pillar],MATCH('Step 4-Long Data'!F306,Framework[Number],0)),"")</f>
        <v>Coping mechanisms</v>
      </c>
      <c r="I306" t="str">
        <f>IFERROR(INDEX(Framework[Indicator],MATCH('Step 4-Long Data'!F306,Framework[Number],0)),"")</f>
        <v>% of HHs unable to obtain seed</v>
      </c>
      <c r="J306" t="str">
        <f>IFERROR(INDEX(Framework[Class],MATCH('Step 4-Long Data'!F306,Framework[Number],0)),"")</f>
        <v>Magnitude</v>
      </c>
      <c r="K306" t="str">
        <f>IFERROR(INDEX(Framework[Critical],MATCH('Step 4-Long Data'!F306,Framework[Number],0)),"")</f>
        <v>No</v>
      </c>
      <c r="L306" t="str">
        <f ca="1">IF(Long_Data[[#This Row],[Indicator Class]]="Degree",INDEX(INDIRECT("Data_Entry['"&amp;Long_Data[[#This Row],[Indicator Number]]&amp;"'_DSev_1]"),MATCH(Long_Data[[#This Row],[Key]],Data_Entry[Key],0)),"NA")</f>
        <v>NA</v>
      </c>
      <c r="M306" t="str">
        <f ca="1">IF(Long_Data[[#This Row],[Indicator Class]]="Degree",INDEX(INDIRECT("Data_Entry['"&amp;Long_Data[[#This Row],[Indicator Number]]&amp;"'_DSev_2]"),MATCH(Long_Data[[#This Row],[Key]],Data_Entry[Key],0)),"NA")</f>
        <v>NA</v>
      </c>
      <c r="N306" t="str">
        <f ca="1">IF(Long_Data[[#This Row],[Indicator Class]]="Degree",INDEX(INDIRECT("Data_Entry['"&amp;Long_Data[[#This Row],[Indicator Number]]&amp;"'_DSev_3]"),MATCH(Long_Data[[#This Row],[Key]],Data_Entry[Key],0)),"NA")</f>
        <v>NA</v>
      </c>
      <c r="O306" t="str">
        <f ca="1">IF(Long_Data[[#This Row],[Indicator Class]]="Degree",INDEX(INDIRECT("Data_Entry['"&amp;Long_Data[[#This Row],[Indicator Number]]&amp;"'_DSev_4]"),MATCH(Long_Data[[#This Row],[Key]],Data_Entry[Key],0)),"NA")</f>
        <v>NA</v>
      </c>
      <c r="P306" t="str">
        <f ca="1">IF(Long_Data[[#This Row],[Indicator Class]]="Degree",INDEX(INDIRECT("Data_Entry['"&amp;Long_Data[[#This Row],[Indicator Number]]&amp;"'_DSev_5]"),MATCH(Long_Data[[#This Row],[Key]],Data_Entry[Key],0)),"NA")</f>
        <v>NA</v>
      </c>
      <c r="Q306">
        <f ca="1">IFERROR(IF(Long_Data[[#This Row],[Indicator Class]]="Magnitude", INDEX(INDIRECT("Data_Entry[Sev_"&amp;Long_Data[[#This Row],[Indicator Number]]&amp;"]"),MATCH(Long_Data[[#This Row],[Key]], Data_Entry[Key],0)),"NA"),"")</f>
        <v>3</v>
      </c>
      <c r="R30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06" s="70">
        <f ca="1">IFERROR(IF(J306="Magnitude",INDEX(INDIRECT("Data_Entry[PIN_"&amp;Long_Data[[#This Row],[Indicator Number]]&amp;"]"),MATCH(Long_Data[[#This Row],[Key]],Data_Entry[Key],0)),SUM(N306:P306)*INDEX(Baseline_Pop[Population],MATCH(Long_Data[[#This Row],[Key]],Baseline_Pop[Key],0))),"")</f>
        <v>273283.88178152492</v>
      </c>
    </row>
    <row r="307" spans="2:19">
      <c r="B307">
        <v>306</v>
      </c>
      <c r="C307">
        <v>6</v>
      </c>
      <c r="D307" t="str">
        <f>IFERROR(INDEX(Data_Entry[ADM2_Pcode],MATCH('Step 4-Long Data'!C307,Data_Entry[ID],0)),"NA")</f>
        <v>AF06</v>
      </c>
      <c r="E307" t="str">
        <f>IFERROR(INDEX(Data_Entry[Key],MATCH('Step 4-Long Data'!C307,Data_Entry[ID],0)),"NA")</f>
        <v>AF06-All_Others</v>
      </c>
      <c r="F307">
        <v>11</v>
      </c>
      <c r="G307" t="str">
        <f>IFERROR(INDEX(Framework[Pillar],MATCH('Step 4-Long Data'!F307,Framework[Number],0)),"")</f>
        <v>Humanitarian Conditions</v>
      </c>
      <c r="H307" t="str">
        <f>IFERROR(INDEX(Framework[Sub_Pillar],MATCH('Step 4-Long Data'!F307,Framework[Number],0)),"")</f>
        <v>Coping mechanisms</v>
      </c>
      <c r="I307" t="str">
        <f>IFERROR(INDEX(Framework[Indicator],MATCH('Step 4-Long Data'!F307,Framework[Number],0)),"")</f>
        <v>% of HHs unable to obtain seed</v>
      </c>
      <c r="J307" t="str">
        <f>IFERROR(INDEX(Framework[Class],MATCH('Step 4-Long Data'!F307,Framework[Number],0)),"")</f>
        <v>Magnitude</v>
      </c>
      <c r="K307" t="str">
        <f>IFERROR(INDEX(Framework[Critical],MATCH('Step 4-Long Data'!F307,Framework[Number],0)),"")</f>
        <v>No</v>
      </c>
      <c r="L307" t="str">
        <f ca="1">IF(Long_Data[[#This Row],[Indicator Class]]="Degree",INDEX(INDIRECT("Data_Entry['"&amp;Long_Data[[#This Row],[Indicator Number]]&amp;"'_DSev_1]"),MATCH(Long_Data[[#This Row],[Key]],Data_Entry[Key],0)),"NA")</f>
        <v>NA</v>
      </c>
      <c r="M307" t="str">
        <f ca="1">IF(Long_Data[[#This Row],[Indicator Class]]="Degree",INDEX(INDIRECT("Data_Entry['"&amp;Long_Data[[#This Row],[Indicator Number]]&amp;"'_DSev_2]"),MATCH(Long_Data[[#This Row],[Key]],Data_Entry[Key],0)),"NA")</f>
        <v>NA</v>
      </c>
      <c r="N307" t="str">
        <f ca="1">IF(Long_Data[[#This Row],[Indicator Class]]="Degree",INDEX(INDIRECT("Data_Entry['"&amp;Long_Data[[#This Row],[Indicator Number]]&amp;"'_DSev_3]"),MATCH(Long_Data[[#This Row],[Key]],Data_Entry[Key],0)),"NA")</f>
        <v>NA</v>
      </c>
      <c r="O307" t="str">
        <f ca="1">IF(Long_Data[[#This Row],[Indicator Class]]="Degree",INDEX(INDIRECT("Data_Entry['"&amp;Long_Data[[#This Row],[Indicator Number]]&amp;"'_DSev_4]"),MATCH(Long_Data[[#This Row],[Key]],Data_Entry[Key],0)),"NA")</f>
        <v>NA</v>
      </c>
      <c r="P307" t="str">
        <f ca="1">IF(Long_Data[[#This Row],[Indicator Class]]="Degree",INDEX(INDIRECT("Data_Entry['"&amp;Long_Data[[#This Row],[Indicator Number]]&amp;"'_DSev_5]"),MATCH(Long_Data[[#This Row],[Key]],Data_Entry[Key],0)),"NA")</f>
        <v>NA</v>
      </c>
      <c r="Q307">
        <f ca="1">IFERROR(IF(Long_Data[[#This Row],[Indicator Class]]="Magnitude", INDEX(INDIRECT("Data_Entry[Sev_"&amp;Long_Data[[#This Row],[Indicator Number]]&amp;"]"),MATCH(Long_Data[[#This Row],[Key]], Data_Entry[Key],0)),"NA"),"")</f>
        <v>4</v>
      </c>
      <c r="R30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07" s="70">
        <f ca="1">IFERROR(IF(J307="Magnitude",INDEX(INDIRECT("Data_Entry[PIN_"&amp;Long_Data[[#This Row],[Indicator Number]]&amp;"]"),MATCH(Long_Data[[#This Row],[Key]],Data_Entry[Key],0)),SUM(N307:P307)*INDEX(Baseline_Pop[Population],MATCH(Long_Data[[#This Row],[Key]],Baseline_Pop[Key],0))),"")</f>
        <v>1260680.4054054071</v>
      </c>
    </row>
    <row r="308" spans="2:19">
      <c r="B308">
        <v>307</v>
      </c>
      <c r="C308">
        <v>7</v>
      </c>
      <c r="D308" t="str">
        <f>IFERROR(INDEX(Data_Entry[ADM2_Pcode],MATCH('Step 4-Long Data'!C308,Data_Entry[ID],0)),"NA")</f>
        <v>AF07</v>
      </c>
      <c r="E308" t="str">
        <f>IFERROR(INDEX(Data_Entry[Key],MATCH('Step 4-Long Data'!C308,Data_Entry[ID],0)),"NA")</f>
        <v>AF07-All_Others</v>
      </c>
      <c r="F308">
        <v>11</v>
      </c>
      <c r="G308" t="str">
        <f>IFERROR(INDEX(Framework[Pillar],MATCH('Step 4-Long Data'!F308,Framework[Number],0)),"")</f>
        <v>Humanitarian Conditions</v>
      </c>
      <c r="H308" t="str">
        <f>IFERROR(INDEX(Framework[Sub_Pillar],MATCH('Step 4-Long Data'!F308,Framework[Number],0)),"")</f>
        <v>Coping mechanisms</v>
      </c>
      <c r="I308" t="str">
        <f>IFERROR(INDEX(Framework[Indicator],MATCH('Step 4-Long Data'!F308,Framework[Number],0)),"")</f>
        <v>% of HHs unable to obtain seed</v>
      </c>
      <c r="J308" t="str">
        <f>IFERROR(INDEX(Framework[Class],MATCH('Step 4-Long Data'!F308,Framework[Number],0)),"")</f>
        <v>Magnitude</v>
      </c>
      <c r="K308" t="str">
        <f>IFERROR(INDEX(Framework[Critical],MATCH('Step 4-Long Data'!F308,Framework[Number],0)),"")</f>
        <v>No</v>
      </c>
      <c r="L308" t="str">
        <f ca="1">IF(Long_Data[[#This Row],[Indicator Class]]="Degree",INDEX(INDIRECT("Data_Entry['"&amp;Long_Data[[#This Row],[Indicator Number]]&amp;"'_DSev_1]"),MATCH(Long_Data[[#This Row],[Key]],Data_Entry[Key],0)),"NA")</f>
        <v>NA</v>
      </c>
      <c r="M308" t="str">
        <f ca="1">IF(Long_Data[[#This Row],[Indicator Class]]="Degree",INDEX(INDIRECT("Data_Entry['"&amp;Long_Data[[#This Row],[Indicator Number]]&amp;"'_DSev_2]"),MATCH(Long_Data[[#This Row],[Key]],Data_Entry[Key],0)),"NA")</f>
        <v>NA</v>
      </c>
      <c r="N308" t="str">
        <f ca="1">IF(Long_Data[[#This Row],[Indicator Class]]="Degree",INDEX(INDIRECT("Data_Entry['"&amp;Long_Data[[#This Row],[Indicator Number]]&amp;"'_DSev_3]"),MATCH(Long_Data[[#This Row],[Key]],Data_Entry[Key],0)),"NA")</f>
        <v>NA</v>
      </c>
      <c r="O308" t="str">
        <f ca="1">IF(Long_Data[[#This Row],[Indicator Class]]="Degree",INDEX(INDIRECT("Data_Entry['"&amp;Long_Data[[#This Row],[Indicator Number]]&amp;"'_DSev_4]"),MATCH(Long_Data[[#This Row],[Key]],Data_Entry[Key],0)),"NA")</f>
        <v>NA</v>
      </c>
      <c r="P308" t="str">
        <f ca="1">IF(Long_Data[[#This Row],[Indicator Class]]="Degree",INDEX(INDIRECT("Data_Entry['"&amp;Long_Data[[#This Row],[Indicator Number]]&amp;"'_DSev_5]"),MATCH(Long_Data[[#This Row],[Key]],Data_Entry[Key],0)),"NA")</f>
        <v>NA</v>
      </c>
      <c r="Q308">
        <f ca="1">IFERROR(IF(Long_Data[[#This Row],[Indicator Class]]="Magnitude", INDEX(INDIRECT("Data_Entry[Sev_"&amp;Long_Data[[#This Row],[Indicator Number]]&amp;"]"),MATCH(Long_Data[[#This Row],[Key]], Data_Entry[Key],0)),"NA"),"")</f>
        <v>2</v>
      </c>
      <c r="R30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08" s="70">
        <f ca="1">IFERROR(IF(J308="Magnitude",INDEX(INDIRECT("Data_Entry[PIN_"&amp;Long_Data[[#This Row],[Indicator Number]]&amp;"]"),MATCH(Long_Data[[#This Row],[Key]],Data_Entry[Key],0)),SUM(N308:P308)*INDEX(Baseline_Pop[Population],MATCH(Long_Data[[#This Row],[Key]],Baseline_Pop[Key],0))),"")</f>
        <v>145280.1779999139</v>
      </c>
    </row>
    <row r="309" spans="2:19">
      <c r="B309">
        <v>308</v>
      </c>
      <c r="C309">
        <v>8</v>
      </c>
      <c r="D309" t="str">
        <f>IFERROR(INDEX(Data_Entry[ADM2_Pcode],MATCH('Step 4-Long Data'!C309,Data_Entry[ID],0)),"NA")</f>
        <v>AF08</v>
      </c>
      <c r="E309" t="str">
        <f>IFERROR(INDEX(Data_Entry[Key],MATCH('Step 4-Long Data'!C309,Data_Entry[ID],0)),"NA")</f>
        <v>AF08-All_Others</v>
      </c>
      <c r="F309">
        <v>11</v>
      </c>
      <c r="G309" t="str">
        <f>IFERROR(INDEX(Framework[Pillar],MATCH('Step 4-Long Data'!F309,Framework[Number],0)),"")</f>
        <v>Humanitarian Conditions</v>
      </c>
      <c r="H309" t="str">
        <f>IFERROR(INDEX(Framework[Sub_Pillar],MATCH('Step 4-Long Data'!F309,Framework[Number],0)),"")</f>
        <v>Coping mechanisms</v>
      </c>
      <c r="I309" t="str">
        <f>IFERROR(INDEX(Framework[Indicator],MATCH('Step 4-Long Data'!F309,Framework[Number],0)),"")</f>
        <v>% of HHs unable to obtain seed</v>
      </c>
      <c r="J309" t="str">
        <f>IFERROR(INDEX(Framework[Class],MATCH('Step 4-Long Data'!F309,Framework[Number],0)),"")</f>
        <v>Magnitude</v>
      </c>
      <c r="K309" t="str">
        <f>IFERROR(INDEX(Framework[Critical],MATCH('Step 4-Long Data'!F309,Framework[Number],0)),"")</f>
        <v>No</v>
      </c>
      <c r="L309" t="str">
        <f ca="1">IF(Long_Data[[#This Row],[Indicator Class]]="Degree",INDEX(INDIRECT("Data_Entry['"&amp;Long_Data[[#This Row],[Indicator Number]]&amp;"'_DSev_1]"),MATCH(Long_Data[[#This Row],[Key]],Data_Entry[Key],0)),"NA")</f>
        <v>NA</v>
      </c>
      <c r="M309" t="str">
        <f ca="1">IF(Long_Data[[#This Row],[Indicator Class]]="Degree",INDEX(INDIRECT("Data_Entry['"&amp;Long_Data[[#This Row],[Indicator Number]]&amp;"'_DSev_2]"),MATCH(Long_Data[[#This Row],[Key]],Data_Entry[Key],0)),"NA")</f>
        <v>NA</v>
      </c>
      <c r="N309" t="str">
        <f ca="1">IF(Long_Data[[#This Row],[Indicator Class]]="Degree",INDEX(INDIRECT("Data_Entry['"&amp;Long_Data[[#This Row],[Indicator Number]]&amp;"'_DSev_3]"),MATCH(Long_Data[[#This Row],[Key]],Data_Entry[Key],0)),"NA")</f>
        <v>NA</v>
      </c>
      <c r="O309" t="str">
        <f ca="1">IF(Long_Data[[#This Row],[Indicator Class]]="Degree",INDEX(INDIRECT("Data_Entry['"&amp;Long_Data[[#This Row],[Indicator Number]]&amp;"'_DSev_4]"),MATCH(Long_Data[[#This Row],[Key]],Data_Entry[Key],0)),"NA")</f>
        <v>NA</v>
      </c>
      <c r="P309" t="str">
        <f ca="1">IF(Long_Data[[#This Row],[Indicator Class]]="Degree",INDEX(INDIRECT("Data_Entry['"&amp;Long_Data[[#This Row],[Indicator Number]]&amp;"'_DSev_5]"),MATCH(Long_Data[[#This Row],[Key]],Data_Entry[Key],0)),"NA")</f>
        <v>NA</v>
      </c>
      <c r="Q309">
        <f ca="1">IFERROR(IF(Long_Data[[#This Row],[Indicator Class]]="Magnitude", INDEX(INDIRECT("Data_Entry[Sev_"&amp;Long_Data[[#This Row],[Indicator Number]]&amp;"]"),MATCH(Long_Data[[#This Row],[Key]], Data_Entry[Key],0)),"NA"),"")</f>
        <v>2</v>
      </c>
      <c r="R309">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09" s="70">
        <f ca="1">IFERROR(IF(J309="Magnitude",INDEX(INDIRECT("Data_Entry[PIN_"&amp;Long_Data[[#This Row],[Indicator Number]]&amp;"]"),MATCH(Long_Data[[#This Row],[Key]],Data_Entry[Key],0)),SUM(N309:P309)*INDEX(Baseline_Pop[Population],MATCH(Long_Data[[#This Row],[Key]],Baseline_Pop[Key],0))),"")</f>
        <v>75225.686737400247</v>
      </c>
    </row>
    <row r="310" spans="2:19">
      <c r="B310">
        <v>309</v>
      </c>
      <c r="C310">
        <v>9</v>
      </c>
      <c r="D310" t="str">
        <f>IFERROR(INDEX(Data_Entry[ADM2_Pcode],MATCH('Step 4-Long Data'!C310,Data_Entry[ID],0)),"NA")</f>
        <v>AF09</v>
      </c>
      <c r="E310" t="str">
        <f>IFERROR(INDEX(Data_Entry[Key],MATCH('Step 4-Long Data'!C310,Data_Entry[ID],0)),"NA")</f>
        <v>AF09-All_Others</v>
      </c>
      <c r="F310">
        <v>11</v>
      </c>
      <c r="G310" t="str">
        <f>IFERROR(INDEX(Framework[Pillar],MATCH('Step 4-Long Data'!F310,Framework[Number],0)),"")</f>
        <v>Humanitarian Conditions</v>
      </c>
      <c r="H310" t="str">
        <f>IFERROR(INDEX(Framework[Sub_Pillar],MATCH('Step 4-Long Data'!F310,Framework[Number],0)),"")</f>
        <v>Coping mechanisms</v>
      </c>
      <c r="I310" t="str">
        <f>IFERROR(INDEX(Framework[Indicator],MATCH('Step 4-Long Data'!F310,Framework[Number],0)),"")</f>
        <v>% of HHs unable to obtain seed</v>
      </c>
      <c r="J310" t="str">
        <f>IFERROR(INDEX(Framework[Class],MATCH('Step 4-Long Data'!F310,Framework[Number],0)),"")</f>
        <v>Magnitude</v>
      </c>
      <c r="K310" t="str">
        <f>IFERROR(INDEX(Framework[Critical],MATCH('Step 4-Long Data'!F310,Framework[Number],0)),"")</f>
        <v>No</v>
      </c>
      <c r="L310" t="str">
        <f ca="1">IF(Long_Data[[#This Row],[Indicator Class]]="Degree",INDEX(INDIRECT("Data_Entry['"&amp;Long_Data[[#This Row],[Indicator Number]]&amp;"'_DSev_1]"),MATCH(Long_Data[[#This Row],[Key]],Data_Entry[Key],0)),"NA")</f>
        <v>NA</v>
      </c>
      <c r="M310" t="str">
        <f ca="1">IF(Long_Data[[#This Row],[Indicator Class]]="Degree",INDEX(INDIRECT("Data_Entry['"&amp;Long_Data[[#This Row],[Indicator Number]]&amp;"'_DSev_2]"),MATCH(Long_Data[[#This Row],[Key]],Data_Entry[Key],0)),"NA")</f>
        <v>NA</v>
      </c>
      <c r="N310" t="str">
        <f ca="1">IF(Long_Data[[#This Row],[Indicator Class]]="Degree",INDEX(INDIRECT("Data_Entry['"&amp;Long_Data[[#This Row],[Indicator Number]]&amp;"'_DSev_3]"),MATCH(Long_Data[[#This Row],[Key]],Data_Entry[Key],0)),"NA")</f>
        <v>NA</v>
      </c>
      <c r="O310" t="str">
        <f ca="1">IF(Long_Data[[#This Row],[Indicator Class]]="Degree",INDEX(INDIRECT("Data_Entry['"&amp;Long_Data[[#This Row],[Indicator Number]]&amp;"'_DSev_4]"),MATCH(Long_Data[[#This Row],[Key]],Data_Entry[Key],0)),"NA")</f>
        <v>NA</v>
      </c>
      <c r="P310" t="str">
        <f ca="1">IF(Long_Data[[#This Row],[Indicator Class]]="Degree",INDEX(INDIRECT("Data_Entry['"&amp;Long_Data[[#This Row],[Indicator Number]]&amp;"'_DSev_5]"),MATCH(Long_Data[[#This Row],[Key]],Data_Entry[Key],0)),"NA")</f>
        <v>NA</v>
      </c>
      <c r="Q310">
        <f ca="1">IFERROR(IF(Long_Data[[#This Row],[Indicator Class]]="Magnitude", INDEX(INDIRECT("Data_Entry[Sev_"&amp;Long_Data[[#This Row],[Indicator Number]]&amp;"]"),MATCH(Long_Data[[#This Row],[Key]], Data_Entry[Key],0)),"NA"),"")</f>
        <v>4</v>
      </c>
      <c r="R31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10" s="70">
        <f ca="1">IFERROR(IF(J310="Magnitude",INDEX(INDIRECT("Data_Entry[PIN_"&amp;Long_Data[[#This Row],[Indicator Number]]&amp;"]"),MATCH(Long_Data[[#This Row],[Key]],Data_Entry[Key],0)),SUM(N310:P310)*INDEX(Baseline_Pop[Population],MATCH(Long_Data[[#This Row],[Key]],Baseline_Pop[Key],0))),"")</f>
        <v>767409.02107635094</v>
      </c>
    </row>
    <row r="311" spans="2:19">
      <c r="B311">
        <v>310</v>
      </c>
      <c r="C311">
        <v>10</v>
      </c>
      <c r="D311" t="str">
        <f>IFERROR(INDEX(Data_Entry[ADM2_Pcode],MATCH('Step 4-Long Data'!C311,Data_Entry[ID],0)),"NA")</f>
        <v>AF10</v>
      </c>
      <c r="E311" t="str">
        <f>IFERROR(INDEX(Data_Entry[Key],MATCH('Step 4-Long Data'!C311,Data_Entry[ID],0)),"NA")</f>
        <v>AF10-All_Others</v>
      </c>
      <c r="F311">
        <v>11</v>
      </c>
      <c r="G311" t="str">
        <f>IFERROR(INDEX(Framework[Pillar],MATCH('Step 4-Long Data'!F311,Framework[Number],0)),"")</f>
        <v>Humanitarian Conditions</v>
      </c>
      <c r="H311" t="str">
        <f>IFERROR(INDEX(Framework[Sub_Pillar],MATCH('Step 4-Long Data'!F311,Framework[Number],0)),"")</f>
        <v>Coping mechanisms</v>
      </c>
      <c r="I311" t="str">
        <f>IFERROR(INDEX(Framework[Indicator],MATCH('Step 4-Long Data'!F311,Framework[Number],0)),"")</f>
        <v>% of HHs unable to obtain seed</v>
      </c>
      <c r="J311" t="str">
        <f>IFERROR(INDEX(Framework[Class],MATCH('Step 4-Long Data'!F311,Framework[Number],0)),"")</f>
        <v>Magnitude</v>
      </c>
      <c r="K311" t="str">
        <f>IFERROR(INDEX(Framework[Critical],MATCH('Step 4-Long Data'!F311,Framework[Number],0)),"")</f>
        <v>No</v>
      </c>
      <c r="L311" t="str">
        <f ca="1">IF(Long_Data[[#This Row],[Indicator Class]]="Degree",INDEX(INDIRECT("Data_Entry['"&amp;Long_Data[[#This Row],[Indicator Number]]&amp;"'_DSev_1]"),MATCH(Long_Data[[#This Row],[Key]],Data_Entry[Key],0)),"NA")</f>
        <v>NA</v>
      </c>
      <c r="M311" t="str">
        <f ca="1">IF(Long_Data[[#This Row],[Indicator Class]]="Degree",INDEX(INDIRECT("Data_Entry['"&amp;Long_Data[[#This Row],[Indicator Number]]&amp;"'_DSev_2]"),MATCH(Long_Data[[#This Row],[Key]],Data_Entry[Key],0)),"NA")</f>
        <v>NA</v>
      </c>
      <c r="N311" t="str">
        <f ca="1">IF(Long_Data[[#This Row],[Indicator Class]]="Degree",INDEX(INDIRECT("Data_Entry['"&amp;Long_Data[[#This Row],[Indicator Number]]&amp;"'_DSev_3]"),MATCH(Long_Data[[#This Row],[Key]],Data_Entry[Key],0)),"NA")</f>
        <v>NA</v>
      </c>
      <c r="O311" t="str">
        <f ca="1">IF(Long_Data[[#This Row],[Indicator Class]]="Degree",INDEX(INDIRECT("Data_Entry['"&amp;Long_Data[[#This Row],[Indicator Number]]&amp;"'_DSev_4]"),MATCH(Long_Data[[#This Row],[Key]],Data_Entry[Key],0)),"NA")</f>
        <v>NA</v>
      </c>
      <c r="P311" t="str">
        <f ca="1">IF(Long_Data[[#This Row],[Indicator Class]]="Degree",INDEX(INDIRECT("Data_Entry['"&amp;Long_Data[[#This Row],[Indicator Number]]&amp;"'_DSev_5]"),MATCH(Long_Data[[#This Row],[Key]],Data_Entry[Key],0)),"NA")</f>
        <v>NA</v>
      </c>
      <c r="Q311">
        <f ca="1">IFERROR(IF(Long_Data[[#This Row],[Indicator Class]]="Magnitude", INDEX(INDIRECT("Data_Entry[Sev_"&amp;Long_Data[[#This Row],[Indicator Number]]&amp;"]"),MATCH(Long_Data[[#This Row],[Key]], Data_Entry[Key],0)),"NA"),"")</f>
        <v>3</v>
      </c>
      <c r="R31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11" s="70">
        <f ca="1">IFERROR(IF(J311="Magnitude",INDEX(INDIRECT("Data_Entry[PIN_"&amp;Long_Data[[#This Row],[Indicator Number]]&amp;"]"),MATCH(Long_Data[[#This Row],[Key]],Data_Entry[Key],0)),SUM(N311:P311)*INDEX(Baseline_Pop[Population],MATCH(Long_Data[[#This Row],[Key]],Baseline_Pop[Key],0))),"")</f>
        <v>262887.99318262632</v>
      </c>
    </row>
    <row r="312" spans="2:19">
      <c r="B312">
        <v>311</v>
      </c>
      <c r="C312">
        <v>11</v>
      </c>
      <c r="D312" t="str">
        <f>IFERROR(INDEX(Data_Entry[ADM2_Pcode],MATCH('Step 4-Long Data'!C312,Data_Entry[ID],0)),"NA")</f>
        <v>AF01</v>
      </c>
      <c r="E312" t="str">
        <f>IFERROR(INDEX(Data_Entry[Key],MATCH('Step 4-Long Data'!C312,Data_Entry[ID],0)),"NA")</f>
        <v>AF01-Non_Displaced</v>
      </c>
      <c r="F312">
        <v>11</v>
      </c>
      <c r="G312" t="str">
        <f>IFERROR(INDEX(Framework[Pillar],MATCH('Step 4-Long Data'!F312,Framework[Number],0)),"")</f>
        <v>Humanitarian Conditions</v>
      </c>
      <c r="H312" t="str">
        <f>IFERROR(INDEX(Framework[Sub_Pillar],MATCH('Step 4-Long Data'!F312,Framework[Number],0)),"")</f>
        <v>Coping mechanisms</v>
      </c>
      <c r="I312" t="str">
        <f>IFERROR(INDEX(Framework[Indicator],MATCH('Step 4-Long Data'!F312,Framework[Number],0)),"")</f>
        <v>% of HHs unable to obtain seed</v>
      </c>
      <c r="J312" t="str">
        <f>IFERROR(INDEX(Framework[Class],MATCH('Step 4-Long Data'!F312,Framework[Number],0)),"")</f>
        <v>Magnitude</v>
      </c>
      <c r="K312" t="str">
        <f>IFERROR(INDEX(Framework[Critical],MATCH('Step 4-Long Data'!F312,Framework[Number],0)),"")</f>
        <v>No</v>
      </c>
      <c r="L312" t="str">
        <f ca="1">IF(Long_Data[[#This Row],[Indicator Class]]="Degree",INDEX(INDIRECT("Data_Entry['"&amp;Long_Data[[#This Row],[Indicator Number]]&amp;"'_DSev_1]"),MATCH(Long_Data[[#This Row],[Key]],Data_Entry[Key],0)),"NA")</f>
        <v>NA</v>
      </c>
      <c r="M312" t="str">
        <f ca="1">IF(Long_Data[[#This Row],[Indicator Class]]="Degree",INDEX(INDIRECT("Data_Entry['"&amp;Long_Data[[#This Row],[Indicator Number]]&amp;"'_DSev_2]"),MATCH(Long_Data[[#This Row],[Key]],Data_Entry[Key],0)),"NA")</f>
        <v>NA</v>
      </c>
      <c r="N312" t="str">
        <f ca="1">IF(Long_Data[[#This Row],[Indicator Class]]="Degree",INDEX(INDIRECT("Data_Entry['"&amp;Long_Data[[#This Row],[Indicator Number]]&amp;"'_DSev_3]"),MATCH(Long_Data[[#This Row],[Key]],Data_Entry[Key],0)),"NA")</f>
        <v>NA</v>
      </c>
      <c r="O312" t="str">
        <f ca="1">IF(Long_Data[[#This Row],[Indicator Class]]="Degree",INDEX(INDIRECT("Data_Entry['"&amp;Long_Data[[#This Row],[Indicator Number]]&amp;"'_DSev_4]"),MATCH(Long_Data[[#This Row],[Key]],Data_Entry[Key],0)),"NA")</f>
        <v>NA</v>
      </c>
      <c r="P312" t="str">
        <f ca="1">IF(Long_Data[[#This Row],[Indicator Class]]="Degree",INDEX(INDIRECT("Data_Entry['"&amp;Long_Data[[#This Row],[Indicator Number]]&amp;"'_DSev_5]"),MATCH(Long_Data[[#This Row],[Key]],Data_Entry[Key],0)),"NA")</f>
        <v>NA</v>
      </c>
      <c r="Q312">
        <f ca="1">IFERROR(IF(Long_Data[[#This Row],[Indicator Class]]="Magnitude", INDEX(INDIRECT("Data_Entry[Sev_"&amp;Long_Data[[#This Row],[Indicator Number]]&amp;"]"),MATCH(Long_Data[[#This Row],[Key]], Data_Entry[Key],0)),"NA"),"")</f>
        <v>4</v>
      </c>
      <c r="R31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12" s="70">
        <f ca="1">IFERROR(IF(J312="Magnitude",INDEX(INDIRECT("Data_Entry[PIN_"&amp;Long_Data[[#This Row],[Indicator Number]]&amp;"]"),MATCH(Long_Data[[#This Row],[Key]],Data_Entry[Key],0)),SUM(N312:P312)*INDEX(Baseline_Pop[Population],MATCH(Long_Data[[#This Row],[Key]],Baseline_Pop[Key],0))),"")</f>
        <v>519011.86349707504</v>
      </c>
    </row>
    <row r="313" spans="2:19">
      <c r="B313">
        <v>312</v>
      </c>
      <c r="C313">
        <v>12</v>
      </c>
      <c r="D313" t="str">
        <f>IFERROR(INDEX(Data_Entry[ADM2_Pcode],MATCH('Step 4-Long Data'!C313,Data_Entry[ID],0)),"NA")</f>
        <v>AF02</v>
      </c>
      <c r="E313" t="str">
        <f>IFERROR(INDEX(Data_Entry[Key],MATCH('Step 4-Long Data'!C313,Data_Entry[ID],0)),"NA")</f>
        <v>AF02-Non_Displaced</v>
      </c>
      <c r="F313">
        <v>11</v>
      </c>
      <c r="G313" t="str">
        <f>IFERROR(INDEX(Framework[Pillar],MATCH('Step 4-Long Data'!F313,Framework[Number],0)),"")</f>
        <v>Humanitarian Conditions</v>
      </c>
      <c r="H313" t="str">
        <f>IFERROR(INDEX(Framework[Sub_Pillar],MATCH('Step 4-Long Data'!F313,Framework[Number],0)),"")</f>
        <v>Coping mechanisms</v>
      </c>
      <c r="I313" t="str">
        <f>IFERROR(INDEX(Framework[Indicator],MATCH('Step 4-Long Data'!F313,Framework[Number],0)),"")</f>
        <v>% of HHs unable to obtain seed</v>
      </c>
      <c r="J313" t="str">
        <f>IFERROR(INDEX(Framework[Class],MATCH('Step 4-Long Data'!F313,Framework[Number],0)),"")</f>
        <v>Magnitude</v>
      </c>
      <c r="K313" t="str">
        <f>IFERROR(INDEX(Framework[Critical],MATCH('Step 4-Long Data'!F313,Framework[Number],0)),"")</f>
        <v>No</v>
      </c>
      <c r="L313" t="str">
        <f ca="1">IF(Long_Data[[#This Row],[Indicator Class]]="Degree",INDEX(INDIRECT("Data_Entry['"&amp;Long_Data[[#This Row],[Indicator Number]]&amp;"'_DSev_1]"),MATCH(Long_Data[[#This Row],[Key]],Data_Entry[Key],0)),"NA")</f>
        <v>NA</v>
      </c>
      <c r="M313" t="str">
        <f ca="1">IF(Long_Data[[#This Row],[Indicator Class]]="Degree",INDEX(INDIRECT("Data_Entry['"&amp;Long_Data[[#This Row],[Indicator Number]]&amp;"'_DSev_2]"),MATCH(Long_Data[[#This Row],[Key]],Data_Entry[Key],0)),"NA")</f>
        <v>NA</v>
      </c>
      <c r="N313" t="str">
        <f ca="1">IF(Long_Data[[#This Row],[Indicator Class]]="Degree",INDEX(INDIRECT("Data_Entry['"&amp;Long_Data[[#This Row],[Indicator Number]]&amp;"'_DSev_3]"),MATCH(Long_Data[[#This Row],[Key]],Data_Entry[Key],0)),"NA")</f>
        <v>NA</v>
      </c>
      <c r="O313" t="str">
        <f ca="1">IF(Long_Data[[#This Row],[Indicator Class]]="Degree",INDEX(INDIRECT("Data_Entry['"&amp;Long_Data[[#This Row],[Indicator Number]]&amp;"'_DSev_4]"),MATCH(Long_Data[[#This Row],[Key]],Data_Entry[Key],0)),"NA")</f>
        <v>NA</v>
      </c>
      <c r="P313" t="str">
        <f ca="1">IF(Long_Data[[#This Row],[Indicator Class]]="Degree",INDEX(INDIRECT("Data_Entry['"&amp;Long_Data[[#This Row],[Indicator Number]]&amp;"'_DSev_5]"),MATCH(Long_Data[[#This Row],[Key]],Data_Entry[Key],0)),"NA")</f>
        <v>NA</v>
      </c>
      <c r="Q313">
        <f ca="1">IFERROR(IF(Long_Data[[#This Row],[Indicator Class]]="Magnitude", INDEX(INDIRECT("Data_Entry[Sev_"&amp;Long_Data[[#This Row],[Indicator Number]]&amp;"]"),MATCH(Long_Data[[#This Row],[Key]], Data_Entry[Key],0)),"NA"),"")</f>
        <v>2</v>
      </c>
      <c r="R31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13" s="70">
        <f ca="1">IFERROR(IF(J313="Magnitude",INDEX(INDIRECT("Data_Entry[PIN_"&amp;Long_Data[[#This Row],[Indicator Number]]&amp;"]"),MATCH(Long_Data[[#This Row],[Key]],Data_Entry[Key],0)),SUM(N313:P313)*INDEX(Baseline_Pop[Population],MATCH(Long_Data[[#This Row],[Key]],Baseline_Pop[Key],0))),"")</f>
        <v>26687.547169811252</v>
      </c>
    </row>
    <row r="314" spans="2:19">
      <c r="B314">
        <v>313</v>
      </c>
      <c r="C314">
        <v>13</v>
      </c>
      <c r="D314" t="str">
        <f>IFERROR(INDEX(Data_Entry[ADM2_Pcode],MATCH('Step 4-Long Data'!C314,Data_Entry[ID],0)),"NA")</f>
        <v>AF03</v>
      </c>
      <c r="E314" t="str">
        <f>IFERROR(INDEX(Data_Entry[Key],MATCH('Step 4-Long Data'!C314,Data_Entry[ID],0)),"NA")</f>
        <v>AF03-Non_Displaced</v>
      </c>
      <c r="F314">
        <v>11</v>
      </c>
      <c r="G314" t="str">
        <f>IFERROR(INDEX(Framework[Pillar],MATCH('Step 4-Long Data'!F314,Framework[Number],0)),"")</f>
        <v>Humanitarian Conditions</v>
      </c>
      <c r="H314" t="str">
        <f>IFERROR(INDEX(Framework[Sub_Pillar],MATCH('Step 4-Long Data'!F314,Framework[Number],0)),"")</f>
        <v>Coping mechanisms</v>
      </c>
      <c r="I314" t="str">
        <f>IFERROR(INDEX(Framework[Indicator],MATCH('Step 4-Long Data'!F314,Framework[Number],0)),"")</f>
        <v>% of HHs unable to obtain seed</v>
      </c>
      <c r="J314" t="str">
        <f>IFERROR(INDEX(Framework[Class],MATCH('Step 4-Long Data'!F314,Framework[Number],0)),"")</f>
        <v>Magnitude</v>
      </c>
      <c r="K314" t="str">
        <f>IFERROR(INDEX(Framework[Critical],MATCH('Step 4-Long Data'!F314,Framework[Number],0)),"")</f>
        <v>No</v>
      </c>
      <c r="L314" t="str">
        <f ca="1">IF(Long_Data[[#This Row],[Indicator Class]]="Degree",INDEX(INDIRECT("Data_Entry['"&amp;Long_Data[[#This Row],[Indicator Number]]&amp;"'_DSev_1]"),MATCH(Long_Data[[#This Row],[Key]],Data_Entry[Key],0)),"NA")</f>
        <v>NA</v>
      </c>
      <c r="M314" t="str">
        <f ca="1">IF(Long_Data[[#This Row],[Indicator Class]]="Degree",INDEX(INDIRECT("Data_Entry['"&amp;Long_Data[[#This Row],[Indicator Number]]&amp;"'_DSev_2]"),MATCH(Long_Data[[#This Row],[Key]],Data_Entry[Key],0)),"NA")</f>
        <v>NA</v>
      </c>
      <c r="N314" t="str">
        <f ca="1">IF(Long_Data[[#This Row],[Indicator Class]]="Degree",INDEX(INDIRECT("Data_Entry['"&amp;Long_Data[[#This Row],[Indicator Number]]&amp;"'_DSev_3]"),MATCH(Long_Data[[#This Row],[Key]],Data_Entry[Key],0)),"NA")</f>
        <v>NA</v>
      </c>
      <c r="O314" t="str">
        <f ca="1">IF(Long_Data[[#This Row],[Indicator Class]]="Degree",INDEX(INDIRECT("Data_Entry['"&amp;Long_Data[[#This Row],[Indicator Number]]&amp;"'_DSev_4]"),MATCH(Long_Data[[#This Row],[Key]],Data_Entry[Key],0)),"NA")</f>
        <v>NA</v>
      </c>
      <c r="P314" t="str">
        <f ca="1">IF(Long_Data[[#This Row],[Indicator Class]]="Degree",INDEX(INDIRECT("Data_Entry['"&amp;Long_Data[[#This Row],[Indicator Number]]&amp;"'_DSev_5]"),MATCH(Long_Data[[#This Row],[Key]],Data_Entry[Key],0)),"NA")</f>
        <v>NA</v>
      </c>
      <c r="Q314">
        <f ca="1">IFERROR(IF(Long_Data[[#This Row],[Indicator Class]]="Magnitude", INDEX(INDIRECT("Data_Entry[Sev_"&amp;Long_Data[[#This Row],[Indicator Number]]&amp;"]"),MATCH(Long_Data[[#This Row],[Key]], Data_Entry[Key],0)),"NA"),"")</f>
        <v>3</v>
      </c>
      <c r="R31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14" s="70">
        <f ca="1">IFERROR(IF(J314="Magnitude",INDEX(INDIRECT("Data_Entry[PIN_"&amp;Long_Data[[#This Row],[Indicator Number]]&amp;"]"),MATCH(Long_Data[[#This Row],[Key]],Data_Entry[Key],0)),SUM(N314:P314)*INDEX(Baseline_Pop[Population],MATCH(Long_Data[[#This Row],[Key]],Baseline_Pop[Key],0))),"")</f>
        <v>48477.587006960537</v>
      </c>
    </row>
    <row r="315" spans="2:19">
      <c r="B315">
        <v>314</v>
      </c>
      <c r="C315">
        <v>14</v>
      </c>
      <c r="D315" t="str">
        <f>IFERROR(INDEX(Data_Entry[ADM2_Pcode],MATCH('Step 4-Long Data'!C315,Data_Entry[ID],0)),"NA")</f>
        <v>AF04</v>
      </c>
      <c r="E315" t="str">
        <f>IFERROR(INDEX(Data_Entry[Key],MATCH('Step 4-Long Data'!C315,Data_Entry[ID],0)),"NA")</f>
        <v>AF04-Non_Displaced</v>
      </c>
      <c r="F315">
        <v>11</v>
      </c>
      <c r="G315" t="str">
        <f>IFERROR(INDEX(Framework[Pillar],MATCH('Step 4-Long Data'!F315,Framework[Number],0)),"")</f>
        <v>Humanitarian Conditions</v>
      </c>
      <c r="H315" t="str">
        <f>IFERROR(INDEX(Framework[Sub_Pillar],MATCH('Step 4-Long Data'!F315,Framework[Number],0)),"")</f>
        <v>Coping mechanisms</v>
      </c>
      <c r="I315" t="str">
        <f>IFERROR(INDEX(Framework[Indicator],MATCH('Step 4-Long Data'!F315,Framework[Number],0)),"")</f>
        <v>% of HHs unable to obtain seed</v>
      </c>
      <c r="J315" t="str">
        <f>IFERROR(INDEX(Framework[Class],MATCH('Step 4-Long Data'!F315,Framework[Number],0)),"")</f>
        <v>Magnitude</v>
      </c>
      <c r="K315" t="str">
        <f>IFERROR(INDEX(Framework[Critical],MATCH('Step 4-Long Data'!F315,Framework[Number],0)),"")</f>
        <v>No</v>
      </c>
      <c r="L315" t="str">
        <f ca="1">IF(Long_Data[[#This Row],[Indicator Class]]="Degree",INDEX(INDIRECT("Data_Entry['"&amp;Long_Data[[#This Row],[Indicator Number]]&amp;"'_DSev_1]"),MATCH(Long_Data[[#This Row],[Key]],Data_Entry[Key],0)),"NA")</f>
        <v>NA</v>
      </c>
      <c r="M315" t="str">
        <f ca="1">IF(Long_Data[[#This Row],[Indicator Class]]="Degree",INDEX(INDIRECT("Data_Entry['"&amp;Long_Data[[#This Row],[Indicator Number]]&amp;"'_DSev_2]"),MATCH(Long_Data[[#This Row],[Key]],Data_Entry[Key],0)),"NA")</f>
        <v>NA</v>
      </c>
      <c r="N315" t="str">
        <f ca="1">IF(Long_Data[[#This Row],[Indicator Class]]="Degree",INDEX(INDIRECT("Data_Entry['"&amp;Long_Data[[#This Row],[Indicator Number]]&amp;"'_DSev_3]"),MATCH(Long_Data[[#This Row],[Key]],Data_Entry[Key],0)),"NA")</f>
        <v>NA</v>
      </c>
      <c r="O315" t="str">
        <f ca="1">IF(Long_Data[[#This Row],[Indicator Class]]="Degree",INDEX(INDIRECT("Data_Entry['"&amp;Long_Data[[#This Row],[Indicator Number]]&amp;"'_DSev_4]"),MATCH(Long_Data[[#This Row],[Key]],Data_Entry[Key],0)),"NA")</f>
        <v>NA</v>
      </c>
      <c r="P315" t="str">
        <f ca="1">IF(Long_Data[[#This Row],[Indicator Class]]="Degree",INDEX(INDIRECT("Data_Entry['"&amp;Long_Data[[#This Row],[Indicator Number]]&amp;"'_DSev_5]"),MATCH(Long_Data[[#This Row],[Key]],Data_Entry[Key],0)),"NA")</f>
        <v>NA</v>
      </c>
      <c r="Q315">
        <f ca="1">IFERROR(IF(Long_Data[[#This Row],[Indicator Class]]="Magnitude", INDEX(INDIRECT("Data_Entry[Sev_"&amp;Long_Data[[#This Row],[Indicator Number]]&amp;"]"),MATCH(Long_Data[[#This Row],[Key]], Data_Entry[Key],0)),"NA"),"")</f>
        <v>3</v>
      </c>
      <c r="R31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15" s="70">
        <f ca="1">IFERROR(IF(J315="Magnitude",INDEX(INDIRECT("Data_Entry[PIN_"&amp;Long_Data[[#This Row],[Indicator Number]]&amp;"]"),MATCH(Long_Data[[#This Row],[Key]],Data_Entry[Key],0)),SUM(N315:P315)*INDEX(Baseline_Pop[Population],MATCH(Long_Data[[#This Row],[Key]],Baseline_Pop[Key],0))),"")</f>
        <v>61208.521860680361</v>
      </c>
    </row>
    <row r="316" spans="2:19">
      <c r="B316">
        <v>315</v>
      </c>
      <c r="C316">
        <v>15</v>
      </c>
      <c r="D316" t="str">
        <f>IFERROR(INDEX(Data_Entry[ADM2_Pcode],MATCH('Step 4-Long Data'!C316,Data_Entry[ID],0)),"NA")</f>
        <v>AF05</v>
      </c>
      <c r="E316" t="str">
        <f>IFERROR(INDEX(Data_Entry[Key],MATCH('Step 4-Long Data'!C316,Data_Entry[ID],0)),"NA")</f>
        <v>AF05-Non_Displaced</v>
      </c>
      <c r="F316">
        <v>11</v>
      </c>
      <c r="G316" t="str">
        <f>IFERROR(INDEX(Framework[Pillar],MATCH('Step 4-Long Data'!F316,Framework[Number],0)),"")</f>
        <v>Humanitarian Conditions</v>
      </c>
      <c r="H316" t="str">
        <f>IFERROR(INDEX(Framework[Sub_Pillar],MATCH('Step 4-Long Data'!F316,Framework[Number],0)),"")</f>
        <v>Coping mechanisms</v>
      </c>
      <c r="I316" t="str">
        <f>IFERROR(INDEX(Framework[Indicator],MATCH('Step 4-Long Data'!F316,Framework[Number],0)),"")</f>
        <v>% of HHs unable to obtain seed</v>
      </c>
      <c r="J316" t="str">
        <f>IFERROR(INDEX(Framework[Class],MATCH('Step 4-Long Data'!F316,Framework[Number],0)),"")</f>
        <v>Magnitude</v>
      </c>
      <c r="K316" t="str">
        <f>IFERROR(INDEX(Framework[Critical],MATCH('Step 4-Long Data'!F316,Framework[Number],0)),"")</f>
        <v>No</v>
      </c>
      <c r="L316" t="str">
        <f ca="1">IF(Long_Data[[#This Row],[Indicator Class]]="Degree",INDEX(INDIRECT("Data_Entry['"&amp;Long_Data[[#This Row],[Indicator Number]]&amp;"'_DSev_1]"),MATCH(Long_Data[[#This Row],[Key]],Data_Entry[Key],0)),"NA")</f>
        <v>NA</v>
      </c>
      <c r="M316" t="str">
        <f ca="1">IF(Long_Data[[#This Row],[Indicator Class]]="Degree",INDEX(INDIRECT("Data_Entry['"&amp;Long_Data[[#This Row],[Indicator Number]]&amp;"'_DSev_2]"),MATCH(Long_Data[[#This Row],[Key]],Data_Entry[Key],0)),"NA")</f>
        <v>NA</v>
      </c>
      <c r="N316" t="str">
        <f ca="1">IF(Long_Data[[#This Row],[Indicator Class]]="Degree",INDEX(INDIRECT("Data_Entry['"&amp;Long_Data[[#This Row],[Indicator Number]]&amp;"'_DSev_3]"),MATCH(Long_Data[[#This Row],[Key]],Data_Entry[Key],0)),"NA")</f>
        <v>NA</v>
      </c>
      <c r="O316" t="str">
        <f ca="1">IF(Long_Data[[#This Row],[Indicator Class]]="Degree",INDEX(INDIRECT("Data_Entry['"&amp;Long_Data[[#This Row],[Indicator Number]]&amp;"'_DSev_4]"),MATCH(Long_Data[[#This Row],[Key]],Data_Entry[Key],0)),"NA")</f>
        <v>NA</v>
      </c>
      <c r="P316" t="str">
        <f ca="1">IF(Long_Data[[#This Row],[Indicator Class]]="Degree",INDEX(INDIRECT("Data_Entry['"&amp;Long_Data[[#This Row],[Indicator Number]]&amp;"'_DSev_5]"),MATCH(Long_Data[[#This Row],[Key]],Data_Entry[Key],0)),"NA")</f>
        <v>NA</v>
      </c>
      <c r="Q316">
        <f ca="1">IFERROR(IF(Long_Data[[#This Row],[Indicator Class]]="Magnitude", INDEX(INDIRECT("Data_Entry[Sev_"&amp;Long_Data[[#This Row],[Indicator Number]]&amp;"]"),MATCH(Long_Data[[#This Row],[Key]], Data_Entry[Key],0)),"NA"),"")</f>
        <v>3</v>
      </c>
      <c r="R31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16" s="70">
        <f ca="1">IFERROR(IF(J316="Magnitude",INDEX(INDIRECT("Data_Entry[PIN_"&amp;Long_Data[[#This Row],[Indicator Number]]&amp;"]"),MATCH(Long_Data[[#This Row],[Key]],Data_Entry[Key],0)),SUM(N316:P316)*INDEX(Baseline_Pop[Population],MATCH(Long_Data[[#This Row],[Key]],Baseline_Pop[Key],0))),"")</f>
        <v>39040.853739002931</v>
      </c>
    </row>
    <row r="317" spans="2:19">
      <c r="B317">
        <v>316</v>
      </c>
      <c r="C317">
        <v>16</v>
      </c>
      <c r="D317" t="str">
        <f>IFERROR(INDEX(Data_Entry[ADM2_Pcode],MATCH('Step 4-Long Data'!C317,Data_Entry[ID],0)),"NA")</f>
        <v>AF06</v>
      </c>
      <c r="E317" t="str">
        <f>IFERROR(INDEX(Data_Entry[Key],MATCH('Step 4-Long Data'!C317,Data_Entry[ID],0)),"NA")</f>
        <v>AF06-Non_Displaced</v>
      </c>
      <c r="F317">
        <v>11</v>
      </c>
      <c r="G317" t="str">
        <f>IFERROR(INDEX(Framework[Pillar],MATCH('Step 4-Long Data'!F317,Framework[Number],0)),"")</f>
        <v>Humanitarian Conditions</v>
      </c>
      <c r="H317" t="str">
        <f>IFERROR(INDEX(Framework[Sub_Pillar],MATCH('Step 4-Long Data'!F317,Framework[Number],0)),"")</f>
        <v>Coping mechanisms</v>
      </c>
      <c r="I317" t="str">
        <f>IFERROR(INDEX(Framework[Indicator],MATCH('Step 4-Long Data'!F317,Framework[Number],0)),"")</f>
        <v>% of HHs unable to obtain seed</v>
      </c>
      <c r="J317" t="str">
        <f>IFERROR(INDEX(Framework[Class],MATCH('Step 4-Long Data'!F317,Framework[Number],0)),"")</f>
        <v>Magnitude</v>
      </c>
      <c r="K317" t="str">
        <f>IFERROR(INDEX(Framework[Critical],MATCH('Step 4-Long Data'!F317,Framework[Number],0)),"")</f>
        <v>No</v>
      </c>
      <c r="L317" t="str">
        <f ca="1">IF(Long_Data[[#This Row],[Indicator Class]]="Degree",INDEX(INDIRECT("Data_Entry['"&amp;Long_Data[[#This Row],[Indicator Number]]&amp;"'_DSev_1]"),MATCH(Long_Data[[#This Row],[Key]],Data_Entry[Key],0)),"NA")</f>
        <v>NA</v>
      </c>
      <c r="M317" t="str">
        <f ca="1">IF(Long_Data[[#This Row],[Indicator Class]]="Degree",INDEX(INDIRECT("Data_Entry['"&amp;Long_Data[[#This Row],[Indicator Number]]&amp;"'_DSev_2]"),MATCH(Long_Data[[#This Row],[Key]],Data_Entry[Key],0)),"NA")</f>
        <v>NA</v>
      </c>
      <c r="N317" t="str">
        <f ca="1">IF(Long_Data[[#This Row],[Indicator Class]]="Degree",INDEX(INDIRECT("Data_Entry['"&amp;Long_Data[[#This Row],[Indicator Number]]&amp;"'_DSev_3]"),MATCH(Long_Data[[#This Row],[Key]],Data_Entry[Key],0)),"NA")</f>
        <v>NA</v>
      </c>
      <c r="O317" t="str">
        <f ca="1">IF(Long_Data[[#This Row],[Indicator Class]]="Degree",INDEX(INDIRECT("Data_Entry['"&amp;Long_Data[[#This Row],[Indicator Number]]&amp;"'_DSev_4]"),MATCH(Long_Data[[#This Row],[Key]],Data_Entry[Key],0)),"NA")</f>
        <v>NA</v>
      </c>
      <c r="P317" t="str">
        <f ca="1">IF(Long_Data[[#This Row],[Indicator Class]]="Degree",INDEX(INDIRECT("Data_Entry['"&amp;Long_Data[[#This Row],[Indicator Number]]&amp;"'_DSev_5]"),MATCH(Long_Data[[#This Row],[Key]],Data_Entry[Key],0)),"NA")</f>
        <v>NA</v>
      </c>
      <c r="Q317">
        <f ca="1">IFERROR(IF(Long_Data[[#This Row],[Indicator Class]]="Magnitude", INDEX(INDIRECT("Data_Entry[Sev_"&amp;Long_Data[[#This Row],[Indicator Number]]&amp;"]"),MATCH(Long_Data[[#This Row],[Key]], Data_Entry[Key],0)),"NA"),"")</f>
        <v>4</v>
      </c>
      <c r="R31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17" s="70">
        <f ca="1">IFERROR(IF(J317="Magnitude",INDEX(INDIRECT("Data_Entry[PIN_"&amp;Long_Data[[#This Row],[Indicator Number]]&amp;"]"),MATCH(Long_Data[[#This Row],[Key]],Data_Entry[Key],0)),SUM(N317:P317)*INDEX(Baseline_Pop[Population],MATCH(Long_Data[[#This Row],[Key]],Baseline_Pop[Key],0))),"")</f>
        <v>180097.08333333358</v>
      </c>
    </row>
    <row r="318" spans="2:19">
      <c r="B318">
        <v>317</v>
      </c>
      <c r="C318">
        <v>17</v>
      </c>
      <c r="D318" t="str">
        <f>IFERROR(INDEX(Data_Entry[ADM2_Pcode],MATCH('Step 4-Long Data'!C318,Data_Entry[ID],0)),"NA")</f>
        <v>AF07</v>
      </c>
      <c r="E318" t="str">
        <f>IFERROR(INDEX(Data_Entry[Key],MATCH('Step 4-Long Data'!C318,Data_Entry[ID],0)),"NA")</f>
        <v>AF07-Non_Displaced</v>
      </c>
      <c r="F318">
        <v>11</v>
      </c>
      <c r="G318" t="str">
        <f>IFERROR(INDEX(Framework[Pillar],MATCH('Step 4-Long Data'!F318,Framework[Number],0)),"")</f>
        <v>Humanitarian Conditions</v>
      </c>
      <c r="H318" t="str">
        <f>IFERROR(INDEX(Framework[Sub_Pillar],MATCH('Step 4-Long Data'!F318,Framework[Number],0)),"")</f>
        <v>Coping mechanisms</v>
      </c>
      <c r="I318" t="str">
        <f>IFERROR(INDEX(Framework[Indicator],MATCH('Step 4-Long Data'!F318,Framework[Number],0)),"")</f>
        <v>% of HHs unable to obtain seed</v>
      </c>
      <c r="J318" t="str">
        <f>IFERROR(INDEX(Framework[Class],MATCH('Step 4-Long Data'!F318,Framework[Number],0)),"")</f>
        <v>Magnitude</v>
      </c>
      <c r="K318" t="str">
        <f>IFERROR(INDEX(Framework[Critical],MATCH('Step 4-Long Data'!F318,Framework[Number],0)),"")</f>
        <v>No</v>
      </c>
      <c r="L318" t="str">
        <f ca="1">IF(Long_Data[[#This Row],[Indicator Class]]="Degree",INDEX(INDIRECT("Data_Entry['"&amp;Long_Data[[#This Row],[Indicator Number]]&amp;"'_DSev_1]"),MATCH(Long_Data[[#This Row],[Key]],Data_Entry[Key],0)),"NA")</f>
        <v>NA</v>
      </c>
      <c r="M318" t="str">
        <f ca="1">IF(Long_Data[[#This Row],[Indicator Class]]="Degree",INDEX(INDIRECT("Data_Entry['"&amp;Long_Data[[#This Row],[Indicator Number]]&amp;"'_DSev_2]"),MATCH(Long_Data[[#This Row],[Key]],Data_Entry[Key],0)),"NA")</f>
        <v>NA</v>
      </c>
      <c r="N318" t="str">
        <f ca="1">IF(Long_Data[[#This Row],[Indicator Class]]="Degree",INDEX(INDIRECT("Data_Entry['"&amp;Long_Data[[#This Row],[Indicator Number]]&amp;"'_DSev_3]"),MATCH(Long_Data[[#This Row],[Key]],Data_Entry[Key],0)),"NA")</f>
        <v>NA</v>
      </c>
      <c r="O318" t="str">
        <f ca="1">IF(Long_Data[[#This Row],[Indicator Class]]="Degree",INDEX(INDIRECT("Data_Entry['"&amp;Long_Data[[#This Row],[Indicator Number]]&amp;"'_DSev_4]"),MATCH(Long_Data[[#This Row],[Key]],Data_Entry[Key],0)),"NA")</f>
        <v>NA</v>
      </c>
      <c r="P318" t="str">
        <f ca="1">IF(Long_Data[[#This Row],[Indicator Class]]="Degree",INDEX(INDIRECT("Data_Entry['"&amp;Long_Data[[#This Row],[Indicator Number]]&amp;"'_DSev_5]"),MATCH(Long_Data[[#This Row],[Key]],Data_Entry[Key],0)),"NA")</f>
        <v>NA</v>
      </c>
      <c r="Q318">
        <f ca="1">IFERROR(IF(Long_Data[[#This Row],[Indicator Class]]="Magnitude", INDEX(INDIRECT("Data_Entry[Sev_"&amp;Long_Data[[#This Row],[Indicator Number]]&amp;"]"),MATCH(Long_Data[[#This Row],[Key]], Data_Entry[Key],0)),"NA"),"")</f>
        <v>2</v>
      </c>
      <c r="R31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18" s="70">
        <f ca="1">IFERROR(IF(J318="Magnitude",INDEX(INDIRECT("Data_Entry[PIN_"&amp;Long_Data[[#This Row],[Indicator Number]]&amp;"]"),MATCH(Long_Data[[#This Row],[Key]],Data_Entry[Key],0)),SUM(N318:P318)*INDEX(Baseline_Pop[Population],MATCH(Long_Data[[#This Row],[Key]],Baseline_Pop[Key],0))),"")</f>
        <v>20754.404478956581</v>
      </c>
    </row>
    <row r="319" spans="2:19">
      <c r="B319">
        <v>318</v>
      </c>
      <c r="C319">
        <v>18</v>
      </c>
      <c r="D319" t="str">
        <f>IFERROR(INDEX(Data_Entry[ADM2_Pcode],MATCH('Step 4-Long Data'!C319,Data_Entry[ID],0)),"NA")</f>
        <v>AF08</v>
      </c>
      <c r="E319" t="str">
        <f>IFERROR(INDEX(Data_Entry[Key],MATCH('Step 4-Long Data'!C319,Data_Entry[ID],0)),"NA")</f>
        <v>AF08-Non_Displaced</v>
      </c>
      <c r="F319">
        <v>11</v>
      </c>
      <c r="G319" t="str">
        <f>IFERROR(INDEX(Framework[Pillar],MATCH('Step 4-Long Data'!F319,Framework[Number],0)),"")</f>
        <v>Humanitarian Conditions</v>
      </c>
      <c r="H319" t="str">
        <f>IFERROR(INDEX(Framework[Sub_Pillar],MATCH('Step 4-Long Data'!F319,Framework[Number],0)),"")</f>
        <v>Coping mechanisms</v>
      </c>
      <c r="I319" t="str">
        <f>IFERROR(INDEX(Framework[Indicator],MATCH('Step 4-Long Data'!F319,Framework[Number],0)),"")</f>
        <v>% of HHs unable to obtain seed</v>
      </c>
      <c r="J319" t="str">
        <f>IFERROR(INDEX(Framework[Class],MATCH('Step 4-Long Data'!F319,Framework[Number],0)),"")</f>
        <v>Magnitude</v>
      </c>
      <c r="K319" t="str">
        <f>IFERROR(INDEX(Framework[Critical],MATCH('Step 4-Long Data'!F319,Framework[Number],0)),"")</f>
        <v>No</v>
      </c>
      <c r="L319" t="str">
        <f ca="1">IF(Long_Data[[#This Row],[Indicator Class]]="Degree",INDEX(INDIRECT("Data_Entry['"&amp;Long_Data[[#This Row],[Indicator Number]]&amp;"'_DSev_1]"),MATCH(Long_Data[[#This Row],[Key]],Data_Entry[Key],0)),"NA")</f>
        <v>NA</v>
      </c>
      <c r="M319" t="str">
        <f ca="1">IF(Long_Data[[#This Row],[Indicator Class]]="Degree",INDEX(INDIRECT("Data_Entry['"&amp;Long_Data[[#This Row],[Indicator Number]]&amp;"'_DSev_2]"),MATCH(Long_Data[[#This Row],[Key]],Data_Entry[Key],0)),"NA")</f>
        <v>NA</v>
      </c>
      <c r="N319" t="str">
        <f ca="1">IF(Long_Data[[#This Row],[Indicator Class]]="Degree",INDEX(INDIRECT("Data_Entry['"&amp;Long_Data[[#This Row],[Indicator Number]]&amp;"'_DSev_3]"),MATCH(Long_Data[[#This Row],[Key]],Data_Entry[Key],0)),"NA")</f>
        <v>NA</v>
      </c>
      <c r="O319" t="str">
        <f ca="1">IF(Long_Data[[#This Row],[Indicator Class]]="Degree",INDEX(INDIRECT("Data_Entry['"&amp;Long_Data[[#This Row],[Indicator Number]]&amp;"'_DSev_4]"),MATCH(Long_Data[[#This Row],[Key]],Data_Entry[Key],0)),"NA")</f>
        <v>NA</v>
      </c>
      <c r="P319" t="str">
        <f ca="1">IF(Long_Data[[#This Row],[Indicator Class]]="Degree",INDEX(INDIRECT("Data_Entry['"&amp;Long_Data[[#This Row],[Indicator Number]]&amp;"'_DSev_5]"),MATCH(Long_Data[[#This Row],[Key]],Data_Entry[Key],0)),"NA")</f>
        <v>NA</v>
      </c>
      <c r="Q319">
        <f ca="1">IFERROR(IF(Long_Data[[#This Row],[Indicator Class]]="Magnitude", INDEX(INDIRECT("Data_Entry[Sev_"&amp;Long_Data[[#This Row],[Indicator Number]]&amp;"]"),MATCH(Long_Data[[#This Row],[Key]], Data_Entry[Key],0)),"NA"),"")</f>
        <v>2</v>
      </c>
      <c r="R319">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19" s="70">
        <f ca="1">IFERROR(IF(J319="Magnitude",INDEX(INDIRECT("Data_Entry[PIN_"&amp;Long_Data[[#This Row],[Indicator Number]]&amp;"]"),MATCH(Long_Data[[#This Row],[Key]],Data_Entry[Key],0)),SUM(N319:P319)*INDEX(Baseline_Pop[Population],MATCH(Long_Data[[#This Row],[Key]],Baseline_Pop[Key],0))),"")</f>
        <v>10746.386322223463</v>
      </c>
    </row>
    <row r="320" spans="2:19">
      <c r="B320">
        <v>319</v>
      </c>
      <c r="C320">
        <v>19</v>
      </c>
      <c r="D320" t="str">
        <f>IFERROR(INDEX(Data_Entry[ADM2_Pcode],MATCH('Step 4-Long Data'!C320,Data_Entry[ID],0)),"NA")</f>
        <v>AF09</v>
      </c>
      <c r="E320" t="str">
        <f>IFERROR(INDEX(Data_Entry[Key],MATCH('Step 4-Long Data'!C320,Data_Entry[ID],0)),"NA")</f>
        <v>AF09-Non_Displaced</v>
      </c>
      <c r="F320">
        <v>11</v>
      </c>
      <c r="G320" t="str">
        <f>IFERROR(INDEX(Framework[Pillar],MATCH('Step 4-Long Data'!F320,Framework[Number],0)),"")</f>
        <v>Humanitarian Conditions</v>
      </c>
      <c r="H320" t="str">
        <f>IFERROR(INDEX(Framework[Sub_Pillar],MATCH('Step 4-Long Data'!F320,Framework[Number],0)),"")</f>
        <v>Coping mechanisms</v>
      </c>
      <c r="I320" t="str">
        <f>IFERROR(INDEX(Framework[Indicator],MATCH('Step 4-Long Data'!F320,Framework[Number],0)),"")</f>
        <v>% of HHs unable to obtain seed</v>
      </c>
      <c r="J320" t="str">
        <f>IFERROR(INDEX(Framework[Class],MATCH('Step 4-Long Data'!F320,Framework[Number],0)),"")</f>
        <v>Magnitude</v>
      </c>
      <c r="K320" t="str">
        <f>IFERROR(INDEX(Framework[Critical],MATCH('Step 4-Long Data'!F320,Framework[Number],0)),"")</f>
        <v>No</v>
      </c>
      <c r="L320" t="str">
        <f ca="1">IF(Long_Data[[#This Row],[Indicator Class]]="Degree",INDEX(INDIRECT("Data_Entry['"&amp;Long_Data[[#This Row],[Indicator Number]]&amp;"'_DSev_1]"),MATCH(Long_Data[[#This Row],[Key]],Data_Entry[Key],0)),"NA")</f>
        <v>NA</v>
      </c>
      <c r="M320" t="str">
        <f ca="1">IF(Long_Data[[#This Row],[Indicator Class]]="Degree",INDEX(INDIRECT("Data_Entry['"&amp;Long_Data[[#This Row],[Indicator Number]]&amp;"'_DSev_2]"),MATCH(Long_Data[[#This Row],[Key]],Data_Entry[Key],0)),"NA")</f>
        <v>NA</v>
      </c>
      <c r="N320" t="str">
        <f ca="1">IF(Long_Data[[#This Row],[Indicator Class]]="Degree",INDEX(INDIRECT("Data_Entry['"&amp;Long_Data[[#This Row],[Indicator Number]]&amp;"'_DSev_3]"),MATCH(Long_Data[[#This Row],[Key]],Data_Entry[Key],0)),"NA")</f>
        <v>NA</v>
      </c>
      <c r="O320" t="str">
        <f ca="1">IF(Long_Data[[#This Row],[Indicator Class]]="Degree",INDEX(INDIRECT("Data_Entry['"&amp;Long_Data[[#This Row],[Indicator Number]]&amp;"'_DSev_4]"),MATCH(Long_Data[[#This Row],[Key]],Data_Entry[Key],0)),"NA")</f>
        <v>NA</v>
      </c>
      <c r="P320" t="str">
        <f ca="1">IF(Long_Data[[#This Row],[Indicator Class]]="Degree",INDEX(INDIRECT("Data_Entry['"&amp;Long_Data[[#This Row],[Indicator Number]]&amp;"'_DSev_5]"),MATCH(Long_Data[[#This Row],[Key]],Data_Entry[Key],0)),"NA")</f>
        <v>NA</v>
      </c>
      <c r="Q320">
        <f ca="1">IFERROR(IF(Long_Data[[#This Row],[Indicator Class]]="Magnitude", INDEX(INDIRECT("Data_Entry[Sev_"&amp;Long_Data[[#This Row],[Indicator Number]]&amp;"]"),MATCH(Long_Data[[#This Row],[Key]], Data_Entry[Key],0)),"NA"),"")</f>
        <v>4</v>
      </c>
      <c r="R32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20" s="70">
        <f ca="1">IFERROR(IF(J320="Magnitude",INDEX(INDIRECT("Data_Entry[PIN_"&amp;Long_Data[[#This Row],[Indicator Number]]&amp;"]"),MATCH(Long_Data[[#This Row],[Key]],Data_Entry[Key],0)),SUM(N320:P320)*INDEX(Baseline_Pop[Population],MATCH(Long_Data[[#This Row],[Key]],Baseline_Pop[Key],0))),"")</f>
        <v>109629.62036055126</v>
      </c>
    </row>
    <row r="321" spans="2:19">
      <c r="B321">
        <v>320</v>
      </c>
      <c r="C321">
        <v>20</v>
      </c>
      <c r="D321" t="str">
        <f>IFERROR(INDEX(Data_Entry[ADM2_Pcode],MATCH('Step 4-Long Data'!C321,Data_Entry[ID],0)),"NA")</f>
        <v>AF10</v>
      </c>
      <c r="E321" t="str">
        <f>IFERROR(INDEX(Data_Entry[Key],MATCH('Step 4-Long Data'!C321,Data_Entry[ID],0)),"NA")</f>
        <v>AF10-Non_Displaced</v>
      </c>
      <c r="F321">
        <v>11</v>
      </c>
      <c r="G321" t="str">
        <f>IFERROR(INDEX(Framework[Pillar],MATCH('Step 4-Long Data'!F321,Framework[Number],0)),"")</f>
        <v>Humanitarian Conditions</v>
      </c>
      <c r="H321" t="str">
        <f>IFERROR(INDEX(Framework[Sub_Pillar],MATCH('Step 4-Long Data'!F321,Framework[Number],0)),"")</f>
        <v>Coping mechanisms</v>
      </c>
      <c r="I321" t="str">
        <f>IFERROR(INDEX(Framework[Indicator],MATCH('Step 4-Long Data'!F321,Framework[Number],0)),"")</f>
        <v>% of HHs unable to obtain seed</v>
      </c>
      <c r="J321" t="str">
        <f>IFERROR(INDEX(Framework[Class],MATCH('Step 4-Long Data'!F321,Framework[Number],0)),"")</f>
        <v>Magnitude</v>
      </c>
      <c r="K321" t="str">
        <f>IFERROR(INDEX(Framework[Critical],MATCH('Step 4-Long Data'!F321,Framework[Number],0)),"")</f>
        <v>No</v>
      </c>
      <c r="L321" t="str">
        <f ca="1">IF(Long_Data[[#This Row],[Indicator Class]]="Degree",INDEX(INDIRECT("Data_Entry['"&amp;Long_Data[[#This Row],[Indicator Number]]&amp;"'_DSev_1]"),MATCH(Long_Data[[#This Row],[Key]],Data_Entry[Key],0)),"NA")</f>
        <v>NA</v>
      </c>
      <c r="M321" t="str">
        <f ca="1">IF(Long_Data[[#This Row],[Indicator Class]]="Degree",INDEX(INDIRECT("Data_Entry['"&amp;Long_Data[[#This Row],[Indicator Number]]&amp;"'_DSev_2]"),MATCH(Long_Data[[#This Row],[Key]],Data_Entry[Key],0)),"NA")</f>
        <v>NA</v>
      </c>
      <c r="N321" t="str">
        <f ca="1">IF(Long_Data[[#This Row],[Indicator Class]]="Degree",INDEX(INDIRECT("Data_Entry['"&amp;Long_Data[[#This Row],[Indicator Number]]&amp;"'_DSev_3]"),MATCH(Long_Data[[#This Row],[Key]],Data_Entry[Key],0)),"NA")</f>
        <v>NA</v>
      </c>
      <c r="O321" t="str">
        <f ca="1">IF(Long_Data[[#This Row],[Indicator Class]]="Degree",INDEX(INDIRECT("Data_Entry['"&amp;Long_Data[[#This Row],[Indicator Number]]&amp;"'_DSev_4]"),MATCH(Long_Data[[#This Row],[Key]],Data_Entry[Key],0)),"NA")</f>
        <v>NA</v>
      </c>
      <c r="P321" t="str">
        <f ca="1">IF(Long_Data[[#This Row],[Indicator Class]]="Degree",INDEX(INDIRECT("Data_Entry['"&amp;Long_Data[[#This Row],[Indicator Number]]&amp;"'_DSev_5]"),MATCH(Long_Data[[#This Row],[Key]],Data_Entry[Key],0)),"NA")</f>
        <v>NA</v>
      </c>
      <c r="Q321">
        <f ca="1">IFERROR(IF(Long_Data[[#This Row],[Indicator Class]]="Magnitude", INDEX(INDIRECT("Data_Entry[Sev_"&amp;Long_Data[[#This Row],[Indicator Number]]&amp;"]"),MATCH(Long_Data[[#This Row],[Key]], Data_Entry[Key],0)),"NA"),"")</f>
        <v>3</v>
      </c>
      <c r="R32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21" s="70">
        <f ca="1">IFERROR(IF(J321="Magnitude",INDEX(INDIRECT("Data_Entry[PIN_"&amp;Long_Data[[#This Row],[Indicator Number]]&amp;"]"),MATCH(Long_Data[[#This Row],[Key]],Data_Entry[Key],0)),SUM(N321:P321)*INDEX(Baseline_Pop[Population],MATCH(Long_Data[[#This Row],[Key]],Baseline_Pop[Key],0))),"")</f>
        <v>37555.259409265796</v>
      </c>
    </row>
    <row r="322" spans="2:19">
      <c r="B322">
        <v>321</v>
      </c>
      <c r="C322">
        <v>21</v>
      </c>
      <c r="D322" t="str">
        <f>IFERROR(INDEX(Data_Entry[ADM2_Pcode],MATCH('Step 4-Long Data'!C322,Data_Entry[ID],0)),"NA")</f>
        <v>AF01</v>
      </c>
      <c r="E322" t="str">
        <f>IFERROR(INDEX(Data_Entry[Key],MATCH('Step 4-Long Data'!C322,Data_Entry[ID],0)),"NA")</f>
        <v>AF01-Migrants</v>
      </c>
      <c r="F322">
        <v>11</v>
      </c>
      <c r="G322" t="str">
        <f>IFERROR(INDEX(Framework[Pillar],MATCH('Step 4-Long Data'!F322,Framework[Number],0)),"")</f>
        <v>Humanitarian Conditions</v>
      </c>
      <c r="H322" t="str">
        <f>IFERROR(INDEX(Framework[Sub_Pillar],MATCH('Step 4-Long Data'!F322,Framework[Number],0)),"")</f>
        <v>Coping mechanisms</v>
      </c>
      <c r="I322" t="str">
        <f>IFERROR(INDEX(Framework[Indicator],MATCH('Step 4-Long Data'!F322,Framework[Number],0)),"")</f>
        <v>% of HHs unable to obtain seed</v>
      </c>
      <c r="J322" t="str">
        <f>IFERROR(INDEX(Framework[Class],MATCH('Step 4-Long Data'!F322,Framework[Number],0)),"")</f>
        <v>Magnitude</v>
      </c>
      <c r="K322" t="str">
        <f>IFERROR(INDEX(Framework[Critical],MATCH('Step 4-Long Data'!F322,Framework[Number],0)),"")</f>
        <v>No</v>
      </c>
      <c r="L322" t="str">
        <f ca="1">IF(Long_Data[[#This Row],[Indicator Class]]="Degree",INDEX(INDIRECT("Data_Entry['"&amp;Long_Data[[#This Row],[Indicator Number]]&amp;"'_DSev_1]"),MATCH(Long_Data[[#This Row],[Key]],Data_Entry[Key],0)),"NA")</f>
        <v>NA</v>
      </c>
      <c r="M322" t="str">
        <f ca="1">IF(Long_Data[[#This Row],[Indicator Class]]="Degree",INDEX(INDIRECT("Data_Entry['"&amp;Long_Data[[#This Row],[Indicator Number]]&amp;"'_DSev_2]"),MATCH(Long_Data[[#This Row],[Key]],Data_Entry[Key],0)),"NA")</f>
        <v>NA</v>
      </c>
      <c r="N322" t="str">
        <f ca="1">IF(Long_Data[[#This Row],[Indicator Class]]="Degree",INDEX(INDIRECT("Data_Entry['"&amp;Long_Data[[#This Row],[Indicator Number]]&amp;"'_DSev_3]"),MATCH(Long_Data[[#This Row],[Key]],Data_Entry[Key],0)),"NA")</f>
        <v>NA</v>
      </c>
      <c r="O322" t="str">
        <f ca="1">IF(Long_Data[[#This Row],[Indicator Class]]="Degree",INDEX(INDIRECT("Data_Entry['"&amp;Long_Data[[#This Row],[Indicator Number]]&amp;"'_DSev_4]"),MATCH(Long_Data[[#This Row],[Key]],Data_Entry[Key],0)),"NA")</f>
        <v>NA</v>
      </c>
      <c r="P322" t="str">
        <f ca="1">IF(Long_Data[[#This Row],[Indicator Class]]="Degree",INDEX(INDIRECT("Data_Entry['"&amp;Long_Data[[#This Row],[Indicator Number]]&amp;"'_DSev_5]"),MATCH(Long_Data[[#This Row],[Key]],Data_Entry[Key],0)),"NA")</f>
        <v>NA</v>
      </c>
      <c r="Q322">
        <f ca="1">IFERROR(IF(Long_Data[[#This Row],[Indicator Class]]="Magnitude", INDEX(INDIRECT("Data_Entry[Sev_"&amp;Long_Data[[#This Row],[Indicator Number]]&amp;"]"),MATCH(Long_Data[[#This Row],[Key]], Data_Entry[Key],0)),"NA"),"")</f>
        <v>4</v>
      </c>
      <c r="R322">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22" s="70">
        <f ca="1">IFERROR(IF(J322="Magnitude",INDEX(INDIRECT("Data_Entry[PIN_"&amp;Long_Data[[#This Row],[Indicator Number]]&amp;"]"),MATCH(Long_Data[[#This Row],[Key]],Data_Entry[Key],0)),SUM(N322:P322)*INDEX(Baseline_Pop[Population],MATCH(Long_Data[[#This Row],[Key]],Baseline_Pop[Key],0))),"")</f>
        <v>1038022.9524096948</v>
      </c>
    </row>
    <row r="323" spans="2:19">
      <c r="B323">
        <v>322</v>
      </c>
      <c r="C323">
        <v>22</v>
      </c>
      <c r="D323" t="str">
        <f>IFERROR(INDEX(Data_Entry[ADM2_Pcode],MATCH('Step 4-Long Data'!C323,Data_Entry[ID],0)),"NA")</f>
        <v>AF02</v>
      </c>
      <c r="E323" t="str">
        <f>IFERROR(INDEX(Data_Entry[Key],MATCH('Step 4-Long Data'!C323,Data_Entry[ID],0)),"NA")</f>
        <v>AF02-Migrants</v>
      </c>
      <c r="F323">
        <v>11</v>
      </c>
      <c r="G323" t="str">
        <f>IFERROR(INDEX(Framework[Pillar],MATCH('Step 4-Long Data'!F323,Framework[Number],0)),"")</f>
        <v>Humanitarian Conditions</v>
      </c>
      <c r="H323" t="str">
        <f>IFERROR(INDEX(Framework[Sub_Pillar],MATCH('Step 4-Long Data'!F323,Framework[Number],0)),"")</f>
        <v>Coping mechanisms</v>
      </c>
      <c r="I323" t="str">
        <f>IFERROR(INDEX(Framework[Indicator],MATCH('Step 4-Long Data'!F323,Framework[Number],0)),"")</f>
        <v>% of HHs unable to obtain seed</v>
      </c>
      <c r="J323" t="str">
        <f>IFERROR(INDEX(Framework[Class],MATCH('Step 4-Long Data'!F323,Framework[Number],0)),"")</f>
        <v>Magnitude</v>
      </c>
      <c r="K323" t="str">
        <f>IFERROR(INDEX(Framework[Critical],MATCH('Step 4-Long Data'!F323,Framework[Number],0)),"")</f>
        <v>No</v>
      </c>
      <c r="L323" t="str">
        <f ca="1">IF(Long_Data[[#This Row],[Indicator Class]]="Degree",INDEX(INDIRECT("Data_Entry['"&amp;Long_Data[[#This Row],[Indicator Number]]&amp;"'_DSev_1]"),MATCH(Long_Data[[#This Row],[Key]],Data_Entry[Key],0)),"NA")</f>
        <v>NA</v>
      </c>
      <c r="M323" t="str">
        <f ca="1">IF(Long_Data[[#This Row],[Indicator Class]]="Degree",INDEX(INDIRECT("Data_Entry['"&amp;Long_Data[[#This Row],[Indicator Number]]&amp;"'_DSev_2]"),MATCH(Long_Data[[#This Row],[Key]],Data_Entry[Key],0)),"NA")</f>
        <v>NA</v>
      </c>
      <c r="N323" t="str">
        <f ca="1">IF(Long_Data[[#This Row],[Indicator Class]]="Degree",INDEX(INDIRECT("Data_Entry['"&amp;Long_Data[[#This Row],[Indicator Number]]&amp;"'_DSev_3]"),MATCH(Long_Data[[#This Row],[Key]],Data_Entry[Key],0)),"NA")</f>
        <v>NA</v>
      </c>
      <c r="O323" t="str">
        <f ca="1">IF(Long_Data[[#This Row],[Indicator Class]]="Degree",INDEX(INDIRECT("Data_Entry['"&amp;Long_Data[[#This Row],[Indicator Number]]&amp;"'_DSev_4]"),MATCH(Long_Data[[#This Row],[Key]],Data_Entry[Key],0)),"NA")</f>
        <v>NA</v>
      </c>
      <c r="P323" t="str">
        <f ca="1">IF(Long_Data[[#This Row],[Indicator Class]]="Degree",INDEX(INDIRECT("Data_Entry['"&amp;Long_Data[[#This Row],[Indicator Number]]&amp;"'_DSev_5]"),MATCH(Long_Data[[#This Row],[Key]],Data_Entry[Key],0)),"NA")</f>
        <v>NA</v>
      </c>
      <c r="Q323">
        <f ca="1">IFERROR(IF(Long_Data[[#This Row],[Indicator Class]]="Magnitude", INDEX(INDIRECT("Data_Entry[Sev_"&amp;Long_Data[[#This Row],[Indicator Number]]&amp;"]"),MATCH(Long_Data[[#This Row],[Key]], Data_Entry[Key],0)),"NA"),"")</f>
        <v>2</v>
      </c>
      <c r="R32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23" s="70">
        <f ca="1">IFERROR(IF(J323="Magnitude",INDEX(INDIRECT("Data_Entry[PIN_"&amp;Long_Data[[#This Row],[Indicator Number]]&amp;"]"),MATCH(Long_Data[[#This Row],[Key]],Data_Entry[Key],0)),SUM(N323:P323)*INDEX(Baseline_Pop[Population],MATCH(Long_Data[[#This Row],[Key]],Baseline_Pop[Key],0))),"")</f>
        <v>53375.094339622505</v>
      </c>
    </row>
    <row r="324" spans="2:19">
      <c r="B324">
        <v>323</v>
      </c>
      <c r="C324">
        <v>23</v>
      </c>
      <c r="D324" t="str">
        <f>IFERROR(INDEX(Data_Entry[ADM2_Pcode],MATCH('Step 4-Long Data'!C324,Data_Entry[ID],0)),"NA")</f>
        <v>AF03</v>
      </c>
      <c r="E324" t="str">
        <f>IFERROR(INDEX(Data_Entry[Key],MATCH('Step 4-Long Data'!C324,Data_Entry[ID],0)),"NA")</f>
        <v>AF03-Migrants</v>
      </c>
      <c r="F324">
        <v>11</v>
      </c>
      <c r="G324" t="str">
        <f>IFERROR(INDEX(Framework[Pillar],MATCH('Step 4-Long Data'!F324,Framework[Number],0)),"")</f>
        <v>Humanitarian Conditions</v>
      </c>
      <c r="H324" t="str">
        <f>IFERROR(INDEX(Framework[Sub_Pillar],MATCH('Step 4-Long Data'!F324,Framework[Number],0)),"")</f>
        <v>Coping mechanisms</v>
      </c>
      <c r="I324" t="str">
        <f>IFERROR(INDEX(Framework[Indicator],MATCH('Step 4-Long Data'!F324,Framework[Number],0)),"")</f>
        <v>% of HHs unable to obtain seed</v>
      </c>
      <c r="J324" t="str">
        <f>IFERROR(INDEX(Framework[Class],MATCH('Step 4-Long Data'!F324,Framework[Number],0)),"")</f>
        <v>Magnitude</v>
      </c>
      <c r="K324" t="str">
        <f>IFERROR(INDEX(Framework[Critical],MATCH('Step 4-Long Data'!F324,Framework[Number],0)),"")</f>
        <v>No</v>
      </c>
      <c r="L324" t="str">
        <f ca="1">IF(Long_Data[[#This Row],[Indicator Class]]="Degree",INDEX(INDIRECT("Data_Entry['"&amp;Long_Data[[#This Row],[Indicator Number]]&amp;"'_DSev_1]"),MATCH(Long_Data[[#This Row],[Key]],Data_Entry[Key],0)),"NA")</f>
        <v>NA</v>
      </c>
      <c r="M324" t="str">
        <f ca="1">IF(Long_Data[[#This Row],[Indicator Class]]="Degree",INDEX(INDIRECT("Data_Entry['"&amp;Long_Data[[#This Row],[Indicator Number]]&amp;"'_DSev_2]"),MATCH(Long_Data[[#This Row],[Key]],Data_Entry[Key],0)),"NA")</f>
        <v>NA</v>
      </c>
      <c r="N324" t="str">
        <f ca="1">IF(Long_Data[[#This Row],[Indicator Class]]="Degree",INDEX(INDIRECT("Data_Entry['"&amp;Long_Data[[#This Row],[Indicator Number]]&amp;"'_DSev_3]"),MATCH(Long_Data[[#This Row],[Key]],Data_Entry[Key],0)),"NA")</f>
        <v>NA</v>
      </c>
      <c r="O324" t="str">
        <f ca="1">IF(Long_Data[[#This Row],[Indicator Class]]="Degree",INDEX(INDIRECT("Data_Entry['"&amp;Long_Data[[#This Row],[Indicator Number]]&amp;"'_DSev_4]"),MATCH(Long_Data[[#This Row],[Key]],Data_Entry[Key],0)),"NA")</f>
        <v>NA</v>
      </c>
      <c r="P324" t="str">
        <f ca="1">IF(Long_Data[[#This Row],[Indicator Class]]="Degree",INDEX(INDIRECT("Data_Entry['"&amp;Long_Data[[#This Row],[Indicator Number]]&amp;"'_DSev_5]"),MATCH(Long_Data[[#This Row],[Key]],Data_Entry[Key],0)),"NA")</f>
        <v>NA</v>
      </c>
      <c r="Q324">
        <f ca="1">IFERROR(IF(Long_Data[[#This Row],[Indicator Class]]="Magnitude", INDEX(INDIRECT("Data_Entry[Sev_"&amp;Long_Data[[#This Row],[Indicator Number]]&amp;"]"),MATCH(Long_Data[[#This Row],[Key]], Data_Entry[Key],0)),"NA"),"")</f>
        <v>3</v>
      </c>
      <c r="R32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24" s="70">
        <f ca="1">IFERROR(IF(J324="Magnitude",INDEX(INDIRECT("Data_Entry[PIN_"&amp;Long_Data[[#This Row],[Indicator Number]]&amp;"]"),MATCH(Long_Data[[#This Row],[Key]],Data_Entry[Key],0)),SUM(N324:P324)*INDEX(Baseline_Pop[Population],MATCH(Long_Data[[#This Row],[Key]],Baseline_Pop[Key],0))),"")</f>
        <v>96955.174013921074</v>
      </c>
    </row>
    <row r="325" spans="2:19">
      <c r="B325">
        <v>324</v>
      </c>
      <c r="C325">
        <v>24</v>
      </c>
      <c r="D325" t="str">
        <f>IFERROR(INDEX(Data_Entry[ADM2_Pcode],MATCH('Step 4-Long Data'!C325,Data_Entry[ID],0)),"NA")</f>
        <v>AF04</v>
      </c>
      <c r="E325" t="str">
        <f>IFERROR(INDEX(Data_Entry[Key],MATCH('Step 4-Long Data'!C325,Data_Entry[ID],0)),"NA")</f>
        <v>AF04-Migrants</v>
      </c>
      <c r="F325">
        <v>11</v>
      </c>
      <c r="G325" t="str">
        <f>IFERROR(INDEX(Framework[Pillar],MATCH('Step 4-Long Data'!F325,Framework[Number],0)),"")</f>
        <v>Humanitarian Conditions</v>
      </c>
      <c r="H325" t="str">
        <f>IFERROR(INDEX(Framework[Sub_Pillar],MATCH('Step 4-Long Data'!F325,Framework[Number],0)),"")</f>
        <v>Coping mechanisms</v>
      </c>
      <c r="I325" t="str">
        <f>IFERROR(INDEX(Framework[Indicator],MATCH('Step 4-Long Data'!F325,Framework[Number],0)),"")</f>
        <v>% of HHs unable to obtain seed</v>
      </c>
      <c r="J325" t="str">
        <f>IFERROR(INDEX(Framework[Class],MATCH('Step 4-Long Data'!F325,Framework[Number],0)),"")</f>
        <v>Magnitude</v>
      </c>
      <c r="K325" t="str">
        <f>IFERROR(INDEX(Framework[Critical],MATCH('Step 4-Long Data'!F325,Framework[Number],0)),"")</f>
        <v>No</v>
      </c>
      <c r="L325" t="str">
        <f ca="1">IF(Long_Data[[#This Row],[Indicator Class]]="Degree",INDEX(INDIRECT("Data_Entry['"&amp;Long_Data[[#This Row],[Indicator Number]]&amp;"'_DSev_1]"),MATCH(Long_Data[[#This Row],[Key]],Data_Entry[Key],0)),"NA")</f>
        <v>NA</v>
      </c>
      <c r="M325" t="str">
        <f ca="1">IF(Long_Data[[#This Row],[Indicator Class]]="Degree",INDEX(INDIRECT("Data_Entry['"&amp;Long_Data[[#This Row],[Indicator Number]]&amp;"'_DSev_2]"),MATCH(Long_Data[[#This Row],[Key]],Data_Entry[Key],0)),"NA")</f>
        <v>NA</v>
      </c>
      <c r="N325" t="str">
        <f ca="1">IF(Long_Data[[#This Row],[Indicator Class]]="Degree",INDEX(INDIRECT("Data_Entry['"&amp;Long_Data[[#This Row],[Indicator Number]]&amp;"'_DSev_3]"),MATCH(Long_Data[[#This Row],[Key]],Data_Entry[Key],0)),"NA")</f>
        <v>NA</v>
      </c>
      <c r="O325" t="str">
        <f ca="1">IF(Long_Data[[#This Row],[Indicator Class]]="Degree",INDEX(INDIRECT("Data_Entry['"&amp;Long_Data[[#This Row],[Indicator Number]]&amp;"'_DSev_4]"),MATCH(Long_Data[[#This Row],[Key]],Data_Entry[Key],0)),"NA")</f>
        <v>NA</v>
      </c>
      <c r="P325" t="str">
        <f ca="1">IF(Long_Data[[#This Row],[Indicator Class]]="Degree",INDEX(INDIRECT("Data_Entry['"&amp;Long_Data[[#This Row],[Indicator Number]]&amp;"'_DSev_5]"),MATCH(Long_Data[[#This Row],[Key]],Data_Entry[Key],0)),"NA")</f>
        <v>NA</v>
      </c>
      <c r="Q325">
        <f ca="1">IFERROR(IF(Long_Data[[#This Row],[Indicator Class]]="Magnitude", INDEX(INDIRECT("Data_Entry[Sev_"&amp;Long_Data[[#This Row],[Indicator Number]]&amp;"]"),MATCH(Long_Data[[#This Row],[Key]], Data_Entry[Key],0)),"NA"),"")</f>
        <v>3</v>
      </c>
      <c r="R32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25" s="70">
        <f ca="1">IFERROR(IF(J325="Magnitude",INDEX(INDIRECT("Data_Entry[PIN_"&amp;Long_Data[[#This Row],[Indicator Number]]&amp;"]"),MATCH(Long_Data[[#This Row],[Key]],Data_Entry[Key],0)),SUM(N325:P325)*INDEX(Baseline_Pop[Population],MATCH(Long_Data[[#This Row],[Key]],Baseline_Pop[Key],0))),"")</f>
        <v>122417.04372136072</v>
      </c>
    </row>
    <row r="326" spans="2:19">
      <c r="B326">
        <v>325</v>
      </c>
      <c r="C326">
        <v>25</v>
      </c>
      <c r="D326" t="str">
        <f>IFERROR(INDEX(Data_Entry[ADM2_Pcode],MATCH('Step 4-Long Data'!C326,Data_Entry[ID],0)),"NA")</f>
        <v>AF05</v>
      </c>
      <c r="E326" t="str">
        <f>IFERROR(INDEX(Data_Entry[Key],MATCH('Step 4-Long Data'!C326,Data_Entry[ID],0)),"NA")</f>
        <v>AF05-Migrants</v>
      </c>
      <c r="F326">
        <v>11</v>
      </c>
      <c r="G326" t="str">
        <f>IFERROR(INDEX(Framework[Pillar],MATCH('Step 4-Long Data'!F326,Framework[Number],0)),"")</f>
        <v>Humanitarian Conditions</v>
      </c>
      <c r="H326" t="str">
        <f>IFERROR(INDEX(Framework[Sub_Pillar],MATCH('Step 4-Long Data'!F326,Framework[Number],0)),"")</f>
        <v>Coping mechanisms</v>
      </c>
      <c r="I326" t="str">
        <f>IFERROR(INDEX(Framework[Indicator],MATCH('Step 4-Long Data'!F326,Framework[Number],0)),"")</f>
        <v>% of HHs unable to obtain seed</v>
      </c>
      <c r="J326" t="str">
        <f>IFERROR(INDEX(Framework[Class],MATCH('Step 4-Long Data'!F326,Framework[Number],0)),"")</f>
        <v>Magnitude</v>
      </c>
      <c r="K326" t="str">
        <f>IFERROR(INDEX(Framework[Critical],MATCH('Step 4-Long Data'!F326,Framework[Number],0)),"")</f>
        <v>No</v>
      </c>
      <c r="L326" t="str">
        <f ca="1">IF(Long_Data[[#This Row],[Indicator Class]]="Degree",INDEX(INDIRECT("Data_Entry['"&amp;Long_Data[[#This Row],[Indicator Number]]&amp;"'_DSev_1]"),MATCH(Long_Data[[#This Row],[Key]],Data_Entry[Key],0)),"NA")</f>
        <v>NA</v>
      </c>
      <c r="M326" t="str">
        <f ca="1">IF(Long_Data[[#This Row],[Indicator Class]]="Degree",INDEX(INDIRECT("Data_Entry['"&amp;Long_Data[[#This Row],[Indicator Number]]&amp;"'_DSev_2]"),MATCH(Long_Data[[#This Row],[Key]],Data_Entry[Key],0)),"NA")</f>
        <v>NA</v>
      </c>
      <c r="N326" t="str">
        <f ca="1">IF(Long_Data[[#This Row],[Indicator Class]]="Degree",INDEX(INDIRECT("Data_Entry['"&amp;Long_Data[[#This Row],[Indicator Number]]&amp;"'_DSev_3]"),MATCH(Long_Data[[#This Row],[Key]],Data_Entry[Key],0)),"NA")</f>
        <v>NA</v>
      </c>
      <c r="O326" t="str">
        <f ca="1">IF(Long_Data[[#This Row],[Indicator Class]]="Degree",INDEX(INDIRECT("Data_Entry['"&amp;Long_Data[[#This Row],[Indicator Number]]&amp;"'_DSev_4]"),MATCH(Long_Data[[#This Row],[Key]],Data_Entry[Key],0)),"NA")</f>
        <v>NA</v>
      </c>
      <c r="P326" t="str">
        <f ca="1">IF(Long_Data[[#This Row],[Indicator Class]]="Degree",INDEX(INDIRECT("Data_Entry['"&amp;Long_Data[[#This Row],[Indicator Number]]&amp;"'_DSev_5]"),MATCH(Long_Data[[#This Row],[Key]],Data_Entry[Key],0)),"NA")</f>
        <v>NA</v>
      </c>
      <c r="Q326">
        <f ca="1">IFERROR(IF(Long_Data[[#This Row],[Indicator Class]]="Magnitude", INDEX(INDIRECT("Data_Entry[Sev_"&amp;Long_Data[[#This Row],[Indicator Number]]&amp;"]"),MATCH(Long_Data[[#This Row],[Key]], Data_Entry[Key],0)),"NA"),"")</f>
        <v>3</v>
      </c>
      <c r="R326">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26" s="70">
        <f ca="1">IFERROR(IF(J326="Magnitude",INDEX(INDIRECT("Data_Entry[PIN_"&amp;Long_Data[[#This Row],[Indicator Number]]&amp;"]"),MATCH(Long_Data[[#This Row],[Key]],Data_Entry[Key],0)),SUM(N326:P326)*INDEX(Baseline_Pop[Population],MATCH(Long_Data[[#This Row],[Key]],Baseline_Pop[Key],0))),"")</f>
        <v>78081.009347507337</v>
      </c>
    </row>
    <row r="327" spans="2:19">
      <c r="B327">
        <v>326</v>
      </c>
      <c r="C327">
        <v>26</v>
      </c>
      <c r="D327" t="str">
        <f>IFERROR(INDEX(Data_Entry[ADM2_Pcode],MATCH('Step 4-Long Data'!C327,Data_Entry[ID],0)),"NA")</f>
        <v>AF06</v>
      </c>
      <c r="E327" t="str">
        <f>IFERROR(INDEX(Data_Entry[Key],MATCH('Step 4-Long Data'!C327,Data_Entry[ID],0)),"NA")</f>
        <v>AF06-Migrants</v>
      </c>
      <c r="F327">
        <v>11</v>
      </c>
      <c r="G327" t="str">
        <f>IFERROR(INDEX(Framework[Pillar],MATCH('Step 4-Long Data'!F327,Framework[Number],0)),"")</f>
        <v>Humanitarian Conditions</v>
      </c>
      <c r="H327" t="str">
        <f>IFERROR(INDEX(Framework[Sub_Pillar],MATCH('Step 4-Long Data'!F327,Framework[Number],0)),"")</f>
        <v>Coping mechanisms</v>
      </c>
      <c r="I327" t="str">
        <f>IFERROR(INDEX(Framework[Indicator],MATCH('Step 4-Long Data'!F327,Framework[Number],0)),"")</f>
        <v>% of HHs unable to obtain seed</v>
      </c>
      <c r="J327" t="str">
        <f>IFERROR(INDEX(Framework[Class],MATCH('Step 4-Long Data'!F327,Framework[Number],0)),"")</f>
        <v>Magnitude</v>
      </c>
      <c r="K327" t="str">
        <f>IFERROR(INDEX(Framework[Critical],MATCH('Step 4-Long Data'!F327,Framework[Number],0)),"")</f>
        <v>No</v>
      </c>
      <c r="L327" t="str">
        <f ca="1">IF(Long_Data[[#This Row],[Indicator Class]]="Degree",INDEX(INDIRECT("Data_Entry['"&amp;Long_Data[[#This Row],[Indicator Number]]&amp;"'_DSev_1]"),MATCH(Long_Data[[#This Row],[Key]],Data_Entry[Key],0)),"NA")</f>
        <v>NA</v>
      </c>
      <c r="M327" t="str">
        <f ca="1">IF(Long_Data[[#This Row],[Indicator Class]]="Degree",INDEX(INDIRECT("Data_Entry['"&amp;Long_Data[[#This Row],[Indicator Number]]&amp;"'_DSev_2]"),MATCH(Long_Data[[#This Row],[Key]],Data_Entry[Key],0)),"NA")</f>
        <v>NA</v>
      </c>
      <c r="N327" t="str">
        <f ca="1">IF(Long_Data[[#This Row],[Indicator Class]]="Degree",INDEX(INDIRECT("Data_Entry['"&amp;Long_Data[[#This Row],[Indicator Number]]&amp;"'_DSev_3]"),MATCH(Long_Data[[#This Row],[Key]],Data_Entry[Key],0)),"NA")</f>
        <v>NA</v>
      </c>
      <c r="O327" t="str">
        <f ca="1">IF(Long_Data[[#This Row],[Indicator Class]]="Degree",INDEX(INDIRECT("Data_Entry['"&amp;Long_Data[[#This Row],[Indicator Number]]&amp;"'_DSev_4]"),MATCH(Long_Data[[#This Row],[Key]],Data_Entry[Key],0)),"NA")</f>
        <v>NA</v>
      </c>
      <c r="P327" t="str">
        <f ca="1">IF(Long_Data[[#This Row],[Indicator Class]]="Degree",INDEX(INDIRECT("Data_Entry['"&amp;Long_Data[[#This Row],[Indicator Number]]&amp;"'_DSev_5]"),MATCH(Long_Data[[#This Row],[Key]],Data_Entry[Key],0)),"NA")</f>
        <v>NA</v>
      </c>
      <c r="Q327">
        <f ca="1">IFERROR(IF(Long_Data[[#This Row],[Indicator Class]]="Magnitude", INDEX(INDIRECT("Data_Entry[Sev_"&amp;Long_Data[[#This Row],[Indicator Number]]&amp;"]"),MATCH(Long_Data[[#This Row],[Key]], Data_Entry[Key],0)),"NA"),"")</f>
        <v>4</v>
      </c>
      <c r="R327">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27" s="70">
        <f ca="1">IFERROR(IF(J327="Magnitude",INDEX(INDIRECT("Data_Entry[PIN_"&amp;Long_Data[[#This Row],[Indicator Number]]&amp;"]"),MATCH(Long_Data[[#This Row],[Key]],Data_Entry[Key],0)),SUM(N327:P327)*INDEX(Baseline_Pop[Population],MATCH(Long_Data[[#This Row],[Key]],Baseline_Pop[Key],0))),"")</f>
        <v>360194.16666666715</v>
      </c>
    </row>
    <row r="328" spans="2:19">
      <c r="B328">
        <v>327</v>
      </c>
      <c r="C328">
        <v>27</v>
      </c>
      <c r="D328" t="str">
        <f>IFERROR(INDEX(Data_Entry[ADM2_Pcode],MATCH('Step 4-Long Data'!C328,Data_Entry[ID],0)),"NA")</f>
        <v>AF07</v>
      </c>
      <c r="E328" t="str">
        <f>IFERROR(INDEX(Data_Entry[Key],MATCH('Step 4-Long Data'!C328,Data_Entry[ID],0)),"NA")</f>
        <v>AF07-Migrants</v>
      </c>
      <c r="F328">
        <v>11</v>
      </c>
      <c r="G328" t="str">
        <f>IFERROR(INDEX(Framework[Pillar],MATCH('Step 4-Long Data'!F328,Framework[Number],0)),"")</f>
        <v>Humanitarian Conditions</v>
      </c>
      <c r="H328" t="str">
        <f>IFERROR(INDEX(Framework[Sub_Pillar],MATCH('Step 4-Long Data'!F328,Framework[Number],0)),"")</f>
        <v>Coping mechanisms</v>
      </c>
      <c r="I328" t="str">
        <f>IFERROR(INDEX(Framework[Indicator],MATCH('Step 4-Long Data'!F328,Framework[Number],0)),"")</f>
        <v>% of HHs unable to obtain seed</v>
      </c>
      <c r="J328" t="str">
        <f>IFERROR(INDEX(Framework[Class],MATCH('Step 4-Long Data'!F328,Framework[Number],0)),"")</f>
        <v>Magnitude</v>
      </c>
      <c r="K328" t="str">
        <f>IFERROR(INDEX(Framework[Critical],MATCH('Step 4-Long Data'!F328,Framework[Number],0)),"")</f>
        <v>No</v>
      </c>
      <c r="L328" t="str">
        <f ca="1">IF(Long_Data[[#This Row],[Indicator Class]]="Degree",INDEX(INDIRECT("Data_Entry['"&amp;Long_Data[[#This Row],[Indicator Number]]&amp;"'_DSev_1]"),MATCH(Long_Data[[#This Row],[Key]],Data_Entry[Key],0)),"NA")</f>
        <v>NA</v>
      </c>
      <c r="M328" t="str">
        <f ca="1">IF(Long_Data[[#This Row],[Indicator Class]]="Degree",INDEX(INDIRECT("Data_Entry['"&amp;Long_Data[[#This Row],[Indicator Number]]&amp;"'_DSev_2]"),MATCH(Long_Data[[#This Row],[Key]],Data_Entry[Key],0)),"NA")</f>
        <v>NA</v>
      </c>
      <c r="N328" t="str">
        <f ca="1">IF(Long_Data[[#This Row],[Indicator Class]]="Degree",INDEX(INDIRECT("Data_Entry['"&amp;Long_Data[[#This Row],[Indicator Number]]&amp;"'_DSev_3]"),MATCH(Long_Data[[#This Row],[Key]],Data_Entry[Key],0)),"NA")</f>
        <v>NA</v>
      </c>
      <c r="O328" t="str">
        <f ca="1">IF(Long_Data[[#This Row],[Indicator Class]]="Degree",INDEX(INDIRECT("Data_Entry['"&amp;Long_Data[[#This Row],[Indicator Number]]&amp;"'_DSev_4]"),MATCH(Long_Data[[#This Row],[Key]],Data_Entry[Key],0)),"NA")</f>
        <v>NA</v>
      </c>
      <c r="P328" t="str">
        <f ca="1">IF(Long_Data[[#This Row],[Indicator Class]]="Degree",INDEX(INDIRECT("Data_Entry['"&amp;Long_Data[[#This Row],[Indicator Number]]&amp;"'_DSev_5]"),MATCH(Long_Data[[#This Row],[Key]],Data_Entry[Key],0)),"NA")</f>
        <v>NA</v>
      </c>
      <c r="Q328">
        <f ca="1">IFERROR(IF(Long_Data[[#This Row],[Indicator Class]]="Magnitude", INDEX(INDIRECT("Data_Entry[Sev_"&amp;Long_Data[[#This Row],[Indicator Number]]&amp;"]"),MATCH(Long_Data[[#This Row],[Key]], Data_Entry[Key],0)),"NA"),"")</f>
        <v>2</v>
      </c>
      <c r="R328">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28" s="70">
        <f ca="1">IFERROR(IF(J328="Magnitude",INDEX(INDIRECT("Data_Entry[PIN_"&amp;Long_Data[[#This Row],[Indicator Number]]&amp;"]"),MATCH(Long_Data[[#This Row],[Key]],Data_Entry[Key],0)),SUM(N328:P328)*INDEX(Baseline_Pop[Population],MATCH(Long_Data[[#This Row],[Key]],Baseline_Pop[Key],0))),"")</f>
        <v>41508.482281522076</v>
      </c>
    </row>
    <row r="329" spans="2:19">
      <c r="B329">
        <v>328</v>
      </c>
      <c r="C329">
        <v>28</v>
      </c>
      <c r="D329" t="str">
        <f>IFERROR(INDEX(Data_Entry[ADM2_Pcode],MATCH('Step 4-Long Data'!C329,Data_Entry[ID],0)),"NA")</f>
        <v>AF08</v>
      </c>
      <c r="E329" t="str">
        <f>IFERROR(INDEX(Data_Entry[Key],MATCH('Step 4-Long Data'!C329,Data_Entry[ID],0)),"NA")</f>
        <v>AF08-Migrants</v>
      </c>
      <c r="F329">
        <v>11</v>
      </c>
      <c r="G329" t="str">
        <f>IFERROR(INDEX(Framework[Pillar],MATCH('Step 4-Long Data'!F329,Framework[Number],0)),"")</f>
        <v>Humanitarian Conditions</v>
      </c>
      <c r="H329" t="str">
        <f>IFERROR(INDEX(Framework[Sub_Pillar],MATCH('Step 4-Long Data'!F329,Framework[Number],0)),"")</f>
        <v>Coping mechanisms</v>
      </c>
      <c r="I329" t="str">
        <f>IFERROR(INDEX(Framework[Indicator],MATCH('Step 4-Long Data'!F329,Framework[Number],0)),"")</f>
        <v>% of HHs unable to obtain seed</v>
      </c>
      <c r="J329" t="str">
        <f>IFERROR(INDEX(Framework[Class],MATCH('Step 4-Long Data'!F329,Framework[Number],0)),"")</f>
        <v>Magnitude</v>
      </c>
      <c r="K329" t="str">
        <f>IFERROR(INDEX(Framework[Critical],MATCH('Step 4-Long Data'!F329,Framework[Number],0)),"")</f>
        <v>No</v>
      </c>
      <c r="L329" t="str">
        <f ca="1">IF(Long_Data[[#This Row],[Indicator Class]]="Degree",INDEX(INDIRECT("Data_Entry['"&amp;Long_Data[[#This Row],[Indicator Number]]&amp;"'_DSev_1]"),MATCH(Long_Data[[#This Row],[Key]],Data_Entry[Key],0)),"NA")</f>
        <v>NA</v>
      </c>
      <c r="M329" t="str">
        <f ca="1">IF(Long_Data[[#This Row],[Indicator Class]]="Degree",INDEX(INDIRECT("Data_Entry['"&amp;Long_Data[[#This Row],[Indicator Number]]&amp;"'_DSev_2]"),MATCH(Long_Data[[#This Row],[Key]],Data_Entry[Key],0)),"NA")</f>
        <v>NA</v>
      </c>
      <c r="N329" t="str">
        <f ca="1">IF(Long_Data[[#This Row],[Indicator Class]]="Degree",INDEX(INDIRECT("Data_Entry['"&amp;Long_Data[[#This Row],[Indicator Number]]&amp;"'_DSev_3]"),MATCH(Long_Data[[#This Row],[Key]],Data_Entry[Key],0)),"NA")</f>
        <v>NA</v>
      </c>
      <c r="O329" t="str">
        <f ca="1">IF(Long_Data[[#This Row],[Indicator Class]]="Degree",INDEX(INDIRECT("Data_Entry['"&amp;Long_Data[[#This Row],[Indicator Number]]&amp;"'_DSev_4]"),MATCH(Long_Data[[#This Row],[Key]],Data_Entry[Key],0)),"NA")</f>
        <v>NA</v>
      </c>
      <c r="P329" t="str">
        <f ca="1">IF(Long_Data[[#This Row],[Indicator Class]]="Degree",INDEX(INDIRECT("Data_Entry['"&amp;Long_Data[[#This Row],[Indicator Number]]&amp;"'_DSev_5]"),MATCH(Long_Data[[#This Row],[Key]],Data_Entry[Key],0)),"NA")</f>
        <v>NA</v>
      </c>
      <c r="Q329">
        <f ca="1">IFERROR(IF(Long_Data[[#This Row],[Indicator Class]]="Magnitude", INDEX(INDIRECT("Data_Entry[Sev_"&amp;Long_Data[[#This Row],[Indicator Number]]&amp;"]"),MATCH(Long_Data[[#This Row],[Key]], Data_Entry[Key],0)),"NA"),"")</f>
        <v>2</v>
      </c>
      <c r="R329">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29" s="70">
        <f ca="1">IFERROR(IF(J329="Magnitude",INDEX(INDIRECT("Data_Entry[PIN_"&amp;Long_Data[[#This Row],[Indicator Number]]&amp;"]"),MATCH(Long_Data[[#This Row],[Key]],Data_Entry[Key],0)),SUM(N329:P329)*INDEX(Baseline_Pop[Population],MATCH(Long_Data[[#This Row],[Key]],Baseline_Pop[Key],0))),"")</f>
        <v>21493.26388536493</v>
      </c>
    </row>
    <row r="330" spans="2:19">
      <c r="B330">
        <v>329</v>
      </c>
      <c r="C330">
        <v>29</v>
      </c>
      <c r="D330" t="str">
        <f>IFERROR(INDEX(Data_Entry[ADM2_Pcode],MATCH('Step 4-Long Data'!C330,Data_Entry[ID],0)),"NA")</f>
        <v>AF09</v>
      </c>
      <c r="E330" t="str">
        <f>IFERROR(INDEX(Data_Entry[Key],MATCH('Step 4-Long Data'!C330,Data_Entry[ID],0)),"NA")</f>
        <v>AF09-Migrants</v>
      </c>
      <c r="F330">
        <v>11</v>
      </c>
      <c r="G330" t="str">
        <f>IFERROR(INDEX(Framework[Pillar],MATCH('Step 4-Long Data'!F330,Framework[Number],0)),"")</f>
        <v>Humanitarian Conditions</v>
      </c>
      <c r="H330" t="str">
        <f>IFERROR(INDEX(Framework[Sub_Pillar],MATCH('Step 4-Long Data'!F330,Framework[Number],0)),"")</f>
        <v>Coping mechanisms</v>
      </c>
      <c r="I330" t="str">
        <f>IFERROR(INDEX(Framework[Indicator],MATCH('Step 4-Long Data'!F330,Framework[Number],0)),"")</f>
        <v>% of HHs unable to obtain seed</v>
      </c>
      <c r="J330" t="str">
        <f>IFERROR(INDEX(Framework[Class],MATCH('Step 4-Long Data'!F330,Framework[Number],0)),"")</f>
        <v>Magnitude</v>
      </c>
      <c r="K330" t="str">
        <f>IFERROR(INDEX(Framework[Critical],MATCH('Step 4-Long Data'!F330,Framework[Number],0)),"")</f>
        <v>No</v>
      </c>
      <c r="L330" t="str">
        <f ca="1">IF(Long_Data[[#This Row],[Indicator Class]]="Degree",INDEX(INDIRECT("Data_Entry['"&amp;Long_Data[[#This Row],[Indicator Number]]&amp;"'_DSev_1]"),MATCH(Long_Data[[#This Row],[Key]],Data_Entry[Key],0)),"NA")</f>
        <v>NA</v>
      </c>
      <c r="M330" t="str">
        <f ca="1">IF(Long_Data[[#This Row],[Indicator Class]]="Degree",INDEX(INDIRECT("Data_Entry['"&amp;Long_Data[[#This Row],[Indicator Number]]&amp;"'_DSev_2]"),MATCH(Long_Data[[#This Row],[Key]],Data_Entry[Key],0)),"NA")</f>
        <v>NA</v>
      </c>
      <c r="N330" t="str">
        <f ca="1">IF(Long_Data[[#This Row],[Indicator Class]]="Degree",INDEX(INDIRECT("Data_Entry['"&amp;Long_Data[[#This Row],[Indicator Number]]&amp;"'_DSev_3]"),MATCH(Long_Data[[#This Row],[Key]],Data_Entry[Key],0)),"NA")</f>
        <v>NA</v>
      </c>
      <c r="O330" t="str">
        <f ca="1">IF(Long_Data[[#This Row],[Indicator Class]]="Degree",INDEX(INDIRECT("Data_Entry['"&amp;Long_Data[[#This Row],[Indicator Number]]&amp;"'_DSev_4]"),MATCH(Long_Data[[#This Row],[Key]],Data_Entry[Key],0)),"NA")</f>
        <v>NA</v>
      </c>
      <c r="P330" t="str">
        <f ca="1">IF(Long_Data[[#This Row],[Indicator Class]]="Degree",INDEX(INDIRECT("Data_Entry['"&amp;Long_Data[[#This Row],[Indicator Number]]&amp;"'_DSev_5]"),MATCH(Long_Data[[#This Row],[Key]],Data_Entry[Key],0)),"NA")</f>
        <v>NA</v>
      </c>
      <c r="Q330">
        <f ca="1">IFERROR(IF(Long_Data[[#This Row],[Indicator Class]]="Magnitude", INDEX(INDIRECT("Data_Entry[Sev_"&amp;Long_Data[[#This Row],[Indicator Number]]&amp;"]"),MATCH(Long_Data[[#This Row],[Key]], Data_Entry[Key],0)),"NA"),"")</f>
        <v>4</v>
      </c>
      <c r="R330">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30" s="70">
        <f ca="1">IFERROR(IF(J330="Magnitude",INDEX(INDIRECT("Data_Entry[PIN_"&amp;Long_Data[[#This Row],[Indicator Number]]&amp;"]"),MATCH(Long_Data[[#This Row],[Key]],Data_Entry[Key],0)),SUM(N330:P330)*INDEX(Baseline_Pop[Population],MATCH(Long_Data[[#This Row],[Key]],Baseline_Pop[Key],0))),"")</f>
        <v>219260.07999734854</v>
      </c>
    </row>
    <row r="331" spans="2:19">
      <c r="B331">
        <v>330</v>
      </c>
      <c r="C331">
        <v>30</v>
      </c>
      <c r="D331" t="str">
        <f>IFERROR(INDEX(Data_Entry[ADM2_Pcode],MATCH('Step 4-Long Data'!C331,Data_Entry[ID],0)),"NA")</f>
        <v>AF10</v>
      </c>
      <c r="E331" t="str">
        <f>IFERROR(INDEX(Data_Entry[Key],MATCH('Step 4-Long Data'!C331,Data_Entry[ID],0)),"NA")</f>
        <v>AF10-Migrants</v>
      </c>
      <c r="F331">
        <v>11</v>
      </c>
      <c r="G331" t="str">
        <f>IFERROR(INDEX(Framework[Pillar],MATCH('Step 4-Long Data'!F331,Framework[Number],0)),"")</f>
        <v>Humanitarian Conditions</v>
      </c>
      <c r="H331" t="str">
        <f>IFERROR(INDEX(Framework[Sub_Pillar],MATCH('Step 4-Long Data'!F331,Framework[Number],0)),"")</f>
        <v>Coping mechanisms</v>
      </c>
      <c r="I331" t="str">
        <f>IFERROR(INDEX(Framework[Indicator],MATCH('Step 4-Long Data'!F331,Framework[Number],0)),"")</f>
        <v>% of HHs unable to obtain seed</v>
      </c>
      <c r="J331" t="str">
        <f>IFERROR(INDEX(Framework[Class],MATCH('Step 4-Long Data'!F331,Framework[Number],0)),"")</f>
        <v>Magnitude</v>
      </c>
      <c r="K331" t="str">
        <f>IFERROR(INDEX(Framework[Critical],MATCH('Step 4-Long Data'!F331,Framework[Number],0)),"")</f>
        <v>No</v>
      </c>
      <c r="L331" t="str">
        <f ca="1">IF(Long_Data[[#This Row],[Indicator Class]]="Degree",INDEX(INDIRECT("Data_Entry['"&amp;Long_Data[[#This Row],[Indicator Number]]&amp;"'_DSev_1]"),MATCH(Long_Data[[#This Row],[Key]],Data_Entry[Key],0)),"NA")</f>
        <v>NA</v>
      </c>
      <c r="M331" t="str">
        <f ca="1">IF(Long_Data[[#This Row],[Indicator Class]]="Degree",INDEX(INDIRECT("Data_Entry['"&amp;Long_Data[[#This Row],[Indicator Number]]&amp;"'_DSev_2]"),MATCH(Long_Data[[#This Row],[Key]],Data_Entry[Key],0)),"NA")</f>
        <v>NA</v>
      </c>
      <c r="N331" t="str">
        <f ca="1">IF(Long_Data[[#This Row],[Indicator Class]]="Degree",INDEX(INDIRECT("Data_Entry['"&amp;Long_Data[[#This Row],[Indicator Number]]&amp;"'_DSev_3]"),MATCH(Long_Data[[#This Row],[Key]],Data_Entry[Key],0)),"NA")</f>
        <v>NA</v>
      </c>
      <c r="O331" t="str">
        <f ca="1">IF(Long_Data[[#This Row],[Indicator Class]]="Degree",INDEX(INDIRECT("Data_Entry['"&amp;Long_Data[[#This Row],[Indicator Number]]&amp;"'_DSev_4]"),MATCH(Long_Data[[#This Row],[Key]],Data_Entry[Key],0)),"NA")</f>
        <v>NA</v>
      </c>
      <c r="P331" t="str">
        <f ca="1">IF(Long_Data[[#This Row],[Indicator Class]]="Degree",INDEX(INDIRECT("Data_Entry['"&amp;Long_Data[[#This Row],[Indicator Number]]&amp;"'_DSev_5]"),MATCH(Long_Data[[#This Row],[Key]],Data_Entry[Key],0)),"NA")</f>
        <v>NA</v>
      </c>
      <c r="Q331">
        <f ca="1">IFERROR(IF(Long_Data[[#This Row],[Indicator Class]]="Magnitude", INDEX(INDIRECT("Data_Entry[Sev_"&amp;Long_Data[[#This Row],[Indicator Number]]&amp;"]"),MATCH(Long_Data[[#This Row],[Key]], Data_Entry[Key],0)),"NA"),"")</f>
        <v>3</v>
      </c>
      <c r="R331">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31" s="70">
        <f ca="1">IFERROR(IF(J331="Magnitude",INDEX(INDIRECT("Data_Entry[PIN_"&amp;Long_Data[[#This Row],[Indicator Number]]&amp;"]"),MATCH(Long_Data[[#This Row],[Key]],Data_Entry[Key],0)),SUM(N331:P331)*INDEX(Baseline_Pop[Population],MATCH(Long_Data[[#This Row],[Key]],Baseline_Pop[Key],0))),"")</f>
        <v>75111.107477414465</v>
      </c>
    </row>
    <row r="332" spans="2:19">
      <c r="B332">
        <v>331</v>
      </c>
      <c r="C332">
        <v>1</v>
      </c>
      <c r="D332" t="str">
        <f>IFERROR(INDEX(Data_Entry[ADM2_Pcode],MATCH('Step 4-Long Data'!C332,Data_Entry[ID],0)),"NA")</f>
        <v>AF01</v>
      </c>
      <c r="E332" t="str">
        <f>IFERROR(INDEX(Data_Entry[Key],MATCH('Step 4-Long Data'!C332,Data_Entry[ID],0)),"NA")</f>
        <v>AF01-All_Others</v>
      </c>
      <c r="F332">
        <v>12</v>
      </c>
      <c r="G332" t="str">
        <f>IFERROR(INDEX(Framework[Pillar],MATCH('Step 4-Long Data'!F332,Framework[Number],0)),"")</f>
        <v>Humanitarian Conditions</v>
      </c>
      <c r="H332" t="str">
        <f>IFERROR(INDEX(Framework[Sub_Pillar],MATCH('Step 4-Long Data'!F332,Framework[Number],0)),"")</f>
        <v>Coping mechanisms</v>
      </c>
      <c r="I332" t="str">
        <f>IFERROR(INDEX(Framework[Indicator],MATCH('Step 4-Long Data'!F332,Framework[Number],0)),"")</f>
        <v>% of HHs who have lost their source of income due to conflict, natural disaster or reduced employment opportunities</v>
      </c>
      <c r="J332" t="str">
        <f>IFERROR(INDEX(Framework[Class],MATCH('Step 4-Long Data'!F332,Framework[Number],0)),"")</f>
        <v>Magnitude</v>
      </c>
      <c r="K332" t="str">
        <f>IFERROR(INDEX(Framework[Critical],MATCH('Step 4-Long Data'!F332,Framework[Number],0)),"")</f>
        <v>No</v>
      </c>
      <c r="L332" t="str">
        <f ca="1">IF(Long_Data[[#This Row],[Indicator Class]]="Degree",INDEX(INDIRECT("Data_Entry['"&amp;Long_Data[[#This Row],[Indicator Number]]&amp;"'_DSev_1]"),MATCH(Long_Data[[#This Row],[Key]],Data_Entry[Key],0)),"NA")</f>
        <v>NA</v>
      </c>
      <c r="M332" t="str">
        <f ca="1">IF(Long_Data[[#This Row],[Indicator Class]]="Degree",INDEX(INDIRECT("Data_Entry['"&amp;Long_Data[[#This Row],[Indicator Number]]&amp;"'_DSev_2]"),MATCH(Long_Data[[#This Row],[Key]],Data_Entry[Key],0)),"NA")</f>
        <v>NA</v>
      </c>
      <c r="N332" t="str">
        <f ca="1">IF(Long_Data[[#This Row],[Indicator Class]]="Degree",INDEX(INDIRECT("Data_Entry['"&amp;Long_Data[[#This Row],[Indicator Number]]&amp;"'_DSev_3]"),MATCH(Long_Data[[#This Row],[Key]],Data_Entry[Key],0)),"NA")</f>
        <v>NA</v>
      </c>
      <c r="O332" t="str">
        <f ca="1">IF(Long_Data[[#This Row],[Indicator Class]]="Degree",INDEX(INDIRECT("Data_Entry['"&amp;Long_Data[[#This Row],[Indicator Number]]&amp;"'_DSev_4]"),MATCH(Long_Data[[#This Row],[Key]],Data_Entry[Key],0)),"NA")</f>
        <v>NA</v>
      </c>
      <c r="P332" t="str">
        <f ca="1">IF(Long_Data[[#This Row],[Indicator Class]]="Degree",INDEX(INDIRECT("Data_Entry['"&amp;Long_Data[[#This Row],[Indicator Number]]&amp;"'_DSev_5]"),MATCH(Long_Data[[#This Row],[Key]],Data_Entry[Key],0)),"NA")</f>
        <v>NA</v>
      </c>
      <c r="Q332">
        <f ca="1">IFERROR(IF(Long_Data[[#This Row],[Indicator Class]]="Magnitude", INDEX(INDIRECT("Data_Entry[Sev_"&amp;Long_Data[[#This Row],[Indicator Number]]&amp;"]"),MATCH(Long_Data[[#This Row],[Key]], Data_Entry[Key],0)),"NA"),"")</f>
        <v>3</v>
      </c>
      <c r="R33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32" s="70">
        <f ca="1">IFERROR(IF(J332="Magnitude",INDEX(INDIRECT("Data_Entry[PIN_"&amp;Long_Data[[#This Row],[Indicator Number]]&amp;"]"),MATCH(Long_Data[[#This Row],[Key]],Data_Entry[Key],0)),SUM(N332:P332)*INDEX(Baseline_Pop[Population],MATCH(Long_Data[[#This Row],[Key]],Baseline_Pop[Key],0))),"")</f>
        <v>3730050.934936916</v>
      </c>
    </row>
    <row r="333" spans="2:19">
      <c r="B333">
        <v>332</v>
      </c>
      <c r="C333">
        <v>2</v>
      </c>
      <c r="D333" t="str">
        <f>IFERROR(INDEX(Data_Entry[ADM2_Pcode],MATCH('Step 4-Long Data'!C333,Data_Entry[ID],0)),"NA")</f>
        <v>AF02</v>
      </c>
      <c r="E333" t="str">
        <f>IFERROR(INDEX(Data_Entry[Key],MATCH('Step 4-Long Data'!C333,Data_Entry[ID],0)),"NA")</f>
        <v>AF02-All_Others</v>
      </c>
      <c r="F333">
        <v>12</v>
      </c>
      <c r="G333" t="str">
        <f>IFERROR(INDEX(Framework[Pillar],MATCH('Step 4-Long Data'!F333,Framework[Number],0)),"")</f>
        <v>Humanitarian Conditions</v>
      </c>
      <c r="H333" t="str">
        <f>IFERROR(INDEX(Framework[Sub_Pillar],MATCH('Step 4-Long Data'!F333,Framework[Number],0)),"")</f>
        <v>Coping mechanisms</v>
      </c>
      <c r="I333" t="str">
        <f>IFERROR(INDEX(Framework[Indicator],MATCH('Step 4-Long Data'!F333,Framework[Number],0)),"")</f>
        <v>% of HHs who have lost their source of income due to conflict, natural disaster or reduced employment opportunities</v>
      </c>
      <c r="J333" t="str">
        <f>IFERROR(INDEX(Framework[Class],MATCH('Step 4-Long Data'!F333,Framework[Number],0)),"")</f>
        <v>Magnitude</v>
      </c>
      <c r="K333" t="str">
        <f>IFERROR(INDEX(Framework[Critical],MATCH('Step 4-Long Data'!F333,Framework[Number],0)),"")</f>
        <v>No</v>
      </c>
      <c r="L333" t="str">
        <f ca="1">IF(Long_Data[[#This Row],[Indicator Class]]="Degree",INDEX(INDIRECT("Data_Entry['"&amp;Long_Data[[#This Row],[Indicator Number]]&amp;"'_DSev_1]"),MATCH(Long_Data[[#This Row],[Key]],Data_Entry[Key],0)),"NA")</f>
        <v>NA</v>
      </c>
      <c r="M333" t="str">
        <f ca="1">IF(Long_Data[[#This Row],[Indicator Class]]="Degree",INDEX(INDIRECT("Data_Entry['"&amp;Long_Data[[#This Row],[Indicator Number]]&amp;"'_DSev_2]"),MATCH(Long_Data[[#This Row],[Key]],Data_Entry[Key],0)),"NA")</f>
        <v>NA</v>
      </c>
      <c r="N333" t="str">
        <f ca="1">IF(Long_Data[[#This Row],[Indicator Class]]="Degree",INDEX(INDIRECT("Data_Entry['"&amp;Long_Data[[#This Row],[Indicator Number]]&amp;"'_DSev_3]"),MATCH(Long_Data[[#This Row],[Key]],Data_Entry[Key],0)),"NA")</f>
        <v>NA</v>
      </c>
      <c r="O333" t="str">
        <f ca="1">IF(Long_Data[[#This Row],[Indicator Class]]="Degree",INDEX(INDIRECT("Data_Entry['"&amp;Long_Data[[#This Row],[Indicator Number]]&amp;"'_DSev_4]"),MATCH(Long_Data[[#This Row],[Key]],Data_Entry[Key],0)),"NA")</f>
        <v>NA</v>
      </c>
      <c r="P333" t="str">
        <f ca="1">IF(Long_Data[[#This Row],[Indicator Class]]="Degree",INDEX(INDIRECT("Data_Entry['"&amp;Long_Data[[#This Row],[Indicator Number]]&amp;"'_DSev_5]"),MATCH(Long_Data[[#This Row],[Key]],Data_Entry[Key],0)),"NA")</f>
        <v>NA</v>
      </c>
      <c r="Q333">
        <f ca="1">IFERROR(IF(Long_Data[[#This Row],[Indicator Class]]="Magnitude", INDEX(INDIRECT("Data_Entry[Sev_"&amp;Long_Data[[#This Row],[Indicator Number]]&amp;"]"),MATCH(Long_Data[[#This Row],[Key]], Data_Entry[Key],0)),"NA"),"")</f>
        <v>2</v>
      </c>
      <c r="R33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33" s="70">
        <f ca="1">IFERROR(IF(J333="Magnitude",INDEX(INDIRECT("Data_Entry[PIN_"&amp;Long_Data[[#This Row],[Indicator Number]]&amp;"]"),MATCH(Long_Data[[#This Row],[Key]],Data_Entry[Key],0)),SUM(N333:P333)*INDEX(Baseline_Pop[Population],MATCH(Long_Data[[#This Row],[Key]],Baseline_Pop[Key],0))),"")</f>
        <v>306754.75518672308</v>
      </c>
    </row>
    <row r="334" spans="2:19">
      <c r="B334">
        <v>333</v>
      </c>
      <c r="C334">
        <v>3</v>
      </c>
      <c r="D334" t="str">
        <f>IFERROR(INDEX(Data_Entry[ADM2_Pcode],MATCH('Step 4-Long Data'!C334,Data_Entry[ID],0)),"NA")</f>
        <v>AF03</v>
      </c>
      <c r="E334" t="str">
        <f>IFERROR(INDEX(Data_Entry[Key],MATCH('Step 4-Long Data'!C334,Data_Entry[ID],0)),"NA")</f>
        <v>AF03-All_Others</v>
      </c>
      <c r="F334">
        <v>12</v>
      </c>
      <c r="G334" t="str">
        <f>IFERROR(INDEX(Framework[Pillar],MATCH('Step 4-Long Data'!F334,Framework[Number],0)),"")</f>
        <v>Humanitarian Conditions</v>
      </c>
      <c r="H334" t="str">
        <f>IFERROR(INDEX(Framework[Sub_Pillar],MATCH('Step 4-Long Data'!F334,Framework[Number],0)),"")</f>
        <v>Coping mechanisms</v>
      </c>
      <c r="I334" t="str">
        <f>IFERROR(INDEX(Framework[Indicator],MATCH('Step 4-Long Data'!F334,Framework[Number],0)),"")</f>
        <v>% of HHs who have lost their source of income due to conflict, natural disaster or reduced employment opportunities</v>
      </c>
      <c r="J334" t="str">
        <f>IFERROR(INDEX(Framework[Class],MATCH('Step 4-Long Data'!F334,Framework[Number],0)),"")</f>
        <v>Magnitude</v>
      </c>
      <c r="K334" t="str">
        <f>IFERROR(INDEX(Framework[Critical],MATCH('Step 4-Long Data'!F334,Framework[Number],0)),"")</f>
        <v>No</v>
      </c>
      <c r="L334" t="str">
        <f ca="1">IF(Long_Data[[#This Row],[Indicator Class]]="Degree",INDEX(INDIRECT("Data_Entry['"&amp;Long_Data[[#This Row],[Indicator Number]]&amp;"'_DSev_1]"),MATCH(Long_Data[[#This Row],[Key]],Data_Entry[Key],0)),"NA")</f>
        <v>NA</v>
      </c>
      <c r="M334" t="str">
        <f ca="1">IF(Long_Data[[#This Row],[Indicator Class]]="Degree",INDEX(INDIRECT("Data_Entry['"&amp;Long_Data[[#This Row],[Indicator Number]]&amp;"'_DSev_2]"),MATCH(Long_Data[[#This Row],[Key]],Data_Entry[Key],0)),"NA")</f>
        <v>NA</v>
      </c>
      <c r="N334" t="str">
        <f ca="1">IF(Long_Data[[#This Row],[Indicator Class]]="Degree",INDEX(INDIRECT("Data_Entry['"&amp;Long_Data[[#This Row],[Indicator Number]]&amp;"'_DSev_3]"),MATCH(Long_Data[[#This Row],[Key]],Data_Entry[Key],0)),"NA")</f>
        <v>NA</v>
      </c>
      <c r="O334" t="str">
        <f ca="1">IF(Long_Data[[#This Row],[Indicator Class]]="Degree",INDEX(INDIRECT("Data_Entry['"&amp;Long_Data[[#This Row],[Indicator Number]]&amp;"'_DSev_4]"),MATCH(Long_Data[[#This Row],[Key]],Data_Entry[Key],0)),"NA")</f>
        <v>NA</v>
      </c>
      <c r="P334" t="str">
        <f ca="1">IF(Long_Data[[#This Row],[Indicator Class]]="Degree",INDEX(INDIRECT("Data_Entry['"&amp;Long_Data[[#This Row],[Indicator Number]]&amp;"'_DSev_5]"),MATCH(Long_Data[[#This Row],[Key]],Data_Entry[Key],0)),"NA")</f>
        <v>NA</v>
      </c>
      <c r="Q334">
        <f ca="1">IFERROR(IF(Long_Data[[#This Row],[Indicator Class]]="Magnitude", INDEX(INDIRECT("Data_Entry[Sev_"&amp;Long_Data[[#This Row],[Indicator Number]]&amp;"]"),MATCH(Long_Data[[#This Row],[Key]], Data_Entry[Key],0)),"NA"),"")</f>
        <v>3</v>
      </c>
      <c r="R33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34" s="70">
        <f ca="1">IFERROR(IF(J334="Magnitude",INDEX(INDIRECT("Data_Entry[PIN_"&amp;Long_Data[[#This Row],[Indicator Number]]&amp;"]"),MATCH(Long_Data[[#This Row],[Key]],Data_Entry[Key],0)),SUM(N334:P334)*INDEX(Baseline_Pop[Population],MATCH(Long_Data[[#This Row],[Key]],Baseline_Pop[Key],0))),"")</f>
        <v>527554.93548387173</v>
      </c>
    </row>
    <row r="335" spans="2:19">
      <c r="B335">
        <v>334</v>
      </c>
      <c r="C335">
        <v>4</v>
      </c>
      <c r="D335" t="str">
        <f>IFERROR(INDEX(Data_Entry[ADM2_Pcode],MATCH('Step 4-Long Data'!C335,Data_Entry[ID],0)),"NA")</f>
        <v>AF04</v>
      </c>
      <c r="E335" t="str">
        <f>IFERROR(INDEX(Data_Entry[Key],MATCH('Step 4-Long Data'!C335,Data_Entry[ID],0)),"NA")</f>
        <v>AF04-All_Others</v>
      </c>
      <c r="F335">
        <v>12</v>
      </c>
      <c r="G335" t="str">
        <f>IFERROR(INDEX(Framework[Pillar],MATCH('Step 4-Long Data'!F335,Framework[Number],0)),"")</f>
        <v>Humanitarian Conditions</v>
      </c>
      <c r="H335" t="str">
        <f>IFERROR(INDEX(Framework[Sub_Pillar],MATCH('Step 4-Long Data'!F335,Framework[Number],0)),"")</f>
        <v>Coping mechanisms</v>
      </c>
      <c r="I335" t="str">
        <f>IFERROR(INDEX(Framework[Indicator],MATCH('Step 4-Long Data'!F335,Framework[Number],0)),"")</f>
        <v>% of HHs who have lost their source of income due to conflict, natural disaster or reduced employment opportunities</v>
      </c>
      <c r="J335" t="str">
        <f>IFERROR(INDEX(Framework[Class],MATCH('Step 4-Long Data'!F335,Framework[Number],0)),"")</f>
        <v>Magnitude</v>
      </c>
      <c r="K335" t="str">
        <f>IFERROR(INDEX(Framework[Critical],MATCH('Step 4-Long Data'!F335,Framework[Number],0)),"")</f>
        <v>No</v>
      </c>
      <c r="L335" t="str">
        <f ca="1">IF(Long_Data[[#This Row],[Indicator Class]]="Degree",INDEX(INDIRECT("Data_Entry['"&amp;Long_Data[[#This Row],[Indicator Number]]&amp;"'_DSev_1]"),MATCH(Long_Data[[#This Row],[Key]],Data_Entry[Key],0)),"NA")</f>
        <v>NA</v>
      </c>
      <c r="M335" t="str">
        <f ca="1">IF(Long_Data[[#This Row],[Indicator Class]]="Degree",INDEX(INDIRECT("Data_Entry['"&amp;Long_Data[[#This Row],[Indicator Number]]&amp;"'_DSev_2]"),MATCH(Long_Data[[#This Row],[Key]],Data_Entry[Key],0)),"NA")</f>
        <v>NA</v>
      </c>
      <c r="N335" t="str">
        <f ca="1">IF(Long_Data[[#This Row],[Indicator Class]]="Degree",INDEX(INDIRECT("Data_Entry['"&amp;Long_Data[[#This Row],[Indicator Number]]&amp;"'_DSev_3]"),MATCH(Long_Data[[#This Row],[Key]],Data_Entry[Key],0)),"NA")</f>
        <v>NA</v>
      </c>
      <c r="O335" t="str">
        <f ca="1">IF(Long_Data[[#This Row],[Indicator Class]]="Degree",INDEX(INDIRECT("Data_Entry['"&amp;Long_Data[[#This Row],[Indicator Number]]&amp;"'_DSev_4]"),MATCH(Long_Data[[#This Row],[Key]],Data_Entry[Key],0)),"NA")</f>
        <v>NA</v>
      </c>
      <c r="P335" t="str">
        <f ca="1">IF(Long_Data[[#This Row],[Indicator Class]]="Degree",INDEX(INDIRECT("Data_Entry['"&amp;Long_Data[[#This Row],[Indicator Number]]&amp;"'_DSev_5]"),MATCH(Long_Data[[#This Row],[Key]],Data_Entry[Key],0)),"NA")</f>
        <v>NA</v>
      </c>
      <c r="Q335">
        <f ca="1">IFERROR(IF(Long_Data[[#This Row],[Indicator Class]]="Magnitude", INDEX(INDIRECT("Data_Entry[Sev_"&amp;Long_Data[[#This Row],[Indicator Number]]&amp;"]"),MATCH(Long_Data[[#This Row],[Key]], Data_Entry[Key],0)),"NA"),"")</f>
        <v>3</v>
      </c>
      <c r="R33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35" s="70">
        <f ca="1">IFERROR(IF(J335="Magnitude",INDEX(INDIRECT("Data_Entry[PIN_"&amp;Long_Data[[#This Row],[Indicator Number]]&amp;"]"),MATCH(Long_Data[[#This Row],[Key]],Data_Entry[Key],0)),SUM(N335:P335)*INDEX(Baseline_Pop[Population],MATCH(Long_Data[[#This Row],[Key]],Baseline_Pop[Key],0))),"")</f>
        <v>419863.0354906054</v>
      </c>
    </row>
    <row r="336" spans="2:19">
      <c r="B336">
        <v>335</v>
      </c>
      <c r="C336">
        <v>5</v>
      </c>
      <c r="D336" t="str">
        <f>IFERROR(INDEX(Data_Entry[ADM2_Pcode],MATCH('Step 4-Long Data'!C336,Data_Entry[ID],0)),"NA")</f>
        <v>AF05</v>
      </c>
      <c r="E336" t="str">
        <f>IFERROR(INDEX(Data_Entry[Key],MATCH('Step 4-Long Data'!C336,Data_Entry[ID],0)),"NA")</f>
        <v>AF05-All_Others</v>
      </c>
      <c r="F336">
        <v>12</v>
      </c>
      <c r="G336" t="str">
        <f>IFERROR(INDEX(Framework[Pillar],MATCH('Step 4-Long Data'!F336,Framework[Number],0)),"")</f>
        <v>Humanitarian Conditions</v>
      </c>
      <c r="H336" t="str">
        <f>IFERROR(INDEX(Framework[Sub_Pillar],MATCH('Step 4-Long Data'!F336,Framework[Number],0)),"")</f>
        <v>Coping mechanisms</v>
      </c>
      <c r="I336" t="str">
        <f>IFERROR(INDEX(Framework[Indicator],MATCH('Step 4-Long Data'!F336,Framework[Number],0)),"")</f>
        <v>% of HHs who have lost their source of income due to conflict, natural disaster or reduced employment opportunities</v>
      </c>
      <c r="J336" t="str">
        <f>IFERROR(INDEX(Framework[Class],MATCH('Step 4-Long Data'!F336,Framework[Number],0)),"")</f>
        <v>Magnitude</v>
      </c>
      <c r="K336" t="str">
        <f>IFERROR(INDEX(Framework[Critical],MATCH('Step 4-Long Data'!F336,Framework[Number],0)),"")</f>
        <v>No</v>
      </c>
      <c r="L336" t="str">
        <f ca="1">IF(Long_Data[[#This Row],[Indicator Class]]="Degree",INDEX(INDIRECT("Data_Entry['"&amp;Long_Data[[#This Row],[Indicator Number]]&amp;"'_DSev_1]"),MATCH(Long_Data[[#This Row],[Key]],Data_Entry[Key],0)),"NA")</f>
        <v>NA</v>
      </c>
      <c r="M336" t="str">
        <f ca="1">IF(Long_Data[[#This Row],[Indicator Class]]="Degree",INDEX(INDIRECT("Data_Entry['"&amp;Long_Data[[#This Row],[Indicator Number]]&amp;"'_DSev_2]"),MATCH(Long_Data[[#This Row],[Key]],Data_Entry[Key],0)),"NA")</f>
        <v>NA</v>
      </c>
      <c r="N336" t="str">
        <f ca="1">IF(Long_Data[[#This Row],[Indicator Class]]="Degree",INDEX(INDIRECT("Data_Entry['"&amp;Long_Data[[#This Row],[Indicator Number]]&amp;"'_DSev_3]"),MATCH(Long_Data[[#This Row],[Key]],Data_Entry[Key],0)),"NA")</f>
        <v>NA</v>
      </c>
      <c r="O336" t="str">
        <f ca="1">IF(Long_Data[[#This Row],[Indicator Class]]="Degree",INDEX(INDIRECT("Data_Entry['"&amp;Long_Data[[#This Row],[Indicator Number]]&amp;"'_DSev_4]"),MATCH(Long_Data[[#This Row],[Key]],Data_Entry[Key],0)),"NA")</f>
        <v>NA</v>
      </c>
      <c r="P336" t="str">
        <f ca="1">IF(Long_Data[[#This Row],[Indicator Class]]="Degree",INDEX(INDIRECT("Data_Entry['"&amp;Long_Data[[#This Row],[Indicator Number]]&amp;"'_DSev_5]"),MATCH(Long_Data[[#This Row],[Key]],Data_Entry[Key],0)),"NA")</f>
        <v>NA</v>
      </c>
      <c r="Q336">
        <f ca="1">IFERROR(IF(Long_Data[[#This Row],[Indicator Class]]="Magnitude", INDEX(INDIRECT("Data_Entry[Sev_"&amp;Long_Data[[#This Row],[Indicator Number]]&amp;"]"),MATCH(Long_Data[[#This Row],[Key]], Data_Entry[Key],0)),"NA"),"")</f>
        <v>4</v>
      </c>
      <c r="R33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36" s="70">
        <f ca="1">IFERROR(IF(J336="Magnitude",INDEX(INDIRECT("Data_Entry[PIN_"&amp;Long_Data[[#This Row],[Indicator Number]]&amp;"]"),MATCH(Long_Data[[#This Row],[Key]],Data_Entry[Key],0)),SUM(N336:P336)*INDEX(Baseline_Pop[Population],MATCH(Long_Data[[#This Row],[Key]],Baseline_Pop[Key],0))),"")</f>
        <v>316888.90476190479</v>
      </c>
    </row>
    <row r="337" spans="2:19">
      <c r="B337">
        <v>336</v>
      </c>
      <c r="C337">
        <v>6</v>
      </c>
      <c r="D337" t="str">
        <f>IFERROR(INDEX(Data_Entry[ADM2_Pcode],MATCH('Step 4-Long Data'!C337,Data_Entry[ID],0)),"NA")</f>
        <v>AF06</v>
      </c>
      <c r="E337" t="str">
        <f>IFERROR(INDEX(Data_Entry[Key],MATCH('Step 4-Long Data'!C337,Data_Entry[ID],0)),"NA")</f>
        <v>AF06-All_Others</v>
      </c>
      <c r="F337">
        <v>12</v>
      </c>
      <c r="G337" t="str">
        <f>IFERROR(INDEX(Framework[Pillar],MATCH('Step 4-Long Data'!F337,Framework[Number],0)),"")</f>
        <v>Humanitarian Conditions</v>
      </c>
      <c r="H337" t="str">
        <f>IFERROR(INDEX(Framework[Sub_Pillar],MATCH('Step 4-Long Data'!F337,Framework[Number],0)),"")</f>
        <v>Coping mechanisms</v>
      </c>
      <c r="I337" t="str">
        <f>IFERROR(INDEX(Framework[Indicator],MATCH('Step 4-Long Data'!F337,Framework[Number],0)),"")</f>
        <v>% of HHs who have lost their source of income due to conflict, natural disaster or reduced employment opportunities</v>
      </c>
      <c r="J337" t="str">
        <f>IFERROR(INDEX(Framework[Class],MATCH('Step 4-Long Data'!F337,Framework[Number],0)),"")</f>
        <v>Magnitude</v>
      </c>
      <c r="K337" t="str">
        <f>IFERROR(INDEX(Framework[Critical],MATCH('Step 4-Long Data'!F337,Framework[Number],0)),"")</f>
        <v>No</v>
      </c>
      <c r="L337" t="str">
        <f ca="1">IF(Long_Data[[#This Row],[Indicator Class]]="Degree",INDEX(INDIRECT("Data_Entry['"&amp;Long_Data[[#This Row],[Indicator Number]]&amp;"'_DSev_1]"),MATCH(Long_Data[[#This Row],[Key]],Data_Entry[Key],0)),"NA")</f>
        <v>NA</v>
      </c>
      <c r="M337" t="str">
        <f ca="1">IF(Long_Data[[#This Row],[Indicator Class]]="Degree",INDEX(INDIRECT("Data_Entry['"&amp;Long_Data[[#This Row],[Indicator Number]]&amp;"'_DSev_2]"),MATCH(Long_Data[[#This Row],[Key]],Data_Entry[Key],0)),"NA")</f>
        <v>NA</v>
      </c>
      <c r="N337" t="str">
        <f ca="1">IF(Long_Data[[#This Row],[Indicator Class]]="Degree",INDEX(INDIRECT("Data_Entry['"&amp;Long_Data[[#This Row],[Indicator Number]]&amp;"'_DSev_3]"),MATCH(Long_Data[[#This Row],[Key]],Data_Entry[Key],0)),"NA")</f>
        <v>NA</v>
      </c>
      <c r="O337" t="str">
        <f ca="1">IF(Long_Data[[#This Row],[Indicator Class]]="Degree",INDEX(INDIRECT("Data_Entry['"&amp;Long_Data[[#This Row],[Indicator Number]]&amp;"'_DSev_4]"),MATCH(Long_Data[[#This Row],[Key]],Data_Entry[Key],0)),"NA")</f>
        <v>NA</v>
      </c>
      <c r="P337" t="str">
        <f ca="1">IF(Long_Data[[#This Row],[Indicator Class]]="Degree",INDEX(INDIRECT("Data_Entry['"&amp;Long_Data[[#This Row],[Indicator Number]]&amp;"'_DSev_5]"),MATCH(Long_Data[[#This Row],[Key]],Data_Entry[Key],0)),"NA")</f>
        <v>NA</v>
      </c>
      <c r="Q337">
        <f ca="1">IFERROR(IF(Long_Data[[#This Row],[Indicator Class]]="Magnitude", INDEX(INDIRECT("Data_Entry[Sev_"&amp;Long_Data[[#This Row],[Indicator Number]]&amp;"]"),MATCH(Long_Data[[#This Row],[Key]], Data_Entry[Key],0)),"NA"),"")</f>
        <v>5</v>
      </c>
      <c r="R337">
        <f ca="1">IFERROR(IF(Long_Data[[#This Row],[Indicator Class]]="Magnitude", Long_Data[[#This Row],[Magnitude Severity]],IF(Long_Data[[#This Row],[Severity 5]]&gt;=0.25,5,IF(SUM(Long_Data[[#This Row],[Severity 4]:[Severity 5]])&gt;=0.25,4,IF(SUM(Long_Data[[#This Row],[Severity 3]:[Severity 5]])&gt;=0.25,3,IF(SUM(Long_Data[[#This Row],[Severity 2]:[Severity 5]])&gt;=0.25, 2,1))))), "")</f>
        <v>5</v>
      </c>
      <c r="S337" s="70">
        <f ca="1">IFERROR(IF(J337="Magnitude",INDEX(INDIRECT("Data_Entry[PIN_"&amp;Long_Data[[#This Row],[Indicator Number]]&amp;"]"),MATCH(Long_Data[[#This Row],[Key]],Data_Entry[Key],0)),SUM(N337:P337)*INDEX(Baseline_Pop[Population],MATCH(Long_Data[[#This Row],[Key]],Baseline_Pop[Key],0))),"")</f>
        <v>1405405.5570686699</v>
      </c>
    </row>
    <row r="338" spans="2:19">
      <c r="B338">
        <v>337</v>
      </c>
      <c r="C338">
        <v>7</v>
      </c>
      <c r="D338" t="str">
        <f>IFERROR(INDEX(Data_Entry[ADM2_Pcode],MATCH('Step 4-Long Data'!C338,Data_Entry[ID],0)),"NA")</f>
        <v>AF07</v>
      </c>
      <c r="E338" t="str">
        <f>IFERROR(INDEX(Data_Entry[Key],MATCH('Step 4-Long Data'!C338,Data_Entry[ID],0)),"NA")</f>
        <v>AF07-All_Others</v>
      </c>
      <c r="F338">
        <v>12</v>
      </c>
      <c r="G338" t="str">
        <f>IFERROR(INDEX(Framework[Pillar],MATCH('Step 4-Long Data'!F338,Framework[Number],0)),"")</f>
        <v>Humanitarian Conditions</v>
      </c>
      <c r="H338" t="str">
        <f>IFERROR(INDEX(Framework[Sub_Pillar],MATCH('Step 4-Long Data'!F338,Framework[Number],0)),"")</f>
        <v>Coping mechanisms</v>
      </c>
      <c r="I338" t="str">
        <f>IFERROR(INDEX(Framework[Indicator],MATCH('Step 4-Long Data'!F338,Framework[Number],0)),"")</f>
        <v>% of HHs who have lost their source of income due to conflict, natural disaster or reduced employment opportunities</v>
      </c>
      <c r="J338" t="str">
        <f>IFERROR(INDEX(Framework[Class],MATCH('Step 4-Long Data'!F338,Framework[Number],0)),"")</f>
        <v>Magnitude</v>
      </c>
      <c r="K338" t="str">
        <f>IFERROR(INDEX(Framework[Critical],MATCH('Step 4-Long Data'!F338,Framework[Number],0)),"")</f>
        <v>No</v>
      </c>
      <c r="L338" t="str">
        <f ca="1">IF(Long_Data[[#This Row],[Indicator Class]]="Degree",INDEX(INDIRECT("Data_Entry['"&amp;Long_Data[[#This Row],[Indicator Number]]&amp;"'_DSev_1]"),MATCH(Long_Data[[#This Row],[Key]],Data_Entry[Key],0)),"NA")</f>
        <v>NA</v>
      </c>
      <c r="M338" t="str">
        <f ca="1">IF(Long_Data[[#This Row],[Indicator Class]]="Degree",INDEX(INDIRECT("Data_Entry['"&amp;Long_Data[[#This Row],[Indicator Number]]&amp;"'_DSev_2]"),MATCH(Long_Data[[#This Row],[Key]],Data_Entry[Key],0)),"NA")</f>
        <v>NA</v>
      </c>
      <c r="N338" t="str">
        <f ca="1">IF(Long_Data[[#This Row],[Indicator Class]]="Degree",INDEX(INDIRECT("Data_Entry['"&amp;Long_Data[[#This Row],[Indicator Number]]&amp;"'_DSev_3]"),MATCH(Long_Data[[#This Row],[Key]],Data_Entry[Key],0)),"NA")</f>
        <v>NA</v>
      </c>
      <c r="O338" t="str">
        <f ca="1">IF(Long_Data[[#This Row],[Indicator Class]]="Degree",INDEX(INDIRECT("Data_Entry['"&amp;Long_Data[[#This Row],[Indicator Number]]&amp;"'_DSev_4]"),MATCH(Long_Data[[#This Row],[Key]],Data_Entry[Key],0)),"NA")</f>
        <v>NA</v>
      </c>
      <c r="P338" t="str">
        <f ca="1">IF(Long_Data[[#This Row],[Indicator Class]]="Degree",INDEX(INDIRECT("Data_Entry['"&amp;Long_Data[[#This Row],[Indicator Number]]&amp;"'_DSev_5]"),MATCH(Long_Data[[#This Row],[Key]],Data_Entry[Key],0)),"NA")</f>
        <v>NA</v>
      </c>
      <c r="Q338">
        <f ca="1">IFERROR(IF(Long_Data[[#This Row],[Indicator Class]]="Magnitude", INDEX(INDIRECT("Data_Entry[Sev_"&amp;Long_Data[[#This Row],[Indicator Number]]&amp;"]"),MATCH(Long_Data[[#This Row],[Key]], Data_Entry[Key],0)),"NA"),"")</f>
        <v>3</v>
      </c>
      <c r="R33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38" s="70">
        <f ca="1">IFERROR(IF(J338="Magnitude",INDEX(INDIRECT("Data_Entry[PIN_"&amp;Long_Data[[#This Row],[Indicator Number]]&amp;"]"),MATCH(Long_Data[[#This Row],[Key]],Data_Entry[Key],0)),SUM(N338:P338)*INDEX(Baseline_Pop[Population],MATCH(Long_Data[[#This Row],[Key]],Baseline_Pop[Key],0))),"")</f>
        <v>322008.25311203499</v>
      </c>
    </row>
    <row r="339" spans="2:19">
      <c r="B339">
        <v>338</v>
      </c>
      <c r="C339">
        <v>8</v>
      </c>
      <c r="D339" t="str">
        <f>IFERROR(INDEX(Data_Entry[ADM2_Pcode],MATCH('Step 4-Long Data'!C339,Data_Entry[ID],0)),"NA")</f>
        <v>AF08</v>
      </c>
      <c r="E339" t="str">
        <f>IFERROR(INDEX(Data_Entry[Key],MATCH('Step 4-Long Data'!C339,Data_Entry[ID],0)),"NA")</f>
        <v>AF08-All_Others</v>
      </c>
      <c r="F339">
        <v>12</v>
      </c>
      <c r="G339" t="str">
        <f>IFERROR(INDEX(Framework[Pillar],MATCH('Step 4-Long Data'!F339,Framework[Number],0)),"")</f>
        <v>Humanitarian Conditions</v>
      </c>
      <c r="H339" t="str">
        <f>IFERROR(INDEX(Framework[Sub_Pillar],MATCH('Step 4-Long Data'!F339,Framework[Number],0)),"")</f>
        <v>Coping mechanisms</v>
      </c>
      <c r="I339" t="str">
        <f>IFERROR(INDEX(Framework[Indicator],MATCH('Step 4-Long Data'!F339,Framework[Number],0)),"")</f>
        <v>% of HHs who have lost their source of income due to conflict, natural disaster or reduced employment opportunities</v>
      </c>
      <c r="J339" t="str">
        <f>IFERROR(INDEX(Framework[Class],MATCH('Step 4-Long Data'!F339,Framework[Number],0)),"")</f>
        <v>Magnitude</v>
      </c>
      <c r="K339" t="str">
        <f>IFERROR(INDEX(Framework[Critical],MATCH('Step 4-Long Data'!F339,Framework[Number],0)),"")</f>
        <v>No</v>
      </c>
      <c r="L339" t="str">
        <f ca="1">IF(Long_Data[[#This Row],[Indicator Class]]="Degree",INDEX(INDIRECT("Data_Entry['"&amp;Long_Data[[#This Row],[Indicator Number]]&amp;"'_DSev_1]"),MATCH(Long_Data[[#This Row],[Key]],Data_Entry[Key],0)),"NA")</f>
        <v>NA</v>
      </c>
      <c r="M339" t="str">
        <f ca="1">IF(Long_Data[[#This Row],[Indicator Class]]="Degree",INDEX(INDIRECT("Data_Entry['"&amp;Long_Data[[#This Row],[Indicator Number]]&amp;"'_DSev_2]"),MATCH(Long_Data[[#This Row],[Key]],Data_Entry[Key],0)),"NA")</f>
        <v>NA</v>
      </c>
      <c r="N339" t="str">
        <f ca="1">IF(Long_Data[[#This Row],[Indicator Class]]="Degree",INDEX(INDIRECT("Data_Entry['"&amp;Long_Data[[#This Row],[Indicator Number]]&amp;"'_DSev_3]"),MATCH(Long_Data[[#This Row],[Key]],Data_Entry[Key],0)),"NA")</f>
        <v>NA</v>
      </c>
      <c r="O339" t="str">
        <f ca="1">IF(Long_Data[[#This Row],[Indicator Class]]="Degree",INDEX(INDIRECT("Data_Entry['"&amp;Long_Data[[#This Row],[Indicator Number]]&amp;"'_DSev_4]"),MATCH(Long_Data[[#This Row],[Key]],Data_Entry[Key],0)),"NA")</f>
        <v>NA</v>
      </c>
      <c r="P339" t="str">
        <f ca="1">IF(Long_Data[[#This Row],[Indicator Class]]="Degree",INDEX(INDIRECT("Data_Entry['"&amp;Long_Data[[#This Row],[Indicator Number]]&amp;"'_DSev_5]"),MATCH(Long_Data[[#This Row],[Key]],Data_Entry[Key],0)),"NA")</f>
        <v>NA</v>
      </c>
      <c r="Q339">
        <f ca="1">IFERROR(IF(Long_Data[[#This Row],[Indicator Class]]="Magnitude", INDEX(INDIRECT("Data_Entry[Sev_"&amp;Long_Data[[#This Row],[Indicator Number]]&amp;"]"),MATCH(Long_Data[[#This Row],[Key]], Data_Entry[Key],0)),"NA"),"")</f>
        <v>2</v>
      </c>
      <c r="R339">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39" s="70">
        <f ca="1">IFERROR(IF(J339="Magnitude",INDEX(INDIRECT("Data_Entry[PIN_"&amp;Long_Data[[#This Row],[Indicator Number]]&amp;"]"),MATCH(Long_Data[[#This Row],[Key]],Data_Entry[Key],0)),SUM(N339:P339)*INDEX(Baseline_Pop[Population],MATCH(Long_Data[[#This Row],[Key]],Baseline_Pop[Key],0))),"")</f>
        <v>95502.92473118387</v>
      </c>
    </row>
    <row r="340" spans="2:19">
      <c r="B340">
        <v>339</v>
      </c>
      <c r="C340">
        <v>9</v>
      </c>
      <c r="D340" t="str">
        <f>IFERROR(INDEX(Data_Entry[ADM2_Pcode],MATCH('Step 4-Long Data'!C340,Data_Entry[ID],0)),"NA")</f>
        <v>AF09</v>
      </c>
      <c r="E340" t="str">
        <f>IFERROR(INDEX(Data_Entry[Key],MATCH('Step 4-Long Data'!C340,Data_Entry[ID],0)),"NA")</f>
        <v>AF09-All_Others</v>
      </c>
      <c r="F340">
        <v>12</v>
      </c>
      <c r="G340" t="str">
        <f>IFERROR(INDEX(Framework[Pillar],MATCH('Step 4-Long Data'!F340,Framework[Number],0)),"")</f>
        <v>Humanitarian Conditions</v>
      </c>
      <c r="H340" t="str">
        <f>IFERROR(INDEX(Framework[Sub_Pillar],MATCH('Step 4-Long Data'!F340,Framework[Number],0)),"")</f>
        <v>Coping mechanisms</v>
      </c>
      <c r="I340" t="str">
        <f>IFERROR(INDEX(Framework[Indicator],MATCH('Step 4-Long Data'!F340,Framework[Number],0)),"")</f>
        <v>% of HHs who have lost their source of income due to conflict, natural disaster or reduced employment opportunities</v>
      </c>
      <c r="J340" t="str">
        <f>IFERROR(INDEX(Framework[Class],MATCH('Step 4-Long Data'!F340,Framework[Number],0)),"")</f>
        <v>Magnitude</v>
      </c>
      <c r="K340" t="str">
        <f>IFERROR(INDEX(Framework[Critical],MATCH('Step 4-Long Data'!F340,Framework[Number],0)),"")</f>
        <v>No</v>
      </c>
      <c r="L340" t="str">
        <f ca="1">IF(Long_Data[[#This Row],[Indicator Class]]="Degree",INDEX(INDIRECT("Data_Entry['"&amp;Long_Data[[#This Row],[Indicator Number]]&amp;"'_DSev_1]"),MATCH(Long_Data[[#This Row],[Key]],Data_Entry[Key],0)),"NA")</f>
        <v>NA</v>
      </c>
      <c r="M340" t="str">
        <f ca="1">IF(Long_Data[[#This Row],[Indicator Class]]="Degree",INDEX(INDIRECT("Data_Entry['"&amp;Long_Data[[#This Row],[Indicator Number]]&amp;"'_DSev_2]"),MATCH(Long_Data[[#This Row],[Key]],Data_Entry[Key],0)),"NA")</f>
        <v>NA</v>
      </c>
      <c r="N340" t="str">
        <f ca="1">IF(Long_Data[[#This Row],[Indicator Class]]="Degree",INDEX(INDIRECT("Data_Entry['"&amp;Long_Data[[#This Row],[Indicator Number]]&amp;"'_DSev_3]"),MATCH(Long_Data[[#This Row],[Key]],Data_Entry[Key],0)),"NA")</f>
        <v>NA</v>
      </c>
      <c r="O340" t="str">
        <f ca="1">IF(Long_Data[[#This Row],[Indicator Class]]="Degree",INDEX(INDIRECT("Data_Entry['"&amp;Long_Data[[#This Row],[Indicator Number]]&amp;"'_DSev_4]"),MATCH(Long_Data[[#This Row],[Key]],Data_Entry[Key],0)),"NA")</f>
        <v>NA</v>
      </c>
      <c r="P340" t="str">
        <f ca="1">IF(Long_Data[[#This Row],[Indicator Class]]="Degree",INDEX(INDIRECT("Data_Entry['"&amp;Long_Data[[#This Row],[Indicator Number]]&amp;"'_DSev_5]"),MATCH(Long_Data[[#This Row],[Key]],Data_Entry[Key],0)),"NA")</f>
        <v>NA</v>
      </c>
      <c r="Q340">
        <f ca="1">IFERROR(IF(Long_Data[[#This Row],[Indicator Class]]="Magnitude", INDEX(INDIRECT("Data_Entry[Sev_"&amp;Long_Data[[#This Row],[Indicator Number]]&amp;"]"),MATCH(Long_Data[[#This Row],[Key]], Data_Entry[Key],0)),"NA"),"")</f>
        <v>3</v>
      </c>
      <c r="R34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40" s="70">
        <f ca="1">IFERROR(IF(J340="Magnitude",INDEX(INDIRECT("Data_Entry[PIN_"&amp;Long_Data[[#This Row],[Indicator Number]]&amp;"]"),MATCH(Long_Data[[#This Row],[Key]],Data_Entry[Key],0)),SUM(N340:P340)*INDEX(Baseline_Pop[Population],MATCH(Long_Data[[#This Row],[Key]],Baseline_Pop[Key],0))),"")</f>
        <v>724859.3517495183</v>
      </c>
    </row>
    <row r="341" spans="2:19">
      <c r="B341">
        <v>340</v>
      </c>
      <c r="C341">
        <v>10</v>
      </c>
      <c r="D341" t="str">
        <f>IFERROR(INDEX(Data_Entry[ADM2_Pcode],MATCH('Step 4-Long Data'!C341,Data_Entry[ID],0)),"NA")</f>
        <v>AF10</v>
      </c>
      <c r="E341" t="str">
        <f>IFERROR(INDEX(Data_Entry[Key],MATCH('Step 4-Long Data'!C341,Data_Entry[ID],0)),"NA")</f>
        <v>AF10-All_Others</v>
      </c>
      <c r="F341">
        <v>12</v>
      </c>
      <c r="G341" t="str">
        <f>IFERROR(INDEX(Framework[Pillar],MATCH('Step 4-Long Data'!F341,Framework[Number],0)),"")</f>
        <v>Humanitarian Conditions</v>
      </c>
      <c r="H341" t="str">
        <f>IFERROR(INDEX(Framework[Sub_Pillar],MATCH('Step 4-Long Data'!F341,Framework[Number],0)),"")</f>
        <v>Coping mechanisms</v>
      </c>
      <c r="I341" t="str">
        <f>IFERROR(INDEX(Framework[Indicator],MATCH('Step 4-Long Data'!F341,Framework[Number],0)),"")</f>
        <v>% of HHs who have lost their source of income due to conflict, natural disaster or reduced employment opportunities</v>
      </c>
      <c r="J341" t="str">
        <f>IFERROR(INDEX(Framework[Class],MATCH('Step 4-Long Data'!F341,Framework[Number],0)),"")</f>
        <v>Magnitude</v>
      </c>
      <c r="K341" t="str">
        <f>IFERROR(INDEX(Framework[Critical],MATCH('Step 4-Long Data'!F341,Framework[Number],0)),"")</f>
        <v>No</v>
      </c>
      <c r="L341" t="str">
        <f ca="1">IF(Long_Data[[#This Row],[Indicator Class]]="Degree",INDEX(INDIRECT("Data_Entry['"&amp;Long_Data[[#This Row],[Indicator Number]]&amp;"'_DSev_1]"),MATCH(Long_Data[[#This Row],[Key]],Data_Entry[Key],0)),"NA")</f>
        <v>NA</v>
      </c>
      <c r="M341" t="str">
        <f ca="1">IF(Long_Data[[#This Row],[Indicator Class]]="Degree",INDEX(INDIRECT("Data_Entry['"&amp;Long_Data[[#This Row],[Indicator Number]]&amp;"'_DSev_2]"),MATCH(Long_Data[[#This Row],[Key]],Data_Entry[Key],0)),"NA")</f>
        <v>NA</v>
      </c>
      <c r="N341" t="str">
        <f ca="1">IF(Long_Data[[#This Row],[Indicator Class]]="Degree",INDEX(INDIRECT("Data_Entry['"&amp;Long_Data[[#This Row],[Indicator Number]]&amp;"'_DSev_3]"),MATCH(Long_Data[[#This Row],[Key]],Data_Entry[Key],0)),"NA")</f>
        <v>NA</v>
      </c>
      <c r="O341" t="str">
        <f ca="1">IF(Long_Data[[#This Row],[Indicator Class]]="Degree",INDEX(INDIRECT("Data_Entry['"&amp;Long_Data[[#This Row],[Indicator Number]]&amp;"'_DSev_4]"),MATCH(Long_Data[[#This Row],[Key]],Data_Entry[Key],0)),"NA")</f>
        <v>NA</v>
      </c>
      <c r="P341" t="str">
        <f ca="1">IF(Long_Data[[#This Row],[Indicator Class]]="Degree",INDEX(INDIRECT("Data_Entry['"&amp;Long_Data[[#This Row],[Indicator Number]]&amp;"'_DSev_5]"),MATCH(Long_Data[[#This Row],[Key]],Data_Entry[Key],0)),"NA")</f>
        <v>NA</v>
      </c>
      <c r="Q341">
        <f ca="1">IFERROR(IF(Long_Data[[#This Row],[Indicator Class]]="Magnitude", INDEX(INDIRECT("Data_Entry[Sev_"&amp;Long_Data[[#This Row],[Indicator Number]]&amp;"]"),MATCH(Long_Data[[#This Row],[Key]], Data_Entry[Key],0)),"NA"),"")</f>
        <v>2</v>
      </c>
      <c r="R34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41" s="70">
        <f ca="1">IFERROR(IF(J341="Magnitude",INDEX(INDIRECT("Data_Entry[PIN_"&amp;Long_Data[[#This Row],[Indicator Number]]&amp;"]"),MATCH(Long_Data[[#This Row],[Key]],Data_Entry[Key],0)),SUM(N341:P341)*INDEX(Baseline_Pop[Population],MATCH(Long_Data[[#This Row],[Key]],Baseline_Pop[Key],0))),"")</f>
        <v>311399.56576200272</v>
      </c>
    </row>
    <row r="342" spans="2:19">
      <c r="B342">
        <v>341</v>
      </c>
      <c r="C342">
        <v>11</v>
      </c>
      <c r="D342" t="str">
        <f>IFERROR(INDEX(Data_Entry[ADM2_Pcode],MATCH('Step 4-Long Data'!C342,Data_Entry[ID],0)),"NA")</f>
        <v>AF01</v>
      </c>
      <c r="E342" t="str">
        <f>IFERROR(INDEX(Data_Entry[Key],MATCH('Step 4-Long Data'!C342,Data_Entry[ID],0)),"NA")</f>
        <v>AF01-Non_Displaced</v>
      </c>
      <c r="F342">
        <v>12</v>
      </c>
      <c r="G342" t="str">
        <f>IFERROR(INDEX(Framework[Pillar],MATCH('Step 4-Long Data'!F342,Framework[Number],0)),"")</f>
        <v>Humanitarian Conditions</v>
      </c>
      <c r="H342" t="str">
        <f>IFERROR(INDEX(Framework[Sub_Pillar],MATCH('Step 4-Long Data'!F342,Framework[Number],0)),"")</f>
        <v>Coping mechanisms</v>
      </c>
      <c r="I342" t="str">
        <f>IFERROR(INDEX(Framework[Indicator],MATCH('Step 4-Long Data'!F342,Framework[Number],0)),"")</f>
        <v>% of HHs who have lost their source of income due to conflict, natural disaster or reduced employment opportunities</v>
      </c>
      <c r="J342" t="str">
        <f>IFERROR(INDEX(Framework[Class],MATCH('Step 4-Long Data'!F342,Framework[Number],0)),"")</f>
        <v>Magnitude</v>
      </c>
      <c r="K342" t="str">
        <f>IFERROR(INDEX(Framework[Critical],MATCH('Step 4-Long Data'!F342,Framework[Number],0)),"")</f>
        <v>No</v>
      </c>
      <c r="L342" t="str">
        <f ca="1">IF(Long_Data[[#This Row],[Indicator Class]]="Degree",INDEX(INDIRECT("Data_Entry['"&amp;Long_Data[[#This Row],[Indicator Number]]&amp;"'_DSev_1]"),MATCH(Long_Data[[#This Row],[Key]],Data_Entry[Key],0)),"NA")</f>
        <v>NA</v>
      </c>
      <c r="M342" t="str">
        <f ca="1">IF(Long_Data[[#This Row],[Indicator Class]]="Degree",INDEX(INDIRECT("Data_Entry['"&amp;Long_Data[[#This Row],[Indicator Number]]&amp;"'_DSev_2]"),MATCH(Long_Data[[#This Row],[Key]],Data_Entry[Key],0)),"NA")</f>
        <v>NA</v>
      </c>
      <c r="N342" t="str">
        <f ca="1">IF(Long_Data[[#This Row],[Indicator Class]]="Degree",INDEX(INDIRECT("Data_Entry['"&amp;Long_Data[[#This Row],[Indicator Number]]&amp;"'_DSev_3]"),MATCH(Long_Data[[#This Row],[Key]],Data_Entry[Key],0)),"NA")</f>
        <v>NA</v>
      </c>
      <c r="O342" t="str">
        <f ca="1">IF(Long_Data[[#This Row],[Indicator Class]]="Degree",INDEX(INDIRECT("Data_Entry['"&amp;Long_Data[[#This Row],[Indicator Number]]&amp;"'_DSev_4]"),MATCH(Long_Data[[#This Row],[Key]],Data_Entry[Key],0)),"NA")</f>
        <v>NA</v>
      </c>
      <c r="P342" t="str">
        <f ca="1">IF(Long_Data[[#This Row],[Indicator Class]]="Degree",INDEX(INDIRECT("Data_Entry['"&amp;Long_Data[[#This Row],[Indicator Number]]&amp;"'_DSev_5]"),MATCH(Long_Data[[#This Row],[Key]],Data_Entry[Key],0)),"NA")</f>
        <v>NA</v>
      </c>
      <c r="Q342">
        <f ca="1">IFERROR(IF(Long_Data[[#This Row],[Indicator Class]]="Magnitude", INDEX(INDIRECT("Data_Entry[Sev_"&amp;Long_Data[[#This Row],[Indicator Number]]&amp;"]"),MATCH(Long_Data[[#This Row],[Key]], Data_Entry[Key],0)),"NA"),"")</f>
        <v>3</v>
      </c>
      <c r="R34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42" s="70">
        <f ca="1">IFERROR(IF(J342="Magnitude",INDEX(INDIRECT("Data_Entry[PIN_"&amp;Long_Data[[#This Row],[Indicator Number]]&amp;"]"),MATCH(Long_Data[[#This Row],[Key]],Data_Entry[Key],0)),SUM(N342:P342)*INDEX(Baseline_Pop[Population],MATCH(Long_Data[[#This Row],[Key]],Baseline_Pop[Key],0))),"")</f>
        <v>532864.76010190917</v>
      </c>
    </row>
    <row r="343" spans="2:19">
      <c r="B343">
        <v>342</v>
      </c>
      <c r="C343">
        <v>12</v>
      </c>
      <c r="D343" t="str">
        <f>IFERROR(INDEX(Data_Entry[ADM2_Pcode],MATCH('Step 4-Long Data'!C343,Data_Entry[ID],0)),"NA")</f>
        <v>AF02</v>
      </c>
      <c r="E343" t="str">
        <f>IFERROR(INDEX(Data_Entry[Key],MATCH('Step 4-Long Data'!C343,Data_Entry[ID],0)),"NA")</f>
        <v>AF02-Non_Displaced</v>
      </c>
      <c r="F343">
        <v>12</v>
      </c>
      <c r="G343" t="str">
        <f>IFERROR(INDEX(Framework[Pillar],MATCH('Step 4-Long Data'!F343,Framework[Number],0)),"")</f>
        <v>Humanitarian Conditions</v>
      </c>
      <c r="H343" t="str">
        <f>IFERROR(INDEX(Framework[Sub_Pillar],MATCH('Step 4-Long Data'!F343,Framework[Number],0)),"")</f>
        <v>Coping mechanisms</v>
      </c>
      <c r="I343" t="str">
        <f>IFERROR(INDEX(Framework[Indicator],MATCH('Step 4-Long Data'!F343,Framework[Number],0)),"")</f>
        <v>% of HHs who have lost their source of income due to conflict, natural disaster or reduced employment opportunities</v>
      </c>
      <c r="J343" t="str">
        <f>IFERROR(INDEX(Framework[Class],MATCH('Step 4-Long Data'!F343,Framework[Number],0)),"")</f>
        <v>Magnitude</v>
      </c>
      <c r="K343" t="str">
        <f>IFERROR(INDEX(Framework[Critical],MATCH('Step 4-Long Data'!F343,Framework[Number],0)),"")</f>
        <v>No</v>
      </c>
      <c r="L343" t="str">
        <f ca="1">IF(Long_Data[[#This Row],[Indicator Class]]="Degree",INDEX(INDIRECT("Data_Entry['"&amp;Long_Data[[#This Row],[Indicator Number]]&amp;"'_DSev_1]"),MATCH(Long_Data[[#This Row],[Key]],Data_Entry[Key],0)),"NA")</f>
        <v>NA</v>
      </c>
      <c r="M343" t="str">
        <f ca="1">IF(Long_Data[[#This Row],[Indicator Class]]="Degree",INDEX(INDIRECT("Data_Entry['"&amp;Long_Data[[#This Row],[Indicator Number]]&amp;"'_DSev_2]"),MATCH(Long_Data[[#This Row],[Key]],Data_Entry[Key],0)),"NA")</f>
        <v>NA</v>
      </c>
      <c r="N343" t="str">
        <f ca="1">IF(Long_Data[[#This Row],[Indicator Class]]="Degree",INDEX(INDIRECT("Data_Entry['"&amp;Long_Data[[#This Row],[Indicator Number]]&amp;"'_DSev_3]"),MATCH(Long_Data[[#This Row],[Key]],Data_Entry[Key],0)),"NA")</f>
        <v>NA</v>
      </c>
      <c r="O343" t="str">
        <f ca="1">IF(Long_Data[[#This Row],[Indicator Class]]="Degree",INDEX(INDIRECT("Data_Entry['"&amp;Long_Data[[#This Row],[Indicator Number]]&amp;"'_DSev_4]"),MATCH(Long_Data[[#This Row],[Key]],Data_Entry[Key],0)),"NA")</f>
        <v>NA</v>
      </c>
      <c r="P343" t="str">
        <f ca="1">IF(Long_Data[[#This Row],[Indicator Class]]="Degree",INDEX(INDIRECT("Data_Entry['"&amp;Long_Data[[#This Row],[Indicator Number]]&amp;"'_DSev_5]"),MATCH(Long_Data[[#This Row],[Key]],Data_Entry[Key],0)),"NA")</f>
        <v>NA</v>
      </c>
      <c r="Q343">
        <f ca="1">IFERROR(IF(Long_Data[[#This Row],[Indicator Class]]="Magnitude", INDEX(INDIRECT("Data_Entry[Sev_"&amp;Long_Data[[#This Row],[Indicator Number]]&amp;"]"),MATCH(Long_Data[[#This Row],[Key]], Data_Entry[Key],0)),"NA"),"")</f>
        <v>2</v>
      </c>
      <c r="R34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43" s="70">
        <f ca="1">IFERROR(IF(J343="Magnitude",INDEX(INDIRECT("Data_Entry[PIN_"&amp;Long_Data[[#This Row],[Indicator Number]]&amp;"]"),MATCH(Long_Data[[#This Row],[Key]],Data_Entry[Key],0)),SUM(N343:P343)*INDEX(Baseline_Pop[Population],MATCH(Long_Data[[#This Row],[Key]],Baseline_Pop[Key],0))),"")</f>
        <v>43822.207468879824</v>
      </c>
    </row>
    <row r="344" spans="2:19">
      <c r="B344">
        <v>343</v>
      </c>
      <c r="C344">
        <v>13</v>
      </c>
      <c r="D344" t="str">
        <f>IFERROR(INDEX(Data_Entry[ADM2_Pcode],MATCH('Step 4-Long Data'!C344,Data_Entry[ID],0)),"NA")</f>
        <v>AF03</v>
      </c>
      <c r="E344" t="str">
        <f>IFERROR(INDEX(Data_Entry[Key],MATCH('Step 4-Long Data'!C344,Data_Entry[ID],0)),"NA")</f>
        <v>AF03-Non_Displaced</v>
      </c>
      <c r="F344">
        <v>12</v>
      </c>
      <c r="G344" t="str">
        <f>IFERROR(INDEX(Framework[Pillar],MATCH('Step 4-Long Data'!F344,Framework[Number],0)),"")</f>
        <v>Humanitarian Conditions</v>
      </c>
      <c r="H344" t="str">
        <f>IFERROR(INDEX(Framework[Sub_Pillar],MATCH('Step 4-Long Data'!F344,Framework[Number],0)),"")</f>
        <v>Coping mechanisms</v>
      </c>
      <c r="I344" t="str">
        <f>IFERROR(INDEX(Framework[Indicator],MATCH('Step 4-Long Data'!F344,Framework[Number],0)),"")</f>
        <v>% of HHs who have lost their source of income due to conflict, natural disaster or reduced employment opportunities</v>
      </c>
      <c r="J344" t="str">
        <f>IFERROR(INDEX(Framework[Class],MATCH('Step 4-Long Data'!F344,Framework[Number],0)),"")</f>
        <v>Magnitude</v>
      </c>
      <c r="K344" t="str">
        <f>IFERROR(INDEX(Framework[Critical],MATCH('Step 4-Long Data'!F344,Framework[Number],0)),"")</f>
        <v>No</v>
      </c>
      <c r="L344" t="str">
        <f ca="1">IF(Long_Data[[#This Row],[Indicator Class]]="Degree",INDEX(INDIRECT("Data_Entry['"&amp;Long_Data[[#This Row],[Indicator Number]]&amp;"'_DSev_1]"),MATCH(Long_Data[[#This Row],[Key]],Data_Entry[Key],0)),"NA")</f>
        <v>NA</v>
      </c>
      <c r="M344" t="str">
        <f ca="1">IF(Long_Data[[#This Row],[Indicator Class]]="Degree",INDEX(INDIRECT("Data_Entry['"&amp;Long_Data[[#This Row],[Indicator Number]]&amp;"'_DSev_2]"),MATCH(Long_Data[[#This Row],[Key]],Data_Entry[Key],0)),"NA")</f>
        <v>NA</v>
      </c>
      <c r="N344" t="str">
        <f ca="1">IF(Long_Data[[#This Row],[Indicator Class]]="Degree",INDEX(INDIRECT("Data_Entry['"&amp;Long_Data[[#This Row],[Indicator Number]]&amp;"'_DSev_3]"),MATCH(Long_Data[[#This Row],[Key]],Data_Entry[Key],0)),"NA")</f>
        <v>NA</v>
      </c>
      <c r="O344" t="str">
        <f ca="1">IF(Long_Data[[#This Row],[Indicator Class]]="Degree",INDEX(INDIRECT("Data_Entry['"&amp;Long_Data[[#This Row],[Indicator Number]]&amp;"'_DSev_4]"),MATCH(Long_Data[[#This Row],[Key]],Data_Entry[Key],0)),"NA")</f>
        <v>NA</v>
      </c>
      <c r="P344" t="str">
        <f ca="1">IF(Long_Data[[#This Row],[Indicator Class]]="Degree",INDEX(INDIRECT("Data_Entry['"&amp;Long_Data[[#This Row],[Indicator Number]]&amp;"'_DSev_5]"),MATCH(Long_Data[[#This Row],[Key]],Data_Entry[Key],0)),"NA")</f>
        <v>NA</v>
      </c>
      <c r="Q344">
        <f ca="1">IFERROR(IF(Long_Data[[#This Row],[Indicator Class]]="Magnitude", INDEX(INDIRECT("Data_Entry[Sev_"&amp;Long_Data[[#This Row],[Indicator Number]]&amp;"]"),MATCH(Long_Data[[#This Row],[Key]], Data_Entry[Key],0)),"NA"),"")</f>
        <v>3</v>
      </c>
      <c r="R34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44" s="70">
        <f ca="1">IFERROR(IF(J344="Magnitude",INDEX(INDIRECT("Data_Entry[PIN_"&amp;Long_Data[[#This Row],[Indicator Number]]&amp;"]"),MATCH(Long_Data[[#This Row],[Key]],Data_Entry[Key],0)),SUM(N344:P344)*INDEX(Baseline_Pop[Population],MATCH(Long_Data[[#This Row],[Key]],Baseline_Pop[Key],0))),"")</f>
        <v>75364.877419354947</v>
      </c>
    </row>
    <row r="345" spans="2:19">
      <c r="B345">
        <v>344</v>
      </c>
      <c r="C345">
        <v>14</v>
      </c>
      <c r="D345" t="str">
        <f>IFERROR(INDEX(Data_Entry[ADM2_Pcode],MATCH('Step 4-Long Data'!C345,Data_Entry[ID],0)),"NA")</f>
        <v>AF04</v>
      </c>
      <c r="E345" t="str">
        <f>IFERROR(INDEX(Data_Entry[Key],MATCH('Step 4-Long Data'!C345,Data_Entry[ID],0)),"NA")</f>
        <v>AF04-Non_Displaced</v>
      </c>
      <c r="F345">
        <v>12</v>
      </c>
      <c r="G345" t="str">
        <f>IFERROR(INDEX(Framework[Pillar],MATCH('Step 4-Long Data'!F345,Framework[Number],0)),"")</f>
        <v>Humanitarian Conditions</v>
      </c>
      <c r="H345" t="str">
        <f>IFERROR(INDEX(Framework[Sub_Pillar],MATCH('Step 4-Long Data'!F345,Framework[Number],0)),"")</f>
        <v>Coping mechanisms</v>
      </c>
      <c r="I345" t="str">
        <f>IFERROR(INDEX(Framework[Indicator],MATCH('Step 4-Long Data'!F345,Framework[Number],0)),"")</f>
        <v>% of HHs who have lost their source of income due to conflict, natural disaster or reduced employment opportunities</v>
      </c>
      <c r="J345" t="str">
        <f>IFERROR(INDEX(Framework[Class],MATCH('Step 4-Long Data'!F345,Framework[Number],0)),"")</f>
        <v>Magnitude</v>
      </c>
      <c r="K345" t="str">
        <f>IFERROR(INDEX(Framework[Critical],MATCH('Step 4-Long Data'!F345,Framework[Number],0)),"")</f>
        <v>No</v>
      </c>
      <c r="L345" t="str">
        <f ca="1">IF(Long_Data[[#This Row],[Indicator Class]]="Degree",INDEX(INDIRECT("Data_Entry['"&amp;Long_Data[[#This Row],[Indicator Number]]&amp;"'_DSev_1]"),MATCH(Long_Data[[#This Row],[Key]],Data_Entry[Key],0)),"NA")</f>
        <v>NA</v>
      </c>
      <c r="M345" t="str">
        <f ca="1">IF(Long_Data[[#This Row],[Indicator Class]]="Degree",INDEX(INDIRECT("Data_Entry['"&amp;Long_Data[[#This Row],[Indicator Number]]&amp;"'_DSev_2]"),MATCH(Long_Data[[#This Row],[Key]],Data_Entry[Key],0)),"NA")</f>
        <v>NA</v>
      </c>
      <c r="N345" t="str">
        <f ca="1">IF(Long_Data[[#This Row],[Indicator Class]]="Degree",INDEX(INDIRECT("Data_Entry['"&amp;Long_Data[[#This Row],[Indicator Number]]&amp;"'_DSev_3]"),MATCH(Long_Data[[#This Row],[Key]],Data_Entry[Key],0)),"NA")</f>
        <v>NA</v>
      </c>
      <c r="O345" t="str">
        <f ca="1">IF(Long_Data[[#This Row],[Indicator Class]]="Degree",INDEX(INDIRECT("Data_Entry['"&amp;Long_Data[[#This Row],[Indicator Number]]&amp;"'_DSev_4]"),MATCH(Long_Data[[#This Row],[Key]],Data_Entry[Key],0)),"NA")</f>
        <v>NA</v>
      </c>
      <c r="P345" t="str">
        <f ca="1">IF(Long_Data[[#This Row],[Indicator Class]]="Degree",INDEX(INDIRECT("Data_Entry['"&amp;Long_Data[[#This Row],[Indicator Number]]&amp;"'_DSev_5]"),MATCH(Long_Data[[#This Row],[Key]],Data_Entry[Key],0)),"NA")</f>
        <v>NA</v>
      </c>
      <c r="Q345">
        <f ca="1">IFERROR(IF(Long_Data[[#This Row],[Indicator Class]]="Magnitude", INDEX(INDIRECT("Data_Entry[Sev_"&amp;Long_Data[[#This Row],[Indicator Number]]&amp;"]"),MATCH(Long_Data[[#This Row],[Key]], Data_Entry[Key],0)),"NA"),"")</f>
        <v>3</v>
      </c>
      <c r="R34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45" s="70">
        <f ca="1">IFERROR(IF(J345="Magnitude",INDEX(INDIRECT("Data_Entry[PIN_"&amp;Long_Data[[#This Row],[Indicator Number]]&amp;"]"),MATCH(Long_Data[[#This Row],[Key]],Data_Entry[Key],0)),SUM(N345:P345)*INDEX(Baseline_Pop[Population],MATCH(Long_Data[[#This Row],[Key]],Baseline_Pop[Key],0))),"")</f>
        <v>59980.534446764083</v>
      </c>
    </row>
    <row r="346" spans="2:19">
      <c r="B346">
        <v>345</v>
      </c>
      <c r="C346">
        <v>15</v>
      </c>
      <c r="D346" t="str">
        <f>IFERROR(INDEX(Data_Entry[ADM2_Pcode],MATCH('Step 4-Long Data'!C346,Data_Entry[ID],0)),"NA")</f>
        <v>AF05</v>
      </c>
      <c r="E346" t="str">
        <f>IFERROR(INDEX(Data_Entry[Key],MATCH('Step 4-Long Data'!C346,Data_Entry[ID],0)),"NA")</f>
        <v>AF05-Non_Displaced</v>
      </c>
      <c r="F346">
        <v>12</v>
      </c>
      <c r="G346" t="str">
        <f>IFERROR(INDEX(Framework[Pillar],MATCH('Step 4-Long Data'!F346,Framework[Number],0)),"")</f>
        <v>Humanitarian Conditions</v>
      </c>
      <c r="H346" t="str">
        <f>IFERROR(INDEX(Framework[Sub_Pillar],MATCH('Step 4-Long Data'!F346,Framework[Number],0)),"")</f>
        <v>Coping mechanisms</v>
      </c>
      <c r="I346" t="str">
        <f>IFERROR(INDEX(Framework[Indicator],MATCH('Step 4-Long Data'!F346,Framework[Number],0)),"")</f>
        <v>% of HHs who have lost their source of income due to conflict, natural disaster or reduced employment opportunities</v>
      </c>
      <c r="J346" t="str">
        <f>IFERROR(INDEX(Framework[Class],MATCH('Step 4-Long Data'!F346,Framework[Number],0)),"")</f>
        <v>Magnitude</v>
      </c>
      <c r="K346" t="str">
        <f>IFERROR(INDEX(Framework[Critical],MATCH('Step 4-Long Data'!F346,Framework[Number],0)),"")</f>
        <v>No</v>
      </c>
      <c r="L346" t="str">
        <f ca="1">IF(Long_Data[[#This Row],[Indicator Class]]="Degree",INDEX(INDIRECT("Data_Entry['"&amp;Long_Data[[#This Row],[Indicator Number]]&amp;"'_DSev_1]"),MATCH(Long_Data[[#This Row],[Key]],Data_Entry[Key],0)),"NA")</f>
        <v>NA</v>
      </c>
      <c r="M346" t="str">
        <f ca="1">IF(Long_Data[[#This Row],[Indicator Class]]="Degree",INDEX(INDIRECT("Data_Entry['"&amp;Long_Data[[#This Row],[Indicator Number]]&amp;"'_DSev_2]"),MATCH(Long_Data[[#This Row],[Key]],Data_Entry[Key],0)),"NA")</f>
        <v>NA</v>
      </c>
      <c r="N346" t="str">
        <f ca="1">IF(Long_Data[[#This Row],[Indicator Class]]="Degree",INDEX(INDIRECT("Data_Entry['"&amp;Long_Data[[#This Row],[Indicator Number]]&amp;"'_DSev_3]"),MATCH(Long_Data[[#This Row],[Key]],Data_Entry[Key],0)),"NA")</f>
        <v>NA</v>
      </c>
      <c r="O346" t="str">
        <f ca="1">IF(Long_Data[[#This Row],[Indicator Class]]="Degree",INDEX(INDIRECT("Data_Entry['"&amp;Long_Data[[#This Row],[Indicator Number]]&amp;"'_DSev_4]"),MATCH(Long_Data[[#This Row],[Key]],Data_Entry[Key],0)),"NA")</f>
        <v>NA</v>
      </c>
      <c r="P346" t="str">
        <f ca="1">IF(Long_Data[[#This Row],[Indicator Class]]="Degree",INDEX(INDIRECT("Data_Entry['"&amp;Long_Data[[#This Row],[Indicator Number]]&amp;"'_DSev_5]"),MATCH(Long_Data[[#This Row],[Key]],Data_Entry[Key],0)),"NA")</f>
        <v>NA</v>
      </c>
      <c r="Q346">
        <f ca="1">IFERROR(IF(Long_Data[[#This Row],[Indicator Class]]="Magnitude", INDEX(INDIRECT("Data_Entry[Sev_"&amp;Long_Data[[#This Row],[Indicator Number]]&amp;"]"),MATCH(Long_Data[[#This Row],[Key]], Data_Entry[Key],0)),"NA"),"")</f>
        <v>4</v>
      </c>
      <c r="R34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46" s="70">
        <f ca="1">IFERROR(IF(J346="Magnitude",INDEX(INDIRECT("Data_Entry[PIN_"&amp;Long_Data[[#This Row],[Indicator Number]]&amp;"]"),MATCH(Long_Data[[#This Row],[Key]],Data_Entry[Key],0)),SUM(N346:P346)*INDEX(Baseline_Pop[Population],MATCH(Long_Data[[#This Row],[Key]],Baseline_Pop[Key],0))),"")</f>
        <v>45270.190476190473</v>
      </c>
    </row>
    <row r="347" spans="2:19">
      <c r="B347">
        <v>346</v>
      </c>
      <c r="C347">
        <v>16</v>
      </c>
      <c r="D347" t="str">
        <f>IFERROR(INDEX(Data_Entry[ADM2_Pcode],MATCH('Step 4-Long Data'!C347,Data_Entry[ID],0)),"NA")</f>
        <v>AF06</v>
      </c>
      <c r="E347" t="str">
        <f>IFERROR(INDEX(Data_Entry[Key],MATCH('Step 4-Long Data'!C347,Data_Entry[ID],0)),"NA")</f>
        <v>AF06-Non_Displaced</v>
      </c>
      <c r="F347">
        <v>12</v>
      </c>
      <c r="G347" t="str">
        <f>IFERROR(INDEX(Framework[Pillar],MATCH('Step 4-Long Data'!F347,Framework[Number],0)),"")</f>
        <v>Humanitarian Conditions</v>
      </c>
      <c r="H347" t="str">
        <f>IFERROR(INDEX(Framework[Sub_Pillar],MATCH('Step 4-Long Data'!F347,Framework[Number],0)),"")</f>
        <v>Coping mechanisms</v>
      </c>
      <c r="I347" t="str">
        <f>IFERROR(INDEX(Framework[Indicator],MATCH('Step 4-Long Data'!F347,Framework[Number],0)),"")</f>
        <v>% of HHs who have lost their source of income due to conflict, natural disaster or reduced employment opportunities</v>
      </c>
      <c r="J347" t="str">
        <f>IFERROR(INDEX(Framework[Class],MATCH('Step 4-Long Data'!F347,Framework[Number],0)),"")</f>
        <v>Magnitude</v>
      </c>
      <c r="K347" t="str">
        <f>IFERROR(INDEX(Framework[Critical],MATCH('Step 4-Long Data'!F347,Framework[Number],0)),"")</f>
        <v>No</v>
      </c>
      <c r="L347" t="str">
        <f ca="1">IF(Long_Data[[#This Row],[Indicator Class]]="Degree",INDEX(INDIRECT("Data_Entry['"&amp;Long_Data[[#This Row],[Indicator Number]]&amp;"'_DSev_1]"),MATCH(Long_Data[[#This Row],[Key]],Data_Entry[Key],0)),"NA")</f>
        <v>NA</v>
      </c>
      <c r="M347" t="str">
        <f ca="1">IF(Long_Data[[#This Row],[Indicator Class]]="Degree",INDEX(INDIRECT("Data_Entry['"&amp;Long_Data[[#This Row],[Indicator Number]]&amp;"'_DSev_2]"),MATCH(Long_Data[[#This Row],[Key]],Data_Entry[Key],0)),"NA")</f>
        <v>NA</v>
      </c>
      <c r="N347" t="str">
        <f ca="1">IF(Long_Data[[#This Row],[Indicator Class]]="Degree",INDEX(INDIRECT("Data_Entry['"&amp;Long_Data[[#This Row],[Indicator Number]]&amp;"'_DSev_3]"),MATCH(Long_Data[[#This Row],[Key]],Data_Entry[Key],0)),"NA")</f>
        <v>NA</v>
      </c>
      <c r="O347" t="str">
        <f ca="1">IF(Long_Data[[#This Row],[Indicator Class]]="Degree",INDEX(INDIRECT("Data_Entry['"&amp;Long_Data[[#This Row],[Indicator Number]]&amp;"'_DSev_4]"),MATCH(Long_Data[[#This Row],[Key]],Data_Entry[Key],0)),"NA")</f>
        <v>NA</v>
      </c>
      <c r="P347" t="str">
        <f ca="1">IF(Long_Data[[#This Row],[Indicator Class]]="Degree",INDEX(INDIRECT("Data_Entry['"&amp;Long_Data[[#This Row],[Indicator Number]]&amp;"'_DSev_5]"),MATCH(Long_Data[[#This Row],[Key]],Data_Entry[Key],0)),"NA")</f>
        <v>NA</v>
      </c>
      <c r="Q347">
        <f ca="1">IFERROR(IF(Long_Data[[#This Row],[Indicator Class]]="Magnitude", INDEX(INDIRECT("Data_Entry[Sev_"&amp;Long_Data[[#This Row],[Indicator Number]]&amp;"]"),MATCH(Long_Data[[#This Row],[Key]], Data_Entry[Key],0)),"NA"),"")</f>
        <v>5</v>
      </c>
      <c r="R347">
        <f ca="1">IFERROR(IF(Long_Data[[#This Row],[Indicator Class]]="Magnitude", Long_Data[[#This Row],[Magnitude Severity]],IF(Long_Data[[#This Row],[Severity 5]]&gt;=0.25,5,IF(SUM(Long_Data[[#This Row],[Severity 4]:[Severity 5]])&gt;=0.25,4,IF(SUM(Long_Data[[#This Row],[Severity 3]:[Severity 5]])&gt;=0.25,3,IF(SUM(Long_Data[[#This Row],[Severity 2]:[Severity 5]])&gt;=0.25, 2,1))))), "")</f>
        <v>5</v>
      </c>
      <c r="S347" s="70">
        <f ca="1">IFERROR(IF(J347="Magnitude",INDEX(INDIRECT("Data_Entry[PIN_"&amp;Long_Data[[#This Row],[Indicator Number]]&amp;"]"),MATCH(Long_Data[[#This Row],[Key]],Data_Entry[Key],0)),SUM(N347:P347)*INDEX(Baseline_Pop[Population],MATCH(Long_Data[[#This Row],[Key]],Baseline_Pop[Key],0))),"")</f>
        <v>200772.09151762133</v>
      </c>
    </row>
    <row r="348" spans="2:19">
      <c r="B348">
        <v>347</v>
      </c>
      <c r="C348">
        <v>17</v>
      </c>
      <c r="D348" t="str">
        <f>IFERROR(INDEX(Data_Entry[ADM2_Pcode],MATCH('Step 4-Long Data'!C348,Data_Entry[ID],0)),"NA")</f>
        <v>AF07</v>
      </c>
      <c r="E348" t="str">
        <f>IFERROR(INDEX(Data_Entry[Key],MATCH('Step 4-Long Data'!C348,Data_Entry[ID],0)),"NA")</f>
        <v>AF07-Non_Displaced</v>
      </c>
      <c r="F348">
        <v>12</v>
      </c>
      <c r="G348" t="str">
        <f>IFERROR(INDEX(Framework[Pillar],MATCH('Step 4-Long Data'!F348,Framework[Number],0)),"")</f>
        <v>Humanitarian Conditions</v>
      </c>
      <c r="H348" t="str">
        <f>IFERROR(INDEX(Framework[Sub_Pillar],MATCH('Step 4-Long Data'!F348,Framework[Number],0)),"")</f>
        <v>Coping mechanisms</v>
      </c>
      <c r="I348" t="str">
        <f>IFERROR(INDEX(Framework[Indicator],MATCH('Step 4-Long Data'!F348,Framework[Number],0)),"")</f>
        <v>% of HHs who have lost their source of income due to conflict, natural disaster or reduced employment opportunities</v>
      </c>
      <c r="J348" t="str">
        <f>IFERROR(INDEX(Framework[Class],MATCH('Step 4-Long Data'!F348,Framework[Number],0)),"")</f>
        <v>Magnitude</v>
      </c>
      <c r="K348" t="str">
        <f>IFERROR(INDEX(Framework[Critical],MATCH('Step 4-Long Data'!F348,Framework[Number],0)),"")</f>
        <v>No</v>
      </c>
      <c r="L348" t="str">
        <f ca="1">IF(Long_Data[[#This Row],[Indicator Class]]="Degree",INDEX(INDIRECT("Data_Entry['"&amp;Long_Data[[#This Row],[Indicator Number]]&amp;"'_DSev_1]"),MATCH(Long_Data[[#This Row],[Key]],Data_Entry[Key],0)),"NA")</f>
        <v>NA</v>
      </c>
      <c r="M348" t="str">
        <f ca="1">IF(Long_Data[[#This Row],[Indicator Class]]="Degree",INDEX(INDIRECT("Data_Entry['"&amp;Long_Data[[#This Row],[Indicator Number]]&amp;"'_DSev_2]"),MATCH(Long_Data[[#This Row],[Key]],Data_Entry[Key],0)),"NA")</f>
        <v>NA</v>
      </c>
      <c r="N348" t="str">
        <f ca="1">IF(Long_Data[[#This Row],[Indicator Class]]="Degree",INDEX(INDIRECT("Data_Entry['"&amp;Long_Data[[#This Row],[Indicator Number]]&amp;"'_DSev_3]"),MATCH(Long_Data[[#This Row],[Key]],Data_Entry[Key],0)),"NA")</f>
        <v>NA</v>
      </c>
      <c r="O348" t="str">
        <f ca="1">IF(Long_Data[[#This Row],[Indicator Class]]="Degree",INDEX(INDIRECT("Data_Entry['"&amp;Long_Data[[#This Row],[Indicator Number]]&amp;"'_DSev_4]"),MATCH(Long_Data[[#This Row],[Key]],Data_Entry[Key],0)),"NA")</f>
        <v>NA</v>
      </c>
      <c r="P348" t="str">
        <f ca="1">IF(Long_Data[[#This Row],[Indicator Class]]="Degree",INDEX(INDIRECT("Data_Entry['"&amp;Long_Data[[#This Row],[Indicator Number]]&amp;"'_DSev_5]"),MATCH(Long_Data[[#This Row],[Key]],Data_Entry[Key],0)),"NA")</f>
        <v>NA</v>
      </c>
      <c r="Q348">
        <f ca="1">IFERROR(IF(Long_Data[[#This Row],[Indicator Class]]="Magnitude", INDEX(INDIRECT("Data_Entry[Sev_"&amp;Long_Data[[#This Row],[Indicator Number]]&amp;"]"),MATCH(Long_Data[[#This Row],[Key]], Data_Entry[Key],0)),"NA"),"")</f>
        <v>3</v>
      </c>
      <c r="R34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48" s="70">
        <f ca="1">IFERROR(IF(J348="Magnitude",INDEX(INDIRECT("Data_Entry[PIN_"&amp;Long_Data[[#This Row],[Indicator Number]]&amp;"]"),MATCH(Long_Data[[#This Row],[Key]],Data_Entry[Key],0)),SUM(N348:P348)*INDEX(Baseline_Pop[Population],MATCH(Long_Data[[#This Row],[Key]],Baseline_Pop[Key],0))),"")</f>
        <v>46001.385892116443</v>
      </c>
    </row>
    <row r="349" spans="2:19">
      <c r="B349">
        <v>348</v>
      </c>
      <c r="C349">
        <v>18</v>
      </c>
      <c r="D349" t="str">
        <f>IFERROR(INDEX(Data_Entry[ADM2_Pcode],MATCH('Step 4-Long Data'!C349,Data_Entry[ID],0)),"NA")</f>
        <v>AF08</v>
      </c>
      <c r="E349" t="str">
        <f>IFERROR(INDEX(Data_Entry[Key],MATCH('Step 4-Long Data'!C349,Data_Entry[ID],0)),"NA")</f>
        <v>AF08-Non_Displaced</v>
      </c>
      <c r="F349">
        <v>12</v>
      </c>
      <c r="G349" t="str">
        <f>IFERROR(INDEX(Framework[Pillar],MATCH('Step 4-Long Data'!F349,Framework[Number],0)),"")</f>
        <v>Humanitarian Conditions</v>
      </c>
      <c r="H349" t="str">
        <f>IFERROR(INDEX(Framework[Sub_Pillar],MATCH('Step 4-Long Data'!F349,Framework[Number],0)),"")</f>
        <v>Coping mechanisms</v>
      </c>
      <c r="I349" t="str">
        <f>IFERROR(INDEX(Framework[Indicator],MATCH('Step 4-Long Data'!F349,Framework[Number],0)),"")</f>
        <v>% of HHs who have lost their source of income due to conflict, natural disaster or reduced employment opportunities</v>
      </c>
      <c r="J349" t="str">
        <f>IFERROR(INDEX(Framework[Class],MATCH('Step 4-Long Data'!F349,Framework[Number],0)),"")</f>
        <v>Magnitude</v>
      </c>
      <c r="K349" t="str">
        <f>IFERROR(INDEX(Framework[Critical],MATCH('Step 4-Long Data'!F349,Framework[Number],0)),"")</f>
        <v>No</v>
      </c>
      <c r="L349" t="str">
        <f ca="1">IF(Long_Data[[#This Row],[Indicator Class]]="Degree",INDEX(INDIRECT("Data_Entry['"&amp;Long_Data[[#This Row],[Indicator Number]]&amp;"'_DSev_1]"),MATCH(Long_Data[[#This Row],[Key]],Data_Entry[Key],0)),"NA")</f>
        <v>NA</v>
      </c>
      <c r="M349" t="str">
        <f ca="1">IF(Long_Data[[#This Row],[Indicator Class]]="Degree",INDEX(INDIRECT("Data_Entry['"&amp;Long_Data[[#This Row],[Indicator Number]]&amp;"'_DSev_2]"),MATCH(Long_Data[[#This Row],[Key]],Data_Entry[Key],0)),"NA")</f>
        <v>NA</v>
      </c>
      <c r="N349" t="str">
        <f ca="1">IF(Long_Data[[#This Row],[Indicator Class]]="Degree",INDEX(INDIRECT("Data_Entry['"&amp;Long_Data[[#This Row],[Indicator Number]]&amp;"'_DSev_3]"),MATCH(Long_Data[[#This Row],[Key]],Data_Entry[Key],0)),"NA")</f>
        <v>NA</v>
      </c>
      <c r="O349" t="str">
        <f ca="1">IF(Long_Data[[#This Row],[Indicator Class]]="Degree",INDEX(INDIRECT("Data_Entry['"&amp;Long_Data[[#This Row],[Indicator Number]]&amp;"'_DSev_4]"),MATCH(Long_Data[[#This Row],[Key]],Data_Entry[Key],0)),"NA")</f>
        <v>NA</v>
      </c>
      <c r="P349" t="str">
        <f ca="1">IF(Long_Data[[#This Row],[Indicator Class]]="Degree",INDEX(INDIRECT("Data_Entry['"&amp;Long_Data[[#This Row],[Indicator Number]]&amp;"'_DSev_5]"),MATCH(Long_Data[[#This Row],[Key]],Data_Entry[Key],0)),"NA")</f>
        <v>NA</v>
      </c>
      <c r="Q349">
        <f ca="1">IFERROR(IF(Long_Data[[#This Row],[Indicator Class]]="Magnitude", INDEX(INDIRECT("Data_Entry[Sev_"&amp;Long_Data[[#This Row],[Indicator Number]]&amp;"]"),MATCH(Long_Data[[#This Row],[Key]], Data_Entry[Key],0)),"NA"),"")</f>
        <v>2</v>
      </c>
      <c r="R349">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49" s="70">
        <f ca="1">IFERROR(IF(J349="Magnitude",INDEX(INDIRECT("Data_Entry[PIN_"&amp;Long_Data[[#This Row],[Indicator Number]]&amp;"]"),MATCH(Long_Data[[#This Row],[Key]],Data_Entry[Key],0)),SUM(N349:P349)*INDEX(Baseline_Pop[Population],MATCH(Long_Data[[#This Row],[Key]],Baseline_Pop[Key],0))),"")</f>
        <v>13643.096774193702</v>
      </c>
    </row>
    <row r="350" spans="2:19">
      <c r="B350">
        <v>349</v>
      </c>
      <c r="C350">
        <v>19</v>
      </c>
      <c r="D350" t="str">
        <f>IFERROR(INDEX(Data_Entry[ADM2_Pcode],MATCH('Step 4-Long Data'!C350,Data_Entry[ID],0)),"NA")</f>
        <v>AF09</v>
      </c>
      <c r="E350" t="str">
        <f>IFERROR(INDEX(Data_Entry[Key],MATCH('Step 4-Long Data'!C350,Data_Entry[ID],0)),"NA")</f>
        <v>AF09-Non_Displaced</v>
      </c>
      <c r="F350">
        <v>12</v>
      </c>
      <c r="G350" t="str">
        <f>IFERROR(INDEX(Framework[Pillar],MATCH('Step 4-Long Data'!F350,Framework[Number],0)),"")</f>
        <v>Humanitarian Conditions</v>
      </c>
      <c r="H350" t="str">
        <f>IFERROR(INDEX(Framework[Sub_Pillar],MATCH('Step 4-Long Data'!F350,Framework[Number],0)),"")</f>
        <v>Coping mechanisms</v>
      </c>
      <c r="I350" t="str">
        <f>IFERROR(INDEX(Framework[Indicator],MATCH('Step 4-Long Data'!F350,Framework[Number],0)),"")</f>
        <v>% of HHs who have lost their source of income due to conflict, natural disaster or reduced employment opportunities</v>
      </c>
      <c r="J350" t="str">
        <f>IFERROR(INDEX(Framework[Class],MATCH('Step 4-Long Data'!F350,Framework[Number],0)),"")</f>
        <v>Magnitude</v>
      </c>
      <c r="K350" t="str">
        <f>IFERROR(INDEX(Framework[Critical],MATCH('Step 4-Long Data'!F350,Framework[Number],0)),"")</f>
        <v>No</v>
      </c>
      <c r="L350" t="str">
        <f ca="1">IF(Long_Data[[#This Row],[Indicator Class]]="Degree",INDEX(INDIRECT("Data_Entry['"&amp;Long_Data[[#This Row],[Indicator Number]]&amp;"'_DSev_1]"),MATCH(Long_Data[[#This Row],[Key]],Data_Entry[Key],0)),"NA")</f>
        <v>NA</v>
      </c>
      <c r="M350" t="str">
        <f ca="1">IF(Long_Data[[#This Row],[Indicator Class]]="Degree",INDEX(INDIRECT("Data_Entry['"&amp;Long_Data[[#This Row],[Indicator Number]]&amp;"'_DSev_2]"),MATCH(Long_Data[[#This Row],[Key]],Data_Entry[Key],0)),"NA")</f>
        <v>NA</v>
      </c>
      <c r="N350" t="str">
        <f ca="1">IF(Long_Data[[#This Row],[Indicator Class]]="Degree",INDEX(INDIRECT("Data_Entry['"&amp;Long_Data[[#This Row],[Indicator Number]]&amp;"'_DSev_3]"),MATCH(Long_Data[[#This Row],[Key]],Data_Entry[Key],0)),"NA")</f>
        <v>NA</v>
      </c>
      <c r="O350" t="str">
        <f ca="1">IF(Long_Data[[#This Row],[Indicator Class]]="Degree",INDEX(INDIRECT("Data_Entry['"&amp;Long_Data[[#This Row],[Indicator Number]]&amp;"'_DSev_4]"),MATCH(Long_Data[[#This Row],[Key]],Data_Entry[Key],0)),"NA")</f>
        <v>NA</v>
      </c>
      <c r="P350" t="str">
        <f ca="1">IF(Long_Data[[#This Row],[Indicator Class]]="Degree",INDEX(INDIRECT("Data_Entry['"&amp;Long_Data[[#This Row],[Indicator Number]]&amp;"'_DSev_5]"),MATCH(Long_Data[[#This Row],[Key]],Data_Entry[Key],0)),"NA")</f>
        <v>NA</v>
      </c>
      <c r="Q350">
        <f ca="1">IFERROR(IF(Long_Data[[#This Row],[Indicator Class]]="Magnitude", INDEX(INDIRECT("Data_Entry[Sev_"&amp;Long_Data[[#This Row],[Indicator Number]]&amp;"]"),MATCH(Long_Data[[#This Row],[Key]], Data_Entry[Key],0)),"NA"),"")</f>
        <v>3</v>
      </c>
      <c r="R35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50" s="70">
        <f ca="1">IFERROR(IF(J350="Magnitude",INDEX(INDIRECT("Data_Entry[PIN_"&amp;Long_Data[[#This Row],[Indicator Number]]&amp;"]"),MATCH(Long_Data[[#This Row],[Key]],Data_Entry[Key],0)),SUM(N350:P350)*INDEX(Baseline_Pop[Population],MATCH(Long_Data[[#This Row],[Key]],Baseline_Pop[Key],0))),"")</f>
        <v>103551.10946654974</v>
      </c>
    </row>
    <row r="351" spans="2:19">
      <c r="B351">
        <v>350</v>
      </c>
      <c r="C351">
        <v>20</v>
      </c>
      <c r="D351" t="str">
        <f>IFERROR(INDEX(Data_Entry[ADM2_Pcode],MATCH('Step 4-Long Data'!C351,Data_Entry[ID],0)),"NA")</f>
        <v>AF10</v>
      </c>
      <c r="E351" t="str">
        <f>IFERROR(INDEX(Data_Entry[Key],MATCH('Step 4-Long Data'!C351,Data_Entry[ID],0)),"NA")</f>
        <v>AF10-Non_Displaced</v>
      </c>
      <c r="F351">
        <v>12</v>
      </c>
      <c r="G351" t="str">
        <f>IFERROR(INDEX(Framework[Pillar],MATCH('Step 4-Long Data'!F351,Framework[Number],0)),"")</f>
        <v>Humanitarian Conditions</v>
      </c>
      <c r="H351" t="str">
        <f>IFERROR(INDEX(Framework[Sub_Pillar],MATCH('Step 4-Long Data'!F351,Framework[Number],0)),"")</f>
        <v>Coping mechanisms</v>
      </c>
      <c r="I351" t="str">
        <f>IFERROR(INDEX(Framework[Indicator],MATCH('Step 4-Long Data'!F351,Framework[Number],0)),"")</f>
        <v>% of HHs who have lost their source of income due to conflict, natural disaster or reduced employment opportunities</v>
      </c>
      <c r="J351" t="str">
        <f>IFERROR(INDEX(Framework[Class],MATCH('Step 4-Long Data'!F351,Framework[Number],0)),"")</f>
        <v>Magnitude</v>
      </c>
      <c r="K351" t="str">
        <f>IFERROR(INDEX(Framework[Critical],MATCH('Step 4-Long Data'!F351,Framework[Number],0)),"")</f>
        <v>No</v>
      </c>
      <c r="L351" t="str">
        <f ca="1">IF(Long_Data[[#This Row],[Indicator Class]]="Degree",INDEX(INDIRECT("Data_Entry['"&amp;Long_Data[[#This Row],[Indicator Number]]&amp;"'_DSev_1]"),MATCH(Long_Data[[#This Row],[Key]],Data_Entry[Key],0)),"NA")</f>
        <v>NA</v>
      </c>
      <c r="M351" t="str">
        <f ca="1">IF(Long_Data[[#This Row],[Indicator Class]]="Degree",INDEX(INDIRECT("Data_Entry['"&amp;Long_Data[[#This Row],[Indicator Number]]&amp;"'_DSev_2]"),MATCH(Long_Data[[#This Row],[Key]],Data_Entry[Key],0)),"NA")</f>
        <v>NA</v>
      </c>
      <c r="N351" t="str">
        <f ca="1">IF(Long_Data[[#This Row],[Indicator Class]]="Degree",INDEX(INDIRECT("Data_Entry['"&amp;Long_Data[[#This Row],[Indicator Number]]&amp;"'_DSev_3]"),MATCH(Long_Data[[#This Row],[Key]],Data_Entry[Key],0)),"NA")</f>
        <v>NA</v>
      </c>
      <c r="O351" t="str">
        <f ca="1">IF(Long_Data[[#This Row],[Indicator Class]]="Degree",INDEX(INDIRECT("Data_Entry['"&amp;Long_Data[[#This Row],[Indicator Number]]&amp;"'_DSev_4]"),MATCH(Long_Data[[#This Row],[Key]],Data_Entry[Key],0)),"NA")</f>
        <v>NA</v>
      </c>
      <c r="P351" t="str">
        <f ca="1">IF(Long_Data[[#This Row],[Indicator Class]]="Degree",INDEX(INDIRECT("Data_Entry['"&amp;Long_Data[[#This Row],[Indicator Number]]&amp;"'_DSev_5]"),MATCH(Long_Data[[#This Row],[Key]],Data_Entry[Key],0)),"NA")</f>
        <v>NA</v>
      </c>
      <c r="Q351">
        <f ca="1">IFERROR(IF(Long_Data[[#This Row],[Indicator Class]]="Magnitude", INDEX(INDIRECT("Data_Entry[Sev_"&amp;Long_Data[[#This Row],[Indicator Number]]&amp;"]"),MATCH(Long_Data[[#This Row],[Key]], Data_Entry[Key],0)),"NA"),"")</f>
        <v>2</v>
      </c>
      <c r="R35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51" s="70">
        <f ca="1">IFERROR(IF(J351="Magnitude",INDEX(INDIRECT("Data_Entry[PIN_"&amp;Long_Data[[#This Row],[Indicator Number]]&amp;"]"),MATCH(Long_Data[[#This Row],[Key]],Data_Entry[Key],0)),SUM(N351:P351)*INDEX(Baseline_Pop[Population],MATCH(Long_Data[[#This Row],[Key]],Baseline_Pop[Key],0))),"")</f>
        <v>44485.453027139665</v>
      </c>
    </row>
    <row r="352" spans="2:19">
      <c r="B352">
        <v>351</v>
      </c>
      <c r="C352">
        <v>21</v>
      </c>
      <c r="D352" t="str">
        <f>IFERROR(INDEX(Data_Entry[ADM2_Pcode],MATCH('Step 4-Long Data'!C352,Data_Entry[ID],0)),"NA")</f>
        <v>AF01</v>
      </c>
      <c r="E352" t="str">
        <f>IFERROR(INDEX(Data_Entry[Key],MATCH('Step 4-Long Data'!C352,Data_Entry[ID],0)),"NA")</f>
        <v>AF01-Migrants</v>
      </c>
      <c r="F352">
        <v>12</v>
      </c>
      <c r="G352" t="str">
        <f>IFERROR(INDEX(Framework[Pillar],MATCH('Step 4-Long Data'!F352,Framework[Number],0)),"")</f>
        <v>Humanitarian Conditions</v>
      </c>
      <c r="H352" t="str">
        <f>IFERROR(INDEX(Framework[Sub_Pillar],MATCH('Step 4-Long Data'!F352,Framework[Number],0)),"")</f>
        <v>Coping mechanisms</v>
      </c>
      <c r="I352" t="str">
        <f>IFERROR(INDEX(Framework[Indicator],MATCH('Step 4-Long Data'!F352,Framework[Number],0)),"")</f>
        <v>% of HHs who have lost their source of income due to conflict, natural disaster or reduced employment opportunities</v>
      </c>
      <c r="J352" t="str">
        <f>IFERROR(INDEX(Framework[Class],MATCH('Step 4-Long Data'!F352,Framework[Number],0)),"")</f>
        <v>Magnitude</v>
      </c>
      <c r="K352" t="str">
        <f>IFERROR(INDEX(Framework[Critical],MATCH('Step 4-Long Data'!F352,Framework[Number],0)),"")</f>
        <v>No</v>
      </c>
      <c r="L352" t="str">
        <f ca="1">IF(Long_Data[[#This Row],[Indicator Class]]="Degree",INDEX(INDIRECT("Data_Entry['"&amp;Long_Data[[#This Row],[Indicator Number]]&amp;"'_DSev_1]"),MATCH(Long_Data[[#This Row],[Key]],Data_Entry[Key],0)),"NA")</f>
        <v>NA</v>
      </c>
      <c r="M352" t="str">
        <f ca="1">IF(Long_Data[[#This Row],[Indicator Class]]="Degree",INDEX(INDIRECT("Data_Entry['"&amp;Long_Data[[#This Row],[Indicator Number]]&amp;"'_DSev_2]"),MATCH(Long_Data[[#This Row],[Key]],Data_Entry[Key],0)),"NA")</f>
        <v>NA</v>
      </c>
      <c r="N352" t="str">
        <f ca="1">IF(Long_Data[[#This Row],[Indicator Class]]="Degree",INDEX(INDIRECT("Data_Entry['"&amp;Long_Data[[#This Row],[Indicator Number]]&amp;"'_DSev_3]"),MATCH(Long_Data[[#This Row],[Key]],Data_Entry[Key],0)),"NA")</f>
        <v>NA</v>
      </c>
      <c r="O352" t="str">
        <f ca="1">IF(Long_Data[[#This Row],[Indicator Class]]="Degree",INDEX(INDIRECT("Data_Entry['"&amp;Long_Data[[#This Row],[Indicator Number]]&amp;"'_DSev_4]"),MATCH(Long_Data[[#This Row],[Key]],Data_Entry[Key],0)),"NA")</f>
        <v>NA</v>
      </c>
      <c r="P352" t="str">
        <f ca="1">IF(Long_Data[[#This Row],[Indicator Class]]="Degree",INDEX(INDIRECT("Data_Entry['"&amp;Long_Data[[#This Row],[Indicator Number]]&amp;"'_DSev_5]"),MATCH(Long_Data[[#This Row],[Key]],Data_Entry[Key],0)),"NA")</f>
        <v>NA</v>
      </c>
      <c r="Q352">
        <f ca="1">IFERROR(IF(Long_Data[[#This Row],[Indicator Class]]="Magnitude", INDEX(INDIRECT("Data_Entry[Sev_"&amp;Long_Data[[#This Row],[Indicator Number]]&amp;"]"),MATCH(Long_Data[[#This Row],[Key]], Data_Entry[Key],0)),"NA"),"")</f>
        <v>3</v>
      </c>
      <c r="R352">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52" s="70">
        <f ca="1">IFERROR(IF(J352="Magnitude",INDEX(INDIRECT("Data_Entry[PIN_"&amp;Long_Data[[#This Row],[Indicator Number]]&amp;"]"),MATCH(Long_Data[[#This Row],[Key]],Data_Entry[Key],0)),SUM(N352:P352)*INDEX(Baseline_Pop[Population],MATCH(Long_Data[[#This Row],[Key]],Baseline_Pop[Key],0))),"")</f>
        <v>1065728.7249450025</v>
      </c>
    </row>
    <row r="353" spans="2:19">
      <c r="B353">
        <v>352</v>
      </c>
      <c r="C353">
        <v>22</v>
      </c>
      <c r="D353" t="str">
        <f>IFERROR(INDEX(Data_Entry[ADM2_Pcode],MATCH('Step 4-Long Data'!C353,Data_Entry[ID],0)),"NA")</f>
        <v>AF02</v>
      </c>
      <c r="E353" t="str">
        <f>IFERROR(INDEX(Data_Entry[Key],MATCH('Step 4-Long Data'!C353,Data_Entry[ID],0)),"NA")</f>
        <v>AF02-Migrants</v>
      </c>
      <c r="F353">
        <v>12</v>
      </c>
      <c r="G353" t="str">
        <f>IFERROR(INDEX(Framework[Pillar],MATCH('Step 4-Long Data'!F353,Framework[Number],0)),"")</f>
        <v>Humanitarian Conditions</v>
      </c>
      <c r="H353" t="str">
        <f>IFERROR(INDEX(Framework[Sub_Pillar],MATCH('Step 4-Long Data'!F353,Framework[Number],0)),"")</f>
        <v>Coping mechanisms</v>
      </c>
      <c r="I353" t="str">
        <f>IFERROR(INDEX(Framework[Indicator],MATCH('Step 4-Long Data'!F353,Framework[Number],0)),"")</f>
        <v>% of HHs who have lost their source of income due to conflict, natural disaster or reduced employment opportunities</v>
      </c>
      <c r="J353" t="str">
        <f>IFERROR(INDEX(Framework[Class],MATCH('Step 4-Long Data'!F353,Framework[Number],0)),"")</f>
        <v>Magnitude</v>
      </c>
      <c r="K353" t="str">
        <f>IFERROR(INDEX(Framework[Critical],MATCH('Step 4-Long Data'!F353,Framework[Number],0)),"")</f>
        <v>No</v>
      </c>
      <c r="L353" t="str">
        <f ca="1">IF(Long_Data[[#This Row],[Indicator Class]]="Degree",INDEX(INDIRECT("Data_Entry['"&amp;Long_Data[[#This Row],[Indicator Number]]&amp;"'_DSev_1]"),MATCH(Long_Data[[#This Row],[Key]],Data_Entry[Key],0)),"NA")</f>
        <v>NA</v>
      </c>
      <c r="M353" t="str">
        <f ca="1">IF(Long_Data[[#This Row],[Indicator Class]]="Degree",INDEX(INDIRECT("Data_Entry['"&amp;Long_Data[[#This Row],[Indicator Number]]&amp;"'_DSev_2]"),MATCH(Long_Data[[#This Row],[Key]],Data_Entry[Key],0)),"NA")</f>
        <v>NA</v>
      </c>
      <c r="N353" t="str">
        <f ca="1">IF(Long_Data[[#This Row],[Indicator Class]]="Degree",INDEX(INDIRECT("Data_Entry['"&amp;Long_Data[[#This Row],[Indicator Number]]&amp;"'_DSev_3]"),MATCH(Long_Data[[#This Row],[Key]],Data_Entry[Key],0)),"NA")</f>
        <v>NA</v>
      </c>
      <c r="O353" t="str">
        <f ca="1">IF(Long_Data[[#This Row],[Indicator Class]]="Degree",INDEX(INDIRECT("Data_Entry['"&amp;Long_Data[[#This Row],[Indicator Number]]&amp;"'_DSev_4]"),MATCH(Long_Data[[#This Row],[Key]],Data_Entry[Key],0)),"NA")</f>
        <v>NA</v>
      </c>
      <c r="P353" t="str">
        <f ca="1">IF(Long_Data[[#This Row],[Indicator Class]]="Degree",INDEX(INDIRECT("Data_Entry['"&amp;Long_Data[[#This Row],[Indicator Number]]&amp;"'_DSev_5]"),MATCH(Long_Data[[#This Row],[Key]],Data_Entry[Key],0)),"NA")</f>
        <v>NA</v>
      </c>
      <c r="Q353">
        <f ca="1">IFERROR(IF(Long_Data[[#This Row],[Indicator Class]]="Magnitude", INDEX(INDIRECT("Data_Entry[Sev_"&amp;Long_Data[[#This Row],[Indicator Number]]&amp;"]"),MATCH(Long_Data[[#This Row],[Key]], Data_Entry[Key],0)),"NA"),"")</f>
        <v>2</v>
      </c>
      <c r="R353">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53" s="70">
        <f ca="1">IFERROR(IF(J353="Magnitude",INDEX(INDIRECT("Data_Entry[PIN_"&amp;Long_Data[[#This Row],[Indicator Number]]&amp;"]"),MATCH(Long_Data[[#This Row],[Key]],Data_Entry[Key],0)),SUM(N353:P353)*INDEX(Baseline_Pop[Population],MATCH(Long_Data[[#This Row],[Key]],Baseline_Pop[Key],0))),"")</f>
        <v>87644.414937759648</v>
      </c>
    </row>
    <row r="354" spans="2:19">
      <c r="B354">
        <v>353</v>
      </c>
      <c r="C354">
        <v>23</v>
      </c>
      <c r="D354" t="str">
        <f>IFERROR(INDEX(Data_Entry[ADM2_Pcode],MATCH('Step 4-Long Data'!C354,Data_Entry[ID],0)),"NA")</f>
        <v>AF03</v>
      </c>
      <c r="E354" t="str">
        <f>IFERROR(INDEX(Data_Entry[Key],MATCH('Step 4-Long Data'!C354,Data_Entry[ID],0)),"NA")</f>
        <v>AF03-Migrants</v>
      </c>
      <c r="F354">
        <v>12</v>
      </c>
      <c r="G354" t="str">
        <f>IFERROR(INDEX(Framework[Pillar],MATCH('Step 4-Long Data'!F354,Framework[Number],0)),"")</f>
        <v>Humanitarian Conditions</v>
      </c>
      <c r="H354" t="str">
        <f>IFERROR(INDEX(Framework[Sub_Pillar],MATCH('Step 4-Long Data'!F354,Framework[Number],0)),"")</f>
        <v>Coping mechanisms</v>
      </c>
      <c r="I354" t="str">
        <f>IFERROR(INDEX(Framework[Indicator],MATCH('Step 4-Long Data'!F354,Framework[Number],0)),"")</f>
        <v>% of HHs who have lost their source of income due to conflict, natural disaster or reduced employment opportunities</v>
      </c>
      <c r="J354" t="str">
        <f>IFERROR(INDEX(Framework[Class],MATCH('Step 4-Long Data'!F354,Framework[Number],0)),"")</f>
        <v>Magnitude</v>
      </c>
      <c r="K354" t="str">
        <f>IFERROR(INDEX(Framework[Critical],MATCH('Step 4-Long Data'!F354,Framework[Number],0)),"")</f>
        <v>No</v>
      </c>
      <c r="L354" t="str">
        <f ca="1">IF(Long_Data[[#This Row],[Indicator Class]]="Degree",INDEX(INDIRECT("Data_Entry['"&amp;Long_Data[[#This Row],[Indicator Number]]&amp;"'_DSev_1]"),MATCH(Long_Data[[#This Row],[Key]],Data_Entry[Key],0)),"NA")</f>
        <v>NA</v>
      </c>
      <c r="M354" t="str">
        <f ca="1">IF(Long_Data[[#This Row],[Indicator Class]]="Degree",INDEX(INDIRECT("Data_Entry['"&amp;Long_Data[[#This Row],[Indicator Number]]&amp;"'_DSev_2]"),MATCH(Long_Data[[#This Row],[Key]],Data_Entry[Key],0)),"NA")</f>
        <v>NA</v>
      </c>
      <c r="N354" t="str">
        <f ca="1">IF(Long_Data[[#This Row],[Indicator Class]]="Degree",INDEX(INDIRECT("Data_Entry['"&amp;Long_Data[[#This Row],[Indicator Number]]&amp;"'_DSev_3]"),MATCH(Long_Data[[#This Row],[Key]],Data_Entry[Key],0)),"NA")</f>
        <v>NA</v>
      </c>
      <c r="O354" t="str">
        <f ca="1">IF(Long_Data[[#This Row],[Indicator Class]]="Degree",INDEX(INDIRECT("Data_Entry['"&amp;Long_Data[[#This Row],[Indicator Number]]&amp;"'_DSev_4]"),MATCH(Long_Data[[#This Row],[Key]],Data_Entry[Key],0)),"NA")</f>
        <v>NA</v>
      </c>
      <c r="P354" t="str">
        <f ca="1">IF(Long_Data[[#This Row],[Indicator Class]]="Degree",INDEX(INDIRECT("Data_Entry['"&amp;Long_Data[[#This Row],[Indicator Number]]&amp;"'_DSev_5]"),MATCH(Long_Data[[#This Row],[Key]],Data_Entry[Key],0)),"NA")</f>
        <v>NA</v>
      </c>
      <c r="Q354">
        <f ca="1">IFERROR(IF(Long_Data[[#This Row],[Indicator Class]]="Magnitude", INDEX(INDIRECT("Data_Entry[Sev_"&amp;Long_Data[[#This Row],[Indicator Number]]&amp;"]"),MATCH(Long_Data[[#This Row],[Key]], Data_Entry[Key],0)),"NA"),"")</f>
        <v>3</v>
      </c>
      <c r="R354">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54" s="70">
        <f ca="1">IFERROR(IF(J354="Magnitude",INDEX(INDIRECT("Data_Entry[PIN_"&amp;Long_Data[[#This Row],[Indicator Number]]&amp;"]"),MATCH(Long_Data[[#This Row],[Key]],Data_Entry[Key],0)),SUM(N354:P354)*INDEX(Baseline_Pop[Population],MATCH(Long_Data[[#This Row],[Key]],Baseline_Pop[Key],0))),"")</f>
        <v>150729.75483870989</v>
      </c>
    </row>
    <row r="355" spans="2:19">
      <c r="B355">
        <v>354</v>
      </c>
      <c r="C355">
        <v>24</v>
      </c>
      <c r="D355" t="str">
        <f>IFERROR(INDEX(Data_Entry[ADM2_Pcode],MATCH('Step 4-Long Data'!C355,Data_Entry[ID],0)),"NA")</f>
        <v>AF04</v>
      </c>
      <c r="E355" t="str">
        <f>IFERROR(INDEX(Data_Entry[Key],MATCH('Step 4-Long Data'!C355,Data_Entry[ID],0)),"NA")</f>
        <v>AF04-Migrants</v>
      </c>
      <c r="F355">
        <v>12</v>
      </c>
      <c r="G355" t="str">
        <f>IFERROR(INDEX(Framework[Pillar],MATCH('Step 4-Long Data'!F355,Framework[Number],0)),"")</f>
        <v>Humanitarian Conditions</v>
      </c>
      <c r="H355" t="str">
        <f>IFERROR(INDEX(Framework[Sub_Pillar],MATCH('Step 4-Long Data'!F355,Framework[Number],0)),"")</f>
        <v>Coping mechanisms</v>
      </c>
      <c r="I355" t="str">
        <f>IFERROR(INDEX(Framework[Indicator],MATCH('Step 4-Long Data'!F355,Framework[Number],0)),"")</f>
        <v>% of HHs who have lost their source of income due to conflict, natural disaster or reduced employment opportunities</v>
      </c>
      <c r="J355" t="str">
        <f>IFERROR(INDEX(Framework[Class],MATCH('Step 4-Long Data'!F355,Framework[Number],0)),"")</f>
        <v>Magnitude</v>
      </c>
      <c r="K355" t="str">
        <f>IFERROR(INDEX(Framework[Critical],MATCH('Step 4-Long Data'!F355,Framework[Number],0)),"")</f>
        <v>No</v>
      </c>
      <c r="L355" t="str">
        <f ca="1">IF(Long_Data[[#This Row],[Indicator Class]]="Degree",INDEX(INDIRECT("Data_Entry['"&amp;Long_Data[[#This Row],[Indicator Number]]&amp;"'_DSev_1]"),MATCH(Long_Data[[#This Row],[Key]],Data_Entry[Key],0)),"NA")</f>
        <v>NA</v>
      </c>
      <c r="M355" t="str">
        <f ca="1">IF(Long_Data[[#This Row],[Indicator Class]]="Degree",INDEX(INDIRECT("Data_Entry['"&amp;Long_Data[[#This Row],[Indicator Number]]&amp;"'_DSev_2]"),MATCH(Long_Data[[#This Row],[Key]],Data_Entry[Key],0)),"NA")</f>
        <v>NA</v>
      </c>
      <c r="N355" t="str">
        <f ca="1">IF(Long_Data[[#This Row],[Indicator Class]]="Degree",INDEX(INDIRECT("Data_Entry['"&amp;Long_Data[[#This Row],[Indicator Number]]&amp;"'_DSev_3]"),MATCH(Long_Data[[#This Row],[Key]],Data_Entry[Key],0)),"NA")</f>
        <v>NA</v>
      </c>
      <c r="O355" t="str">
        <f ca="1">IF(Long_Data[[#This Row],[Indicator Class]]="Degree",INDEX(INDIRECT("Data_Entry['"&amp;Long_Data[[#This Row],[Indicator Number]]&amp;"'_DSev_4]"),MATCH(Long_Data[[#This Row],[Key]],Data_Entry[Key],0)),"NA")</f>
        <v>NA</v>
      </c>
      <c r="P355" t="str">
        <f ca="1">IF(Long_Data[[#This Row],[Indicator Class]]="Degree",INDEX(INDIRECT("Data_Entry['"&amp;Long_Data[[#This Row],[Indicator Number]]&amp;"'_DSev_5]"),MATCH(Long_Data[[#This Row],[Key]],Data_Entry[Key],0)),"NA")</f>
        <v>NA</v>
      </c>
      <c r="Q355">
        <f ca="1">IFERROR(IF(Long_Data[[#This Row],[Indicator Class]]="Magnitude", INDEX(INDIRECT("Data_Entry[Sev_"&amp;Long_Data[[#This Row],[Indicator Number]]&amp;"]"),MATCH(Long_Data[[#This Row],[Key]], Data_Entry[Key],0)),"NA"),"")</f>
        <v>3</v>
      </c>
      <c r="R355">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55" s="70">
        <f ca="1">IFERROR(IF(J355="Magnitude",INDEX(INDIRECT("Data_Entry[PIN_"&amp;Long_Data[[#This Row],[Indicator Number]]&amp;"]"),MATCH(Long_Data[[#This Row],[Key]],Data_Entry[Key],0)),SUM(N355:P355)*INDEX(Baseline_Pop[Population],MATCH(Long_Data[[#This Row],[Key]],Baseline_Pop[Key],0))),"")</f>
        <v>119961.06889352817</v>
      </c>
    </row>
    <row r="356" spans="2:19">
      <c r="B356">
        <v>355</v>
      </c>
      <c r="C356">
        <v>25</v>
      </c>
      <c r="D356" t="str">
        <f>IFERROR(INDEX(Data_Entry[ADM2_Pcode],MATCH('Step 4-Long Data'!C356,Data_Entry[ID],0)),"NA")</f>
        <v>AF05</v>
      </c>
      <c r="E356" t="str">
        <f>IFERROR(INDEX(Data_Entry[Key],MATCH('Step 4-Long Data'!C356,Data_Entry[ID],0)),"NA")</f>
        <v>AF05-Migrants</v>
      </c>
      <c r="F356">
        <v>12</v>
      </c>
      <c r="G356" t="str">
        <f>IFERROR(INDEX(Framework[Pillar],MATCH('Step 4-Long Data'!F356,Framework[Number],0)),"")</f>
        <v>Humanitarian Conditions</v>
      </c>
      <c r="H356" t="str">
        <f>IFERROR(INDEX(Framework[Sub_Pillar],MATCH('Step 4-Long Data'!F356,Framework[Number],0)),"")</f>
        <v>Coping mechanisms</v>
      </c>
      <c r="I356" t="str">
        <f>IFERROR(INDEX(Framework[Indicator],MATCH('Step 4-Long Data'!F356,Framework[Number],0)),"")</f>
        <v>% of HHs who have lost their source of income due to conflict, natural disaster or reduced employment opportunities</v>
      </c>
      <c r="J356" t="str">
        <f>IFERROR(INDEX(Framework[Class],MATCH('Step 4-Long Data'!F356,Framework[Number],0)),"")</f>
        <v>Magnitude</v>
      </c>
      <c r="K356" t="str">
        <f>IFERROR(INDEX(Framework[Critical],MATCH('Step 4-Long Data'!F356,Framework[Number],0)),"")</f>
        <v>No</v>
      </c>
      <c r="L356" t="str">
        <f ca="1">IF(Long_Data[[#This Row],[Indicator Class]]="Degree",INDEX(INDIRECT("Data_Entry['"&amp;Long_Data[[#This Row],[Indicator Number]]&amp;"'_DSev_1]"),MATCH(Long_Data[[#This Row],[Key]],Data_Entry[Key],0)),"NA")</f>
        <v>NA</v>
      </c>
      <c r="M356" t="str">
        <f ca="1">IF(Long_Data[[#This Row],[Indicator Class]]="Degree",INDEX(INDIRECT("Data_Entry['"&amp;Long_Data[[#This Row],[Indicator Number]]&amp;"'_DSev_2]"),MATCH(Long_Data[[#This Row],[Key]],Data_Entry[Key],0)),"NA")</f>
        <v>NA</v>
      </c>
      <c r="N356" t="str">
        <f ca="1">IF(Long_Data[[#This Row],[Indicator Class]]="Degree",INDEX(INDIRECT("Data_Entry['"&amp;Long_Data[[#This Row],[Indicator Number]]&amp;"'_DSev_3]"),MATCH(Long_Data[[#This Row],[Key]],Data_Entry[Key],0)),"NA")</f>
        <v>NA</v>
      </c>
      <c r="O356" t="str">
        <f ca="1">IF(Long_Data[[#This Row],[Indicator Class]]="Degree",INDEX(INDIRECT("Data_Entry['"&amp;Long_Data[[#This Row],[Indicator Number]]&amp;"'_DSev_4]"),MATCH(Long_Data[[#This Row],[Key]],Data_Entry[Key],0)),"NA")</f>
        <v>NA</v>
      </c>
      <c r="P356" t="str">
        <f ca="1">IF(Long_Data[[#This Row],[Indicator Class]]="Degree",INDEX(INDIRECT("Data_Entry['"&amp;Long_Data[[#This Row],[Indicator Number]]&amp;"'_DSev_5]"),MATCH(Long_Data[[#This Row],[Key]],Data_Entry[Key],0)),"NA")</f>
        <v>NA</v>
      </c>
      <c r="Q356">
        <f ca="1">IFERROR(IF(Long_Data[[#This Row],[Indicator Class]]="Magnitude", INDEX(INDIRECT("Data_Entry[Sev_"&amp;Long_Data[[#This Row],[Indicator Number]]&amp;"]"),MATCH(Long_Data[[#This Row],[Key]], Data_Entry[Key],0)),"NA"),"")</f>
        <v>4</v>
      </c>
      <c r="R356">
        <f ca="1">IFERROR(IF(Long_Data[[#This Row],[Indicator Class]]="Magnitude", Long_Data[[#This Row],[Magnitude Severity]],IF(Long_Data[[#This Row],[Severity 5]]&gt;=0.25,5,IF(SUM(Long_Data[[#This Row],[Severity 4]:[Severity 5]])&gt;=0.25,4,IF(SUM(Long_Data[[#This Row],[Severity 3]:[Severity 5]])&gt;=0.25,3,IF(SUM(Long_Data[[#This Row],[Severity 2]:[Severity 5]])&gt;=0.25, 2,1))))), "")</f>
        <v>4</v>
      </c>
      <c r="S356" s="70">
        <f ca="1">IFERROR(IF(J356="Magnitude",INDEX(INDIRECT("Data_Entry[PIN_"&amp;Long_Data[[#This Row],[Indicator Number]]&amp;"]"),MATCH(Long_Data[[#This Row],[Key]],Data_Entry[Key],0)),SUM(N356:P356)*INDEX(Baseline_Pop[Population],MATCH(Long_Data[[#This Row],[Key]],Baseline_Pop[Key],0))),"")</f>
        <v>90539.571428571435</v>
      </c>
    </row>
    <row r="357" spans="2:19">
      <c r="B357">
        <v>356</v>
      </c>
      <c r="C357">
        <v>26</v>
      </c>
      <c r="D357" t="str">
        <f>IFERROR(INDEX(Data_Entry[ADM2_Pcode],MATCH('Step 4-Long Data'!C357,Data_Entry[ID],0)),"NA")</f>
        <v>AF06</v>
      </c>
      <c r="E357" t="str">
        <f>IFERROR(INDEX(Data_Entry[Key],MATCH('Step 4-Long Data'!C357,Data_Entry[ID],0)),"NA")</f>
        <v>AF06-Migrants</v>
      </c>
      <c r="F357">
        <v>12</v>
      </c>
      <c r="G357" t="str">
        <f>IFERROR(INDEX(Framework[Pillar],MATCH('Step 4-Long Data'!F357,Framework[Number],0)),"")</f>
        <v>Humanitarian Conditions</v>
      </c>
      <c r="H357" t="str">
        <f>IFERROR(INDEX(Framework[Sub_Pillar],MATCH('Step 4-Long Data'!F357,Framework[Number],0)),"")</f>
        <v>Coping mechanisms</v>
      </c>
      <c r="I357" t="str">
        <f>IFERROR(INDEX(Framework[Indicator],MATCH('Step 4-Long Data'!F357,Framework[Number],0)),"")</f>
        <v>% of HHs who have lost their source of income due to conflict, natural disaster or reduced employment opportunities</v>
      </c>
      <c r="J357" t="str">
        <f>IFERROR(INDEX(Framework[Class],MATCH('Step 4-Long Data'!F357,Framework[Number],0)),"")</f>
        <v>Magnitude</v>
      </c>
      <c r="K357" t="str">
        <f>IFERROR(INDEX(Framework[Critical],MATCH('Step 4-Long Data'!F357,Framework[Number],0)),"")</f>
        <v>No</v>
      </c>
      <c r="L357" t="str">
        <f ca="1">IF(Long_Data[[#This Row],[Indicator Class]]="Degree",INDEX(INDIRECT("Data_Entry['"&amp;Long_Data[[#This Row],[Indicator Number]]&amp;"'_DSev_1]"),MATCH(Long_Data[[#This Row],[Key]],Data_Entry[Key],0)),"NA")</f>
        <v>NA</v>
      </c>
      <c r="M357" t="str">
        <f ca="1">IF(Long_Data[[#This Row],[Indicator Class]]="Degree",INDEX(INDIRECT("Data_Entry['"&amp;Long_Data[[#This Row],[Indicator Number]]&amp;"'_DSev_2]"),MATCH(Long_Data[[#This Row],[Key]],Data_Entry[Key],0)),"NA")</f>
        <v>NA</v>
      </c>
      <c r="N357" t="str">
        <f ca="1">IF(Long_Data[[#This Row],[Indicator Class]]="Degree",INDEX(INDIRECT("Data_Entry['"&amp;Long_Data[[#This Row],[Indicator Number]]&amp;"'_DSev_3]"),MATCH(Long_Data[[#This Row],[Key]],Data_Entry[Key],0)),"NA")</f>
        <v>NA</v>
      </c>
      <c r="O357" t="str">
        <f ca="1">IF(Long_Data[[#This Row],[Indicator Class]]="Degree",INDEX(INDIRECT("Data_Entry['"&amp;Long_Data[[#This Row],[Indicator Number]]&amp;"'_DSev_4]"),MATCH(Long_Data[[#This Row],[Key]],Data_Entry[Key],0)),"NA")</f>
        <v>NA</v>
      </c>
      <c r="P357" t="str">
        <f ca="1">IF(Long_Data[[#This Row],[Indicator Class]]="Degree",INDEX(INDIRECT("Data_Entry['"&amp;Long_Data[[#This Row],[Indicator Number]]&amp;"'_DSev_5]"),MATCH(Long_Data[[#This Row],[Key]],Data_Entry[Key],0)),"NA")</f>
        <v>NA</v>
      </c>
      <c r="Q357">
        <f ca="1">IFERROR(IF(Long_Data[[#This Row],[Indicator Class]]="Magnitude", INDEX(INDIRECT("Data_Entry[Sev_"&amp;Long_Data[[#This Row],[Indicator Number]]&amp;"]"),MATCH(Long_Data[[#This Row],[Key]], Data_Entry[Key],0)),"NA"),"")</f>
        <v>5</v>
      </c>
      <c r="R357">
        <f ca="1">IFERROR(IF(Long_Data[[#This Row],[Indicator Class]]="Magnitude", Long_Data[[#This Row],[Magnitude Severity]],IF(Long_Data[[#This Row],[Severity 5]]&gt;=0.25,5,IF(SUM(Long_Data[[#This Row],[Severity 4]:[Severity 5]])&gt;=0.25,4,IF(SUM(Long_Data[[#This Row],[Severity 3]:[Severity 5]])&gt;=0.25,3,IF(SUM(Long_Data[[#This Row],[Severity 2]:[Severity 5]])&gt;=0.25, 2,1))))), "")</f>
        <v>5</v>
      </c>
      <c r="S357" s="70">
        <f ca="1">IFERROR(IF(J357="Magnitude",INDEX(INDIRECT("Data_Entry[PIN_"&amp;Long_Data[[#This Row],[Indicator Number]]&amp;"]"),MATCH(Long_Data[[#This Row],[Key]],Data_Entry[Key],0)),SUM(N357:P357)*INDEX(Baseline_Pop[Population],MATCH(Long_Data[[#This Row],[Key]],Baseline_Pop[Key],0))),"")</f>
        <v>401544.18303524266</v>
      </c>
    </row>
    <row r="358" spans="2:19">
      <c r="B358">
        <v>357</v>
      </c>
      <c r="C358">
        <v>27</v>
      </c>
      <c r="D358" t="str">
        <f>IFERROR(INDEX(Data_Entry[ADM2_Pcode],MATCH('Step 4-Long Data'!C358,Data_Entry[ID],0)),"NA")</f>
        <v>AF07</v>
      </c>
      <c r="E358" t="str">
        <f>IFERROR(INDEX(Data_Entry[Key],MATCH('Step 4-Long Data'!C358,Data_Entry[ID],0)),"NA")</f>
        <v>AF07-Migrants</v>
      </c>
      <c r="F358">
        <v>12</v>
      </c>
      <c r="G358" t="str">
        <f>IFERROR(INDEX(Framework[Pillar],MATCH('Step 4-Long Data'!F358,Framework[Number],0)),"")</f>
        <v>Humanitarian Conditions</v>
      </c>
      <c r="H358" t="str">
        <f>IFERROR(INDEX(Framework[Sub_Pillar],MATCH('Step 4-Long Data'!F358,Framework[Number],0)),"")</f>
        <v>Coping mechanisms</v>
      </c>
      <c r="I358" t="str">
        <f>IFERROR(INDEX(Framework[Indicator],MATCH('Step 4-Long Data'!F358,Framework[Number],0)),"")</f>
        <v>% of HHs who have lost their source of income due to conflict, natural disaster or reduced employment opportunities</v>
      </c>
      <c r="J358" t="str">
        <f>IFERROR(INDEX(Framework[Class],MATCH('Step 4-Long Data'!F358,Framework[Number],0)),"")</f>
        <v>Magnitude</v>
      </c>
      <c r="K358" t="str">
        <f>IFERROR(INDEX(Framework[Critical],MATCH('Step 4-Long Data'!F358,Framework[Number],0)),"")</f>
        <v>No</v>
      </c>
      <c r="L358" t="str">
        <f ca="1">IF(Long_Data[[#This Row],[Indicator Class]]="Degree",INDEX(INDIRECT("Data_Entry['"&amp;Long_Data[[#This Row],[Indicator Number]]&amp;"'_DSev_1]"),MATCH(Long_Data[[#This Row],[Key]],Data_Entry[Key],0)),"NA")</f>
        <v>NA</v>
      </c>
      <c r="M358" t="str">
        <f ca="1">IF(Long_Data[[#This Row],[Indicator Class]]="Degree",INDEX(INDIRECT("Data_Entry['"&amp;Long_Data[[#This Row],[Indicator Number]]&amp;"'_DSev_2]"),MATCH(Long_Data[[#This Row],[Key]],Data_Entry[Key],0)),"NA")</f>
        <v>NA</v>
      </c>
      <c r="N358" t="str">
        <f ca="1">IF(Long_Data[[#This Row],[Indicator Class]]="Degree",INDEX(INDIRECT("Data_Entry['"&amp;Long_Data[[#This Row],[Indicator Number]]&amp;"'_DSev_3]"),MATCH(Long_Data[[#This Row],[Key]],Data_Entry[Key],0)),"NA")</f>
        <v>NA</v>
      </c>
      <c r="O358" t="str">
        <f ca="1">IF(Long_Data[[#This Row],[Indicator Class]]="Degree",INDEX(INDIRECT("Data_Entry['"&amp;Long_Data[[#This Row],[Indicator Number]]&amp;"'_DSev_4]"),MATCH(Long_Data[[#This Row],[Key]],Data_Entry[Key],0)),"NA")</f>
        <v>NA</v>
      </c>
      <c r="P358" t="str">
        <f ca="1">IF(Long_Data[[#This Row],[Indicator Class]]="Degree",INDEX(INDIRECT("Data_Entry['"&amp;Long_Data[[#This Row],[Indicator Number]]&amp;"'_DSev_5]"),MATCH(Long_Data[[#This Row],[Key]],Data_Entry[Key],0)),"NA")</f>
        <v>NA</v>
      </c>
      <c r="Q358">
        <f ca="1">IFERROR(IF(Long_Data[[#This Row],[Indicator Class]]="Magnitude", INDEX(INDIRECT("Data_Entry[Sev_"&amp;Long_Data[[#This Row],[Indicator Number]]&amp;"]"),MATCH(Long_Data[[#This Row],[Key]], Data_Entry[Key],0)),"NA"),"")</f>
        <v>3</v>
      </c>
      <c r="R358">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58" s="70">
        <f ca="1">IFERROR(IF(J358="Magnitude",INDEX(INDIRECT("Data_Entry[PIN_"&amp;Long_Data[[#This Row],[Indicator Number]]&amp;"]"),MATCH(Long_Data[[#This Row],[Key]],Data_Entry[Key],0)),SUM(N358:P358)*INDEX(Baseline_Pop[Population],MATCH(Long_Data[[#This Row],[Key]],Baseline_Pop[Key],0))),"")</f>
        <v>92002.047717842841</v>
      </c>
    </row>
    <row r="359" spans="2:19">
      <c r="B359">
        <v>358</v>
      </c>
      <c r="C359">
        <v>28</v>
      </c>
      <c r="D359" t="str">
        <f>IFERROR(INDEX(Data_Entry[ADM2_Pcode],MATCH('Step 4-Long Data'!C359,Data_Entry[ID],0)),"NA")</f>
        <v>AF08</v>
      </c>
      <c r="E359" t="str">
        <f>IFERROR(INDEX(Data_Entry[Key],MATCH('Step 4-Long Data'!C359,Data_Entry[ID],0)),"NA")</f>
        <v>AF08-Migrants</v>
      </c>
      <c r="F359">
        <v>12</v>
      </c>
      <c r="G359" t="str">
        <f>IFERROR(INDEX(Framework[Pillar],MATCH('Step 4-Long Data'!F359,Framework[Number],0)),"")</f>
        <v>Humanitarian Conditions</v>
      </c>
      <c r="H359" t="str">
        <f>IFERROR(INDEX(Framework[Sub_Pillar],MATCH('Step 4-Long Data'!F359,Framework[Number],0)),"")</f>
        <v>Coping mechanisms</v>
      </c>
      <c r="I359" t="str">
        <f>IFERROR(INDEX(Framework[Indicator],MATCH('Step 4-Long Data'!F359,Framework[Number],0)),"")</f>
        <v>% of HHs who have lost their source of income due to conflict, natural disaster or reduced employment opportunities</v>
      </c>
      <c r="J359" t="str">
        <f>IFERROR(INDEX(Framework[Class],MATCH('Step 4-Long Data'!F359,Framework[Number],0)),"")</f>
        <v>Magnitude</v>
      </c>
      <c r="K359" t="str">
        <f>IFERROR(INDEX(Framework[Critical],MATCH('Step 4-Long Data'!F359,Framework[Number],0)),"")</f>
        <v>No</v>
      </c>
      <c r="L359" t="str">
        <f ca="1">IF(Long_Data[[#This Row],[Indicator Class]]="Degree",INDEX(INDIRECT("Data_Entry['"&amp;Long_Data[[#This Row],[Indicator Number]]&amp;"'_DSev_1]"),MATCH(Long_Data[[#This Row],[Key]],Data_Entry[Key],0)),"NA")</f>
        <v>NA</v>
      </c>
      <c r="M359" t="str">
        <f ca="1">IF(Long_Data[[#This Row],[Indicator Class]]="Degree",INDEX(INDIRECT("Data_Entry['"&amp;Long_Data[[#This Row],[Indicator Number]]&amp;"'_DSev_2]"),MATCH(Long_Data[[#This Row],[Key]],Data_Entry[Key],0)),"NA")</f>
        <v>NA</v>
      </c>
      <c r="N359" t="str">
        <f ca="1">IF(Long_Data[[#This Row],[Indicator Class]]="Degree",INDEX(INDIRECT("Data_Entry['"&amp;Long_Data[[#This Row],[Indicator Number]]&amp;"'_DSev_3]"),MATCH(Long_Data[[#This Row],[Key]],Data_Entry[Key],0)),"NA")</f>
        <v>NA</v>
      </c>
      <c r="O359" t="str">
        <f ca="1">IF(Long_Data[[#This Row],[Indicator Class]]="Degree",INDEX(INDIRECT("Data_Entry['"&amp;Long_Data[[#This Row],[Indicator Number]]&amp;"'_DSev_4]"),MATCH(Long_Data[[#This Row],[Key]],Data_Entry[Key],0)),"NA")</f>
        <v>NA</v>
      </c>
      <c r="P359" t="str">
        <f ca="1">IF(Long_Data[[#This Row],[Indicator Class]]="Degree",INDEX(INDIRECT("Data_Entry['"&amp;Long_Data[[#This Row],[Indicator Number]]&amp;"'_DSev_5]"),MATCH(Long_Data[[#This Row],[Key]],Data_Entry[Key],0)),"NA")</f>
        <v>NA</v>
      </c>
      <c r="Q359">
        <f ca="1">IFERROR(IF(Long_Data[[#This Row],[Indicator Class]]="Magnitude", INDEX(INDIRECT("Data_Entry[Sev_"&amp;Long_Data[[#This Row],[Indicator Number]]&amp;"]"),MATCH(Long_Data[[#This Row],[Key]], Data_Entry[Key],0)),"NA"),"")</f>
        <v>2</v>
      </c>
      <c r="R359">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59" s="70">
        <f ca="1">IFERROR(IF(J359="Magnitude",INDEX(INDIRECT("Data_Entry[PIN_"&amp;Long_Data[[#This Row],[Indicator Number]]&amp;"]"),MATCH(Long_Data[[#This Row],[Key]],Data_Entry[Key],0)),SUM(N359:P359)*INDEX(Baseline_Pop[Population],MATCH(Long_Data[[#This Row],[Key]],Baseline_Pop[Key],0))),"")</f>
        <v>27286.81720430138</v>
      </c>
    </row>
    <row r="360" spans="2:19">
      <c r="B360">
        <v>359</v>
      </c>
      <c r="C360">
        <v>29</v>
      </c>
      <c r="D360" t="str">
        <f>IFERROR(INDEX(Data_Entry[ADM2_Pcode],MATCH('Step 4-Long Data'!C360,Data_Entry[ID],0)),"NA")</f>
        <v>AF09</v>
      </c>
      <c r="E360" t="str">
        <f>IFERROR(INDEX(Data_Entry[Key],MATCH('Step 4-Long Data'!C360,Data_Entry[ID],0)),"NA")</f>
        <v>AF09-Migrants</v>
      </c>
      <c r="F360">
        <v>12</v>
      </c>
      <c r="G360" t="str">
        <f>IFERROR(INDEX(Framework[Pillar],MATCH('Step 4-Long Data'!F360,Framework[Number],0)),"")</f>
        <v>Humanitarian Conditions</v>
      </c>
      <c r="H360" t="str">
        <f>IFERROR(INDEX(Framework[Sub_Pillar],MATCH('Step 4-Long Data'!F360,Framework[Number],0)),"")</f>
        <v>Coping mechanisms</v>
      </c>
      <c r="I360" t="str">
        <f>IFERROR(INDEX(Framework[Indicator],MATCH('Step 4-Long Data'!F360,Framework[Number],0)),"")</f>
        <v>% of HHs who have lost their source of income due to conflict, natural disaster or reduced employment opportunities</v>
      </c>
      <c r="J360" t="str">
        <f>IFERROR(INDEX(Framework[Class],MATCH('Step 4-Long Data'!F360,Framework[Number],0)),"")</f>
        <v>Magnitude</v>
      </c>
      <c r="K360" t="str">
        <f>IFERROR(INDEX(Framework[Critical],MATCH('Step 4-Long Data'!F360,Framework[Number],0)),"")</f>
        <v>No</v>
      </c>
      <c r="L360" t="str">
        <f ca="1">IF(Long_Data[[#This Row],[Indicator Class]]="Degree",INDEX(INDIRECT("Data_Entry['"&amp;Long_Data[[#This Row],[Indicator Number]]&amp;"'_DSev_1]"),MATCH(Long_Data[[#This Row],[Key]],Data_Entry[Key],0)),"NA")</f>
        <v>NA</v>
      </c>
      <c r="M360" t="str">
        <f ca="1">IF(Long_Data[[#This Row],[Indicator Class]]="Degree",INDEX(INDIRECT("Data_Entry['"&amp;Long_Data[[#This Row],[Indicator Number]]&amp;"'_DSev_2]"),MATCH(Long_Data[[#This Row],[Key]],Data_Entry[Key],0)),"NA")</f>
        <v>NA</v>
      </c>
      <c r="N360" t="str">
        <f ca="1">IF(Long_Data[[#This Row],[Indicator Class]]="Degree",INDEX(INDIRECT("Data_Entry['"&amp;Long_Data[[#This Row],[Indicator Number]]&amp;"'_DSev_3]"),MATCH(Long_Data[[#This Row],[Key]],Data_Entry[Key],0)),"NA")</f>
        <v>NA</v>
      </c>
      <c r="O360" t="str">
        <f ca="1">IF(Long_Data[[#This Row],[Indicator Class]]="Degree",INDEX(INDIRECT("Data_Entry['"&amp;Long_Data[[#This Row],[Indicator Number]]&amp;"'_DSev_4]"),MATCH(Long_Data[[#This Row],[Key]],Data_Entry[Key],0)),"NA")</f>
        <v>NA</v>
      </c>
      <c r="P360" t="str">
        <f ca="1">IF(Long_Data[[#This Row],[Indicator Class]]="Degree",INDEX(INDIRECT("Data_Entry['"&amp;Long_Data[[#This Row],[Indicator Number]]&amp;"'_DSev_5]"),MATCH(Long_Data[[#This Row],[Key]],Data_Entry[Key],0)),"NA")</f>
        <v>NA</v>
      </c>
      <c r="Q360">
        <f ca="1">IFERROR(IF(Long_Data[[#This Row],[Indicator Class]]="Magnitude", INDEX(INDIRECT("Data_Entry[Sev_"&amp;Long_Data[[#This Row],[Indicator Number]]&amp;"]"),MATCH(Long_Data[[#This Row],[Key]], Data_Entry[Key],0)),"NA"),"")</f>
        <v>3</v>
      </c>
      <c r="R360">
        <f ca="1">IFERROR(IF(Long_Data[[#This Row],[Indicator Class]]="Magnitude", Long_Data[[#This Row],[Magnitude Severity]],IF(Long_Data[[#This Row],[Severity 5]]&gt;=0.25,5,IF(SUM(Long_Data[[#This Row],[Severity 4]:[Severity 5]])&gt;=0.25,4,IF(SUM(Long_Data[[#This Row],[Severity 3]:[Severity 5]])&gt;=0.25,3,IF(SUM(Long_Data[[#This Row],[Severity 2]:[Severity 5]])&gt;=0.25, 2,1))))), "")</f>
        <v>3</v>
      </c>
      <c r="S360" s="70">
        <f ca="1">IFERROR(IF(J360="Magnitude",INDEX(INDIRECT("Data_Entry[PIN_"&amp;Long_Data[[#This Row],[Indicator Number]]&amp;"]"),MATCH(Long_Data[[#This Row],[Key]],Data_Entry[Key],0)),SUM(N360:P360)*INDEX(Baseline_Pop[Population],MATCH(Long_Data[[#This Row],[Key]],Baseline_Pop[Key],0))),"")</f>
        <v>207103.01167493456</v>
      </c>
    </row>
    <row r="361" spans="2:19">
      <c r="B361">
        <v>360</v>
      </c>
      <c r="C361">
        <v>30</v>
      </c>
      <c r="D361" t="str">
        <f>IFERROR(INDEX(Data_Entry[ADM2_Pcode],MATCH('Step 4-Long Data'!C361,Data_Entry[ID],0)),"NA")</f>
        <v>AF10</v>
      </c>
      <c r="E361" t="str">
        <f>IFERROR(INDEX(Data_Entry[Key],MATCH('Step 4-Long Data'!C361,Data_Entry[ID],0)),"NA")</f>
        <v>AF10-Migrants</v>
      </c>
      <c r="F361">
        <v>12</v>
      </c>
      <c r="G361" t="str">
        <f>IFERROR(INDEX(Framework[Pillar],MATCH('Step 4-Long Data'!F361,Framework[Number],0)),"")</f>
        <v>Humanitarian Conditions</v>
      </c>
      <c r="H361" t="str">
        <f>IFERROR(INDEX(Framework[Sub_Pillar],MATCH('Step 4-Long Data'!F361,Framework[Number],0)),"")</f>
        <v>Coping mechanisms</v>
      </c>
      <c r="I361" t="str">
        <f>IFERROR(INDEX(Framework[Indicator],MATCH('Step 4-Long Data'!F361,Framework[Number],0)),"")</f>
        <v>% of HHs who have lost their source of income due to conflict, natural disaster or reduced employment opportunities</v>
      </c>
      <c r="J361" t="str">
        <f>IFERROR(INDEX(Framework[Class],MATCH('Step 4-Long Data'!F361,Framework[Number],0)),"")</f>
        <v>Magnitude</v>
      </c>
      <c r="K361" t="str">
        <f>IFERROR(INDEX(Framework[Critical],MATCH('Step 4-Long Data'!F361,Framework[Number],0)),"")</f>
        <v>No</v>
      </c>
      <c r="L361" t="str">
        <f ca="1">IF(Long_Data[[#This Row],[Indicator Class]]="Degree",INDEX(INDIRECT("Data_Entry['"&amp;Long_Data[[#This Row],[Indicator Number]]&amp;"'_DSev_1]"),MATCH(Long_Data[[#This Row],[Key]],Data_Entry[Key],0)),"NA")</f>
        <v>NA</v>
      </c>
      <c r="M361" t="str">
        <f ca="1">IF(Long_Data[[#This Row],[Indicator Class]]="Degree",INDEX(INDIRECT("Data_Entry['"&amp;Long_Data[[#This Row],[Indicator Number]]&amp;"'_DSev_2]"),MATCH(Long_Data[[#This Row],[Key]],Data_Entry[Key],0)),"NA")</f>
        <v>NA</v>
      </c>
      <c r="N361" t="str">
        <f ca="1">IF(Long_Data[[#This Row],[Indicator Class]]="Degree",INDEX(INDIRECT("Data_Entry['"&amp;Long_Data[[#This Row],[Indicator Number]]&amp;"'_DSev_3]"),MATCH(Long_Data[[#This Row],[Key]],Data_Entry[Key],0)),"NA")</f>
        <v>NA</v>
      </c>
      <c r="O361" t="str">
        <f ca="1">IF(Long_Data[[#This Row],[Indicator Class]]="Degree",INDEX(INDIRECT("Data_Entry['"&amp;Long_Data[[#This Row],[Indicator Number]]&amp;"'_DSev_4]"),MATCH(Long_Data[[#This Row],[Key]],Data_Entry[Key],0)),"NA")</f>
        <v>NA</v>
      </c>
      <c r="P361" t="str">
        <f ca="1">IF(Long_Data[[#This Row],[Indicator Class]]="Degree",INDEX(INDIRECT("Data_Entry['"&amp;Long_Data[[#This Row],[Indicator Number]]&amp;"'_DSev_5]"),MATCH(Long_Data[[#This Row],[Key]],Data_Entry[Key],0)),"NA")</f>
        <v>NA</v>
      </c>
      <c r="Q361">
        <f ca="1">IFERROR(IF(Long_Data[[#This Row],[Indicator Class]]="Magnitude", INDEX(INDIRECT("Data_Entry[Sev_"&amp;Long_Data[[#This Row],[Indicator Number]]&amp;"]"),MATCH(Long_Data[[#This Row],[Key]], Data_Entry[Key],0)),"NA"),"")</f>
        <v>2</v>
      </c>
      <c r="R361">
        <f ca="1">IFERROR(IF(Long_Data[[#This Row],[Indicator Class]]="Magnitude", Long_Data[[#This Row],[Magnitude Severity]],IF(Long_Data[[#This Row],[Severity 5]]&gt;=0.25,5,IF(SUM(Long_Data[[#This Row],[Severity 4]:[Severity 5]])&gt;=0.25,4,IF(SUM(Long_Data[[#This Row],[Severity 3]:[Severity 5]])&gt;=0.25,3,IF(SUM(Long_Data[[#This Row],[Severity 2]:[Severity 5]])&gt;=0.25, 2,1))))), "")</f>
        <v>2</v>
      </c>
      <c r="S361" s="70">
        <f ca="1">IFERROR(IF(J361="Magnitude",INDEX(INDIRECT("Data_Entry[PIN_"&amp;Long_Data[[#This Row],[Indicator Number]]&amp;"]"),MATCH(Long_Data[[#This Row],[Key]],Data_Entry[Key],0)),SUM(N361:P361)*INDEX(Baseline_Pop[Population],MATCH(Long_Data[[#This Row],[Key]],Baseline_Pop[Key],0))),"")</f>
        <v>88971.603340291855</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ABFA-DD42-40DE-AAC4-BC67C3B195F1}">
  <sheetPr>
    <tabColor theme="9" tint="-0.249977111117893"/>
  </sheetPr>
  <dimension ref="B1:W12"/>
  <sheetViews>
    <sheetView zoomScale="85" zoomScaleNormal="85" workbookViewId="0">
      <selection activeCell="F4" sqref="F4"/>
    </sheetView>
  </sheetViews>
  <sheetFormatPr defaultRowHeight="14.4"/>
  <cols>
    <col min="3" max="3" width="14.33203125" customWidth="1"/>
    <col min="4" max="4" width="15.109375" bestFit="1" customWidth="1"/>
    <col min="5" max="5" width="17.44140625" bestFit="1" customWidth="1"/>
    <col min="6" max="6" width="15.109375" bestFit="1" customWidth="1"/>
    <col min="19" max="19" width="15.88671875" customWidth="1"/>
    <col min="20" max="20" width="13.5546875" bestFit="1" customWidth="1"/>
    <col min="21" max="21" width="18.44140625" customWidth="1"/>
    <col min="22" max="22" width="19.109375" bestFit="1" customWidth="1"/>
    <col min="23" max="23" width="18.88671875" bestFit="1" customWidth="1"/>
  </cols>
  <sheetData>
    <row r="1" spans="2:23">
      <c r="B1" s="79"/>
      <c r="C1" s="97" t="s">
        <v>130</v>
      </c>
      <c r="D1" s="97"/>
      <c r="E1" s="97"/>
      <c r="F1" s="97"/>
      <c r="G1" s="96" t="s">
        <v>249</v>
      </c>
      <c r="H1" s="96"/>
      <c r="I1" s="96"/>
      <c r="J1" s="96"/>
      <c r="K1" s="96"/>
      <c r="L1" s="96"/>
      <c r="M1" s="96"/>
      <c r="N1" s="96"/>
      <c r="O1" s="96"/>
      <c r="P1" s="96"/>
      <c r="Q1" s="96"/>
      <c r="R1" s="96"/>
      <c r="S1" s="80"/>
      <c r="T1" s="80"/>
      <c r="U1" s="80"/>
      <c r="V1" s="96" t="s">
        <v>258</v>
      </c>
      <c r="W1" s="96"/>
    </row>
    <row r="2" spans="2:23" ht="43.2">
      <c r="B2" t="s">
        <v>136</v>
      </c>
      <c r="C2" t="s">
        <v>137</v>
      </c>
      <c r="D2" t="s">
        <v>138</v>
      </c>
      <c r="E2" t="s">
        <v>139</v>
      </c>
      <c r="F2" t="s">
        <v>140</v>
      </c>
      <c r="G2" t="s">
        <v>259</v>
      </c>
      <c r="H2" t="s">
        <v>260</v>
      </c>
      <c r="I2" t="s">
        <v>261</v>
      </c>
      <c r="J2" t="s">
        <v>262</v>
      </c>
      <c r="K2" t="s">
        <v>263</v>
      </c>
      <c r="L2" t="s">
        <v>264</v>
      </c>
      <c r="M2" t="s">
        <v>265</v>
      </c>
      <c r="N2" t="s">
        <v>266</v>
      </c>
      <c r="O2" t="s">
        <v>267</v>
      </c>
      <c r="P2" t="s">
        <v>268</v>
      </c>
      <c r="Q2" t="s">
        <v>269</v>
      </c>
      <c r="R2" t="s">
        <v>270</v>
      </c>
      <c r="S2" s="73" t="s">
        <v>271</v>
      </c>
      <c r="T2" t="s">
        <v>93</v>
      </c>
      <c r="U2" s="73" t="s">
        <v>272</v>
      </c>
      <c r="V2" t="s">
        <v>273</v>
      </c>
      <c r="W2" t="s">
        <v>274</v>
      </c>
    </row>
    <row r="3" spans="2:23">
      <c r="B3">
        <v>1</v>
      </c>
      <c r="E3" t="str">
        <f>IFERROR(INDEX(Data_Entry[ADM2_COUNTY],MATCH('Step 5-Severity'!B3,Data_Entry[ID],0)),"NA")</f>
        <v>Kabul</v>
      </c>
      <c r="F3" t="str">
        <f>IFERROR(INDEX(Data_Entry[ADM2_Pcode],MATCH('Step 5-Severity'!B3,Data_Entry[ID],0)),"NA")</f>
        <v>AF01</v>
      </c>
      <c r="G3" cm="1">
        <f t="array" aca="1" ref="G3" ca="1">IFERROR(LARGE(INDEX(Long_Data[Calculated Severity],MATCH(1,(Severity[[#This Row],[ADM2_Pcode]] = Long_Data[Admin 2 P-Code]) * (Long_Data[Indicator Number] = 1),0)),1),0)</f>
        <v>1</v>
      </c>
      <c r="H3" cm="1">
        <f t="array" aca="1" ref="H3" ca="1">IFERROR(LARGE(INDEX(Long_Data[Calculated Severity],MATCH(1,(Severity[[#This Row],[ADM2_Pcode]] = Long_Data[Admin 2 P-Code]) * (Long_Data[Indicator Number] = 2),0)),1),0)</f>
        <v>2</v>
      </c>
      <c r="I3" cm="1">
        <f t="array" aca="1" ref="I3" ca="1">IFERROR(LARGE(INDEX(Long_Data[Calculated Severity],MATCH(1,(Severity[[#This Row],[ADM2_Pcode]] = Long_Data[Admin 2 P-Code]) * (Long_Data[Indicator Number] = 3),0)),1),0)</f>
        <v>3</v>
      </c>
      <c r="J3" cm="1">
        <f t="array" aca="1" ref="J3" ca="1">IFERROR(LARGE(INDEX(Long_Data[Calculated Severity],MATCH(1,(Severity[[#This Row],[ADM2_Pcode]] = Long_Data[Admin 2 P-Code]) * (Long_Data[Indicator Number] = 4),0)),1),0)</f>
        <v>2</v>
      </c>
      <c r="K3" cm="1">
        <f t="array" aca="1" ref="K3" ca="1">IFERROR(LARGE(INDEX(Long_Data[Calculated Severity],MATCH(1,(Severity[[#This Row],[ADM2_Pcode]] = Long_Data[Admin 2 P-Code]) * (Long_Data[Indicator Number] = 5),0)),1),0)</f>
        <v>2</v>
      </c>
      <c r="L3" cm="1">
        <f t="array" aca="1" ref="L3" ca="1">IFERROR(LARGE(INDEX(Long_Data[Calculated Severity],MATCH(1,(Severity[[#This Row],[ADM2_Pcode]] = Long_Data[Admin 2 P-Code]) * (Long_Data[Indicator Number] = 6),0)),1),0)</f>
        <v>4</v>
      </c>
      <c r="M3" cm="1">
        <f t="array" aca="1" ref="M3" ca="1">IFERROR(LARGE(INDEX(Long_Data[Calculated Severity],MATCH(1,(Severity[[#This Row],[ADM2_Pcode]] = Long_Data[Admin 2 P-Code]) * (Long_Data[Indicator Number] = 7),0)),1),0)</f>
        <v>1</v>
      </c>
      <c r="N3" cm="1">
        <f t="array" aca="1" ref="N3" ca="1">IFERROR(LARGE(INDEX(Long_Data[Calculated Severity],MATCH(1,(Severity[[#This Row],[ADM2_Pcode]] = Long_Data[Admin 2 P-Code]) * (Long_Data[Indicator Number] = 8),0)),1),0)</f>
        <v>1</v>
      </c>
      <c r="O3" cm="1">
        <f t="array" aca="1" ref="O3" ca="1">IFERROR(LARGE(INDEX(Long_Data[Calculated Severity],MATCH(1,(Severity[[#This Row],[ADM2_Pcode]] = Long_Data[Admin 2 P-Code]) * (Long_Data[Indicator Number] = 9),0)),1),0)</f>
        <v>3</v>
      </c>
      <c r="P3" cm="1">
        <f t="array" aca="1" ref="P3" ca="1">IFERROR(LARGE(INDEX(Long_Data[Calculated Severity],MATCH(1,(Severity[[#This Row],[ADM2_Pcode]] = Long_Data[Admin 2 P-Code]) * (Long_Data[Indicator Number] = 10),0)),1),0)</f>
        <v>4</v>
      </c>
      <c r="Q3" cm="1">
        <f t="array" aca="1" ref="Q3" ca="1">IFERROR(LARGE(INDEX(Long_Data[Calculated Severity],MATCH(1,(Severity[[#This Row],[ADM2_Pcode]] = Long_Data[Admin 2 P-Code]) * (Long_Data[Indicator Number] = 11),0)),1),0)</f>
        <v>4</v>
      </c>
      <c r="R3" cm="1">
        <f t="array" aca="1" ref="R3" ca="1">IFERROR(LARGE(INDEX(Long_Data[Calculated Severity],MATCH(1,(Severity[[#This Row],[ADM2_Pcode]] = Long_Data[Admin 2 P-Code]) * (Long_Data[Indicator Number] = 12),0)),1),0)</f>
        <v>3</v>
      </c>
      <c r="S3" cm="1">
        <f t="array" aca="1" ref="S3" ca="1">ROUND(AVERAGE(LARGE(Severity[[#This Row],[1]:[12]],{1,2,3,4,5,6})),0)</f>
        <v>4</v>
      </c>
      <c r="T3" cm="1">
        <f t="array" aca="1" ref="T3" ca="1">INDEX(Long_Data[Calculated Severity],MATCH(1,(Severity[[#This Row],[ADM2_Pcode]]=Long_Data[Admin 2 P-Code]) * (9=Long_Data[Indicator Number]),0))</f>
        <v>3</v>
      </c>
      <c r="U3">
        <f ca="1">ROUND(IF(Severity[[#This Row],[Mean of max 50%  - Severity]]&lt;Severity[[#This Row],[IPC analysis]],Severity[[#This Row],[IPC analysis]],Severity[[#This Row],[Mean of max 50%  - Severity]]),0)</f>
        <v>4</v>
      </c>
    </row>
    <row r="4" spans="2:23">
      <c r="B4">
        <v>2</v>
      </c>
      <c r="E4" t="str">
        <f>IFERROR(INDEX(Data_Entry[ADM2_COUNTY],MATCH('Step 5-Severity'!B4,Data_Entry[ID],0)),"NA")</f>
        <v>Kapisa</v>
      </c>
      <c r="F4" t="str">
        <f>IFERROR(INDEX(Data_Entry[ADM2_Pcode],MATCH('Step 5-Severity'!B4,Data_Entry[ID],0)),"NA")</f>
        <v>AF02</v>
      </c>
      <c r="G4" cm="1">
        <f t="array" aca="1" ref="G4" ca="1">IFERROR(LARGE(INDEX(Long_Data[Calculated Severity],MATCH(1,(Severity[[#This Row],[ADM2_Pcode]] = Long_Data[Admin 2 P-Code]) * (Long_Data[Indicator Number] = 1),0)),1),0)</f>
        <v>2</v>
      </c>
      <c r="H4" cm="1">
        <f t="array" aca="1" ref="H4" ca="1">IFERROR(LARGE(INDEX(Long_Data[Calculated Severity],MATCH(1,(Severity[[#This Row],[ADM2_Pcode]] = Long_Data[Admin 2 P-Code]) * (Long_Data[Indicator Number] = 2),0)),1),0)</f>
        <v>4</v>
      </c>
      <c r="I4" cm="1">
        <f t="array" aca="1" ref="I4" ca="1">IFERROR(LARGE(INDEX(Long_Data[Calculated Severity],MATCH(1,(Severity[[#This Row],[ADM2_Pcode]] = Long_Data[Admin 2 P-Code]) * (Long_Data[Indicator Number] = 3),0)),1),0)</f>
        <v>3</v>
      </c>
      <c r="J4" cm="1">
        <f t="array" aca="1" ref="J4" ca="1">IFERROR(LARGE(INDEX(Long_Data[Calculated Severity],MATCH(1,(Severity[[#This Row],[ADM2_Pcode]] = Long_Data[Admin 2 P-Code]) * (Long_Data[Indicator Number] = 4),0)),1),0)</f>
        <v>3</v>
      </c>
      <c r="K4" cm="1">
        <f t="array" aca="1" ref="K4" ca="1">IFERROR(LARGE(INDEX(Long_Data[Calculated Severity],MATCH(1,(Severity[[#This Row],[ADM2_Pcode]] = Long_Data[Admin 2 P-Code]) * (Long_Data[Indicator Number] = 5),0)),1),0)</f>
        <v>2</v>
      </c>
      <c r="L4" cm="1">
        <f t="array" aca="1" ref="L4" ca="1">IFERROR(LARGE(INDEX(Long_Data[Calculated Severity],MATCH(1,(Severity[[#This Row],[ADM2_Pcode]] = Long_Data[Admin 2 P-Code]) * (Long_Data[Indicator Number] = 6),0)),1),0)</f>
        <v>4</v>
      </c>
      <c r="M4" cm="1">
        <f t="array" aca="1" ref="M4" ca="1">IFERROR(LARGE(INDEX(Long_Data[Calculated Severity],MATCH(1,(Severity[[#This Row],[ADM2_Pcode]] = Long_Data[Admin 2 P-Code]) * (Long_Data[Indicator Number] = 7),0)),1),0)</f>
        <v>1</v>
      </c>
      <c r="N4" cm="1">
        <f t="array" aca="1" ref="N4" ca="1">IFERROR(LARGE(INDEX(Long_Data[Calculated Severity],MATCH(1,(Severity[[#This Row],[ADM2_Pcode]] = Long_Data[Admin 2 P-Code]) * (Long_Data[Indicator Number] = 8),0)),1),0)</f>
        <v>1</v>
      </c>
      <c r="O4" cm="1">
        <f t="array" aca="1" ref="O4" ca="1">IFERROR(LARGE(INDEX(Long_Data[Calculated Severity],MATCH(1,(Severity[[#This Row],[ADM2_Pcode]] = Long_Data[Admin 2 P-Code]) * (Long_Data[Indicator Number] = 9),0)),1),0)</f>
        <v>3</v>
      </c>
      <c r="P4" cm="1">
        <f t="array" aca="1" ref="P4" ca="1">IFERROR(LARGE(INDEX(Long_Data[Calculated Severity],MATCH(1,(Severity[[#This Row],[ADM2_Pcode]] = Long_Data[Admin 2 P-Code]) * (Long_Data[Indicator Number] = 10),0)),1),0)</f>
        <v>1</v>
      </c>
      <c r="Q4" cm="1">
        <f t="array" aca="1" ref="Q4" ca="1">IFERROR(LARGE(INDEX(Long_Data[Calculated Severity],MATCH(1,(Severity[[#This Row],[ADM2_Pcode]] = Long_Data[Admin 2 P-Code]) * (Long_Data[Indicator Number] = 11),0)),1),0)</f>
        <v>2</v>
      </c>
      <c r="R4" cm="1">
        <f t="array" aca="1" ref="R4" ca="1">IFERROR(LARGE(INDEX(Long_Data[Calculated Severity],MATCH(1,(Severity[[#This Row],[ADM2_Pcode]] = Long_Data[Admin 2 P-Code]) * (Long_Data[Indicator Number] = 12),0)),1),0)</f>
        <v>2</v>
      </c>
      <c r="S4" cm="1">
        <f t="array" aca="1" ref="S4" ca="1">ROUND(AVERAGE(LARGE(Severity[[#This Row],[1]:[12]],{1,2,3,4,5,6})),0)</f>
        <v>3</v>
      </c>
      <c r="T4" cm="1">
        <f t="array" aca="1" ref="T4" ca="1">INDEX(Long_Data[Calculated Severity],MATCH(1,(Severity[[#This Row],[ADM2_Pcode]]=Long_Data[Admin 2 P-Code]) * (9=Long_Data[Indicator Number]),0))</f>
        <v>3</v>
      </c>
      <c r="U4">
        <f ca="1">ROUND(IF(Severity[[#This Row],[Mean of max 50%  - Severity]]&lt;Severity[[#This Row],[IPC analysis]],Severity[[#This Row],[IPC analysis]],Severity[[#This Row],[Mean of max 50%  - Severity]]),0)</f>
        <v>3</v>
      </c>
    </row>
    <row r="5" spans="2:23">
      <c r="B5">
        <v>3</v>
      </c>
      <c r="E5" t="str">
        <f>IFERROR(INDEX(Data_Entry[ADM2_COUNTY],MATCH('Step 5-Severity'!B5,Data_Entry[ID],0)),"NA")</f>
        <v>Parwan</v>
      </c>
      <c r="F5" t="str">
        <f>IFERROR(INDEX(Data_Entry[ADM2_Pcode],MATCH('Step 5-Severity'!B5,Data_Entry[ID],0)),"NA")</f>
        <v>AF03</v>
      </c>
      <c r="G5" cm="1">
        <f t="array" aca="1" ref="G5" ca="1">IFERROR(LARGE(INDEX(Long_Data[Calculated Severity],MATCH(1,(Severity[[#This Row],[ADM2_Pcode]] = Long_Data[Admin 2 P-Code]) * (Long_Data[Indicator Number] = 1),0)),1),0)</f>
        <v>2</v>
      </c>
      <c r="H5" cm="1">
        <f t="array" aca="1" ref="H5" ca="1">IFERROR(LARGE(INDEX(Long_Data[Calculated Severity],MATCH(1,(Severity[[#This Row],[ADM2_Pcode]] = Long_Data[Admin 2 P-Code]) * (Long_Data[Indicator Number] = 2),0)),1),0)</f>
        <v>4</v>
      </c>
      <c r="I5" cm="1">
        <f t="array" aca="1" ref="I5" ca="1">IFERROR(LARGE(INDEX(Long_Data[Calculated Severity],MATCH(1,(Severity[[#This Row],[ADM2_Pcode]] = Long_Data[Admin 2 P-Code]) * (Long_Data[Indicator Number] = 3),0)),1),0)</f>
        <v>3</v>
      </c>
      <c r="J5" cm="1">
        <f t="array" aca="1" ref="J5" ca="1">IFERROR(LARGE(INDEX(Long_Data[Calculated Severity],MATCH(1,(Severity[[#This Row],[ADM2_Pcode]] = Long_Data[Admin 2 P-Code]) * (Long_Data[Indicator Number] = 4),0)),1),0)</f>
        <v>2</v>
      </c>
      <c r="K5" cm="1">
        <f t="array" aca="1" ref="K5" ca="1">IFERROR(LARGE(INDEX(Long_Data[Calculated Severity],MATCH(1,(Severity[[#This Row],[ADM2_Pcode]] = Long_Data[Admin 2 P-Code]) * (Long_Data[Indicator Number] = 5),0)),1),0)</f>
        <v>1</v>
      </c>
      <c r="L5" cm="1">
        <f t="array" aca="1" ref="L5" ca="1">IFERROR(LARGE(INDEX(Long_Data[Calculated Severity],MATCH(1,(Severity[[#This Row],[ADM2_Pcode]] = Long_Data[Admin 2 P-Code]) * (Long_Data[Indicator Number] = 6),0)),1),0)</f>
        <v>3</v>
      </c>
      <c r="M5" cm="1">
        <f t="array" aca="1" ref="M5" ca="1">IFERROR(LARGE(INDEX(Long_Data[Calculated Severity],MATCH(1,(Severity[[#This Row],[ADM2_Pcode]] = Long_Data[Admin 2 P-Code]) * (Long_Data[Indicator Number] = 7),0)),1),0)</f>
        <v>1</v>
      </c>
      <c r="N5" cm="1">
        <f t="array" aca="1" ref="N5" ca="1">IFERROR(LARGE(INDEX(Long_Data[Calculated Severity],MATCH(1,(Severity[[#This Row],[ADM2_Pcode]] = Long_Data[Admin 2 P-Code]) * (Long_Data[Indicator Number] = 8),0)),1),0)</f>
        <v>1</v>
      </c>
      <c r="O5" cm="1">
        <f t="array" aca="1" ref="O5" ca="1">IFERROR(LARGE(INDEX(Long_Data[Calculated Severity],MATCH(1,(Severity[[#This Row],[ADM2_Pcode]] = Long_Data[Admin 2 P-Code]) * (Long_Data[Indicator Number] = 9),0)),1),0)</f>
        <v>3</v>
      </c>
      <c r="P5" cm="1">
        <f t="array" aca="1" ref="P5" ca="1">IFERROR(LARGE(INDEX(Long_Data[Calculated Severity],MATCH(1,(Severity[[#This Row],[ADM2_Pcode]] = Long_Data[Admin 2 P-Code]) * (Long_Data[Indicator Number] = 10),0)),1),0)</f>
        <v>1</v>
      </c>
      <c r="Q5" cm="1">
        <f t="array" aca="1" ref="Q5" ca="1">IFERROR(LARGE(INDEX(Long_Data[Calculated Severity],MATCH(1,(Severity[[#This Row],[ADM2_Pcode]] = Long_Data[Admin 2 P-Code]) * (Long_Data[Indicator Number] = 11),0)),1),0)</f>
        <v>3</v>
      </c>
      <c r="R5" cm="1">
        <f t="array" aca="1" ref="R5" ca="1">IFERROR(LARGE(INDEX(Long_Data[Calculated Severity],MATCH(1,(Severity[[#This Row],[ADM2_Pcode]] = Long_Data[Admin 2 P-Code]) * (Long_Data[Indicator Number] = 12),0)),1),0)</f>
        <v>3</v>
      </c>
      <c r="S5" cm="1">
        <f t="array" aca="1" ref="S5" ca="1">ROUND(AVERAGE(LARGE(Severity[[#This Row],[1]:[12]],{1,2,3,4,5,6})),0)</f>
        <v>3</v>
      </c>
      <c r="T5" cm="1">
        <f t="array" aca="1" ref="T5" ca="1">INDEX(Long_Data[Calculated Severity],MATCH(1,(Severity[[#This Row],[ADM2_Pcode]]=Long_Data[Admin 2 P-Code]) * (9=Long_Data[Indicator Number]),0))</f>
        <v>3</v>
      </c>
      <c r="U5">
        <f ca="1">ROUND(IF(Severity[[#This Row],[Mean of max 50%  - Severity]]&lt;Severity[[#This Row],[IPC analysis]],Severity[[#This Row],[IPC analysis]],Severity[[#This Row],[Mean of max 50%  - Severity]]),0)</f>
        <v>3</v>
      </c>
    </row>
    <row r="6" spans="2:23">
      <c r="B6">
        <v>4</v>
      </c>
      <c r="E6" t="str">
        <f>IFERROR(INDEX(Data_Entry[ADM2_COUNTY],MATCH('Step 5-Severity'!B6,Data_Entry[ID],0)),"NA")</f>
        <v>Wardak</v>
      </c>
      <c r="F6" t="str">
        <f>IFERROR(INDEX(Data_Entry[ADM2_Pcode],MATCH('Step 5-Severity'!B6,Data_Entry[ID],0)),"NA")</f>
        <v>AF04</v>
      </c>
      <c r="G6" cm="1">
        <f t="array" aca="1" ref="G6" ca="1">IFERROR(LARGE(INDEX(Long_Data[Calculated Severity],MATCH(1,(Severity[[#This Row],[ADM2_Pcode]] = Long_Data[Admin 2 P-Code]) * (Long_Data[Indicator Number] = 1),0)),1),0)</f>
        <v>2</v>
      </c>
      <c r="H6" cm="1">
        <f t="array" aca="1" ref="H6" ca="1">IFERROR(LARGE(INDEX(Long_Data[Calculated Severity],MATCH(1,(Severity[[#This Row],[ADM2_Pcode]] = Long_Data[Admin 2 P-Code]) * (Long_Data[Indicator Number] = 2),0)),1),0)</f>
        <v>2</v>
      </c>
      <c r="I6" cm="1">
        <f t="array" aca="1" ref="I6" ca="1">IFERROR(LARGE(INDEX(Long_Data[Calculated Severity],MATCH(1,(Severity[[#This Row],[ADM2_Pcode]] = Long_Data[Admin 2 P-Code]) * (Long_Data[Indicator Number] = 3),0)),1),0)</f>
        <v>3</v>
      </c>
      <c r="J6" cm="1">
        <f t="array" aca="1" ref="J6" ca="1">IFERROR(LARGE(INDEX(Long_Data[Calculated Severity],MATCH(1,(Severity[[#This Row],[ADM2_Pcode]] = Long_Data[Admin 2 P-Code]) * (Long_Data[Indicator Number] = 4),0)),1),0)</f>
        <v>2</v>
      </c>
      <c r="K6" cm="1">
        <f t="array" aca="1" ref="K6" ca="1">IFERROR(LARGE(INDEX(Long_Data[Calculated Severity],MATCH(1,(Severity[[#This Row],[ADM2_Pcode]] = Long_Data[Admin 2 P-Code]) * (Long_Data[Indicator Number] = 5),0)),1),0)</f>
        <v>3</v>
      </c>
      <c r="L6" cm="1">
        <f t="array" aca="1" ref="L6" ca="1">IFERROR(LARGE(INDEX(Long_Data[Calculated Severity],MATCH(1,(Severity[[#This Row],[ADM2_Pcode]] = Long_Data[Admin 2 P-Code]) * (Long_Data[Indicator Number] = 6),0)),1),0)</f>
        <v>4</v>
      </c>
      <c r="M6" cm="1">
        <f t="array" aca="1" ref="M6" ca="1">IFERROR(LARGE(INDEX(Long_Data[Calculated Severity],MATCH(1,(Severity[[#This Row],[ADM2_Pcode]] = Long_Data[Admin 2 P-Code]) * (Long_Data[Indicator Number] = 7),0)),1),0)</f>
        <v>1</v>
      </c>
      <c r="N6" cm="1">
        <f t="array" aca="1" ref="N6" ca="1">IFERROR(LARGE(INDEX(Long_Data[Calculated Severity],MATCH(1,(Severity[[#This Row],[ADM2_Pcode]] = Long_Data[Admin 2 P-Code]) * (Long_Data[Indicator Number] = 8),0)),1),0)</f>
        <v>1</v>
      </c>
      <c r="O6" cm="1">
        <f t="array" aca="1" ref="O6" ca="1">IFERROR(LARGE(INDEX(Long_Data[Calculated Severity],MATCH(1,(Severity[[#This Row],[ADM2_Pcode]] = Long_Data[Admin 2 P-Code]) * (Long_Data[Indicator Number] = 9),0)),1),0)</f>
        <v>3</v>
      </c>
      <c r="P6" cm="1">
        <f t="array" aca="1" ref="P6" ca="1">IFERROR(LARGE(INDEX(Long_Data[Calculated Severity],MATCH(1,(Severity[[#This Row],[ADM2_Pcode]] = Long_Data[Admin 2 P-Code]) * (Long_Data[Indicator Number] = 10),0)),1),0)</f>
        <v>1</v>
      </c>
      <c r="Q6" cm="1">
        <f t="array" aca="1" ref="Q6" ca="1">IFERROR(LARGE(INDEX(Long_Data[Calculated Severity],MATCH(1,(Severity[[#This Row],[ADM2_Pcode]] = Long_Data[Admin 2 P-Code]) * (Long_Data[Indicator Number] = 11),0)),1),0)</f>
        <v>3</v>
      </c>
      <c r="R6" cm="1">
        <f t="array" aca="1" ref="R6" ca="1">IFERROR(LARGE(INDEX(Long_Data[Calculated Severity],MATCH(1,(Severity[[#This Row],[ADM2_Pcode]] = Long_Data[Admin 2 P-Code]) * (Long_Data[Indicator Number] = 12),0)),1),0)</f>
        <v>3</v>
      </c>
      <c r="S6" cm="1">
        <f t="array" aca="1" ref="S6" ca="1">ROUND(AVERAGE(LARGE(Severity[[#This Row],[1]:[12]],{1,2,3,4,5,6})),0)</f>
        <v>3</v>
      </c>
      <c r="T6" cm="1">
        <f t="array" aca="1" ref="T6" ca="1">INDEX(Long_Data[Calculated Severity],MATCH(1,(Severity[[#This Row],[ADM2_Pcode]]=Long_Data[Admin 2 P-Code]) * (9=Long_Data[Indicator Number]),0))</f>
        <v>3</v>
      </c>
      <c r="U6">
        <f ca="1">ROUND(IF(Severity[[#This Row],[Mean of max 50%  - Severity]]&lt;Severity[[#This Row],[IPC analysis]],Severity[[#This Row],[IPC analysis]],Severity[[#This Row],[Mean of max 50%  - Severity]]),0)</f>
        <v>3</v>
      </c>
    </row>
    <row r="7" spans="2:23">
      <c r="B7">
        <v>5</v>
      </c>
      <c r="E7" t="str">
        <f>IFERROR(INDEX(Data_Entry[ADM2_COUNTY],MATCH('Step 5-Severity'!B7,Data_Entry[ID],0)),"NA")</f>
        <v>Logar</v>
      </c>
      <c r="F7" t="str">
        <f>IFERROR(INDEX(Data_Entry[ADM2_Pcode],MATCH('Step 5-Severity'!B7,Data_Entry[ID],0)),"NA")</f>
        <v>AF05</v>
      </c>
      <c r="G7" cm="1">
        <f t="array" aca="1" ref="G7" ca="1">IFERROR(LARGE(INDEX(Long_Data[Calculated Severity],MATCH(1,(Severity[[#This Row],[ADM2_Pcode]] = Long_Data[Admin 2 P-Code]) * (Long_Data[Indicator Number] = 1),0)),1),0)</f>
        <v>2</v>
      </c>
      <c r="H7" cm="1">
        <f t="array" aca="1" ref="H7" ca="1">IFERROR(LARGE(INDEX(Long_Data[Calculated Severity],MATCH(1,(Severity[[#This Row],[ADM2_Pcode]] = Long_Data[Admin 2 P-Code]) * (Long_Data[Indicator Number] = 2),0)),1),0)</f>
        <v>4</v>
      </c>
      <c r="I7" cm="1">
        <f t="array" aca="1" ref="I7" ca="1">IFERROR(LARGE(INDEX(Long_Data[Calculated Severity],MATCH(1,(Severity[[#This Row],[ADM2_Pcode]] = Long_Data[Admin 2 P-Code]) * (Long_Data[Indicator Number] = 3),0)),1),0)</f>
        <v>3</v>
      </c>
      <c r="J7" cm="1">
        <f t="array" aca="1" ref="J7" ca="1">IFERROR(LARGE(INDEX(Long_Data[Calculated Severity],MATCH(1,(Severity[[#This Row],[ADM2_Pcode]] = Long_Data[Admin 2 P-Code]) * (Long_Data[Indicator Number] = 4),0)),1),0)</f>
        <v>3</v>
      </c>
      <c r="K7" cm="1">
        <f t="array" aca="1" ref="K7" ca="1">IFERROR(LARGE(INDEX(Long_Data[Calculated Severity],MATCH(1,(Severity[[#This Row],[ADM2_Pcode]] = Long_Data[Admin 2 P-Code]) * (Long_Data[Indicator Number] = 5),0)),1),0)</f>
        <v>4</v>
      </c>
      <c r="L7" cm="1">
        <f t="array" aca="1" ref="L7" ca="1">IFERROR(LARGE(INDEX(Long_Data[Calculated Severity],MATCH(1,(Severity[[#This Row],[ADM2_Pcode]] = Long_Data[Admin 2 P-Code]) * (Long_Data[Indicator Number] = 6),0)),1),0)</f>
        <v>4</v>
      </c>
      <c r="M7" cm="1">
        <f t="array" aca="1" ref="M7" ca="1">IFERROR(LARGE(INDEX(Long_Data[Calculated Severity],MATCH(1,(Severity[[#This Row],[ADM2_Pcode]] = Long_Data[Admin 2 P-Code]) * (Long_Data[Indicator Number] = 7),0)),1),0)</f>
        <v>1</v>
      </c>
      <c r="N7" cm="1">
        <f t="array" aca="1" ref="N7" ca="1">IFERROR(LARGE(INDEX(Long_Data[Calculated Severity],MATCH(1,(Severity[[#This Row],[ADM2_Pcode]] = Long_Data[Admin 2 P-Code]) * (Long_Data[Indicator Number] = 8),0)),1),0)</f>
        <v>1</v>
      </c>
      <c r="O7" cm="1">
        <f t="array" aca="1" ref="O7" ca="1">IFERROR(LARGE(INDEX(Long_Data[Calculated Severity],MATCH(1,(Severity[[#This Row],[ADM2_Pcode]] = Long_Data[Admin 2 P-Code]) * (Long_Data[Indicator Number] = 9),0)),1),0)</f>
        <v>3</v>
      </c>
      <c r="P7" cm="1">
        <f t="array" aca="1" ref="P7" ca="1">IFERROR(LARGE(INDEX(Long_Data[Calculated Severity],MATCH(1,(Severity[[#This Row],[ADM2_Pcode]] = Long_Data[Admin 2 P-Code]) * (Long_Data[Indicator Number] = 10),0)),1),0)</f>
        <v>1</v>
      </c>
      <c r="Q7" cm="1">
        <f t="array" aca="1" ref="Q7" ca="1">IFERROR(LARGE(INDEX(Long_Data[Calculated Severity],MATCH(1,(Severity[[#This Row],[ADM2_Pcode]] = Long_Data[Admin 2 P-Code]) * (Long_Data[Indicator Number] = 11),0)),1),0)</f>
        <v>3</v>
      </c>
      <c r="R7" cm="1">
        <f t="array" aca="1" ref="R7" ca="1">IFERROR(LARGE(INDEX(Long_Data[Calculated Severity],MATCH(1,(Severity[[#This Row],[ADM2_Pcode]] = Long_Data[Admin 2 P-Code]) * (Long_Data[Indicator Number] = 12),0)),1),0)</f>
        <v>4</v>
      </c>
      <c r="S7" cm="1">
        <f t="array" aca="1" ref="S7" ca="1">ROUND(AVERAGE(LARGE(Severity[[#This Row],[1]:[12]],{1,2,3,4,5,6})),0)</f>
        <v>4</v>
      </c>
      <c r="T7" cm="1">
        <f t="array" aca="1" ref="T7" ca="1">INDEX(Long_Data[Calculated Severity],MATCH(1,(Severity[[#This Row],[ADM2_Pcode]]=Long_Data[Admin 2 P-Code]) * (9=Long_Data[Indicator Number]),0))</f>
        <v>3</v>
      </c>
      <c r="U7">
        <f ca="1">ROUND(IF(Severity[[#This Row],[Mean of max 50%  - Severity]]&lt;Severity[[#This Row],[IPC analysis]],Severity[[#This Row],[IPC analysis]],Severity[[#This Row],[Mean of max 50%  - Severity]]),0)</f>
        <v>4</v>
      </c>
    </row>
    <row r="8" spans="2:23">
      <c r="B8">
        <v>6</v>
      </c>
      <c r="E8" t="str">
        <f>IFERROR(INDEX(Data_Entry[ADM2_COUNTY],MATCH('Step 5-Severity'!B8,Data_Entry[ID],0)),"NA")</f>
        <v>Nangarhar</v>
      </c>
      <c r="F8" t="str">
        <f>IFERROR(INDEX(Data_Entry[ADM2_Pcode],MATCH('Step 5-Severity'!B8,Data_Entry[ID],0)),"NA")</f>
        <v>AF06</v>
      </c>
      <c r="G8" cm="1">
        <f t="array" aca="1" ref="G8" ca="1">IFERROR(LARGE(INDEX(Long_Data[Calculated Severity],MATCH(1,(Severity[[#This Row],[ADM2_Pcode]] = Long_Data[Admin 2 P-Code]) * (Long_Data[Indicator Number] = 1),0)),1),0)</f>
        <v>2</v>
      </c>
      <c r="H8" cm="1">
        <f t="array" aca="1" ref="H8" ca="1">IFERROR(LARGE(INDEX(Long_Data[Calculated Severity],MATCH(1,(Severity[[#This Row],[ADM2_Pcode]] = Long_Data[Admin 2 P-Code]) * (Long_Data[Indicator Number] = 2),0)),1),0)</f>
        <v>3</v>
      </c>
      <c r="I8" cm="1">
        <f t="array" aca="1" ref="I8" ca="1">IFERROR(LARGE(INDEX(Long_Data[Calculated Severity],MATCH(1,(Severity[[#This Row],[ADM2_Pcode]] = Long_Data[Admin 2 P-Code]) * (Long_Data[Indicator Number] = 3),0)),1),0)</f>
        <v>3</v>
      </c>
      <c r="J8" cm="1">
        <f t="array" aca="1" ref="J8" ca="1">IFERROR(LARGE(INDEX(Long_Data[Calculated Severity],MATCH(1,(Severity[[#This Row],[ADM2_Pcode]] = Long_Data[Admin 2 P-Code]) * (Long_Data[Indicator Number] = 4),0)),1),0)</f>
        <v>2</v>
      </c>
      <c r="K8" cm="1">
        <f t="array" aca="1" ref="K8" ca="1">IFERROR(LARGE(INDEX(Long_Data[Calculated Severity],MATCH(1,(Severity[[#This Row],[ADM2_Pcode]] = Long_Data[Admin 2 P-Code]) * (Long_Data[Indicator Number] = 5),0)),1),0)</f>
        <v>4</v>
      </c>
      <c r="L8" cm="1">
        <f t="array" aca="1" ref="L8" ca="1">IFERROR(LARGE(INDEX(Long_Data[Calculated Severity],MATCH(1,(Severity[[#This Row],[ADM2_Pcode]] = Long_Data[Admin 2 P-Code]) * (Long_Data[Indicator Number] = 6),0)),1),0)</f>
        <v>4</v>
      </c>
      <c r="M8" cm="1">
        <f t="array" aca="1" ref="M8" ca="1">IFERROR(LARGE(INDEX(Long_Data[Calculated Severity],MATCH(1,(Severity[[#This Row],[ADM2_Pcode]] = Long_Data[Admin 2 P-Code]) * (Long_Data[Indicator Number] = 7),0)),1),0)</f>
        <v>1</v>
      </c>
      <c r="N8" cm="1">
        <f t="array" aca="1" ref="N8" ca="1">IFERROR(LARGE(INDEX(Long_Data[Calculated Severity],MATCH(1,(Severity[[#This Row],[ADM2_Pcode]] = Long_Data[Admin 2 P-Code]) * (Long_Data[Indicator Number] = 8),0)),1),0)</f>
        <v>1</v>
      </c>
      <c r="O8" cm="1">
        <f t="array" aca="1" ref="O8" ca="1">IFERROR(LARGE(INDEX(Long_Data[Calculated Severity],MATCH(1,(Severity[[#This Row],[ADM2_Pcode]] = Long_Data[Admin 2 P-Code]) * (Long_Data[Indicator Number] = 9),0)),1),0)</f>
        <v>3</v>
      </c>
      <c r="P8" cm="1">
        <f t="array" aca="1" ref="P8" ca="1">IFERROR(LARGE(INDEX(Long_Data[Calculated Severity],MATCH(1,(Severity[[#This Row],[ADM2_Pcode]] = Long_Data[Admin 2 P-Code]) * (Long_Data[Indicator Number] = 10),0)),1),0)</f>
        <v>4</v>
      </c>
      <c r="Q8" cm="1">
        <f t="array" aca="1" ref="Q8" ca="1">IFERROR(LARGE(INDEX(Long_Data[Calculated Severity],MATCH(1,(Severity[[#This Row],[ADM2_Pcode]] = Long_Data[Admin 2 P-Code]) * (Long_Data[Indicator Number] = 11),0)),1),0)</f>
        <v>4</v>
      </c>
      <c r="R8" cm="1">
        <f t="array" aca="1" ref="R8" ca="1">IFERROR(LARGE(INDEX(Long_Data[Calculated Severity],MATCH(1,(Severity[[#This Row],[ADM2_Pcode]] = Long_Data[Admin 2 P-Code]) * (Long_Data[Indicator Number] = 12),0)),1),0)</f>
        <v>5</v>
      </c>
      <c r="S8" cm="1">
        <f t="array" aca="1" ref="S8" ca="1">ROUND(AVERAGE(LARGE(Severity[[#This Row],[1]:[12]],{1,2,3,4,5,6})),0)</f>
        <v>4</v>
      </c>
      <c r="T8" cm="1">
        <f t="array" aca="1" ref="T8" ca="1">INDEX(Long_Data[Calculated Severity],MATCH(1,(Severity[[#This Row],[ADM2_Pcode]]=Long_Data[Admin 2 P-Code]) * (9=Long_Data[Indicator Number]),0))</f>
        <v>3</v>
      </c>
      <c r="U8">
        <f ca="1">ROUND(IF(Severity[[#This Row],[Mean of max 50%  - Severity]]&lt;Severity[[#This Row],[IPC analysis]],Severity[[#This Row],[IPC analysis]],Severity[[#This Row],[Mean of max 50%  - Severity]]),0)</f>
        <v>4</v>
      </c>
    </row>
    <row r="9" spans="2:23">
      <c r="B9">
        <v>7</v>
      </c>
      <c r="E9" t="str">
        <f>IFERROR(INDEX(Data_Entry[ADM2_COUNTY],MATCH('Step 5-Severity'!B9,Data_Entry[ID],0)),"NA")</f>
        <v>Laghman</v>
      </c>
      <c r="F9" t="str">
        <f>IFERROR(INDEX(Data_Entry[ADM2_Pcode],MATCH('Step 5-Severity'!B9,Data_Entry[ID],0)),"NA")</f>
        <v>AF07</v>
      </c>
      <c r="G9" cm="1">
        <f t="array" aca="1" ref="G9" ca="1">IFERROR(LARGE(INDEX(Long_Data[Calculated Severity],MATCH(1,(Severity[[#This Row],[ADM2_Pcode]] = Long_Data[Admin 2 P-Code]) * (Long_Data[Indicator Number] = 1),0)),1),0)</f>
        <v>2</v>
      </c>
      <c r="H9" cm="1">
        <f t="array" aca="1" ref="H9" ca="1">IFERROR(LARGE(INDEX(Long_Data[Calculated Severity],MATCH(1,(Severity[[#This Row],[ADM2_Pcode]] = Long_Data[Admin 2 P-Code]) * (Long_Data[Indicator Number] = 2),0)),1),0)</f>
        <v>4</v>
      </c>
      <c r="I9" cm="1">
        <f t="array" aca="1" ref="I9" ca="1">IFERROR(LARGE(INDEX(Long_Data[Calculated Severity],MATCH(1,(Severity[[#This Row],[ADM2_Pcode]] = Long_Data[Admin 2 P-Code]) * (Long_Data[Indicator Number] = 3),0)),1),0)</f>
        <v>3</v>
      </c>
      <c r="J9" cm="1">
        <f t="array" aca="1" ref="J9" ca="1">IFERROR(LARGE(INDEX(Long_Data[Calculated Severity],MATCH(1,(Severity[[#This Row],[ADM2_Pcode]] = Long_Data[Admin 2 P-Code]) * (Long_Data[Indicator Number] = 4),0)),1),0)</f>
        <v>2</v>
      </c>
      <c r="K9" cm="1">
        <f t="array" aca="1" ref="K9" ca="1">IFERROR(LARGE(INDEX(Long_Data[Calculated Severity],MATCH(1,(Severity[[#This Row],[ADM2_Pcode]] = Long_Data[Admin 2 P-Code]) * (Long_Data[Indicator Number] = 5),0)),1),0)</f>
        <v>4</v>
      </c>
      <c r="L9" cm="1">
        <f t="array" aca="1" ref="L9" ca="1">IFERROR(LARGE(INDEX(Long_Data[Calculated Severity],MATCH(1,(Severity[[#This Row],[ADM2_Pcode]] = Long_Data[Admin 2 P-Code]) * (Long_Data[Indicator Number] = 6),0)),1),0)</f>
        <v>3</v>
      </c>
      <c r="M9" cm="1">
        <f t="array" aca="1" ref="M9" ca="1">IFERROR(LARGE(INDEX(Long_Data[Calculated Severity],MATCH(1,(Severity[[#This Row],[ADM2_Pcode]] = Long_Data[Admin 2 P-Code]) * (Long_Data[Indicator Number] = 7),0)),1),0)</f>
        <v>1</v>
      </c>
      <c r="N9" cm="1">
        <f t="array" aca="1" ref="N9" ca="1">IFERROR(LARGE(INDEX(Long_Data[Calculated Severity],MATCH(1,(Severity[[#This Row],[ADM2_Pcode]] = Long_Data[Admin 2 P-Code]) * (Long_Data[Indicator Number] = 8),0)),1),0)</f>
        <v>1</v>
      </c>
      <c r="O9" cm="1">
        <f t="array" aca="1" ref="O9" ca="1">IFERROR(LARGE(INDEX(Long_Data[Calculated Severity],MATCH(1,(Severity[[#This Row],[ADM2_Pcode]] = Long_Data[Admin 2 P-Code]) * (Long_Data[Indicator Number] = 9),0)),1),0)</f>
        <v>3</v>
      </c>
      <c r="P9" cm="1">
        <f t="array" aca="1" ref="P9" ca="1">IFERROR(LARGE(INDEX(Long_Data[Calculated Severity],MATCH(1,(Severity[[#This Row],[ADM2_Pcode]] = Long_Data[Admin 2 P-Code]) * (Long_Data[Indicator Number] = 10),0)),1),0)</f>
        <v>1</v>
      </c>
      <c r="Q9" cm="1">
        <f t="array" aca="1" ref="Q9" ca="1">IFERROR(LARGE(INDEX(Long_Data[Calculated Severity],MATCH(1,(Severity[[#This Row],[ADM2_Pcode]] = Long_Data[Admin 2 P-Code]) * (Long_Data[Indicator Number] = 11),0)),1),0)</f>
        <v>2</v>
      </c>
      <c r="R9" cm="1">
        <f t="array" aca="1" ref="R9" ca="1">IFERROR(LARGE(INDEX(Long_Data[Calculated Severity],MATCH(1,(Severity[[#This Row],[ADM2_Pcode]] = Long_Data[Admin 2 P-Code]) * (Long_Data[Indicator Number] = 12),0)),1),0)</f>
        <v>3</v>
      </c>
      <c r="S9" cm="1">
        <f t="array" aca="1" ref="S9" ca="1">ROUND(AVERAGE(LARGE(Severity[[#This Row],[1]:[12]],{1,2,3,4,5,6})),0)</f>
        <v>3</v>
      </c>
      <c r="T9" cm="1">
        <f t="array" aca="1" ref="T9" ca="1">INDEX(Long_Data[Calculated Severity],MATCH(1,(Severity[[#This Row],[ADM2_Pcode]]=Long_Data[Admin 2 P-Code]) * (9=Long_Data[Indicator Number]),0))</f>
        <v>3</v>
      </c>
      <c r="U9">
        <f ca="1">ROUND(IF(Severity[[#This Row],[Mean of max 50%  - Severity]]&lt;Severity[[#This Row],[IPC analysis]],Severity[[#This Row],[IPC analysis]],Severity[[#This Row],[Mean of max 50%  - Severity]]),0)</f>
        <v>3</v>
      </c>
    </row>
    <row r="10" spans="2:23">
      <c r="B10">
        <v>8</v>
      </c>
      <c r="E10" t="str">
        <f>IFERROR(INDEX(Data_Entry[ADM2_COUNTY],MATCH('Step 5-Severity'!B10,Data_Entry[ID],0)),"NA")</f>
        <v>Panjsher</v>
      </c>
      <c r="F10" t="str">
        <f>IFERROR(INDEX(Data_Entry[ADM2_Pcode],MATCH('Step 5-Severity'!B10,Data_Entry[ID],0)),"NA")</f>
        <v>AF08</v>
      </c>
      <c r="G10" cm="1">
        <f t="array" aca="1" ref="G10" ca="1">IFERROR(LARGE(INDEX(Long_Data[Calculated Severity],MATCH(1,(Severity[[#This Row],[ADM2_Pcode]] = Long_Data[Admin 2 P-Code]) * (Long_Data[Indicator Number] = 1),0)),1),0)</f>
        <v>1</v>
      </c>
      <c r="H10" cm="1">
        <f t="array" aca="1" ref="H10" ca="1">IFERROR(LARGE(INDEX(Long_Data[Calculated Severity],MATCH(1,(Severity[[#This Row],[ADM2_Pcode]] = Long_Data[Admin 2 P-Code]) * (Long_Data[Indicator Number] = 2),0)),1),0)</f>
        <v>3</v>
      </c>
      <c r="I10" cm="1">
        <f t="array" aca="1" ref="I10" ca="1">IFERROR(LARGE(INDEX(Long_Data[Calculated Severity],MATCH(1,(Severity[[#This Row],[ADM2_Pcode]] = Long_Data[Admin 2 P-Code]) * (Long_Data[Indicator Number] = 3),0)),1),0)</f>
        <v>3</v>
      </c>
      <c r="J10" cm="1">
        <f t="array" aca="1" ref="J10" ca="1">IFERROR(LARGE(INDEX(Long_Data[Calculated Severity],MATCH(1,(Severity[[#This Row],[ADM2_Pcode]] = Long_Data[Admin 2 P-Code]) * (Long_Data[Indicator Number] = 4),0)),1),0)</f>
        <v>3</v>
      </c>
      <c r="K10" cm="1">
        <f t="array" aca="1" ref="K10" ca="1">IFERROR(LARGE(INDEX(Long_Data[Calculated Severity],MATCH(1,(Severity[[#This Row],[ADM2_Pcode]] = Long_Data[Admin 2 P-Code]) * (Long_Data[Indicator Number] = 5),0)),1),0)</f>
        <v>3</v>
      </c>
      <c r="L10" cm="1">
        <f t="array" aca="1" ref="L10" ca="1">IFERROR(LARGE(INDEX(Long_Data[Calculated Severity],MATCH(1,(Severity[[#This Row],[ADM2_Pcode]] = Long_Data[Admin 2 P-Code]) * (Long_Data[Indicator Number] = 6),0)),1),0)</f>
        <v>4</v>
      </c>
      <c r="M10" cm="1">
        <f t="array" aca="1" ref="M10" ca="1">IFERROR(LARGE(INDEX(Long_Data[Calculated Severity],MATCH(1,(Severity[[#This Row],[ADM2_Pcode]] = Long_Data[Admin 2 P-Code]) * (Long_Data[Indicator Number] = 7),0)),1),0)</f>
        <v>1</v>
      </c>
      <c r="N10" cm="1">
        <f t="array" aca="1" ref="N10" ca="1">IFERROR(LARGE(INDEX(Long_Data[Calculated Severity],MATCH(1,(Severity[[#This Row],[ADM2_Pcode]] = Long_Data[Admin 2 P-Code]) * (Long_Data[Indicator Number] = 8),0)),1),0)</f>
        <v>1</v>
      </c>
      <c r="O10" cm="1">
        <f t="array" aca="1" ref="O10" ca="1">IFERROR(LARGE(INDEX(Long_Data[Calculated Severity],MATCH(1,(Severity[[#This Row],[ADM2_Pcode]] = Long_Data[Admin 2 P-Code]) * (Long_Data[Indicator Number] = 9),0)),1),0)</f>
        <v>3</v>
      </c>
      <c r="P10" cm="1">
        <f t="array" aca="1" ref="P10" ca="1">IFERROR(LARGE(INDEX(Long_Data[Calculated Severity],MATCH(1,(Severity[[#This Row],[ADM2_Pcode]] = Long_Data[Admin 2 P-Code]) * (Long_Data[Indicator Number] = 10),0)),1),0)</f>
        <v>1</v>
      </c>
      <c r="Q10" cm="1">
        <f t="array" aca="1" ref="Q10" ca="1">IFERROR(LARGE(INDEX(Long_Data[Calculated Severity],MATCH(1,(Severity[[#This Row],[ADM2_Pcode]] = Long_Data[Admin 2 P-Code]) * (Long_Data[Indicator Number] = 11),0)),1),0)</f>
        <v>2</v>
      </c>
      <c r="R10" cm="1">
        <f t="array" aca="1" ref="R10" ca="1">IFERROR(LARGE(INDEX(Long_Data[Calculated Severity],MATCH(1,(Severity[[#This Row],[ADM2_Pcode]] = Long_Data[Admin 2 P-Code]) * (Long_Data[Indicator Number] = 12),0)),1),0)</f>
        <v>2</v>
      </c>
      <c r="S10" cm="1">
        <f t="array" aca="1" ref="S10" ca="1">ROUND(AVERAGE(LARGE(Severity[[#This Row],[1]:[12]],{1,2,3,4,5,6})),0)</f>
        <v>3</v>
      </c>
      <c r="T10" cm="1">
        <f t="array" aca="1" ref="T10" ca="1">INDEX(Long_Data[Calculated Severity],MATCH(1,(Severity[[#This Row],[ADM2_Pcode]]=Long_Data[Admin 2 P-Code]) * (9=Long_Data[Indicator Number]),0))</f>
        <v>3</v>
      </c>
      <c r="U10">
        <f ca="1">ROUND(IF(Severity[[#This Row],[Mean of max 50%  - Severity]]&lt;Severity[[#This Row],[IPC analysis]],Severity[[#This Row],[IPC analysis]],Severity[[#This Row],[Mean of max 50%  - Severity]]),0)</f>
        <v>3</v>
      </c>
    </row>
    <row r="11" spans="2:23">
      <c r="B11">
        <v>9</v>
      </c>
      <c r="E11" t="str">
        <f>IFERROR(INDEX(Data_Entry[ADM2_COUNTY],MATCH('Step 5-Severity'!B11,Data_Entry[ID],0)),"NA")</f>
        <v>Baghlan</v>
      </c>
      <c r="F11" t="str">
        <f>IFERROR(INDEX(Data_Entry[ADM2_Pcode],MATCH('Step 5-Severity'!B11,Data_Entry[ID],0)),"NA")</f>
        <v>AF09</v>
      </c>
      <c r="G11" cm="1">
        <f t="array" aca="1" ref="G11" ca="1">IFERROR(LARGE(INDEX(Long_Data[Calculated Severity],MATCH(1,(Severity[[#This Row],[ADM2_Pcode]] = Long_Data[Admin 2 P-Code]) * (Long_Data[Indicator Number] = 1),0)),1),0)</f>
        <v>2</v>
      </c>
      <c r="H11" cm="1">
        <f t="array" aca="1" ref="H11" ca="1">IFERROR(LARGE(INDEX(Long_Data[Calculated Severity],MATCH(1,(Severity[[#This Row],[ADM2_Pcode]] = Long_Data[Admin 2 P-Code]) * (Long_Data[Indicator Number] = 2),0)),1),0)</f>
        <v>4</v>
      </c>
      <c r="I11" cm="1">
        <f t="array" aca="1" ref="I11" ca="1">IFERROR(LARGE(INDEX(Long_Data[Calculated Severity],MATCH(1,(Severity[[#This Row],[ADM2_Pcode]] = Long_Data[Admin 2 P-Code]) * (Long_Data[Indicator Number] = 3),0)),1),0)</f>
        <v>3</v>
      </c>
      <c r="J11" cm="1">
        <f t="array" aca="1" ref="J11" ca="1">IFERROR(LARGE(INDEX(Long_Data[Calculated Severity],MATCH(1,(Severity[[#This Row],[ADM2_Pcode]] = Long_Data[Admin 2 P-Code]) * (Long_Data[Indicator Number] = 4),0)),1),0)</f>
        <v>4</v>
      </c>
      <c r="K11" cm="1">
        <f t="array" aca="1" ref="K11" ca="1">IFERROR(LARGE(INDEX(Long_Data[Calculated Severity],MATCH(1,(Severity[[#This Row],[ADM2_Pcode]] = Long_Data[Admin 2 P-Code]) * (Long_Data[Indicator Number] = 5),0)),1),0)</f>
        <v>5</v>
      </c>
      <c r="L11" cm="1">
        <f t="array" aca="1" ref="L11" ca="1">IFERROR(LARGE(INDEX(Long_Data[Calculated Severity],MATCH(1,(Severity[[#This Row],[ADM2_Pcode]] = Long_Data[Admin 2 P-Code]) * (Long_Data[Indicator Number] = 6),0)),1),0)</f>
        <v>4</v>
      </c>
      <c r="M11" cm="1">
        <f t="array" aca="1" ref="M11" ca="1">IFERROR(LARGE(INDEX(Long_Data[Calculated Severity],MATCH(1,(Severity[[#This Row],[ADM2_Pcode]] = Long_Data[Admin 2 P-Code]) * (Long_Data[Indicator Number] = 7),0)),1),0)</f>
        <v>1</v>
      </c>
      <c r="N11" cm="1">
        <f t="array" aca="1" ref="N11" ca="1">IFERROR(LARGE(INDEX(Long_Data[Calculated Severity],MATCH(1,(Severity[[#This Row],[ADM2_Pcode]] = Long_Data[Admin 2 P-Code]) * (Long_Data[Indicator Number] = 8),0)),1),0)</f>
        <v>1</v>
      </c>
      <c r="O11" cm="1">
        <f t="array" aca="1" ref="O11" ca="1">IFERROR(LARGE(INDEX(Long_Data[Calculated Severity],MATCH(1,(Severity[[#This Row],[ADM2_Pcode]] = Long_Data[Admin 2 P-Code]) * (Long_Data[Indicator Number] = 9),0)),1),0)</f>
        <v>3</v>
      </c>
      <c r="P11" cm="1">
        <f t="array" aca="1" ref="P11" ca="1">IFERROR(LARGE(INDEX(Long_Data[Calculated Severity],MATCH(1,(Severity[[#This Row],[ADM2_Pcode]] = Long_Data[Admin 2 P-Code]) * (Long_Data[Indicator Number] = 10),0)),1),0)</f>
        <v>3</v>
      </c>
      <c r="Q11" cm="1">
        <f t="array" aca="1" ref="Q11" ca="1">IFERROR(LARGE(INDEX(Long_Data[Calculated Severity],MATCH(1,(Severity[[#This Row],[ADM2_Pcode]] = Long_Data[Admin 2 P-Code]) * (Long_Data[Indicator Number] = 11),0)),1),0)</f>
        <v>4</v>
      </c>
      <c r="R11" cm="1">
        <f t="array" aca="1" ref="R11" ca="1">IFERROR(LARGE(INDEX(Long_Data[Calculated Severity],MATCH(1,(Severity[[#This Row],[ADM2_Pcode]] = Long_Data[Admin 2 P-Code]) * (Long_Data[Indicator Number] = 12),0)),1),0)</f>
        <v>3</v>
      </c>
      <c r="S11" cm="1">
        <f t="array" aca="1" ref="S11" ca="1">ROUND(AVERAGE(LARGE(Severity[[#This Row],[1]:[12]],{1,2,3,4,5,6})),0)</f>
        <v>4</v>
      </c>
      <c r="T11" cm="1">
        <f t="array" aca="1" ref="T11" ca="1">INDEX(Long_Data[Calculated Severity],MATCH(1,(Severity[[#This Row],[ADM2_Pcode]]=Long_Data[Admin 2 P-Code]) * (9=Long_Data[Indicator Number]),0))</f>
        <v>3</v>
      </c>
      <c r="U11">
        <f ca="1">ROUND(IF(Severity[[#This Row],[Mean of max 50%  - Severity]]&lt;Severity[[#This Row],[IPC analysis]],Severity[[#This Row],[IPC analysis]],Severity[[#This Row],[Mean of max 50%  - Severity]]),0)</f>
        <v>4</v>
      </c>
    </row>
    <row r="12" spans="2:23">
      <c r="B12">
        <v>10</v>
      </c>
      <c r="E12" t="str">
        <f>IFERROR(INDEX(Data_Entry[ADM2_COUNTY],MATCH('Step 5-Severity'!B12,Data_Entry[ID],0)),"NA")</f>
        <v>Bamyan</v>
      </c>
      <c r="F12" t="str">
        <f>IFERROR(INDEX(Data_Entry[ADM2_Pcode],MATCH('Step 5-Severity'!B12,Data_Entry[ID],0)),"NA")</f>
        <v>AF10</v>
      </c>
      <c r="G12" cm="1">
        <f t="array" aca="1" ref="G12" ca="1">IFERROR(LARGE(INDEX(Long_Data[Calculated Severity],MATCH(1,(Severity[[#This Row],[ADM2_Pcode]] = Long_Data[Admin 2 P-Code]) * (Long_Data[Indicator Number] = 1),0)),1),0)</f>
        <v>2</v>
      </c>
      <c r="H12" cm="1">
        <f t="array" aca="1" ref="H12" ca="1">IFERROR(LARGE(INDEX(Long_Data[Calculated Severity],MATCH(1,(Severity[[#This Row],[ADM2_Pcode]] = Long_Data[Admin 2 P-Code]) * (Long_Data[Indicator Number] = 2),0)),1),0)</f>
        <v>4</v>
      </c>
      <c r="I12" cm="1">
        <f t="array" aca="1" ref="I12" ca="1">IFERROR(LARGE(INDEX(Long_Data[Calculated Severity],MATCH(1,(Severity[[#This Row],[ADM2_Pcode]] = Long_Data[Admin 2 P-Code]) * (Long_Data[Indicator Number] = 3),0)),1),0)</f>
        <v>3</v>
      </c>
      <c r="J12" cm="1">
        <f t="array" aca="1" ref="J12" ca="1">IFERROR(LARGE(INDEX(Long_Data[Calculated Severity],MATCH(1,(Severity[[#This Row],[ADM2_Pcode]] = Long_Data[Admin 2 P-Code]) * (Long_Data[Indicator Number] = 4),0)),1),0)</f>
        <v>2</v>
      </c>
      <c r="K12" cm="1">
        <f t="array" aca="1" ref="K12" ca="1">IFERROR(LARGE(INDEX(Long_Data[Calculated Severity],MATCH(1,(Severity[[#This Row],[ADM2_Pcode]] = Long_Data[Admin 2 P-Code]) * (Long_Data[Indicator Number] = 5),0)),1),0)</f>
        <v>3</v>
      </c>
      <c r="L12" cm="1">
        <f t="array" aca="1" ref="L12" ca="1">IFERROR(LARGE(INDEX(Long_Data[Calculated Severity],MATCH(1,(Severity[[#This Row],[ADM2_Pcode]] = Long_Data[Admin 2 P-Code]) * (Long_Data[Indicator Number] = 6),0)),1),0)</f>
        <v>4</v>
      </c>
      <c r="M12" cm="1">
        <f t="array" aca="1" ref="M12" ca="1">IFERROR(LARGE(INDEX(Long_Data[Calculated Severity],MATCH(1,(Severity[[#This Row],[ADM2_Pcode]] = Long_Data[Admin 2 P-Code]) * (Long_Data[Indicator Number] = 7),0)),1),0)</f>
        <v>1</v>
      </c>
      <c r="N12" cm="1">
        <f t="array" aca="1" ref="N12" ca="1">IFERROR(LARGE(INDEX(Long_Data[Calculated Severity],MATCH(1,(Severity[[#This Row],[ADM2_Pcode]] = Long_Data[Admin 2 P-Code]) * (Long_Data[Indicator Number] = 8),0)),1),0)</f>
        <v>1</v>
      </c>
      <c r="O12" cm="1">
        <f t="array" aca="1" ref="O12" ca="1">IFERROR(LARGE(INDEX(Long_Data[Calculated Severity],MATCH(1,(Severity[[#This Row],[ADM2_Pcode]] = Long_Data[Admin 2 P-Code]) * (Long_Data[Indicator Number] = 9),0)),1),0)</f>
        <v>3</v>
      </c>
      <c r="P12" cm="1">
        <f t="array" aca="1" ref="P12" ca="1">IFERROR(LARGE(INDEX(Long_Data[Calculated Severity],MATCH(1,(Severity[[#This Row],[ADM2_Pcode]] = Long_Data[Admin 2 P-Code]) * (Long_Data[Indicator Number] = 10),0)),1),0)</f>
        <v>1</v>
      </c>
      <c r="Q12" cm="1">
        <f t="array" aca="1" ref="Q12" ca="1">IFERROR(LARGE(INDEX(Long_Data[Calculated Severity],MATCH(1,(Severity[[#This Row],[ADM2_Pcode]] = Long_Data[Admin 2 P-Code]) * (Long_Data[Indicator Number] = 11),0)),1),0)</f>
        <v>3</v>
      </c>
      <c r="R12" cm="1">
        <f t="array" aca="1" ref="R12" ca="1">IFERROR(LARGE(INDEX(Long_Data[Calculated Severity],MATCH(1,(Severity[[#This Row],[ADM2_Pcode]] = Long_Data[Admin 2 P-Code]) * (Long_Data[Indicator Number] = 12),0)),1),0)</f>
        <v>2</v>
      </c>
      <c r="S12" cm="1">
        <f t="array" aca="1" ref="S12" ca="1">ROUND(AVERAGE(LARGE(Severity[[#This Row],[1]:[12]],{1,2,3,4,5,6})),0)</f>
        <v>3</v>
      </c>
      <c r="T12" cm="1">
        <f t="array" aca="1" ref="T12" ca="1">INDEX(Long_Data[Calculated Severity],MATCH(1,(Severity[[#This Row],[ADM2_Pcode]]=Long_Data[Admin 2 P-Code]) * (9=Long_Data[Indicator Number]),0))</f>
        <v>3</v>
      </c>
      <c r="U12">
        <f ca="1">ROUND(IF(Severity[[#This Row],[Mean of max 50%  - Severity]]&lt;Severity[[#This Row],[IPC analysis]],Severity[[#This Row],[IPC analysis]],Severity[[#This Row],[Mean of max 50%  - Severity]]),0)</f>
        <v>3</v>
      </c>
    </row>
  </sheetData>
  <mergeCells count="3">
    <mergeCell ref="G1:R1"/>
    <mergeCell ref="C1:F1"/>
    <mergeCell ref="V1:W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1656-78A2-454C-85FA-0E840E54EEC5}">
  <sheetPr>
    <tabColor theme="9" tint="-0.499984740745262"/>
  </sheetPr>
  <dimension ref="B1:V32"/>
  <sheetViews>
    <sheetView workbookViewId="0">
      <selection activeCell="F3" sqref="F3"/>
    </sheetView>
  </sheetViews>
  <sheetFormatPr defaultRowHeight="14.4"/>
  <cols>
    <col min="3" max="3" width="14.6640625" customWidth="1"/>
    <col min="4" max="4" width="14.88671875" customWidth="1"/>
    <col min="5" max="5" width="16.6640625" customWidth="1"/>
    <col min="6" max="6" width="14.88671875" customWidth="1"/>
    <col min="7" max="7" width="12.88671875" customWidth="1"/>
    <col min="8" max="8" width="18.6640625" customWidth="1"/>
    <col min="9" max="9" width="19.5546875" bestFit="1" customWidth="1"/>
    <col min="10" max="10" width="11.6640625" bestFit="1" customWidth="1"/>
    <col min="11" max="11" width="24.5546875" customWidth="1"/>
    <col min="12" max="12" width="21" customWidth="1"/>
    <col min="13" max="13" width="12" bestFit="1" customWidth="1"/>
    <col min="14" max="14" width="12.44140625" customWidth="1"/>
    <col min="15" max="15" width="20.6640625" customWidth="1"/>
    <col min="16" max="16" width="19.44140625" customWidth="1"/>
    <col min="17" max="17" width="19.6640625" customWidth="1"/>
    <col min="18" max="18" width="20.109375" customWidth="1"/>
    <col min="19" max="19" width="20.44140625" customWidth="1"/>
    <col min="20" max="20" width="24.5546875" customWidth="1"/>
    <col min="21" max="21" width="23.6640625" customWidth="1"/>
    <col min="22" max="22" width="11.109375" customWidth="1"/>
  </cols>
  <sheetData>
    <row r="1" spans="2:22">
      <c r="M1" s="77">
        <f ca="1">SUBTOTAL(9,M3:M50)</f>
        <v>14257224.798760697</v>
      </c>
      <c r="N1" s="77">
        <f>SUBTOTAL(9,N3:N50)</f>
        <v>0</v>
      </c>
      <c r="O1" s="77">
        <f t="shared" ref="O1:U1" si="0">SUBTOTAL(9,O3:O32)</f>
        <v>309503.20971964946</v>
      </c>
      <c r="P1" s="77">
        <f t="shared" si="0"/>
        <v>267534.73600635177</v>
      </c>
      <c r="Q1" s="77">
        <f t="shared" si="0"/>
        <v>59709.005059021918</v>
      </c>
      <c r="R1" s="77">
        <f t="shared" si="0"/>
        <v>94508.678677266085</v>
      </c>
      <c r="S1" s="77">
        <f t="shared" si="0"/>
        <v>107391.71890331157</v>
      </c>
      <c r="T1" s="77">
        <f t="shared" si="0"/>
        <v>100106.30048936474</v>
      </c>
      <c r="U1" s="77">
        <f t="shared" si="0"/>
        <v>211808.50704457352</v>
      </c>
      <c r="V1" s="71"/>
    </row>
    <row r="2" spans="2:22" ht="28.8">
      <c r="B2" t="s">
        <v>136</v>
      </c>
      <c r="C2" t="s">
        <v>137</v>
      </c>
      <c r="D2" t="s">
        <v>138</v>
      </c>
      <c r="E2" t="s">
        <v>139</v>
      </c>
      <c r="F2" t="s">
        <v>140</v>
      </c>
      <c r="G2" t="s">
        <v>228</v>
      </c>
      <c r="H2" t="s">
        <v>275</v>
      </c>
      <c r="I2" t="s">
        <v>143</v>
      </c>
      <c r="J2" t="s">
        <v>276</v>
      </c>
      <c r="K2" s="73" t="s">
        <v>277</v>
      </c>
      <c r="L2" t="s">
        <v>278</v>
      </c>
      <c r="M2" t="s">
        <v>279</v>
      </c>
      <c r="N2" t="s">
        <v>280</v>
      </c>
      <c r="O2" t="s">
        <v>281</v>
      </c>
      <c r="P2" s="73" t="s">
        <v>282</v>
      </c>
      <c r="Q2" s="73" t="s">
        <v>283</v>
      </c>
      <c r="R2" t="s">
        <v>284</v>
      </c>
      <c r="S2" s="73" t="s">
        <v>285</v>
      </c>
      <c r="T2" t="s">
        <v>286</v>
      </c>
      <c r="U2" t="s">
        <v>287</v>
      </c>
      <c r="V2" t="s">
        <v>288</v>
      </c>
    </row>
    <row r="3" spans="2:22">
      <c r="B3">
        <v>1</v>
      </c>
      <c r="E3" t="str">
        <f>IFERROR(INDEX(Data_Entry[ADM2_COUNTY],MATCH('Step 6-PiN'!B3,Data_Entry[ID],0)),"NA")</f>
        <v>Kabul</v>
      </c>
      <c r="F3" t="str">
        <f>IFERROR(INDEX(Data_Entry[ADM2_Pcode],MATCH('Step 6-PiN'!B3,Data_Entry[ID],0)),"NA")</f>
        <v>AF01</v>
      </c>
      <c r="G3" s="71">
        <f>IFERROR(INDEX(Data_Entry[Group Population],MATCH('Step 6-PiN'!B3,Data_Entry[ID],0)),"NA")</f>
        <v>4690361</v>
      </c>
      <c r="H3" t="str">
        <f>IFERROR(INDEX(Data_Entry[Group Name],MATCH('Step 6-PiN'!B3,Data_Entry[ID],0)),"NA")</f>
        <v>All_Others</v>
      </c>
      <c r="I3" t="str">
        <f>IFERROR(INDEX(Data_Entry[Key],MATCH('Step 6-PiN'!B3,Data_Entry[ID],0)),"NA")</f>
        <v>AF01-All_Others</v>
      </c>
      <c r="J3">
        <f ca="1">INDEX(Severity[Severity Corrected for Critical Max (rounded)],MATCH(PiN[[#This Row],[ADM2_Pcode]],Severity[ADM2_Pcode],0))</f>
        <v>4</v>
      </c>
      <c r="K3" s="71">
        <f ca="1">IF(J3=1,G3,ROUND(G3/4,0))</f>
        <v>1172590</v>
      </c>
      <c r="L3" t="str">
        <f ca="1">IF(OR('Step 6-PiN'!$J3=4,'Step 6-PiN'!$J3=5),_xlfn.CONCAT("&gt;",'Step 6-PiN'!$K3),IF('Step 6-PiN'!$J3=3,_xlfn.CONCAT("&gt;=",'Step 6-PiN'!$K3),IF('Step 6-PiN'!$J3=2,_xlfn.CONCAT("&lt;",'Step 6-PiN'!$K3),_xlfn.CONCAT("&lt;",ROUND('Step 6-PiN'!$K3/4,0)))))</f>
        <v>&gt;1172590</v>
      </c>
      <c r="M3" s="71" cm="1">
        <f t="array" aca="1" ref="M3" ca="1">MAX(IF(Long_Data[Key]= PiN[[#This Row],[Key]],Long_Data[Calculated PiN]))</f>
        <v>4609492.7068965556</v>
      </c>
      <c r="N3" s="71">
        <v>0</v>
      </c>
      <c r="O3" s="71">
        <v>7075.4248658952747</v>
      </c>
      <c r="P3" s="71">
        <v>29602.223104406512</v>
      </c>
      <c r="Q3" s="71">
        <v>3815.311973018549</v>
      </c>
      <c r="R3" s="71">
        <v>15082.553271555575</v>
      </c>
      <c r="S3" s="71">
        <v>5700.7762785506602</v>
      </c>
      <c r="T3" s="71">
        <v>4226.5012444866097</v>
      </c>
      <c r="U3" s="71">
        <v>32232.01709493309</v>
      </c>
    </row>
    <row r="4" spans="2:22">
      <c r="B4">
        <v>2</v>
      </c>
      <c r="E4" t="str">
        <f>IFERROR(INDEX(Data_Entry[ADM2_COUNTY],MATCH('Step 6-PiN'!B4,Data_Entry[ID],0)),"NA")</f>
        <v>Kapisa</v>
      </c>
      <c r="F4" t="str">
        <f>IFERROR(INDEX(Data_Entry[ADM2_Pcode],MATCH('Step 6-PiN'!B4,Data_Entry[ID],0)),"NA")</f>
        <v>AF02</v>
      </c>
      <c r="G4" s="71">
        <f>IFERROR(INDEX(Data_Entry[Group Population],MATCH('Step 6-PiN'!B4,Data_Entry[ID],0)),"NA")</f>
        <v>440047</v>
      </c>
      <c r="H4" t="str">
        <f>IFERROR(INDEX(Data_Entry[Group Name],MATCH('Step 6-PiN'!B4,Data_Entry[ID],0)),"NA")</f>
        <v>All_Others</v>
      </c>
      <c r="I4" t="str">
        <f>IFERROR(INDEX(Data_Entry[Key],MATCH('Step 6-PiN'!B4,Data_Entry[ID],0)),"NA")</f>
        <v>AF02-All_Others</v>
      </c>
      <c r="J4">
        <f ca="1">INDEX(Severity[Severity Corrected for Critical Max (rounded)],MATCH(PiN[[#This Row],[ADM2_Pcode]],Severity[ADM2_Pcode],0))</f>
        <v>3</v>
      </c>
      <c r="K4" s="71">
        <f t="shared" ref="K4:K32" ca="1" si="1">IF(J4=1,G4,ROUND(G4/4,0))</f>
        <v>110012</v>
      </c>
      <c r="L4" t="str">
        <f ca="1">IF(OR('Step 6-PiN'!$J4=4,'Step 6-PiN'!$J4=5),_xlfn.CONCAT("&gt;",'Step 6-PiN'!$K4),IF('Step 6-PiN'!$J4=3,_xlfn.CONCAT("&gt;=",'Step 6-PiN'!$K4),IF('Step 6-PiN'!$J4=2,_xlfn.CONCAT("&lt;",'Step 6-PiN'!$K4),_xlfn.CONCAT("&lt;",ROUND('Step 6-PiN'!$K4/4,0)))))</f>
        <v>&gt;=110012</v>
      </c>
      <c r="M4" s="71" cm="1">
        <f t="array" aca="1" ref="M4" ca="1">MAX(IF(Long_Data[Key]= PiN[[#This Row],[Key]],Long_Data[Calculated PiN]))</f>
        <v>440047.00000000012</v>
      </c>
      <c r="N4" s="71">
        <v>0</v>
      </c>
      <c r="O4" s="71">
        <v>2774.9962413799949</v>
      </c>
      <c r="P4" s="71">
        <v>5635.5696705041701</v>
      </c>
      <c r="Q4" s="71">
        <v>27.116357504215845</v>
      </c>
      <c r="R4" s="71">
        <v>155.22837386518646</v>
      </c>
      <c r="S4" s="71">
        <v>1941.4573007018646</v>
      </c>
      <c r="T4" s="71">
        <v>3404.4542796194246</v>
      </c>
      <c r="U4" s="71">
        <v>3023.9915727918124</v>
      </c>
    </row>
    <row r="5" spans="2:22">
      <c r="B5">
        <v>3</v>
      </c>
      <c r="E5" t="str">
        <f>IFERROR(INDEX(Data_Entry[ADM2_COUNTY],MATCH('Step 6-PiN'!B5,Data_Entry[ID],0)),"NA")</f>
        <v>Parwan</v>
      </c>
      <c r="F5" t="str">
        <f>IFERROR(INDEX(Data_Entry[ADM2_Pcode],MATCH('Step 6-PiN'!B5,Data_Entry[ID],0)),"NA")</f>
        <v>AF03</v>
      </c>
      <c r="G5" s="71">
        <f>IFERROR(INDEX(Data_Entry[Group Population],MATCH('Step 6-PiN'!B5,Data_Entry[ID],0)),"NA")</f>
        <v>664805</v>
      </c>
      <c r="H5" t="str">
        <f>IFERROR(INDEX(Data_Entry[Group Name],MATCH('Step 6-PiN'!B5,Data_Entry[ID],0)),"NA")</f>
        <v>All_Others</v>
      </c>
      <c r="I5" t="str">
        <f>IFERROR(INDEX(Data_Entry[Key],MATCH('Step 6-PiN'!B5,Data_Entry[ID],0)),"NA")</f>
        <v>AF03-All_Others</v>
      </c>
      <c r="J5">
        <f ca="1">INDEX(Severity[Severity Corrected for Critical Max (rounded)],MATCH(PiN[[#This Row],[ADM2_Pcode]],Severity[ADM2_Pcode],0))</f>
        <v>3</v>
      </c>
      <c r="K5" s="71">
        <f t="shared" ca="1" si="1"/>
        <v>166201</v>
      </c>
      <c r="L5" t="str">
        <f ca="1">IF(OR('Step 6-PiN'!$J5=4,'Step 6-PiN'!$J5=5),_xlfn.CONCAT("&gt;",'Step 6-PiN'!$K5),IF('Step 6-PiN'!$J5=3,_xlfn.CONCAT("&gt;=",'Step 6-PiN'!$K5),IF('Step 6-PiN'!$J5=2,_xlfn.CONCAT("&lt;",'Step 6-PiN'!$K5),_xlfn.CONCAT("&lt;",ROUND('Step 6-PiN'!$K5/4,0)))))</f>
        <v>&gt;=166201</v>
      </c>
      <c r="M5" s="71" cm="1">
        <f t="array" aca="1" ref="M5" ca="1">MAX(IF(Long_Data[Key]= PiN[[#This Row],[Key]],Long_Data[Calculated PiN]))</f>
        <v>652643.93292682944</v>
      </c>
      <c r="N5" s="71">
        <v>0</v>
      </c>
      <c r="O5" s="71">
        <v>546.06366109445344</v>
      </c>
      <c r="P5" s="71">
        <v>8236.6018261214758</v>
      </c>
      <c r="Q5" s="71">
        <v>57.740303541315335</v>
      </c>
      <c r="R5" s="71">
        <v>680.1825109365443</v>
      </c>
      <c r="S5" s="71">
        <v>2479.0982631658276</v>
      </c>
      <c r="T5" s="71">
        <v>3648.1141427116099</v>
      </c>
      <c r="U5" s="71">
        <v>4568.5177884136729</v>
      </c>
    </row>
    <row r="6" spans="2:22">
      <c r="B6">
        <v>4</v>
      </c>
      <c r="E6" t="str">
        <f>IFERROR(INDEX(Data_Entry[ADM2_COUNTY],MATCH('Step 6-PiN'!B6,Data_Entry[ID],0)),"NA")</f>
        <v>Wardak</v>
      </c>
      <c r="F6" t="str">
        <f>IFERROR(INDEX(Data_Entry[ADM2_Pcode],MATCH('Step 6-PiN'!B6,Data_Entry[ID],0)),"NA")</f>
        <v>AF04</v>
      </c>
      <c r="G6" s="71">
        <f>IFERROR(INDEX(Data_Entry[Group Population],MATCH('Step 6-PiN'!B6,Data_Entry[ID],0)),"NA")</f>
        <v>595013</v>
      </c>
      <c r="H6" t="str">
        <f>IFERROR(INDEX(Data_Entry[Group Name],MATCH('Step 6-PiN'!B6,Data_Entry[ID],0)),"NA")</f>
        <v>All_Others</v>
      </c>
      <c r="I6" t="str">
        <f>IFERROR(INDEX(Data_Entry[Key],MATCH('Step 6-PiN'!B6,Data_Entry[ID],0)),"NA")</f>
        <v>AF04-All_Others</v>
      </c>
      <c r="J6">
        <f ca="1">INDEX(Severity[Severity Corrected for Critical Max (rounded)],MATCH(PiN[[#This Row],[ADM2_Pcode]],Severity[ADM2_Pcode],0))</f>
        <v>3</v>
      </c>
      <c r="K6" s="71">
        <f t="shared" ca="1" si="1"/>
        <v>148753</v>
      </c>
      <c r="L6" t="str">
        <f ca="1">IF(OR('Step 6-PiN'!$J6=4,'Step 6-PiN'!$J6=5),_xlfn.CONCAT("&gt;",'Step 6-PiN'!$K6),IF('Step 6-PiN'!$J6=3,_xlfn.CONCAT("&gt;=",'Step 6-PiN'!$K6),IF('Step 6-PiN'!$J6=2,_xlfn.CONCAT("&lt;",'Step 6-PiN'!$K6),_xlfn.CONCAT("&lt;",ROUND('Step 6-PiN'!$K6/4,0)))))</f>
        <v>&gt;=148753</v>
      </c>
      <c r="M6" s="71" cm="1">
        <f t="array" aca="1" ref="M6" ca="1">MAX(IF(Long_Data[Key]= PiN[[#This Row],[Key]],Long_Data[Calculated PiN]))</f>
        <v>595013</v>
      </c>
      <c r="N6" s="71">
        <v>0</v>
      </c>
      <c r="O6" s="71">
        <v>2035.3281913520534</v>
      </c>
      <c r="P6" s="71">
        <v>5202.064311234617</v>
      </c>
      <c r="Q6" s="71">
        <v>65.16020236087688</v>
      </c>
      <c r="R6" s="71">
        <v>383.83743355755206</v>
      </c>
      <c r="S6" s="71">
        <v>2511.4343274679909</v>
      </c>
      <c r="T6" s="71">
        <v>315.71280578150481</v>
      </c>
      <c r="U6" s="71">
        <v>4088.9108987508939</v>
      </c>
    </row>
    <row r="7" spans="2:22">
      <c r="B7">
        <v>5</v>
      </c>
      <c r="E7" t="str">
        <f>IFERROR(INDEX(Data_Entry[ADM2_COUNTY],MATCH('Step 6-PiN'!B7,Data_Entry[ID],0)),"NA")</f>
        <v>Logar</v>
      </c>
      <c r="F7" t="str">
        <f>IFERROR(INDEX(Data_Entry[ADM2_Pcode],MATCH('Step 6-PiN'!B7,Data_Entry[ID],0)),"NA")</f>
        <v>AF05</v>
      </c>
      <c r="G7" s="71">
        <f>IFERROR(INDEX(Data_Entry[Group Population],MATCH('Step 6-PiN'!B7,Data_Entry[ID],0)),"NA")</f>
        <v>391451</v>
      </c>
      <c r="H7" t="str">
        <f>IFERROR(INDEX(Data_Entry[Group Name],MATCH('Step 6-PiN'!B7,Data_Entry[ID],0)),"NA")</f>
        <v>All_Others</v>
      </c>
      <c r="I7" t="str">
        <f>IFERROR(INDEX(Data_Entry[Key],MATCH('Step 6-PiN'!B7,Data_Entry[ID],0)),"NA")</f>
        <v>AF05-All_Others</v>
      </c>
      <c r="J7">
        <f ca="1">INDEX(Severity[Severity Corrected for Critical Max (rounded)],MATCH(PiN[[#This Row],[ADM2_Pcode]],Severity[ADM2_Pcode],0))</f>
        <v>4</v>
      </c>
      <c r="K7" s="71">
        <f t="shared" ca="1" si="1"/>
        <v>97863</v>
      </c>
      <c r="L7" t="str">
        <f ca="1">IF(OR('Step 6-PiN'!$J7=4,'Step 6-PiN'!$J7=5),_xlfn.CONCAT("&gt;",'Step 6-PiN'!$K7),IF('Step 6-PiN'!$J7=3,_xlfn.CONCAT("&gt;=",'Step 6-PiN'!$K7),IF('Step 6-PiN'!$J7=2,_xlfn.CONCAT("&lt;",'Step 6-PiN'!$K7),_xlfn.CONCAT("&lt;",ROUND('Step 6-PiN'!$K7/4,0)))))</f>
        <v>&gt;97863</v>
      </c>
      <c r="M7" s="71" cm="1">
        <f t="array" aca="1" ref="M7" ca="1">MAX(IF(Long_Data[Key]= PiN[[#This Row],[Key]],Long_Data[Calculated PiN]))</f>
        <v>391450.99999999994</v>
      </c>
      <c r="N7" s="71">
        <v>0</v>
      </c>
      <c r="O7" s="71">
        <v>1082.1988919871897</v>
      </c>
      <c r="P7" s="71">
        <v>2043.6681222707423</v>
      </c>
      <c r="Q7" s="71">
        <v>420.91062394603699</v>
      </c>
      <c r="R7" s="71">
        <v>2771.5320570111471</v>
      </c>
      <c r="S7" s="71">
        <v>2277.267328479827</v>
      </c>
      <c r="T7" s="71">
        <v>3664.1231524517539</v>
      </c>
      <c r="U7" s="71">
        <v>2690.0374623602752</v>
      </c>
    </row>
    <row r="8" spans="2:22">
      <c r="B8">
        <v>6</v>
      </c>
      <c r="E8" t="str">
        <f>IFERROR(INDEX(Data_Entry[ADM2_COUNTY],MATCH('Step 6-PiN'!B8,Data_Entry[ID],0)),"NA")</f>
        <v>Nangarhar</v>
      </c>
      <c r="F8" t="str">
        <f>IFERROR(INDEX(Data_Entry[ADM2_Pcode],MATCH('Step 6-PiN'!B8,Data_Entry[ID],0)),"NA")</f>
        <v>AF06</v>
      </c>
      <c r="G8" s="71">
        <f>IFERROR(INDEX(Data_Entry[Group Population],MATCH('Step 6-PiN'!B8,Data_Entry[ID],0)),"NA")</f>
        <v>1533540</v>
      </c>
      <c r="H8" t="str">
        <f>IFERROR(INDEX(Data_Entry[Group Name],MATCH('Step 6-PiN'!B8,Data_Entry[ID],0)),"NA")</f>
        <v>All_Others</v>
      </c>
      <c r="I8" t="str">
        <f>IFERROR(INDEX(Data_Entry[Key],MATCH('Step 6-PiN'!B8,Data_Entry[ID],0)),"NA")</f>
        <v>AF06-All_Others</v>
      </c>
      <c r="J8">
        <f ca="1">INDEX(Severity[Severity Corrected for Critical Max (rounded)],MATCH(PiN[[#This Row],[ADM2_Pcode]],Severity[ADM2_Pcode],0))</f>
        <v>4</v>
      </c>
      <c r="K8" s="71">
        <f t="shared" ca="1" si="1"/>
        <v>383385</v>
      </c>
      <c r="L8" t="str">
        <f ca="1">IF(OR('Step 6-PiN'!$J8=4,'Step 6-PiN'!$J8=5),_xlfn.CONCAT("&gt;",'Step 6-PiN'!$K8),IF('Step 6-PiN'!$J8=3,_xlfn.CONCAT("&gt;=",'Step 6-PiN'!$K8),IF('Step 6-PiN'!$J8=2,_xlfn.CONCAT("&lt;",'Step 6-PiN'!$K8),_xlfn.CONCAT("&lt;",ROUND('Step 6-PiN'!$K8/4,0)))))</f>
        <v>&gt;383385</v>
      </c>
      <c r="M8" s="71" cm="1">
        <f t="array" aca="1" ref="M8" ca="1">MAX(IF(Long_Data[Key]= PiN[[#This Row],[Key]],Long_Data[Calculated PiN]))</f>
        <v>1487761.7529223631</v>
      </c>
      <c r="N8" s="71">
        <v>0</v>
      </c>
      <c r="O8" s="71">
        <v>40510.12274376423</v>
      </c>
      <c r="P8" s="71">
        <v>3220.325526002382</v>
      </c>
      <c r="Q8" s="71">
        <v>13942.124789207417</v>
      </c>
      <c r="R8" s="71">
        <v>8498.0478856013906</v>
      </c>
      <c r="S8" s="71">
        <v>6102.4620551041953</v>
      </c>
      <c r="T8" s="71">
        <v>8593.8577053152876</v>
      </c>
      <c r="U8" s="71">
        <v>10538.443218989261</v>
      </c>
    </row>
    <row r="9" spans="2:22">
      <c r="B9">
        <v>7</v>
      </c>
      <c r="E9" t="str">
        <f>IFERROR(INDEX(Data_Entry[ADM2_COUNTY],MATCH('Step 6-PiN'!B9,Data_Entry[ID],0)),"NA")</f>
        <v>Laghman</v>
      </c>
      <c r="F9" t="str">
        <f>IFERROR(INDEX(Data_Entry[ADM2_Pcode],MATCH('Step 6-PiN'!B9,Data_Entry[ID],0)),"NA")</f>
        <v>AF07</v>
      </c>
      <c r="G9" s="71">
        <f>IFERROR(INDEX(Data_Entry[Group Population],MATCH('Step 6-PiN'!B9,Data_Entry[ID],0)),"NA")</f>
        <v>444722</v>
      </c>
      <c r="H9" t="str">
        <f>IFERROR(INDEX(Data_Entry[Group Name],MATCH('Step 6-PiN'!B9,Data_Entry[ID],0)),"NA")</f>
        <v>All_Others</v>
      </c>
      <c r="I9" t="str">
        <f>IFERROR(INDEX(Data_Entry[Key],MATCH('Step 6-PiN'!B9,Data_Entry[ID],0)),"NA")</f>
        <v>AF07-All_Others</v>
      </c>
      <c r="J9">
        <f ca="1">INDEX(Severity[Severity Corrected for Critical Max (rounded)],MATCH(PiN[[#This Row],[ADM2_Pcode]],Severity[ADM2_Pcode],0))</f>
        <v>3</v>
      </c>
      <c r="K9" s="71">
        <f t="shared" ca="1" si="1"/>
        <v>111181</v>
      </c>
      <c r="L9" t="str">
        <f ca="1">IF(OR('Step 6-PiN'!$J9=4,'Step 6-PiN'!$J9=5),_xlfn.CONCAT("&gt;",'Step 6-PiN'!$K9),IF('Step 6-PiN'!$J9=3,_xlfn.CONCAT("&gt;=",'Step 6-PiN'!$K9),IF('Step 6-PiN'!$J9=2,_xlfn.CONCAT("&lt;",'Step 6-PiN'!$K9),_xlfn.CONCAT("&lt;",ROUND('Step 6-PiN'!$K9/4,0)))))</f>
        <v>&gt;=111181</v>
      </c>
      <c r="M9" s="71" cm="1">
        <f t="array" aca="1" ref="M9" ca="1">MAX(IF(Long_Data[Key]= PiN[[#This Row],[Key]],Long_Data[Calculated PiN]))</f>
        <v>391152.02112385927</v>
      </c>
      <c r="N9" s="71">
        <v>0</v>
      </c>
      <c r="O9" s="71">
        <v>3993.3564618478795</v>
      </c>
      <c r="P9" s="71">
        <v>4582.7709408495439</v>
      </c>
      <c r="Q9" s="71">
        <v>1124.317032040472</v>
      </c>
      <c r="R9" s="71">
        <v>1620.0197563384916</v>
      </c>
      <c r="S9" s="71">
        <v>2141.3660360099034</v>
      </c>
      <c r="T9" s="71">
        <v>4382.0370798428894</v>
      </c>
      <c r="U9" s="71">
        <v>3056.1171243608364</v>
      </c>
    </row>
    <row r="10" spans="2:22">
      <c r="B10">
        <v>8</v>
      </c>
      <c r="E10" t="str">
        <f>IFERROR(INDEX(Data_Entry[ADM2_COUNTY],MATCH('Step 6-PiN'!B10,Data_Entry[ID],0)),"NA")</f>
        <v>Panjsher</v>
      </c>
      <c r="F10" t="str">
        <f>IFERROR(INDEX(Data_Entry[ADM2_Pcode],MATCH('Step 6-PiN'!B10,Data_Entry[ID],0)),"NA")</f>
        <v>AF08</v>
      </c>
      <c r="G10" s="71">
        <f>IFERROR(INDEX(Data_Entry[Group Population],MATCH('Step 6-PiN'!B10,Data_Entry[ID],0)),"NA")</f>
        <v>153134</v>
      </c>
      <c r="H10" t="str">
        <f>IFERROR(INDEX(Data_Entry[Group Name],MATCH('Step 6-PiN'!B10,Data_Entry[ID],0)),"NA")</f>
        <v>All_Others</v>
      </c>
      <c r="I10" t="str">
        <f>IFERROR(INDEX(Data_Entry[Key],MATCH('Step 6-PiN'!B10,Data_Entry[ID],0)),"NA")</f>
        <v>AF08-All_Others</v>
      </c>
      <c r="J10">
        <f ca="1">INDEX(Severity[Severity Corrected for Critical Max (rounded)],MATCH(PiN[[#This Row],[ADM2_Pcode]],Severity[ADM2_Pcode],0))</f>
        <v>3</v>
      </c>
      <c r="K10" s="71">
        <f t="shared" ca="1" si="1"/>
        <v>38284</v>
      </c>
      <c r="L10" t="str">
        <f ca="1">IF(OR('Step 6-PiN'!$J10=4,'Step 6-PiN'!$J10=5),_xlfn.CONCAT("&gt;",'Step 6-PiN'!$K10),IF('Step 6-PiN'!$J10=3,_xlfn.CONCAT("&gt;=",'Step 6-PiN'!$K10),IF('Step 6-PiN'!$J10=2,_xlfn.CONCAT("&lt;",'Step 6-PiN'!$K10),_xlfn.CONCAT("&lt;",ROUND('Step 6-PiN'!$K10/4,0)))))</f>
        <v>&gt;=38284</v>
      </c>
      <c r="M10" s="71" cm="1">
        <f t="array" aca="1" ref="M10" ca="1">MAX(IF(Long_Data[Key]= PiN[[#This Row],[Key]],Long_Data[Calculated PiN]))</f>
        <v>153134</v>
      </c>
      <c r="N10" s="71">
        <v>0</v>
      </c>
      <c r="O10" s="71">
        <v>1007.7356654743094</v>
      </c>
      <c r="P10" s="71">
        <v>557.36403334656609</v>
      </c>
      <c r="Q10" s="71">
        <v>3.372681281618886</v>
      </c>
      <c r="R10" s="71">
        <v>11.289336281104472</v>
      </c>
      <c r="S10" s="71">
        <v>1683.8774513463495</v>
      </c>
      <c r="T10" s="71">
        <v>2051.36018957346</v>
      </c>
      <c r="U10" s="71">
        <v>1052.3337785012734</v>
      </c>
    </row>
    <row r="11" spans="2:22">
      <c r="B11">
        <v>9</v>
      </c>
      <c r="E11" t="str">
        <f>IFERROR(INDEX(Data_Entry[ADM2_COUNTY],MATCH('Step 6-PiN'!B11,Data_Entry[ID],0)),"NA")</f>
        <v>Baghlan</v>
      </c>
      <c r="F11" t="str">
        <f>IFERROR(INDEX(Data_Entry[ADM2_Pcode],MATCH('Step 6-PiN'!B11,Data_Entry[ID],0)),"NA")</f>
        <v>AF09</v>
      </c>
      <c r="G11" s="71">
        <f>IFERROR(INDEX(Data_Entry[Group Population],MATCH('Step 6-PiN'!B11,Data_Entry[ID],0)),"NA")</f>
        <v>914370</v>
      </c>
      <c r="H11" t="str">
        <f>IFERROR(INDEX(Data_Entry[Group Name],MATCH('Step 6-PiN'!B11,Data_Entry[ID],0)),"NA")</f>
        <v>All_Others</v>
      </c>
      <c r="I11" t="str">
        <f>IFERROR(INDEX(Data_Entry[Key],MATCH('Step 6-PiN'!B11,Data_Entry[ID],0)),"NA")</f>
        <v>AF09-All_Others</v>
      </c>
      <c r="J11">
        <f ca="1">INDEX(Severity[Severity Corrected for Critical Max (rounded)],MATCH(PiN[[#This Row],[ADM2_Pcode]],Severity[ADM2_Pcode],0))</f>
        <v>4</v>
      </c>
      <c r="K11" s="71">
        <f t="shared" ca="1" si="1"/>
        <v>228593</v>
      </c>
      <c r="L11" t="str">
        <f ca="1">IF(OR('Step 6-PiN'!$J11=4,'Step 6-PiN'!$J11=5),_xlfn.CONCAT("&gt;",'Step 6-PiN'!$K11),IF('Step 6-PiN'!$J11=3,_xlfn.CONCAT("&gt;=",'Step 6-PiN'!$K11),IF('Step 6-PiN'!$J11=2,_xlfn.CONCAT("&lt;",'Step 6-PiN'!$K11),_xlfn.CONCAT("&lt;",ROUND('Step 6-PiN'!$K11/4,0)))))</f>
        <v>&gt;228593</v>
      </c>
      <c r="M11" s="71" cm="1">
        <f t="array" aca="1" ref="M11" ca="1">MAX(IF(Long_Data[Key]= PiN[[#This Row],[Key]],Long_Data[Calculated PiN]))</f>
        <v>812773.33333333349</v>
      </c>
      <c r="N11" s="71">
        <v>0</v>
      </c>
      <c r="O11" s="71">
        <v>41768.905858624828</v>
      </c>
      <c r="P11" s="71">
        <v>24524.017467248905</v>
      </c>
      <c r="Q11" s="71">
        <v>446.67790893760525</v>
      </c>
      <c r="R11" s="71">
        <v>1854.2734841714093</v>
      </c>
      <c r="S11" s="71">
        <v>7080.3046396016052</v>
      </c>
      <c r="T11" s="71">
        <v>2586.6186291501344</v>
      </c>
      <c r="U11" s="71">
        <v>6283.5247369676772</v>
      </c>
    </row>
    <row r="12" spans="2:22">
      <c r="B12">
        <v>10</v>
      </c>
      <c r="E12" t="str">
        <f>IFERROR(INDEX(Data_Entry[ADM2_COUNTY],MATCH('Step 6-PiN'!B12,Data_Entry[ID],0)),"NA")</f>
        <v>Bamyan</v>
      </c>
      <c r="F12" t="str">
        <f>IFERROR(INDEX(Data_Entry[ADM2_Pcode],MATCH('Step 6-PiN'!B12,Data_Entry[ID],0)),"NA")</f>
        <v>AF10</v>
      </c>
      <c r="G12" s="71">
        <f>IFERROR(INDEX(Data_Entry[Group Population],MATCH('Step 6-PiN'!B12,Data_Entry[ID],0)),"NA")</f>
        <v>446588</v>
      </c>
      <c r="H12" t="str">
        <f>IFERROR(INDEX(Data_Entry[Group Name],MATCH('Step 6-PiN'!B12,Data_Entry[ID],0)),"NA")</f>
        <v>All_Others</v>
      </c>
      <c r="I12" t="str">
        <f>IFERROR(INDEX(Data_Entry[Key],MATCH('Step 6-PiN'!B12,Data_Entry[ID],0)),"NA")</f>
        <v>AF10-All_Others</v>
      </c>
      <c r="J12">
        <f ca="1">INDEX(Severity[Severity Corrected for Critical Max (rounded)],MATCH(PiN[[#This Row],[ADM2_Pcode]],Severity[ADM2_Pcode],0))</f>
        <v>3</v>
      </c>
      <c r="K12" s="71">
        <f t="shared" ca="1" si="1"/>
        <v>111647</v>
      </c>
      <c r="L12" t="str">
        <f ca="1">IF(OR('Step 6-PiN'!$J12=4,'Step 6-PiN'!$J12=5),_xlfn.CONCAT("&gt;",'Step 6-PiN'!$K12),IF('Step 6-PiN'!$J12=3,_xlfn.CONCAT("&gt;=",'Step 6-PiN'!$K12),IF('Step 6-PiN'!$J12=2,_xlfn.CONCAT("&lt;",'Step 6-PiN'!$K12),_xlfn.CONCAT("&lt;",ROUND('Step 6-PiN'!$K12/4,0)))))</f>
        <v>&gt;=111647</v>
      </c>
      <c r="M12" s="71" cm="1">
        <f t="array" aca="1" ref="M12" ca="1">MAX(IF(Long_Data[Key]= PiN[[#This Row],[Key]],Long_Data[Calculated PiN]))</f>
        <v>446588</v>
      </c>
      <c r="N12" s="71">
        <v>0</v>
      </c>
      <c r="O12" s="71">
        <v>2373.6039917962798</v>
      </c>
      <c r="P12" s="71">
        <v>5573.6403334656616</v>
      </c>
      <c r="Q12" s="71">
        <v>0.26981450252951095</v>
      </c>
      <c r="R12" s="71">
        <v>445.92878310362659</v>
      </c>
      <c r="S12" s="71">
        <v>3879.1959540089806</v>
      </c>
      <c r="T12" s="71">
        <v>495.98760085556677</v>
      </c>
      <c r="U12" s="71">
        <v>3068.9420054557099</v>
      </c>
    </row>
    <row r="13" spans="2:22">
      <c r="B13">
        <v>11</v>
      </c>
      <c r="E13" t="str">
        <f>IFERROR(INDEX(Data_Entry[ADM2_COUNTY],MATCH('Step 6-PiN'!B13,Data_Entry[ID],0)),"NA")</f>
        <v>Kabul</v>
      </c>
      <c r="F13" t="str">
        <f>IFERROR(INDEX(Data_Entry[ADM2_Pcode],MATCH('Step 6-PiN'!B13,Data_Entry[ID],0)),"NA")</f>
        <v>AF01</v>
      </c>
      <c r="G13" s="71">
        <f>IFERROR(INDEX(Data_Entry[Group Population],MATCH('Step 6-PiN'!B13,Data_Entry[ID],0)),"NA")</f>
        <v>670052</v>
      </c>
      <c r="H13" t="str">
        <f>IFERROR(INDEX(Data_Entry[Group Name],MATCH('Step 6-PiN'!B13,Data_Entry[ID],0)),"NA")</f>
        <v>Non_Displaced</v>
      </c>
      <c r="I13" t="str">
        <f>IFERROR(INDEX(Data_Entry[Key],MATCH('Step 6-PiN'!B13,Data_Entry[ID],0)),"NA")</f>
        <v>AF01-Non_Displaced</v>
      </c>
      <c r="J13">
        <f ca="1">INDEX(Severity[Severity Corrected for Critical Max (rounded)],MATCH(PiN[[#This Row],[ADM2_Pcode]],Severity[ADM2_Pcode],0))</f>
        <v>4</v>
      </c>
      <c r="K13" s="71">
        <f t="shared" ca="1" si="1"/>
        <v>167513</v>
      </c>
      <c r="L13" t="str">
        <f ca="1">IF(OR('Step 6-PiN'!$J13=4,'Step 6-PiN'!$J13=5),_xlfn.CONCAT("&gt;",'Step 6-PiN'!$K13),IF('Step 6-PiN'!$J13=3,_xlfn.CONCAT("&gt;=",'Step 6-PiN'!$K13),IF('Step 6-PiN'!$J13=2,_xlfn.CONCAT("&lt;",'Step 6-PiN'!$K13),_xlfn.CONCAT("&lt;",ROUND('Step 6-PiN'!$K13/4,0)))))</f>
        <v>&gt;167513</v>
      </c>
      <c r="M13" s="71" cm="1">
        <f t="array" aca="1" ref="M13" ca="1">MAX(IF(Long_Data[Key]= PiN[[#This Row],[Key]],Long_Data[Calculated PiN]))</f>
        <v>658499.37931034539</v>
      </c>
      <c r="N13" s="71">
        <v>0</v>
      </c>
      <c r="O13" s="71">
        <v>7075.4248658952747</v>
      </c>
      <c r="P13" s="71">
        <v>29602.223104406512</v>
      </c>
      <c r="Q13" s="71">
        <v>3815.311973018549</v>
      </c>
      <c r="R13" s="71">
        <v>15082.553271555575</v>
      </c>
      <c r="S13" s="71">
        <v>5700.7762785506602</v>
      </c>
      <c r="T13" s="71">
        <v>4226.5012444866097</v>
      </c>
      <c r="U13" s="71">
        <v>32232.01709493309</v>
      </c>
    </row>
    <row r="14" spans="2:22">
      <c r="B14">
        <v>12</v>
      </c>
      <c r="E14" t="str">
        <f>IFERROR(INDEX(Data_Entry[ADM2_COUNTY],MATCH('Step 6-PiN'!B14,Data_Entry[ID],0)),"NA")</f>
        <v>Kapisa</v>
      </c>
      <c r="F14" t="str">
        <f>IFERROR(INDEX(Data_Entry[ADM2_Pcode],MATCH('Step 6-PiN'!B14,Data_Entry[ID],0)),"NA")</f>
        <v>AF02</v>
      </c>
      <c r="G14" s="71">
        <f>IFERROR(INDEX(Data_Entry[Group Population],MATCH('Step 6-PiN'!B14,Data_Entry[ID],0)),"NA")</f>
        <v>62864</v>
      </c>
      <c r="H14" t="str">
        <f>IFERROR(INDEX(Data_Entry[Group Name],MATCH('Step 6-PiN'!B14,Data_Entry[ID],0)),"NA")</f>
        <v>Non_Displaced</v>
      </c>
      <c r="I14" t="str">
        <f>IFERROR(INDEX(Data_Entry[Key],MATCH('Step 6-PiN'!B14,Data_Entry[ID],0)),"NA")</f>
        <v>AF02-Non_Displaced</v>
      </c>
      <c r="J14">
        <f ca="1">INDEX(Severity[Severity Corrected for Critical Max (rounded)],MATCH(PiN[[#This Row],[ADM2_Pcode]],Severity[ADM2_Pcode],0))</f>
        <v>3</v>
      </c>
      <c r="K14" s="71">
        <f t="shared" ca="1" si="1"/>
        <v>15716</v>
      </c>
      <c r="L14" t="str">
        <f ca="1">IF(OR('Step 6-PiN'!$J14=4,'Step 6-PiN'!$J14=5),_xlfn.CONCAT("&gt;",'Step 6-PiN'!$K14),IF('Step 6-PiN'!$J14=3,_xlfn.CONCAT("&gt;=",'Step 6-PiN'!$K14),IF('Step 6-PiN'!$J14=2,_xlfn.CONCAT("&lt;",'Step 6-PiN'!$K14),_xlfn.CONCAT("&lt;",ROUND('Step 6-PiN'!$K14/4,0)))))</f>
        <v>&gt;=15716</v>
      </c>
      <c r="M14" s="71" cm="1">
        <f t="array" aca="1" ref="M14" ca="1">MAX(IF(Long_Data[Key]= PiN[[#This Row],[Key]],Long_Data[Calculated PiN]))</f>
        <v>62864.000000000015</v>
      </c>
      <c r="N14" s="71">
        <v>0</v>
      </c>
      <c r="O14" s="71">
        <v>2774.9962413799949</v>
      </c>
      <c r="P14" s="71">
        <v>5635.5696705041701</v>
      </c>
      <c r="Q14" s="71">
        <v>27.116357504215845</v>
      </c>
      <c r="R14" s="71">
        <v>155.22837386518646</v>
      </c>
      <c r="S14" s="71">
        <v>1941.4573007018646</v>
      </c>
      <c r="T14" s="71">
        <v>3404.4542796194246</v>
      </c>
      <c r="U14" s="71">
        <v>3023.9915727918124</v>
      </c>
    </row>
    <row r="15" spans="2:22">
      <c r="B15">
        <v>13</v>
      </c>
      <c r="E15" t="str">
        <f>IFERROR(INDEX(Data_Entry[ADM2_COUNTY],MATCH('Step 6-PiN'!B15,Data_Entry[ID],0)),"NA")</f>
        <v>Parwan</v>
      </c>
      <c r="F15" t="str">
        <f>IFERROR(INDEX(Data_Entry[ADM2_Pcode],MATCH('Step 6-PiN'!B15,Data_Entry[ID],0)),"NA")</f>
        <v>AF03</v>
      </c>
      <c r="G15" s="71">
        <f>IFERROR(INDEX(Data_Entry[Group Population],MATCH('Step 6-PiN'!B15,Data_Entry[ID],0)),"NA")</f>
        <v>94972</v>
      </c>
      <c r="H15" t="str">
        <f>IFERROR(INDEX(Data_Entry[Group Name],MATCH('Step 6-PiN'!B15,Data_Entry[ID],0)),"NA")</f>
        <v>Non_Displaced</v>
      </c>
      <c r="I15" t="str">
        <f>IFERROR(INDEX(Data_Entry[Key],MATCH('Step 6-PiN'!B15,Data_Entry[ID],0)),"NA")</f>
        <v>AF03-Non_Displaced</v>
      </c>
      <c r="J15">
        <f ca="1">INDEX(Severity[Severity Corrected for Critical Max (rounded)],MATCH(PiN[[#This Row],[ADM2_Pcode]],Severity[ADM2_Pcode],0))</f>
        <v>3</v>
      </c>
      <c r="K15" s="71">
        <f t="shared" ca="1" si="1"/>
        <v>23743</v>
      </c>
      <c r="L15" t="str">
        <f ca="1">IF(OR('Step 6-PiN'!$J15=4,'Step 6-PiN'!$J15=5),_xlfn.CONCAT("&gt;",'Step 6-PiN'!$K15),IF('Step 6-PiN'!$J15=3,_xlfn.CONCAT("&gt;=",'Step 6-PiN'!$K15),IF('Step 6-PiN'!$J15=2,_xlfn.CONCAT("&lt;",'Step 6-PiN'!$K15),_xlfn.CONCAT("&lt;",ROUND('Step 6-PiN'!$K15/4,0)))))</f>
        <v>&gt;=23743</v>
      </c>
      <c r="M15" s="71" cm="1">
        <f t="array" aca="1" ref="M15" ca="1">MAX(IF(Long_Data[Key]= PiN[[#This Row],[Key]],Long_Data[Calculated PiN]))</f>
        <v>93234.707317073204</v>
      </c>
      <c r="N15" s="71">
        <v>0</v>
      </c>
      <c r="O15" s="71">
        <v>546.06366109445344</v>
      </c>
      <c r="P15" s="71">
        <v>8236.6018261214758</v>
      </c>
      <c r="Q15" s="71">
        <v>57.740303541315335</v>
      </c>
      <c r="R15" s="71">
        <v>680.1825109365443</v>
      </c>
      <c r="S15" s="71">
        <v>2479.0982631658276</v>
      </c>
      <c r="T15" s="71">
        <v>3648.1141427116099</v>
      </c>
      <c r="U15" s="71">
        <v>4568.5177884136729</v>
      </c>
    </row>
    <row r="16" spans="2:22">
      <c r="B16">
        <v>14</v>
      </c>
      <c r="E16" t="str">
        <f>IFERROR(INDEX(Data_Entry[ADM2_COUNTY],MATCH('Step 6-PiN'!B16,Data_Entry[ID],0)),"NA")</f>
        <v>Wardak</v>
      </c>
      <c r="F16" t="str">
        <f>IFERROR(INDEX(Data_Entry[ADM2_Pcode],MATCH('Step 6-PiN'!B16,Data_Entry[ID],0)),"NA")</f>
        <v>AF04</v>
      </c>
      <c r="G16" s="71">
        <f>IFERROR(INDEX(Data_Entry[Group Population],MATCH('Step 6-PiN'!B16,Data_Entry[ID],0)),"NA")</f>
        <v>85002</v>
      </c>
      <c r="H16" t="str">
        <f>IFERROR(INDEX(Data_Entry[Group Name],MATCH('Step 6-PiN'!B16,Data_Entry[ID],0)),"NA")</f>
        <v>Non_Displaced</v>
      </c>
      <c r="I16" t="str">
        <f>IFERROR(INDEX(Data_Entry[Key],MATCH('Step 6-PiN'!B16,Data_Entry[ID],0)),"NA")</f>
        <v>AF04-Non_Displaced</v>
      </c>
      <c r="J16">
        <f ca="1">INDEX(Severity[Severity Corrected for Critical Max (rounded)],MATCH(PiN[[#This Row],[ADM2_Pcode]],Severity[ADM2_Pcode],0))</f>
        <v>3</v>
      </c>
      <c r="K16" s="71">
        <f t="shared" ca="1" si="1"/>
        <v>21251</v>
      </c>
      <c r="L16" t="str">
        <f ca="1">IF(OR('Step 6-PiN'!$J16=4,'Step 6-PiN'!$J16=5),_xlfn.CONCAT("&gt;",'Step 6-PiN'!$K16),IF('Step 6-PiN'!$J16=3,_xlfn.CONCAT("&gt;=",'Step 6-PiN'!$K16),IF('Step 6-PiN'!$J16=2,_xlfn.CONCAT("&lt;",'Step 6-PiN'!$K16),_xlfn.CONCAT("&lt;",ROUND('Step 6-PiN'!$K16/4,0)))))</f>
        <v>&gt;=21251</v>
      </c>
      <c r="M16" s="71" cm="1">
        <f t="array" aca="1" ref="M16" ca="1">MAX(IF(Long_Data[Key]= PiN[[#This Row],[Key]],Long_Data[Calculated PiN]))</f>
        <v>85002</v>
      </c>
      <c r="N16" s="71">
        <v>0</v>
      </c>
      <c r="O16" s="71">
        <v>2035.3281913520534</v>
      </c>
      <c r="P16" s="71">
        <v>5202.064311234617</v>
      </c>
      <c r="Q16" s="71">
        <v>65.16020236087688</v>
      </c>
      <c r="R16" s="71">
        <v>383.83743355755206</v>
      </c>
      <c r="S16" s="71">
        <v>2511.4343274679909</v>
      </c>
      <c r="T16" s="71">
        <v>315.71280578150481</v>
      </c>
      <c r="U16" s="71">
        <v>4088.9108987508939</v>
      </c>
    </row>
    <row r="17" spans="2:21">
      <c r="B17">
        <v>15</v>
      </c>
      <c r="E17" t="str">
        <f>IFERROR(INDEX(Data_Entry[ADM2_COUNTY],MATCH('Step 6-PiN'!B17,Data_Entry[ID],0)),"NA")</f>
        <v>Logar</v>
      </c>
      <c r="F17" t="str">
        <f>IFERROR(INDEX(Data_Entry[ADM2_Pcode],MATCH('Step 6-PiN'!B17,Data_Entry[ID],0)),"NA")</f>
        <v>AF05</v>
      </c>
      <c r="G17" s="71">
        <f>IFERROR(INDEX(Data_Entry[Group Population],MATCH('Step 6-PiN'!B17,Data_Entry[ID],0)),"NA")</f>
        <v>55922</v>
      </c>
      <c r="H17" t="str">
        <f>IFERROR(INDEX(Data_Entry[Group Name],MATCH('Step 6-PiN'!B17,Data_Entry[ID],0)),"NA")</f>
        <v>Non_Displaced</v>
      </c>
      <c r="I17" t="str">
        <f>IFERROR(INDEX(Data_Entry[Key],MATCH('Step 6-PiN'!B17,Data_Entry[ID],0)),"NA")</f>
        <v>AF05-Non_Displaced</v>
      </c>
      <c r="J17">
        <f ca="1">INDEX(Severity[Severity Corrected for Critical Max (rounded)],MATCH(PiN[[#This Row],[ADM2_Pcode]],Severity[ADM2_Pcode],0))</f>
        <v>4</v>
      </c>
      <c r="K17" s="71">
        <f t="shared" ca="1" si="1"/>
        <v>13981</v>
      </c>
      <c r="L17" t="str">
        <f ca="1">IF(OR('Step 6-PiN'!$J17=4,'Step 6-PiN'!$J17=5),_xlfn.CONCAT("&gt;",'Step 6-PiN'!$K17),IF('Step 6-PiN'!$J17=3,_xlfn.CONCAT("&gt;=",'Step 6-PiN'!$K17),IF('Step 6-PiN'!$J17=2,_xlfn.CONCAT("&lt;",'Step 6-PiN'!$K17),_xlfn.CONCAT("&lt;",ROUND('Step 6-PiN'!$K17/4,0)))))</f>
        <v>&gt;13981</v>
      </c>
      <c r="M17" s="71" cm="1">
        <f t="array" aca="1" ref="M17" ca="1">MAX(IF(Long_Data[Key]= PiN[[#This Row],[Key]],Long_Data[Calculated PiN]))</f>
        <v>55921.999999999985</v>
      </c>
      <c r="N17" s="71">
        <v>0</v>
      </c>
      <c r="O17" s="71">
        <v>1082.1988919871897</v>
      </c>
      <c r="P17" s="71">
        <v>2043.6681222707423</v>
      </c>
      <c r="Q17" s="71">
        <v>420.91062394603699</v>
      </c>
      <c r="R17" s="71">
        <v>2771.5320570111471</v>
      </c>
      <c r="S17" s="71">
        <v>2277.267328479827</v>
      </c>
      <c r="T17" s="71">
        <v>3664.1231524517539</v>
      </c>
      <c r="U17" s="71">
        <v>2690.0374623602752</v>
      </c>
    </row>
    <row r="18" spans="2:21">
      <c r="B18">
        <v>16</v>
      </c>
      <c r="E18" t="str">
        <f>IFERROR(INDEX(Data_Entry[ADM2_COUNTY],MATCH('Step 6-PiN'!B18,Data_Entry[ID],0)),"NA")</f>
        <v>Nangarhar</v>
      </c>
      <c r="F18" t="str">
        <f>IFERROR(INDEX(Data_Entry[ADM2_Pcode],MATCH('Step 6-PiN'!B18,Data_Entry[ID],0)),"NA")</f>
        <v>AF06</v>
      </c>
      <c r="G18" s="71">
        <f>IFERROR(INDEX(Data_Entry[Group Population],MATCH('Step 6-PiN'!B18,Data_Entry[ID],0)),"NA")</f>
        <v>219077</v>
      </c>
      <c r="H18" t="str">
        <f>IFERROR(INDEX(Data_Entry[Group Name],MATCH('Step 6-PiN'!B18,Data_Entry[ID],0)),"NA")</f>
        <v>Non_Displaced</v>
      </c>
      <c r="I18" t="str">
        <f>IFERROR(INDEX(Data_Entry[Key],MATCH('Step 6-PiN'!B18,Data_Entry[ID],0)),"NA")</f>
        <v>AF06-Non_Displaced</v>
      </c>
      <c r="J18">
        <f ca="1">INDEX(Severity[Severity Corrected for Critical Max (rounded)],MATCH(PiN[[#This Row],[ADM2_Pcode]],Severity[ADM2_Pcode],0))</f>
        <v>4</v>
      </c>
      <c r="K18" s="71">
        <f t="shared" ca="1" si="1"/>
        <v>54769</v>
      </c>
      <c r="L18" t="str">
        <f ca="1">IF(OR('Step 6-PiN'!$J18=4,'Step 6-PiN'!$J18=5),_xlfn.CONCAT("&gt;",'Step 6-PiN'!$K18),IF('Step 6-PiN'!$J18=3,_xlfn.CONCAT("&gt;=",'Step 6-PiN'!$K18),IF('Step 6-PiN'!$J18=2,_xlfn.CONCAT("&lt;",'Step 6-PiN'!$K18),_xlfn.CONCAT("&lt;",ROUND('Step 6-PiN'!$K18/4,0)))))</f>
        <v>&gt;54769</v>
      </c>
      <c r="M18" s="71" cm="1">
        <f t="array" aca="1" ref="M18" ca="1">MAX(IF(Long_Data[Key]= PiN[[#This Row],[Key]],Long_Data[Calculated PiN]))</f>
        <v>212537.25468195975</v>
      </c>
      <c r="N18" s="71">
        <v>0</v>
      </c>
      <c r="O18" s="71">
        <v>40510.12274376423</v>
      </c>
      <c r="P18" s="71">
        <v>3220.325526002382</v>
      </c>
      <c r="Q18" s="71">
        <v>13942.124789207417</v>
      </c>
      <c r="R18" s="71">
        <v>8498.0478856013906</v>
      </c>
      <c r="S18" s="71">
        <v>6102.4620551041953</v>
      </c>
      <c r="T18" s="71">
        <v>8593.8577053152876</v>
      </c>
      <c r="U18" s="71">
        <v>10538.443218989261</v>
      </c>
    </row>
    <row r="19" spans="2:21">
      <c r="B19">
        <v>17</v>
      </c>
      <c r="E19" t="str">
        <f>IFERROR(INDEX(Data_Entry[ADM2_COUNTY],MATCH('Step 6-PiN'!B19,Data_Entry[ID],0)),"NA")</f>
        <v>Laghman</v>
      </c>
      <c r="F19" t="str">
        <f>IFERROR(INDEX(Data_Entry[ADM2_Pcode],MATCH('Step 6-PiN'!B19,Data_Entry[ID],0)),"NA")</f>
        <v>AF07</v>
      </c>
      <c r="G19" s="71">
        <f>IFERROR(INDEX(Data_Entry[Group Population],MATCH('Step 6-PiN'!B19,Data_Entry[ID],0)),"NA")</f>
        <v>63532</v>
      </c>
      <c r="H19" t="str">
        <f>IFERROR(INDEX(Data_Entry[Group Name],MATCH('Step 6-PiN'!B19,Data_Entry[ID],0)),"NA")</f>
        <v>Non_Displaced</v>
      </c>
      <c r="I19" t="str">
        <f>IFERROR(INDEX(Data_Entry[Key],MATCH('Step 6-PiN'!B19,Data_Entry[ID],0)),"NA")</f>
        <v>AF07-Non_Displaced</v>
      </c>
      <c r="J19">
        <f ca="1">INDEX(Severity[Severity Corrected for Critical Max (rounded)],MATCH(PiN[[#This Row],[ADM2_Pcode]],Severity[ADM2_Pcode],0))</f>
        <v>3</v>
      </c>
      <c r="K19" s="71">
        <f t="shared" ca="1" si="1"/>
        <v>15883</v>
      </c>
      <c r="L19" t="str">
        <f ca="1">IF(OR('Step 6-PiN'!$J19=4,'Step 6-PiN'!$J19=5),_xlfn.CONCAT("&gt;",'Step 6-PiN'!$K19),IF('Step 6-PiN'!$J19=3,_xlfn.CONCAT("&gt;=",'Step 6-PiN'!$K19),IF('Step 6-PiN'!$J19=2,_xlfn.CONCAT("&lt;",'Step 6-PiN'!$K19),_xlfn.CONCAT("&lt;",ROUND('Step 6-PiN'!$K19/4,0)))))</f>
        <v>&gt;=15883</v>
      </c>
      <c r="M19" s="71" cm="1">
        <f t="array" aca="1" ref="M19" ca="1">MAX(IF(Long_Data[Key]= PiN[[#This Row],[Key]],Long_Data[Calculated PiN]))</f>
        <v>55879.111458486484</v>
      </c>
      <c r="N19" s="71">
        <v>0</v>
      </c>
      <c r="O19" s="71">
        <v>3993.3564618478795</v>
      </c>
      <c r="P19" s="71">
        <v>4582.7709408495439</v>
      </c>
      <c r="Q19" s="71">
        <v>1124.317032040472</v>
      </c>
      <c r="R19" s="71">
        <v>1620.0197563384916</v>
      </c>
      <c r="S19" s="71">
        <v>2141.3660360099034</v>
      </c>
      <c r="T19" s="71">
        <v>4382.0370798428894</v>
      </c>
      <c r="U19" s="71">
        <v>3056.1171243608364</v>
      </c>
    </row>
    <row r="20" spans="2:21">
      <c r="B20">
        <v>18</v>
      </c>
      <c r="E20" t="str">
        <f>IFERROR(INDEX(Data_Entry[ADM2_COUNTY],MATCH('Step 6-PiN'!B20,Data_Entry[ID],0)),"NA")</f>
        <v>Panjsher</v>
      </c>
      <c r="F20" t="str">
        <f>IFERROR(INDEX(Data_Entry[ADM2_Pcode],MATCH('Step 6-PiN'!B20,Data_Entry[ID],0)),"NA")</f>
        <v>AF08</v>
      </c>
      <c r="G20" s="71">
        <f>IFERROR(INDEX(Data_Entry[Group Population],MATCH('Step 6-PiN'!B20,Data_Entry[ID],0)),"NA")</f>
        <v>21876</v>
      </c>
      <c r="H20" t="str">
        <f>IFERROR(INDEX(Data_Entry[Group Name],MATCH('Step 6-PiN'!B20,Data_Entry[ID],0)),"NA")</f>
        <v>Non_Displaced</v>
      </c>
      <c r="I20" t="str">
        <f>IFERROR(INDEX(Data_Entry[Key],MATCH('Step 6-PiN'!B20,Data_Entry[ID],0)),"NA")</f>
        <v>AF08-Non_Displaced</v>
      </c>
      <c r="J20">
        <f ca="1">INDEX(Severity[Severity Corrected for Critical Max (rounded)],MATCH(PiN[[#This Row],[ADM2_Pcode]],Severity[ADM2_Pcode],0))</f>
        <v>3</v>
      </c>
      <c r="K20" s="71">
        <f t="shared" ca="1" si="1"/>
        <v>5469</v>
      </c>
      <c r="L20" t="str">
        <f ca="1">IF(OR('Step 6-PiN'!$J20=4,'Step 6-PiN'!$J20=5),_xlfn.CONCAT("&gt;",'Step 6-PiN'!$K20),IF('Step 6-PiN'!$J20=3,_xlfn.CONCAT("&gt;=",'Step 6-PiN'!$K20),IF('Step 6-PiN'!$J20=2,_xlfn.CONCAT("&lt;",'Step 6-PiN'!$K20),_xlfn.CONCAT("&lt;",ROUND('Step 6-PiN'!$K20/4,0)))))</f>
        <v>&gt;=5469</v>
      </c>
      <c r="M20" s="71" cm="1">
        <f t="array" aca="1" ref="M20" ca="1">MAX(IF(Long_Data[Key]= PiN[[#This Row],[Key]],Long_Data[Calculated PiN]))</f>
        <v>21876</v>
      </c>
      <c r="N20" s="71">
        <v>0</v>
      </c>
      <c r="O20" s="71">
        <v>1007.7356654743094</v>
      </c>
      <c r="P20" s="71">
        <v>557.36403334656609</v>
      </c>
      <c r="Q20" s="71">
        <v>3.372681281618886</v>
      </c>
      <c r="R20" s="71">
        <v>11.289336281104472</v>
      </c>
      <c r="S20" s="71">
        <v>1683.8774513463495</v>
      </c>
      <c r="T20" s="71">
        <v>2051.36018957346</v>
      </c>
      <c r="U20" s="71">
        <v>1052.3337785012734</v>
      </c>
    </row>
    <row r="21" spans="2:21">
      <c r="B21">
        <v>19</v>
      </c>
      <c r="E21" t="str">
        <f>IFERROR(INDEX(Data_Entry[ADM2_COUNTY],MATCH('Step 6-PiN'!B21,Data_Entry[ID],0)),"NA")</f>
        <v>Baghlan</v>
      </c>
      <c r="F21" t="str">
        <f>IFERROR(INDEX(Data_Entry[ADM2_Pcode],MATCH('Step 6-PiN'!B21,Data_Entry[ID],0)),"NA")</f>
        <v>AF09</v>
      </c>
      <c r="G21" s="71">
        <f>IFERROR(INDEX(Data_Entry[Group Population],MATCH('Step 6-PiN'!B21,Data_Entry[ID],0)),"NA")</f>
        <v>130624</v>
      </c>
      <c r="H21" t="str">
        <f>IFERROR(INDEX(Data_Entry[Group Name],MATCH('Step 6-PiN'!B21,Data_Entry[ID],0)),"NA")</f>
        <v>Non_Displaced</v>
      </c>
      <c r="I21" t="str">
        <f>IFERROR(INDEX(Data_Entry[Key],MATCH('Step 6-PiN'!B21,Data_Entry[ID],0)),"NA")</f>
        <v>AF09-Non_Displaced</v>
      </c>
      <c r="J21">
        <f ca="1">INDEX(Severity[Severity Corrected for Critical Max (rounded)],MATCH(PiN[[#This Row],[ADM2_Pcode]],Severity[ADM2_Pcode],0))</f>
        <v>4</v>
      </c>
      <c r="K21" s="71">
        <f t="shared" ca="1" si="1"/>
        <v>32656</v>
      </c>
      <c r="L21" t="str">
        <f ca="1">IF(OR('Step 6-PiN'!$J21=4,'Step 6-PiN'!$J21=5),_xlfn.CONCAT("&gt;",'Step 6-PiN'!$K21),IF('Step 6-PiN'!$J21=3,_xlfn.CONCAT("&gt;=",'Step 6-PiN'!$K21),IF('Step 6-PiN'!$J21=2,_xlfn.CONCAT("&lt;",'Step 6-PiN'!$K21),_xlfn.CONCAT("&lt;",ROUND('Step 6-PiN'!$K21/4,0)))))</f>
        <v>&gt;32656</v>
      </c>
      <c r="M21" s="71" cm="1">
        <f t="array" aca="1" ref="M21" ca="1">MAX(IF(Long_Data[Key]= PiN[[#This Row],[Key]],Long_Data[Calculated PiN]))</f>
        <v>116110.22222222225</v>
      </c>
      <c r="N21" s="71">
        <v>0</v>
      </c>
      <c r="O21" s="71">
        <v>41768.905858624828</v>
      </c>
      <c r="P21" s="71">
        <v>24524.017467248905</v>
      </c>
      <c r="Q21" s="71">
        <v>446.67790893760525</v>
      </c>
      <c r="R21" s="71">
        <v>1854.2734841714093</v>
      </c>
      <c r="S21" s="71">
        <v>7080.3046396016052</v>
      </c>
      <c r="T21" s="71">
        <v>2586.6186291501344</v>
      </c>
      <c r="U21" s="71">
        <v>6283.5247369676772</v>
      </c>
    </row>
    <row r="22" spans="2:21">
      <c r="B22">
        <v>20</v>
      </c>
      <c r="E22" t="str">
        <f>IFERROR(INDEX(Data_Entry[ADM2_COUNTY],MATCH('Step 6-PiN'!B22,Data_Entry[ID],0)),"NA")</f>
        <v>Bamyan</v>
      </c>
      <c r="F22" t="str">
        <f>IFERROR(INDEX(Data_Entry[ADM2_Pcode],MATCH('Step 6-PiN'!B22,Data_Entry[ID],0)),"NA")</f>
        <v>AF10</v>
      </c>
      <c r="G22" s="71">
        <f>IFERROR(INDEX(Data_Entry[Group Population],MATCH('Step 6-PiN'!B22,Data_Entry[ID],0)),"NA")</f>
        <v>63798</v>
      </c>
      <c r="H22" t="str">
        <f>IFERROR(INDEX(Data_Entry[Group Name],MATCH('Step 6-PiN'!B22,Data_Entry[ID],0)),"NA")</f>
        <v>Non_Displaced</v>
      </c>
      <c r="I22" t="str">
        <f>IFERROR(INDEX(Data_Entry[Key],MATCH('Step 6-PiN'!B22,Data_Entry[ID],0)),"NA")</f>
        <v>AF10-Non_Displaced</v>
      </c>
      <c r="J22">
        <f ca="1">INDEX(Severity[Severity Corrected for Critical Max (rounded)],MATCH(PiN[[#This Row],[ADM2_Pcode]],Severity[ADM2_Pcode],0))</f>
        <v>3</v>
      </c>
      <c r="K22" s="71">
        <f t="shared" ca="1" si="1"/>
        <v>15950</v>
      </c>
      <c r="L22" t="str">
        <f ca="1">IF(OR('Step 6-PiN'!$J22=4,'Step 6-PiN'!$J22=5),_xlfn.CONCAT("&gt;",'Step 6-PiN'!$K22),IF('Step 6-PiN'!$J22=3,_xlfn.CONCAT("&gt;=",'Step 6-PiN'!$K22),IF('Step 6-PiN'!$J22=2,_xlfn.CONCAT("&lt;",'Step 6-PiN'!$K22),_xlfn.CONCAT("&lt;",ROUND('Step 6-PiN'!$K22/4,0)))))</f>
        <v>&gt;=15950</v>
      </c>
      <c r="M22" s="71" cm="1">
        <f t="array" aca="1" ref="M22" ca="1">MAX(IF(Long_Data[Key]= PiN[[#This Row],[Key]],Long_Data[Calculated PiN]))</f>
        <v>63798</v>
      </c>
      <c r="N22" s="71">
        <v>0</v>
      </c>
      <c r="O22" s="71">
        <v>2373.6039917962798</v>
      </c>
      <c r="P22" s="71">
        <v>5573.6403334656616</v>
      </c>
      <c r="Q22" s="71">
        <v>0.26981450252951095</v>
      </c>
      <c r="R22" s="71">
        <v>445.92878310362659</v>
      </c>
      <c r="S22" s="71">
        <v>3879.1959540089806</v>
      </c>
      <c r="T22" s="71">
        <v>495.98760085556677</v>
      </c>
      <c r="U22" s="71">
        <v>3068.9420054557099</v>
      </c>
    </row>
    <row r="23" spans="2:21">
      <c r="B23">
        <v>21</v>
      </c>
      <c r="E23" t="str">
        <f>IFERROR(INDEX(Data_Entry[ADM2_COUNTY],MATCH('Step 6-PiN'!B23,Data_Entry[ID],0)),"NA")</f>
        <v>Kabul</v>
      </c>
      <c r="F23" t="str">
        <f>IFERROR(INDEX(Data_Entry[ADM2_Pcode],MATCH('Step 6-PiN'!B23,Data_Entry[ID],0)),"NA")</f>
        <v>AF01</v>
      </c>
      <c r="G23" s="71">
        <f>IFERROR(INDEX(Data_Entry[Group Population],MATCH('Step 6-PiN'!B23,Data_Entry[ID],0)),"NA")</f>
        <v>1340103</v>
      </c>
      <c r="H23" t="str">
        <f>IFERROR(INDEX(Data_Entry[Group Name],MATCH('Step 6-PiN'!B23,Data_Entry[ID],0)),"NA")</f>
        <v>Migrants</v>
      </c>
      <c r="I23" t="str">
        <f>IFERROR(INDEX(Data_Entry[Key],MATCH('Step 6-PiN'!B23,Data_Entry[ID],0)),"NA")</f>
        <v>AF01-Migrants</v>
      </c>
      <c r="J23">
        <f ca="1">INDEX(Severity[Severity Corrected for Critical Max (rounded)],MATCH(PiN[[#This Row],[ADM2_Pcode]],Severity[ADM2_Pcode],0))</f>
        <v>4</v>
      </c>
      <c r="K23" s="71">
        <f t="shared" ca="1" si="1"/>
        <v>335026</v>
      </c>
      <c r="L23" t="str">
        <f ca="1">IF(OR('Step 6-PiN'!$J23=4,'Step 6-PiN'!$J23=5),_xlfn.CONCAT("&gt;",'Step 6-PiN'!$K23),IF('Step 6-PiN'!$J23=3,_xlfn.CONCAT("&gt;=",'Step 6-PiN'!$K23),IF('Step 6-PiN'!$J23=2,_xlfn.CONCAT("&lt;",'Step 6-PiN'!$K23),_xlfn.CONCAT("&lt;",ROUND('Step 6-PiN'!$K23/4,0)))))</f>
        <v>&gt;335026</v>
      </c>
      <c r="M23" s="71" cm="1">
        <f t="array" aca="1" ref="M23" ca="1">MAX(IF(Long_Data[Key]= PiN[[#This Row],[Key]],Long_Data[Calculated PiN]))</f>
        <v>1316997.77586207</v>
      </c>
      <c r="N23" s="71">
        <v>0</v>
      </c>
      <c r="O23" s="71">
        <v>7075.4248658952747</v>
      </c>
      <c r="P23" s="71">
        <v>29602.223104406512</v>
      </c>
      <c r="Q23" s="71">
        <v>3815.311973018549</v>
      </c>
      <c r="R23" s="71">
        <v>15082.553271555575</v>
      </c>
      <c r="S23" s="71">
        <v>5700.7762785506602</v>
      </c>
      <c r="T23" s="71">
        <v>4226.5012444866097</v>
      </c>
      <c r="U23" s="71">
        <v>32232.01709493309</v>
      </c>
    </row>
    <row r="24" spans="2:21">
      <c r="B24">
        <v>22</v>
      </c>
      <c r="E24" t="str">
        <f>IFERROR(INDEX(Data_Entry[ADM2_COUNTY],MATCH('Step 6-PiN'!B24,Data_Entry[ID],0)),"NA")</f>
        <v>Kapisa</v>
      </c>
      <c r="F24" t="str">
        <f>IFERROR(INDEX(Data_Entry[ADM2_Pcode],MATCH('Step 6-PiN'!B24,Data_Entry[ID],0)),"NA")</f>
        <v>AF02</v>
      </c>
      <c r="G24" s="71">
        <f>IFERROR(INDEX(Data_Entry[Group Population],MATCH('Step 6-PiN'!B24,Data_Entry[ID],0)),"NA")</f>
        <v>125728</v>
      </c>
      <c r="H24" t="str">
        <f>IFERROR(INDEX(Data_Entry[Group Name],MATCH('Step 6-PiN'!B24,Data_Entry[ID],0)),"NA")</f>
        <v>Migrants</v>
      </c>
      <c r="I24" t="str">
        <f>IFERROR(INDEX(Data_Entry[Key],MATCH('Step 6-PiN'!B24,Data_Entry[ID],0)),"NA")</f>
        <v>AF02-Migrants</v>
      </c>
      <c r="J24">
        <f ca="1">INDEX(Severity[Severity Corrected for Critical Max (rounded)],MATCH(PiN[[#This Row],[ADM2_Pcode]],Severity[ADM2_Pcode],0))</f>
        <v>3</v>
      </c>
      <c r="K24" s="71">
        <f t="shared" ca="1" si="1"/>
        <v>31432</v>
      </c>
      <c r="L24" t="str">
        <f ca="1">IF(OR('Step 6-PiN'!$J24=4,'Step 6-PiN'!$J24=5),_xlfn.CONCAT("&gt;",'Step 6-PiN'!$K24),IF('Step 6-PiN'!$J24=3,_xlfn.CONCAT("&gt;=",'Step 6-PiN'!$K24),IF('Step 6-PiN'!$J24=2,_xlfn.CONCAT("&lt;",'Step 6-PiN'!$K24),_xlfn.CONCAT("&lt;",ROUND('Step 6-PiN'!$K24/4,0)))))</f>
        <v>&gt;=31432</v>
      </c>
      <c r="M24" s="71" cm="1">
        <f t="array" aca="1" ref="M24" ca="1">MAX(IF(Long_Data[Key]= PiN[[#This Row],[Key]],Long_Data[Calculated PiN]))</f>
        <v>125728.00000000003</v>
      </c>
      <c r="N24" s="71">
        <v>0</v>
      </c>
      <c r="O24" s="71">
        <v>2774.9962413799949</v>
      </c>
      <c r="P24" s="71">
        <v>5635.5696705041701</v>
      </c>
      <c r="Q24" s="71">
        <v>27.116357504215845</v>
      </c>
      <c r="R24" s="71">
        <v>155.22837386518646</v>
      </c>
      <c r="S24" s="71">
        <v>1941.4573007018646</v>
      </c>
      <c r="T24" s="71">
        <v>3404.4542796194246</v>
      </c>
      <c r="U24" s="71">
        <v>3023.9915727918124</v>
      </c>
    </row>
    <row r="25" spans="2:21">
      <c r="B25">
        <v>23</v>
      </c>
      <c r="E25" t="str">
        <f>IFERROR(INDEX(Data_Entry[ADM2_COUNTY],MATCH('Step 6-PiN'!B25,Data_Entry[ID],0)),"NA")</f>
        <v>Parwan</v>
      </c>
      <c r="F25" t="str">
        <f>IFERROR(INDEX(Data_Entry[ADM2_Pcode],MATCH('Step 6-PiN'!B25,Data_Entry[ID],0)),"NA")</f>
        <v>AF03</v>
      </c>
      <c r="G25" s="71">
        <f>IFERROR(INDEX(Data_Entry[Group Population],MATCH('Step 6-PiN'!B25,Data_Entry[ID],0)),"NA")</f>
        <v>189944</v>
      </c>
      <c r="H25" t="str">
        <f>IFERROR(INDEX(Data_Entry[Group Name],MATCH('Step 6-PiN'!B25,Data_Entry[ID],0)),"NA")</f>
        <v>Migrants</v>
      </c>
      <c r="I25" t="str">
        <f>IFERROR(INDEX(Data_Entry[Key],MATCH('Step 6-PiN'!B25,Data_Entry[ID],0)),"NA")</f>
        <v>AF03-Migrants</v>
      </c>
      <c r="J25">
        <f ca="1">INDEX(Severity[Severity Corrected for Critical Max (rounded)],MATCH(PiN[[#This Row],[ADM2_Pcode]],Severity[ADM2_Pcode],0))</f>
        <v>3</v>
      </c>
      <c r="K25" s="71">
        <f t="shared" ca="1" si="1"/>
        <v>47486</v>
      </c>
      <c r="L25" t="str">
        <f ca="1">IF(OR('Step 6-PiN'!$J25=4,'Step 6-PiN'!$J25=5),_xlfn.CONCAT("&gt;",'Step 6-PiN'!$K25),IF('Step 6-PiN'!$J25=3,_xlfn.CONCAT("&gt;=",'Step 6-PiN'!$K25),IF('Step 6-PiN'!$J25=2,_xlfn.CONCAT("&lt;",'Step 6-PiN'!$K25),_xlfn.CONCAT("&lt;",ROUND('Step 6-PiN'!$K25/4,0)))))</f>
        <v>&gt;=47486</v>
      </c>
      <c r="M25" s="71" cm="1">
        <f t="array" aca="1" ref="M25" ca="1">MAX(IF(Long_Data[Key]= PiN[[#This Row],[Key]],Long_Data[Calculated PiN]))</f>
        <v>186469.41463414641</v>
      </c>
      <c r="N25" s="71">
        <v>0</v>
      </c>
      <c r="O25" s="71">
        <v>546.06366109445344</v>
      </c>
      <c r="P25" s="71">
        <v>8236.6018261214758</v>
      </c>
      <c r="Q25" s="71">
        <v>57.740303541315335</v>
      </c>
      <c r="R25" s="71">
        <v>680.1825109365443</v>
      </c>
      <c r="S25" s="71">
        <v>2479.0982631658276</v>
      </c>
      <c r="T25" s="71">
        <v>3648.1141427116099</v>
      </c>
      <c r="U25" s="71">
        <v>4568.5177884136729</v>
      </c>
    </row>
    <row r="26" spans="2:21">
      <c r="B26">
        <v>24</v>
      </c>
      <c r="E26" t="str">
        <f>IFERROR(INDEX(Data_Entry[ADM2_COUNTY],MATCH('Step 6-PiN'!B26,Data_Entry[ID],0)),"NA")</f>
        <v>Wardak</v>
      </c>
      <c r="F26" t="str">
        <f>IFERROR(INDEX(Data_Entry[ADM2_Pcode],MATCH('Step 6-PiN'!B26,Data_Entry[ID],0)),"NA")</f>
        <v>AF04</v>
      </c>
      <c r="G26" s="71">
        <f>IFERROR(INDEX(Data_Entry[Group Population],MATCH('Step 6-PiN'!B26,Data_Entry[ID],0)),"NA")</f>
        <v>170004</v>
      </c>
      <c r="H26" t="str">
        <f>IFERROR(INDEX(Data_Entry[Group Name],MATCH('Step 6-PiN'!B26,Data_Entry[ID],0)),"NA")</f>
        <v>Migrants</v>
      </c>
      <c r="I26" t="str">
        <f>IFERROR(INDEX(Data_Entry[Key],MATCH('Step 6-PiN'!B26,Data_Entry[ID],0)),"NA")</f>
        <v>AF04-Migrants</v>
      </c>
      <c r="J26">
        <f ca="1">INDEX(Severity[Severity Corrected for Critical Max (rounded)],MATCH(PiN[[#This Row],[ADM2_Pcode]],Severity[ADM2_Pcode],0))</f>
        <v>3</v>
      </c>
      <c r="K26" s="71">
        <f t="shared" ca="1" si="1"/>
        <v>42501</v>
      </c>
      <c r="L26" t="str">
        <f ca="1">IF(OR('Step 6-PiN'!$J26=4,'Step 6-PiN'!$J26=5),_xlfn.CONCAT("&gt;",'Step 6-PiN'!$K26),IF('Step 6-PiN'!$J26=3,_xlfn.CONCAT("&gt;=",'Step 6-PiN'!$K26),IF('Step 6-PiN'!$J26=2,_xlfn.CONCAT("&lt;",'Step 6-PiN'!$K26),_xlfn.CONCAT("&lt;",ROUND('Step 6-PiN'!$K26/4,0)))))</f>
        <v>&gt;=42501</v>
      </c>
      <c r="M26" s="71" cm="1">
        <f t="array" aca="1" ref="M26" ca="1">MAX(IF(Long_Data[Key]= PiN[[#This Row],[Key]],Long_Data[Calculated PiN]))</f>
        <v>170004</v>
      </c>
      <c r="N26" s="71">
        <v>0</v>
      </c>
      <c r="O26" s="71">
        <v>2035.3281913520534</v>
      </c>
      <c r="P26" s="71">
        <v>5202.064311234617</v>
      </c>
      <c r="Q26" s="71">
        <v>65.16020236087688</v>
      </c>
      <c r="R26" s="71">
        <v>383.83743355755206</v>
      </c>
      <c r="S26" s="71">
        <v>2511.4343274679909</v>
      </c>
      <c r="T26" s="71">
        <v>315.71280578150481</v>
      </c>
      <c r="U26" s="71">
        <v>4088.9108987508939</v>
      </c>
    </row>
    <row r="27" spans="2:21">
      <c r="B27">
        <v>25</v>
      </c>
      <c r="E27" t="str">
        <f>IFERROR(INDEX(Data_Entry[ADM2_COUNTY],MATCH('Step 6-PiN'!B27,Data_Entry[ID],0)),"NA")</f>
        <v>Logar</v>
      </c>
      <c r="F27" t="str">
        <f>IFERROR(INDEX(Data_Entry[ADM2_Pcode],MATCH('Step 6-PiN'!B27,Data_Entry[ID],0)),"NA")</f>
        <v>AF05</v>
      </c>
      <c r="G27" s="71">
        <f>IFERROR(INDEX(Data_Entry[Group Population],MATCH('Step 6-PiN'!B27,Data_Entry[ID],0)),"NA")</f>
        <v>111843</v>
      </c>
      <c r="H27" t="str">
        <f>IFERROR(INDEX(Data_Entry[Group Name],MATCH('Step 6-PiN'!B27,Data_Entry[ID],0)),"NA")</f>
        <v>Migrants</v>
      </c>
      <c r="I27" t="str">
        <f>IFERROR(INDEX(Data_Entry[Key],MATCH('Step 6-PiN'!B27,Data_Entry[ID],0)),"NA")</f>
        <v>AF05-Migrants</v>
      </c>
      <c r="J27">
        <f ca="1">INDEX(Severity[Severity Corrected for Critical Max (rounded)],MATCH(PiN[[#This Row],[ADM2_Pcode]],Severity[ADM2_Pcode],0))</f>
        <v>4</v>
      </c>
      <c r="K27" s="71">
        <f t="shared" ca="1" si="1"/>
        <v>27961</v>
      </c>
      <c r="L27" t="str">
        <f ca="1">IF(OR('Step 6-PiN'!$J27=4,'Step 6-PiN'!$J27=5),_xlfn.CONCAT("&gt;",'Step 6-PiN'!$K27),IF('Step 6-PiN'!$J27=3,_xlfn.CONCAT("&gt;=",'Step 6-PiN'!$K27),IF('Step 6-PiN'!$J27=2,_xlfn.CONCAT("&lt;",'Step 6-PiN'!$K27),_xlfn.CONCAT("&lt;",ROUND('Step 6-PiN'!$K27/4,0)))))</f>
        <v>&gt;27961</v>
      </c>
      <c r="M27" s="71" cm="1">
        <f t="array" aca="1" ref="M27" ca="1">MAX(IF(Long_Data[Key]= PiN[[#This Row],[Key]],Long_Data[Calculated PiN]))</f>
        <v>111842.99999999997</v>
      </c>
      <c r="N27" s="71">
        <v>0</v>
      </c>
      <c r="O27" s="71">
        <v>1082.1988919871897</v>
      </c>
      <c r="P27" s="71">
        <v>2043.6681222707423</v>
      </c>
      <c r="Q27" s="71">
        <v>420.91062394603699</v>
      </c>
      <c r="R27" s="71">
        <v>2771.5320570111471</v>
      </c>
      <c r="S27" s="71">
        <v>2277.267328479827</v>
      </c>
      <c r="T27" s="71">
        <v>3664.1231524517539</v>
      </c>
      <c r="U27" s="71">
        <v>2690.0374623602752</v>
      </c>
    </row>
    <row r="28" spans="2:21">
      <c r="B28">
        <v>26</v>
      </c>
      <c r="E28" t="str">
        <f>IFERROR(INDEX(Data_Entry[ADM2_COUNTY],MATCH('Step 6-PiN'!B28,Data_Entry[ID],0)),"NA")</f>
        <v>Nangarhar</v>
      </c>
      <c r="F28" t="str">
        <f>IFERROR(INDEX(Data_Entry[ADM2_Pcode],MATCH('Step 6-PiN'!B28,Data_Entry[ID],0)),"NA")</f>
        <v>AF06</v>
      </c>
      <c r="G28" s="71">
        <f>IFERROR(INDEX(Data_Entry[Group Population],MATCH('Step 6-PiN'!B28,Data_Entry[ID],0)),"NA")</f>
        <v>438154</v>
      </c>
      <c r="H28" t="str">
        <f>IFERROR(INDEX(Data_Entry[Group Name],MATCH('Step 6-PiN'!B28,Data_Entry[ID],0)),"NA")</f>
        <v>Migrants</v>
      </c>
      <c r="I28" t="str">
        <f>IFERROR(INDEX(Data_Entry[Key],MATCH('Step 6-PiN'!B28,Data_Entry[ID],0)),"NA")</f>
        <v>AF06-Migrants</v>
      </c>
      <c r="J28">
        <f ca="1">INDEX(Severity[Severity Corrected for Critical Max (rounded)],MATCH(PiN[[#This Row],[ADM2_Pcode]],Severity[ADM2_Pcode],0))</f>
        <v>4</v>
      </c>
      <c r="K28" s="71">
        <f t="shared" ca="1" si="1"/>
        <v>109539</v>
      </c>
      <c r="L28" t="str">
        <f ca="1">IF(OR('Step 6-PiN'!$J28=4,'Step 6-PiN'!$J28=5),_xlfn.CONCAT("&gt;",'Step 6-PiN'!$K28),IF('Step 6-PiN'!$J28=3,_xlfn.CONCAT("&gt;=",'Step 6-PiN'!$K28),IF('Step 6-PiN'!$J28=2,_xlfn.CONCAT("&lt;",'Step 6-PiN'!$K28),_xlfn.CONCAT("&lt;",ROUND('Step 6-PiN'!$K28/4,0)))))</f>
        <v>&gt;109539</v>
      </c>
      <c r="M28" s="71" cm="1">
        <f t="array" aca="1" ref="M28" ca="1">MAX(IF(Long_Data[Key]= PiN[[#This Row],[Key]],Long_Data[Calculated PiN]))</f>
        <v>425074.5093639195</v>
      </c>
      <c r="N28" s="71">
        <v>0</v>
      </c>
      <c r="O28" s="71">
        <v>40510.12274376423</v>
      </c>
      <c r="P28" s="71">
        <v>3220.325526002382</v>
      </c>
      <c r="Q28" s="71">
        <v>13942.124789207417</v>
      </c>
      <c r="R28" s="71">
        <v>8498.0478856013906</v>
      </c>
      <c r="S28" s="71">
        <v>6102.4620551041953</v>
      </c>
      <c r="T28" s="71">
        <v>8593.8577053152876</v>
      </c>
      <c r="U28" s="71">
        <v>10538.443218989261</v>
      </c>
    </row>
    <row r="29" spans="2:21">
      <c r="B29">
        <v>27</v>
      </c>
      <c r="E29" t="str">
        <f>IFERROR(INDEX(Data_Entry[ADM2_COUNTY],MATCH('Step 6-PiN'!B29,Data_Entry[ID],0)),"NA")</f>
        <v>Laghman</v>
      </c>
      <c r="F29" t="str">
        <f>IFERROR(INDEX(Data_Entry[ADM2_Pcode],MATCH('Step 6-PiN'!B29,Data_Entry[ID],0)),"NA")</f>
        <v>AF07</v>
      </c>
      <c r="G29" s="71">
        <f>IFERROR(INDEX(Data_Entry[Group Population],MATCH('Step 6-PiN'!B29,Data_Entry[ID],0)),"NA")</f>
        <v>127063</v>
      </c>
      <c r="H29" t="str">
        <f>IFERROR(INDEX(Data_Entry[Group Name],MATCH('Step 6-PiN'!B29,Data_Entry[ID],0)),"NA")</f>
        <v>Migrants</v>
      </c>
      <c r="I29" t="str">
        <f>IFERROR(INDEX(Data_Entry[Key],MATCH('Step 6-PiN'!B29,Data_Entry[ID],0)),"NA")</f>
        <v>AF07-Migrants</v>
      </c>
      <c r="J29">
        <f ca="1">INDEX(Severity[Severity Corrected for Critical Max (rounded)],MATCH(PiN[[#This Row],[ADM2_Pcode]],Severity[ADM2_Pcode],0))</f>
        <v>3</v>
      </c>
      <c r="K29" s="71">
        <f t="shared" ca="1" si="1"/>
        <v>31766</v>
      </c>
      <c r="L29" t="str">
        <f ca="1">IF(OR('Step 6-PiN'!$J29=4,'Step 6-PiN'!$J29=5),_xlfn.CONCAT("&gt;",'Step 6-PiN'!$K29),IF('Step 6-PiN'!$J29=3,_xlfn.CONCAT("&gt;=",'Step 6-PiN'!$K29),IF('Step 6-PiN'!$J29=2,_xlfn.CONCAT("&lt;",'Step 6-PiN'!$K29),_xlfn.CONCAT("&lt;",ROUND('Step 6-PiN'!$K29/4,0)))))</f>
        <v>&gt;=31766</v>
      </c>
      <c r="M29" s="71" cm="1">
        <f t="array" aca="1" ref="M29" ca="1">MAX(IF(Long_Data[Key]= PiN[[#This Row],[Key]],Long_Data[Calculated PiN]))</f>
        <v>111757.3433741999</v>
      </c>
      <c r="N29" s="71">
        <v>0</v>
      </c>
      <c r="O29" s="71">
        <v>3993.3564618478795</v>
      </c>
      <c r="P29" s="71">
        <v>4582.7709408495439</v>
      </c>
      <c r="Q29" s="71">
        <v>1124.317032040472</v>
      </c>
      <c r="R29" s="71">
        <v>1620.0197563384916</v>
      </c>
      <c r="S29" s="71">
        <v>2141.3660360099034</v>
      </c>
      <c r="T29" s="71">
        <v>4382.0370798428894</v>
      </c>
      <c r="U29" s="71">
        <v>3056.1171243608364</v>
      </c>
    </row>
    <row r="30" spans="2:21">
      <c r="B30">
        <v>28</v>
      </c>
      <c r="E30" t="str">
        <f>IFERROR(INDEX(Data_Entry[ADM2_COUNTY],MATCH('Step 6-PiN'!B30,Data_Entry[ID],0)),"NA")</f>
        <v>Panjsher</v>
      </c>
      <c r="F30" t="str">
        <f>IFERROR(INDEX(Data_Entry[ADM2_Pcode],MATCH('Step 6-PiN'!B30,Data_Entry[ID],0)),"NA")</f>
        <v>AF08</v>
      </c>
      <c r="G30" s="71">
        <f>IFERROR(INDEX(Data_Entry[Group Population],MATCH('Step 6-PiN'!B30,Data_Entry[ID],0)),"NA")</f>
        <v>43753</v>
      </c>
      <c r="H30" t="str">
        <f>IFERROR(INDEX(Data_Entry[Group Name],MATCH('Step 6-PiN'!B30,Data_Entry[ID],0)),"NA")</f>
        <v>Migrants</v>
      </c>
      <c r="I30" t="str">
        <f>IFERROR(INDEX(Data_Entry[Key],MATCH('Step 6-PiN'!B30,Data_Entry[ID],0)),"NA")</f>
        <v>AF08-Migrants</v>
      </c>
      <c r="J30">
        <f ca="1">INDEX(Severity[Severity Corrected for Critical Max (rounded)],MATCH(PiN[[#This Row],[ADM2_Pcode]],Severity[ADM2_Pcode],0))</f>
        <v>3</v>
      </c>
      <c r="K30" s="71">
        <f t="shared" ca="1" si="1"/>
        <v>10938</v>
      </c>
      <c r="L30" t="str">
        <f ca="1">IF(OR('Step 6-PiN'!$J30=4,'Step 6-PiN'!$J30=5),_xlfn.CONCAT("&gt;",'Step 6-PiN'!$K30),IF('Step 6-PiN'!$J30=3,_xlfn.CONCAT("&gt;=",'Step 6-PiN'!$K30),IF('Step 6-PiN'!$J30=2,_xlfn.CONCAT("&lt;",'Step 6-PiN'!$K30),_xlfn.CONCAT("&lt;",ROUND('Step 6-PiN'!$K30/4,0)))))</f>
        <v>&gt;=10938</v>
      </c>
      <c r="M30" s="71" cm="1">
        <f t="array" aca="1" ref="M30" ca="1">MAX(IF(Long_Data[Key]= PiN[[#This Row],[Key]],Long_Data[Calculated PiN]))</f>
        <v>43753</v>
      </c>
      <c r="N30" s="71">
        <v>0</v>
      </c>
      <c r="O30" s="71">
        <v>1007.7356654743094</v>
      </c>
      <c r="P30" s="71">
        <v>557.36403334656609</v>
      </c>
      <c r="Q30" s="71">
        <v>3.372681281618886</v>
      </c>
      <c r="R30" s="71">
        <v>11.289336281104472</v>
      </c>
      <c r="S30" s="71">
        <v>1683.8774513463495</v>
      </c>
      <c r="T30" s="71">
        <v>2051.36018957346</v>
      </c>
      <c r="U30" s="71">
        <v>1052.3337785012734</v>
      </c>
    </row>
    <row r="31" spans="2:21">
      <c r="B31">
        <v>29</v>
      </c>
      <c r="E31" t="str">
        <f>IFERROR(INDEX(Data_Entry[ADM2_COUNTY],MATCH('Step 6-PiN'!B31,Data_Entry[ID],0)),"NA")</f>
        <v>Baghlan</v>
      </c>
      <c r="F31" t="str">
        <f>IFERROR(INDEX(Data_Entry[ADM2_Pcode],MATCH('Step 6-PiN'!B31,Data_Entry[ID],0)),"NA")</f>
        <v>AF09</v>
      </c>
      <c r="G31" s="71">
        <f>IFERROR(INDEX(Data_Entry[Group Population],MATCH('Step 6-PiN'!B31,Data_Entry[ID],0)),"NA")</f>
        <v>261249</v>
      </c>
      <c r="H31" t="str">
        <f>IFERROR(INDEX(Data_Entry[Group Name],MATCH('Step 6-PiN'!B31,Data_Entry[ID],0)),"NA")</f>
        <v>Migrants</v>
      </c>
      <c r="I31" t="str">
        <f>IFERROR(INDEX(Data_Entry[Key],MATCH('Step 6-PiN'!B31,Data_Entry[ID],0)),"NA")</f>
        <v>AF09-Migrants</v>
      </c>
      <c r="J31">
        <f ca="1">INDEX(Severity[Severity Corrected for Critical Max (rounded)],MATCH(PiN[[#This Row],[ADM2_Pcode]],Severity[ADM2_Pcode],0))</f>
        <v>4</v>
      </c>
      <c r="K31" s="71">
        <f t="shared" ca="1" si="1"/>
        <v>65312</v>
      </c>
      <c r="L31" t="str">
        <f ca="1">IF(OR('Step 6-PiN'!$J31=4,'Step 6-PiN'!$J31=5),_xlfn.CONCAT("&gt;",'Step 6-PiN'!$K31),IF('Step 6-PiN'!$J31=3,_xlfn.CONCAT("&gt;=",'Step 6-PiN'!$K31),IF('Step 6-PiN'!$J31=2,_xlfn.CONCAT("&lt;",'Step 6-PiN'!$K31),_xlfn.CONCAT("&lt;",ROUND('Step 6-PiN'!$K31/4,0)))))</f>
        <v>&gt;65312</v>
      </c>
      <c r="M31" s="71" cm="1">
        <f t="array" aca="1" ref="M31" ca="1">MAX(IF(Long_Data[Key]= PiN[[#This Row],[Key]],Long_Data[Calculated PiN]))</f>
        <v>232221.33333333337</v>
      </c>
      <c r="N31" s="71">
        <v>0</v>
      </c>
      <c r="O31" s="71">
        <v>41768.905858624828</v>
      </c>
      <c r="P31" s="71">
        <v>24524.017467248905</v>
      </c>
      <c r="Q31" s="71">
        <v>446.67790893760525</v>
      </c>
      <c r="R31" s="71">
        <v>1854.2734841714093</v>
      </c>
      <c r="S31" s="71">
        <v>7080.3046396016052</v>
      </c>
      <c r="T31" s="71">
        <v>2586.6186291501344</v>
      </c>
      <c r="U31" s="71">
        <v>6283.5247369676772</v>
      </c>
    </row>
    <row r="32" spans="2:21">
      <c r="B32">
        <v>30</v>
      </c>
      <c r="E32" t="str">
        <f>IFERROR(INDEX(Data_Entry[ADM2_COUNTY],MATCH('Step 6-PiN'!B32,Data_Entry[ID],0)),"NA")</f>
        <v>Bamyan</v>
      </c>
      <c r="F32" t="str">
        <f>IFERROR(INDEX(Data_Entry[ADM2_Pcode],MATCH('Step 6-PiN'!B32,Data_Entry[ID],0)),"NA")</f>
        <v>AF10</v>
      </c>
      <c r="G32" s="71">
        <f>IFERROR(INDEX(Data_Entry[Group Population],MATCH('Step 6-PiN'!B32,Data_Entry[ID],0)),"NA")</f>
        <v>127597</v>
      </c>
      <c r="H32" t="str">
        <f>IFERROR(INDEX(Data_Entry[Group Name],MATCH('Step 6-PiN'!B32,Data_Entry[ID],0)),"NA")</f>
        <v>Migrants</v>
      </c>
      <c r="I32" t="str">
        <f>IFERROR(INDEX(Data_Entry[Key],MATCH('Step 6-PiN'!B32,Data_Entry[ID],0)),"NA")</f>
        <v>AF10-Migrants</v>
      </c>
      <c r="J32">
        <f ca="1">INDEX(Severity[Severity Corrected for Critical Max (rounded)],MATCH(PiN[[#This Row],[ADM2_Pcode]],Severity[ADM2_Pcode],0))</f>
        <v>3</v>
      </c>
      <c r="K32" s="71">
        <f t="shared" ca="1" si="1"/>
        <v>31899</v>
      </c>
      <c r="L32" t="str">
        <f ca="1">IF(OR('Step 6-PiN'!$J32=4,'Step 6-PiN'!$J32=5),_xlfn.CONCAT("&gt;",'Step 6-PiN'!$K32),IF('Step 6-PiN'!$J32=3,_xlfn.CONCAT("&gt;=",'Step 6-PiN'!$K32),IF('Step 6-PiN'!$J32=2,_xlfn.CONCAT("&lt;",'Step 6-PiN'!$K32),_xlfn.CONCAT("&lt;",ROUND('Step 6-PiN'!$K32/4,0)))))</f>
        <v>&gt;=31899</v>
      </c>
      <c r="M32" s="71" cm="1">
        <f t="array" aca="1" ref="M32" ca="1">MAX(IF(Long_Data[Key]= PiN[[#This Row],[Key]],Long_Data[Calculated PiN]))</f>
        <v>127597</v>
      </c>
      <c r="N32" s="71">
        <v>0</v>
      </c>
      <c r="O32" s="71">
        <v>2373.6039917962798</v>
      </c>
      <c r="P32" s="71">
        <v>5573.6403334656616</v>
      </c>
      <c r="Q32" s="71">
        <v>0.26981450252951095</v>
      </c>
      <c r="R32" s="71">
        <v>445.92878310362659</v>
      </c>
      <c r="S32" s="71">
        <v>3879.1959540089806</v>
      </c>
      <c r="T32" s="71">
        <v>495.98760085556677</v>
      </c>
      <c r="U32" s="71">
        <v>3068.9420054557099</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C92C-85EF-4EBA-9F16-00D0C0CCCC3E}">
  <sheetPr>
    <tabColor theme="8" tint="0.79998168889431442"/>
  </sheetPr>
  <dimension ref="B2:U33"/>
  <sheetViews>
    <sheetView workbookViewId="0">
      <selection activeCell="G4" sqref="G4"/>
    </sheetView>
  </sheetViews>
  <sheetFormatPr defaultRowHeight="14.4"/>
  <cols>
    <col min="3" max="3" width="14.6640625" customWidth="1"/>
    <col min="4" max="4" width="14.88671875" customWidth="1"/>
    <col min="5" max="5" width="16.6640625" customWidth="1"/>
    <col min="6" max="6" width="14.88671875" customWidth="1"/>
    <col min="7" max="7" width="12.88671875" customWidth="1"/>
    <col min="8" max="8" width="18.6640625" customWidth="1"/>
    <col min="9" max="9" width="19.5546875" bestFit="1" customWidth="1"/>
    <col min="10" max="17" width="16.5546875" customWidth="1"/>
    <col min="18" max="18" width="16.5546875" hidden="1" customWidth="1"/>
    <col min="19" max="21" width="16.5546875" customWidth="1"/>
  </cols>
  <sheetData>
    <row r="2" spans="2:21" ht="180" customHeight="1">
      <c r="J2" s="76" t="s">
        <v>48</v>
      </c>
      <c r="K2" s="75" t="s">
        <v>58</v>
      </c>
      <c r="L2" s="76" t="s">
        <v>64</v>
      </c>
      <c r="M2" s="75" t="s">
        <v>69</v>
      </c>
      <c r="N2" s="76" t="s">
        <v>75</v>
      </c>
      <c r="O2" s="75" t="s">
        <v>81</v>
      </c>
      <c r="P2" s="76" t="s">
        <v>86</v>
      </c>
      <c r="Q2" s="75" t="s">
        <v>88</v>
      </c>
      <c r="R2" s="74" t="s">
        <v>93</v>
      </c>
      <c r="S2" s="75" t="s">
        <v>99</v>
      </c>
      <c r="T2" s="76" t="s">
        <v>106</v>
      </c>
      <c r="U2" s="75" t="s">
        <v>112</v>
      </c>
    </row>
    <row r="3" spans="2:21">
      <c r="B3" t="s">
        <v>136</v>
      </c>
      <c r="C3" t="s">
        <v>137</v>
      </c>
      <c r="D3" t="s">
        <v>138</v>
      </c>
      <c r="E3" t="s">
        <v>139</v>
      </c>
      <c r="F3" t="s">
        <v>140</v>
      </c>
      <c r="G3" t="s">
        <v>228</v>
      </c>
      <c r="H3" t="s">
        <v>275</v>
      </c>
      <c r="I3" t="s">
        <v>143</v>
      </c>
      <c r="J3" t="s">
        <v>259</v>
      </c>
      <c r="K3" t="s">
        <v>260</v>
      </c>
      <c r="L3" t="s">
        <v>261</v>
      </c>
      <c r="M3" t="s">
        <v>262</v>
      </c>
      <c r="N3" t="s">
        <v>263</v>
      </c>
      <c r="O3" t="s">
        <v>264</v>
      </c>
      <c r="P3" t="s">
        <v>265</v>
      </c>
      <c r="Q3" t="s">
        <v>266</v>
      </c>
      <c r="R3" t="s">
        <v>267</v>
      </c>
      <c r="S3" t="s">
        <v>268</v>
      </c>
      <c r="T3" t="s">
        <v>269</v>
      </c>
      <c r="U3" t="s">
        <v>270</v>
      </c>
    </row>
    <row r="4" spans="2:21">
      <c r="B4">
        <v>1</v>
      </c>
      <c r="E4" t="str">
        <f>IFERROR(INDEX(Data_Entry[ADM2_COUNTY],MATCH('PiN Overview-Expert Judgement'!B4,Data_Entry[ID],0)),"NA")</f>
        <v>Kabul</v>
      </c>
      <c r="F4" t="str">
        <f>IFERROR(INDEX(Data_Entry[ADM2_Pcode],MATCH('PiN Overview-Expert Judgement'!B4,Data_Entry[ID],0)),"NA")</f>
        <v>AF01</v>
      </c>
      <c r="G4" s="71">
        <f>IFERROR(INDEX(Data_Entry[Group Population],MATCH('PiN Overview-Expert Judgement'!B4,Data_Entry[ID],0)),"NA")</f>
        <v>4690361</v>
      </c>
      <c r="H4" t="str">
        <f>IFERROR(INDEX(Data_Entry[Group Name],MATCH('PiN Overview-Expert Judgement'!B4,Data_Entry[ID],0)),"NA")</f>
        <v>All_Others</v>
      </c>
      <c r="I4" t="str">
        <f>IFERROR(INDEX(Data_Entry[Key],MATCH('PiN Overview-Expert Judgement'!B4,Data_Entry[ID],0)),"NA")</f>
        <v>AF01-All_Others</v>
      </c>
      <c r="J4" s="71" cm="1">
        <f t="array" aca="1" ref="J4" ca="1">_xlfn.IFNA(INDEX(Long_Data[Calculated PiN],MATCH(1, (PiN_Overview[[#This Row],[Key]]=Long_Data[Key]) * (1=Long_Data[Indicator Number]),0)),0)</f>
        <v>273917.08240000001</v>
      </c>
      <c r="K4" s="71" cm="1">
        <f t="array" aca="1" ref="K4" ca="1">_xlfn.IFNA(INDEX(Long_Data[Calculated PiN],MATCH(1, (PiN_Overview[[#This Row],[Key]]=Long_Data[Key]) * (2=Long_Data[Indicator Number]),0)),0)</f>
        <v>84511.009009008922</v>
      </c>
      <c r="L4" s="71" cm="1">
        <f t="array" aca="1" ref="L4" ca="1">_xlfn.IFNA(INDEX(Long_Data[Calculated PiN],MATCH(1, (PiN_Overview[[#This Row],[Key]]=Long_Data[Key]) * (3=Long_Data[Indicator Number]),0)),0)</f>
        <v>2071068.4935064956</v>
      </c>
      <c r="M4" s="71" cm="1">
        <f t="array" aca="1" ref="M4" ca="1">_xlfn.IFNA(INDEX(Long_Data[Calculated PiN],MATCH(1, (PiN_Overview[[#This Row],[Key]]=Long_Data[Key]) * (4=Long_Data[Indicator Number]),0)),0)</f>
        <v>700739.9334000001</v>
      </c>
      <c r="N4" s="71" cm="1">
        <f t="array" aca="1" ref="N4" ca="1">_xlfn.IFNA(INDEX(Long_Data[Calculated PiN],MATCH(1, (PiN_Overview[[#This Row],[Key]]=Long_Data[Key]) * (5=Long_Data[Indicator Number]),0)),0)</f>
        <v>0</v>
      </c>
      <c r="O4" s="71" cm="1">
        <f t="array" aca="1" ref="O4" ca="1">_xlfn.IFNA(INDEX(Long_Data[Calculated PiN],MATCH(1, (PiN_Overview[[#This Row],[Key]]=Long_Data[Key]) * (6=Long_Data[Indicator Number]),0)),0)</f>
        <v>4609492.7068965556</v>
      </c>
      <c r="P4" s="71" cm="1">
        <f t="array" aca="1" ref="P4" ca="1">_xlfn.IFNA(INDEX(Long_Data[Calculated PiN],MATCH(1, (PiN_Overview[[#This Row],[Key]]=Long_Data[Key]) * (7=Long_Data[Indicator Number]),0)),0)</f>
        <v>334891.77539999998</v>
      </c>
      <c r="Q4" s="71" cm="1">
        <f t="array" aca="1" ref="Q4" ca="1">_xlfn.IFNA(INDEX(Long_Data[Calculated PiN],MATCH(1, (PiN_Overview[[#This Row],[Key]]=Long_Data[Key]) * (8=Long_Data[Indicator Number]),0)),0)</f>
        <v>65143.902777777832</v>
      </c>
      <c r="R4" s="71" cm="1">
        <f t="array" aca="1" ref="R4" ca="1">_xlfn.IFNA(INDEX(Long_Data[Calculated PiN],MATCH(1, (PiN_Overview[[#This Row],[Key]]=Long_Data[Key]) * (9=Long_Data[Indicator Number]),0)),0)</f>
        <v>0</v>
      </c>
      <c r="S4" s="71" cm="1">
        <f t="array" aca="1" ref="S4" ca="1">_xlfn.IFNA(INDEX(Long_Data[Calculated PiN],MATCH(1, (PiN_Overview[[#This Row],[Key]]=Long_Data[Key]) * (10=Long_Data[Indicator Number]),0)),0)</f>
        <v>3658481.58</v>
      </c>
      <c r="T4" s="71" cm="1">
        <f t="array" aca="1" ref="T4" ca="1">_xlfn.IFNA(INDEX(Long_Data[Calculated PiN],MATCH(1, (PiN_Overview[[#This Row],[Key]]=Long_Data[Key]) * (11=Long_Data[Indicator Number]),0)),0)</f>
        <v>3633080.7207261594</v>
      </c>
      <c r="U4" s="71" cm="1">
        <f t="array" aca="1" ref="U4" ca="1">_xlfn.IFNA(INDEX(Long_Data[Calculated PiN],MATCH(1, (PiN_Overview[[#This Row],[Key]]=Long_Data[Key]) * (12=Long_Data[Indicator Number]),0)),0)</f>
        <v>3730050.934936916</v>
      </c>
    </row>
    <row r="5" spans="2:21">
      <c r="B5">
        <v>2</v>
      </c>
      <c r="E5" t="str">
        <f>IFERROR(INDEX(Data_Entry[ADM2_COUNTY],MATCH('PiN Overview-Expert Judgement'!B5,Data_Entry[ID],0)),"NA")</f>
        <v>Kapisa</v>
      </c>
      <c r="F5" t="str">
        <f>IFERROR(INDEX(Data_Entry[ADM2_Pcode],MATCH('PiN Overview-Expert Judgement'!B5,Data_Entry[ID],0)),"NA")</f>
        <v>AF02</v>
      </c>
      <c r="G5" s="71">
        <f>IFERROR(INDEX(Data_Entry[Group Population],MATCH('PiN Overview-Expert Judgement'!B5,Data_Entry[ID],0)),"NA")</f>
        <v>440047</v>
      </c>
      <c r="H5" t="str">
        <f>IFERROR(INDEX(Data_Entry[Group Name],MATCH('PiN Overview-Expert Judgement'!B5,Data_Entry[ID],0)),"NA")</f>
        <v>All_Others</v>
      </c>
      <c r="I5" t="str">
        <f>IFERROR(INDEX(Data_Entry[Key],MATCH('PiN Overview-Expert Judgement'!B5,Data_Entry[ID],0)),"NA")</f>
        <v>AF02-All_Others</v>
      </c>
      <c r="J5" s="71" cm="1">
        <f t="array" aca="1" ref="J5" ca="1">_xlfn.IFNA(INDEX(Long_Data[Calculated PiN],MATCH(1, (PiN_Overview[[#This Row],[Key]]=Long_Data[Key]) * (1=Long_Data[Indicator Number]),0)),0)</f>
        <v>87437.338899999988</v>
      </c>
      <c r="K5" s="71" cm="1">
        <f t="array" aca="1" ref="K5" ca="1">_xlfn.IFNA(INDEX(Long_Data[Calculated PiN],MATCH(1, (PiN_Overview[[#This Row],[Key]]=Long_Data[Key]) * (2=Long_Data[Indicator Number]),0)),0)</f>
        <v>220023.5</v>
      </c>
      <c r="L5" s="71" cm="1">
        <f t="array" aca="1" ref="L5" ca="1">_xlfn.IFNA(INDEX(Long_Data[Calculated PiN],MATCH(1, (PiN_Overview[[#This Row],[Key]]=Long_Data[Key]) * (3=Long_Data[Indicator Number]),0)),0)</f>
        <v>273618.967948718</v>
      </c>
      <c r="M5" s="71" cm="1">
        <f t="array" aca="1" ref="M5" ca="1">_xlfn.IFNA(INDEX(Long_Data[Calculated PiN],MATCH(1, (PiN_Overview[[#This Row],[Key]]=Long_Data[Key]) * (4=Long_Data[Indicator Number]),0)),0)</f>
        <v>197449.0889</v>
      </c>
      <c r="N5" s="71" cm="1">
        <f t="array" aca="1" ref="N5" ca="1">_xlfn.IFNA(INDEX(Long_Data[Calculated PiN],MATCH(1, (PiN_Overview[[#This Row],[Key]]=Long_Data[Key]) * (5=Long_Data[Indicator Number]),0)),0)</f>
        <v>0</v>
      </c>
      <c r="O5" s="71" cm="1">
        <f t="array" aca="1" ref="O5" ca="1">_xlfn.IFNA(INDEX(Long_Data[Calculated PiN],MATCH(1, (PiN_Overview[[#This Row],[Key]]=Long_Data[Key]) * (6=Long_Data[Indicator Number]),0)),0)</f>
        <v>440047.00000000012</v>
      </c>
      <c r="P5" s="71" cm="1">
        <f t="array" aca="1" ref="P5" ca="1">_xlfn.IFNA(INDEX(Long_Data[Calculated PiN],MATCH(1, (PiN_Overview[[#This Row],[Key]]=Long_Data[Key]) * (7=Long_Data[Indicator Number]),0)),0)</f>
        <v>22574.411099999998</v>
      </c>
      <c r="Q5" s="71" cm="1">
        <f t="array" aca="1" ref="Q5" ca="1">_xlfn.IFNA(INDEX(Long_Data[Calculated PiN],MATCH(1, (PiN_Overview[[#This Row],[Key]]=Long_Data[Key]) * (8=Long_Data[Indicator Number]),0)),0)</f>
        <v>0</v>
      </c>
      <c r="R5" s="71" cm="1">
        <f t="array" aca="1" ref="R5" ca="1">_xlfn.IFNA(INDEX(Long_Data[Calculated PiN],MATCH(1, (PiN_Overview[[#This Row],[Key]]=Long_Data[Key]) * (9=Long_Data[Indicator Number]),0)),0)</f>
        <v>0</v>
      </c>
      <c r="S5" s="71" cm="1">
        <f t="array" aca="1" ref="S5" ca="1">_xlfn.IFNA(INDEX(Long_Data[Calculated PiN],MATCH(1, (PiN_Overview[[#This Row],[Key]]=Long_Data[Key]) * (10=Long_Data[Indicator Number]),0)),0)</f>
        <v>0</v>
      </c>
      <c r="T5" s="71" cm="1">
        <f t="array" aca="1" ref="T5" ca="1">_xlfn.IFNA(INDEX(Long_Data[Calculated PiN],MATCH(1, (PiN_Overview[[#This Row],[Key]]=Long_Data[Key]) * (11=Long_Data[Indicator Number]),0)),0)</f>
        <v>186812.40566037688</v>
      </c>
      <c r="U5" s="71" cm="1">
        <f t="array" aca="1" ref="U5" ca="1">_xlfn.IFNA(INDEX(Long_Data[Calculated PiN],MATCH(1, (PiN_Overview[[#This Row],[Key]]=Long_Data[Key]) * (12=Long_Data[Indicator Number]),0)),0)</f>
        <v>306754.75518672308</v>
      </c>
    </row>
    <row r="6" spans="2:21">
      <c r="B6">
        <v>3</v>
      </c>
      <c r="E6" t="str">
        <f>IFERROR(INDEX(Data_Entry[ADM2_COUNTY],MATCH('PiN Overview-Expert Judgement'!B6,Data_Entry[ID],0)),"NA")</f>
        <v>Parwan</v>
      </c>
      <c r="F6" t="str">
        <f>IFERROR(INDEX(Data_Entry[ADM2_Pcode],MATCH('PiN Overview-Expert Judgement'!B6,Data_Entry[ID],0)),"NA")</f>
        <v>AF03</v>
      </c>
      <c r="G6" s="71">
        <f>IFERROR(INDEX(Data_Entry[Group Population],MATCH('PiN Overview-Expert Judgement'!B6,Data_Entry[ID],0)),"NA")</f>
        <v>664805</v>
      </c>
      <c r="H6" t="str">
        <f>IFERROR(INDEX(Data_Entry[Group Name],MATCH('PiN Overview-Expert Judgement'!B6,Data_Entry[ID],0)),"NA")</f>
        <v>All_Others</v>
      </c>
      <c r="I6" t="str">
        <f>IFERROR(INDEX(Data_Entry[Key],MATCH('PiN Overview-Expert Judgement'!B6,Data_Entry[ID],0)),"NA")</f>
        <v>AF03-All_Others</v>
      </c>
      <c r="J6" s="71" cm="1">
        <f t="array" aca="1" ref="J6" ca="1">_xlfn.IFNA(INDEX(Long_Data[Calculated PiN],MATCH(1, (PiN_Overview[[#This Row],[Key]]=Long_Data[Key]) * (1=Long_Data[Indicator Number]),0)),0)</f>
        <v>36497.794500000004</v>
      </c>
      <c r="K6" s="71" cm="1">
        <f t="array" aca="1" ref="K6" ca="1">_xlfn.IFNA(INDEX(Long_Data[Calculated PiN],MATCH(1, (PiN_Overview[[#This Row],[Key]]=Long_Data[Key]) * (2=Long_Data[Indicator Number]),0)),0)</f>
        <v>591838.59756097535</v>
      </c>
      <c r="L6" s="71" cm="1">
        <f t="array" aca="1" ref="L6" ca="1">_xlfn.IFNA(INDEX(Long_Data[Calculated PiN],MATCH(1, (PiN_Overview[[#This Row],[Key]]=Long_Data[Key]) * (3=Long_Data[Indicator Number]),0)),0)</f>
        <v>652643.93292682944</v>
      </c>
      <c r="M6" s="71" cm="1">
        <f t="array" aca="1" ref="M6" ca="1">_xlfn.IFNA(INDEX(Long_Data[Calculated PiN],MATCH(1, (PiN_Overview[[#This Row],[Key]]=Long_Data[Key]) * (4=Long_Data[Indicator Number]),0)),0)</f>
        <v>85095.040000000008</v>
      </c>
      <c r="N6" s="71" cm="1">
        <f t="array" aca="1" ref="N6" ca="1">_xlfn.IFNA(INDEX(Long_Data[Calculated PiN],MATCH(1, (PiN_Overview[[#This Row],[Key]]=Long_Data[Key]) * (5=Long_Data[Indicator Number]),0)),0)</f>
        <v>0</v>
      </c>
      <c r="O6" s="71" cm="1">
        <f t="array" aca="1" ref="O6" ca="1">_xlfn.IFNA(INDEX(Long_Data[Calculated PiN],MATCH(1, (PiN_Overview[[#This Row],[Key]]=Long_Data[Key]) * (6=Long_Data[Indicator Number]),0)),0)</f>
        <v>650954.89583333337</v>
      </c>
      <c r="P6" s="71" cm="1">
        <f t="array" aca="1" ref="P6" ca="1">_xlfn.IFNA(INDEX(Long_Data[Calculated PiN],MATCH(1, (PiN_Overview[[#This Row],[Key]]=Long_Data[Key]) * (7=Long_Data[Indicator Number]),0)),0)</f>
        <v>105371.5925</v>
      </c>
      <c r="Q6" s="71" cm="1">
        <f t="array" aca="1" ref="Q6" ca="1">_xlfn.IFNA(INDEX(Long_Data[Calculated PiN],MATCH(1, (PiN_Overview[[#This Row],[Key]]=Long_Data[Key]) * (8=Long_Data[Indicator Number]),0)),0)</f>
        <v>8362.3270440251854</v>
      </c>
      <c r="R6" s="71" cm="1">
        <f t="array" aca="1" ref="R6" ca="1">_xlfn.IFNA(INDEX(Long_Data[Calculated PiN],MATCH(1, (PiN_Overview[[#This Row],[Key]]=Long_Data[Key]) * (9=Long_Data[Indicator Number]),0)),0)</f>
        <v>0</v>
      </c>
      <c r="S6" s="71" cm="1">
        <f t="array" aca="1" ref="S6" ca="1">_xlfn.IFNA(INDEX(Long_Data[Calculated PiN],MATCH(1, (PiN_Overview[[#This Row],[Key]]=Long_Data[Key]) * (10=Long_Data[Indicator Number]),0)),0)</f>
        <v>119664.9</v>
      </c>
      <c r="T6" s="71" cm="1">
        <f t="array" aca="1" ref="T6" ca="1">_xlfn.IFNA(INDEX(Long_Data[Calculated PiN],MATCH(1, (PiN_Overview[[#This Row],[Key]]=Long_Data[Key]) * (11=Long_Data[Indicator Number]),0)),0)</f>
        <v>339343.61948955903</v>
      </c>
      <c r="U6" s="71" cm="1">
        <f t="array" aca="1" ref="U6" ca="1">_xlfn.IFNA(INDEX(Long_Data[Calculated PiN],MATCH(1, (PiN_Overview[[#This Row],[Key]]=Long_Data[Key]) * (12=Long_Data[Indicator Number]),0)),0)</f>
        <v>527554.93548387173</v>
      </c>
    </row>
    <row r="7" spans="2:21">
      <c r="B7">
        <v>4</v>
      </c>
      <c r="E7" t="str">
        <f>IFERROR(INDEX(Data_Entry[ADM2_COUNTY],MATCH('PiN Overview-Expert Judgement'!B7,Data_Entry[ID],0)),"NA")</f>
        <v>Wardak</v>
      </c>
      <c r="F7" t="str">
        <f>IFERROR(INDEX(Data_Entry[ADM2_Pcode],MATCH('PiN Overview-Expert Judgement'!B7,Data_Entry[ID],0)),"NA")</f>
        <v>AF04</v>
      </c>
      <c r="G7" s="71">
        <f>IFERROR(INDEX(Data_Entry[Group Population],MATCH('PiN Overview-Expert Judgement'!B7,Data_Entry[ID],0)),"NA")</f>
        <v>595013</v>
      </c>
      <c r="H7" t="str">
        <f>IFERROR(INDEX(Data_Entry[Group Name],MATCH('PiN Overview-Expert Judgement'!B7,Data_Entry[ID],0)),"NA")</f>
        <v>All_Others</v>
      </c>
      <c r="I7" t="str">
        <f>IFERROR(INDEX(Data_Entry[Key],MATCH('PiN Overview-Expert Judgement'!B7,Data_Entry[ID],0)),"NA")</f>
        <v>AF04-All_Others</v>
      </c>
      <c r="J7" s="71" cm="1">
        <f t="array" aca="1" ref="J7" ca="1">_xlfn.IFNA(INDEX(Long_Data[Calculated PiN],MATCH(1, (PiN_Overview[[#This Row],[Key]]=Long_Data[Key]) * (1=Long_Data[Indicator Number]),0)),0)</f>
        <v>3570.078</v>
      </c>
      <c r="K7" s="71" cm="1">
        <f t="array" aca="1" ref="K7" ca="1">_xlfn.IFNA(INDEX(Long_Data[Calculated PiN],MATCH(1, (PiN_Overview[[#This Row],[Key]]=Long_Data[Key]) * (2=Long_Data[Indicator Number]),0)),0)</f>
        <v>0</v>
      </c>
      <c r="L7" s="71" cm="1">
        <f t="array" aca="1" ref="L7" ca="1">_xlfn.IFNA(INDEX(Long_Data[Calculated PiN],MATCH(1, (PiN_Overview[[#This Row],[Key]]=Long_Data[Key]) * (3=Long_Data[Indicator Number]),0)),0)</f>
        <v>595013</v>
      </c>
      <c r="M7" s="71" cm="1">
        <f t="array" aca="1" ref="M7" ca="1">_xlfn.IFNA(INDEX(Long_Data[Calculated PiN],MATCH(1, (PiN_Overview[[#This Row],[Key]]=Long_Data[Key]) * (4=Long_Data[Indicator Number]),0)),0)</f>
        <v>60750.827299999997</v>
      </c>
      <c r="N7" s="71" cm="1">
        <f t="array" aca="1" ref="N7" ca="1">_xlfn.IFNA(INDEX(Long_Data[Calculated PiN],MATCH(1, (PiN_Overview[[#This Row],[Key]]=Long_Data[Key]) * (5=Long_Data[Indicator Number]),0)),0)</f>
        <v>0</v>
      </c>
      <c r="O7" s="71" cm="1">
        <f t="array" aca="1" ref="O7" ca="1">_xlfn.IFNA(INDEX(Long_Data[Calculated PiN],MATCH(1, (PiN_Overview[[#This Row],[Key]]=Long_Data[Key]) * (6=Long_Data[Indicator Number]),0)),0)</f>
        <v>595013</v>
      </c>
      <c r="P7" s="71" cm="1">
        <f t="array" aca="1" ref="P7" ca="1">_xlfn.IFNA(INDEX(Long_Data[Calculated PiN],MATCH(1, (PiN_Overview[[#This Row],[Key]]=Long_Data[Key]) * (7=Long_Data[Indicator Number]),0)),0)</f>
        <v>7140.1559999999999</v>
      </c>
      <c r="Q7" s="71" cm="1">
        <f t="array" aca="1" ref="Q7" ca="1">_xlfn.IFNA(INDEX(Long_Data[Calculated PiN],MATCH(1, (PiN_Overview[[#This Row],[Key]]=Long_Data[Key]) * (8=Long_Data[Indicator Number]),0)),0)</f>
        <v>104741.22295344977</v>
      </c>
      <c r="R7" s="71" cm="1">
        <f t="array" aca="1" ref="R7" ca="1">_xlfn.IFNA(INDEX(Long_Data[Calculated PiN],MATCH(1, (PiN_Overview[[#This Row],[Key]]=Long_Data[Key]) * (9=Long_Data[Indicator Number]),0)),0)</f>
        <v>0</v>
      </c>
      <c r="S7" s="71" cm="1">
        <f t="array" aca="1" ref="S7" ca="1">_xlfn.IFNA(INDEX(Long_Data[Calculated PiN],MATCH(1, (PiN_Overview[[#This Row],[Key]]=Long_Data[Key]) * (10=Long_Data[Indicator Number]),0)),0)</f>
        <v>0</v>
      </c>
      <c r="T7" s="71" cm="1">
        <f t="array" aca="1" ref="T7" ca="1">_xlfn.IFNA(INDEX(Long_Data[Calculated PiN],MATCH(1, (PiN_Overview[[#This Row],[Key]]=Long_Data[Key]) * (11=Long_Data[Indicator Number]),0)),0)</f>
        <v>428458.93294144847</v>
      </c>
      <c r="U7" s="71" cm="1">
        <f t="array" aca="1" ref="U7" ca="1">_xlfn.IFNA(INDEX(Long_Data[Calculated PiN],MATCH(1, (PiN_Overview[[#This Row],[Key]]=Long_Data[Key]) * (12=Long_Data[Indicator Number]),0)),0)</f>
        <v>419863.0354906054</v>
      </c>
    </row>
    <row r="8" spans="2:21">
      <c r="B8">
        <v>5</v>
      </c>
      <c r="E8" t="str">
        <f>IFERROR(INDEX(Data_Entry[ADM2_COUNTY],MATCH('PiN Overview-Expert Judgement'!B8,Data_Entry[ID],0)),"NA")</f>
        <v>Logar</v>
      </c>
      <c r="F8" t="str">
        <f>IFERROR(INDEX(Data_Entry[ADM2_Pcode],MATCH('PiN Overview-Expert Judgement'!B8,Data_Entry[ID],0)),"NA")</f>
        <v>AF05</v>
      </c>
      <c r="G8" s="71">
        <f>IFERROR(INDEX(Data_Entry[Group Population],MATCH('PiN Overview-Expert Judgement'!B8,Data_Entry[ID],0)),"NA")</f>
        <v>391451</v>
      </c>
      <c r="H8" t="str">
        <f>IFERROR(INDEX(Data_Entry[Group Name],MATCH('PiN Overview-Expert Judgement'!B8,Data_Entry[ID],0)),"NA")</f>
        <v>All_Others</v>
      </c>
      <c r="I8" t="str">
        <f>IFERROR(INDEX(Data_Entry[Key],MATCH('PiN Overview-Expert Judgement'!B8,Data_Entry[ID],0)),"NA")</f>
        <v>AF05-All_Others</v>
      </c>
      <c r="J8" s="71" cm="1">
        <f t="array" aca="1" ref="J8" ca="1">_xlfn.IFNA(INDEX(Long_Data[Calculated PiN],MATCH(1, (PiN_Overview[[#This Row],[Key]]=Long_Data[Key]) * (1=Long_Data[Indicator Number]),0)),0)</f>
        <v>5245.4434000000001</v>
      </c>
      <c r="K8" s="71" cm="1">
        <f t="array" aca="1" ref="K8" ca="1">_xlfn.IFNA(INDEX(Long_Data[Calculated PiN],MATCH(1, (PiN_Overview[[#This Row],[Key]]=Long_Data[Key]) * (2=Long_Data[Indicator Number]),0)),0)</f>
        <v>243017.5985728995</v>
      </c>
      <c r="L8" s="71" cm="1">
        <f t="array" aca="1" ref="L8" ca="1">_xlfn.IFNA(INDEX(Long_Data[Calculated PiN],MATCH(1, (PiN_Overview[[#This Row],[Key]]=Long_Data[Key]) * (3=Long_Data[Indicator Number]),0)),0)</f>
        <v>334779.44509225496</v>
      </c>
      <c r="M8" s="71" cm="1">
        <f t="array" aca="1" ref="M8" ca="1">_xlfn.IFNA(INDEX(Long_Data[Calculated PiN],MATCH(1, (PiN_Overview[[#This Row],[Key]]=Long_Data[Key]) * (4=Long_Data[Indicator Number]),0)),0)</f>
        <v>113716.51549999999</v>
      </c>
      <c r="N8" s="71" cm="1">
        <f t="array" aca="1" ref="N8" ca="1">_xlfn.IFNA(INDEX(Long_Data[Calculated PiN],MATCH(1, (PiN_Overview[[#This Row],[Key]]=Long_Data[Key]) * (5=Long_Data[Indicator Number]),0)),0)</f>
        <v>0</v>
      </c>
      <c r="O8" s="71" cm="1">
        <f t="array" aca="1" ref="O8" ca="1">_xlfn.IFNA(INDEX(Long_Data[Calculated PiN],MATCH(1, (PiN_Overview[[#This Row],[Key]]=Long_Data[Key]) * (6=Long_Data[Indicator Number]),0)),0)</f>
        <v>391450.99999999994</v>
      </c>
      <c r="P8" s="71" cm="1">
        <f t="array" aca="1" ref="P8" ca="1">_xlfn.IFNA(INDEX(Long_Data[Calculated PiN],MATCH(1, (PiN_Overview[[#This Row],[Key]]=Long_Data[Key]) * (7=Long_Data[Indicator Number]),0)),0)</f>
        <v>30533.178</v>
      </c>
      <c r="Q8" s="71" cm="1">
        <f t="array" aca="1" ref="Q8" ca="1">_xlfn.IFNA(INDEX(Long_Data[Calculated PiN],MATCH(1, (PiN_Overview[[#This Row],[Key]]=Long_Data[Key]) * (8=Long_Data[Indicator Number]),0)),0)</f>
        <v>8760.9492826047572</v>
      </c>
      <c r="R8" s="71" cm="1">
        <f t="array" aca="1" ref="R8" ca="1">_xlfn.IFNA(INDEX(Long_Data[Calculated PiN],MATCH(1, (PiN_Overview[[#This Row],[Key]]=Long_Data[Key]) * (9=Long_Data[Indicator Number]),0)),0)</f>
        <v>0</v>
      </c>
      <c r="S8" s="71" cm="1">
        <f t="array" aca="1" ref="S8" ca="1">_xlfn.IFNA(INDEX(Long_Data[Calculated PiN],MATCH(1, (PiN_Overview[[#This Row],[Key]]=Long_Data[Key]) * (10=Long_Data[Indicator Number]),0)),0)</f>
        <v>0</v>
      </c>
      <c r="T8" s="71" cm="1">
        <f t="array" aca="1" ref="T8" ca="1">_xlfn.IFNA(INDEX(Long_Data[Calculated PiN],MATCH(1, (PiN_Overview[[#This Row],[Key]]=Long_Data[Key]) * (11=Long_Data[Indicator Number]),0)),0)</f>
        <v>273283.88178152492</v>
      </c>
      <c r="U8" s="71" cm="1">
        <f t="array" aca="1" ref="U8" ca="1">_xlfn.IFNA(INDEX(Long_Data[Calculated PiN],MATCH(1, (PiN_Overview[[#This Row],[Key]]=Long_Data[Key]) * (12=Long_Data[Indicator Number]),0)),0)</f>
        <v>316888.90476190479</v>
      </c>
    </row>
    <row r="9" spans="2:21">
      <c r="B9">
        <v>6</v>
      </c>
      <c r="E9" t="str">
        <f>IFERROR(INDEX(Data_Entry[ADM2_COUNTY],MATCH('PiN Overview-Expert Judgement'!B9,Data_Entry[ID],0)),"NA")</f>
        <v>Nangarhar</v>
      </c>
      <c r="F9" t="str">
        <f>IFERROR(INDEX(Data_Entry[ADM2_Pcode],MATCH('PiN Overview-Expert Judgement'!B9,Data_Entry[ID],0)),"NA")</f>
        <v>AF06</v>
      </c>
      <c r="G9" s="71">
        <f>IFERROR(INDEX(Data_Entry[Group Population],MATCH('PiN Overview-Expert Judgement'!B9,Data_Entry[ID],0)),"NA")</f>
        <v>1533540</v>
      </c>
      <c r="H9" t="str">
        <f>IFERROR(INDEX(Data_Entry[Group Name],MATCH('PiN Overview-Expert Judgement'!B9,Data_Entry[ID],0)),"NA")</f>
        <v>All_Others</v>
      </c>
      <c r="I9" t="str">
        <f>IFERROR(INDEX(Data_Entry[Key],MATCH('PiN Overview-Expert Judgement'!B9,Data_Entry[ID],0)),"NA")</f>
        <v>AF06-All_Others</v>
      </c>
      <c r="J9" s="71" cm="1">
        <f t="array" aca="1" ref="J9" ca="1">_xlfn.IFNA(INDEX(Long_Data[Calculated PiN],MATCH(1, (PiN_Overview[[#This Row],[Key]]=Long_Data[Key]) * (1=Long_Data[Indicator Number]),0)),0)</f>
        <v>280177.75800000003</v>
      </c>
      <c r="K9" s="71" cm="1">
        <f t="array" aca="1" ref="K9" ca="1">_xlfn.IFNA(INDEX(Long_Data[Calculated PiN],MATCH(1, (PiN_Overview[[#This Row],[Key]]=Long_Data[Key]) * (2=Long_Data[Indicator Number]),0)),0)</f>
        <v>391103.740973518</v>
      </c>
      <c r="L9" s="71" cm="1">
        <f t="array" aca="1" ref="L9" ca="1">_xlfn.IFNA(INDEX(Long_Data[Calculated PiN],MATCH(1, (PiN_Overview[[#This Row],[Key]]=Long_Data[Key]) * (3=Long_Data[Indicator Number]),0)),0)</f>
        <v>1461586.81368745</v>
      </c>
      <c r="M9" s="71" cm="1">
        <f t="array" aca="1" ref="M9" ca="1">_xlfn.IFNA(INDEX(Long_Data[Calculated PiN],MATCH(1, (PiN_Overview[[#This Row],[Key]]=Long_Data[Key]) * (4=Long_Data[Indicator Number]),0)),0)</f>
        <v>362375.50200000004</v>
      </c>
      <c r="N9" s="71" cm="1">
        <f t="array" aca="1" ref="N9" ca="1">_xlfn.IFNA(INDEX(Long_Data[Calculated PiN],MATCH(1, (PiN_Overview[[#This Row],[Key]]=Long_Data[Key]) * (5=Long_Data[Indicator Number]),0)),0)</f>
        <v>0</v>
      </c>
      <c r="O9" s="71" cm="1">
        <f t="array" aca="1" ref="O9" ca="1">_xlfn.IFNA(INDEX(Long_Data[Calculated PiN],MATCH(1, (PiN_Overview[[#This Row],[Key]]=Long_Data[Key]) * (6=Long_Data[Indicator Number]),0)),0)</f>
        <v>1487761.7529223631</v>
      </c>
      <c r="P9" s="71" cm="1">
        <f t="array" aca="1" ref="P9" ca="1">_xlfn.IFNA(INDEX(Long_Data[Calculated PiN],MATCH(1, (PiN_Overview[[#This Row],[Key]]=Long_Data[Key]) * (7=Long_Data[Indicator Number]),0)),0)</f>
        <v>134184.75</v>
      </c>
      <c r="Q9" s="71" cm="1">
        <f t="array" aca="1" ref="Q9" ca="1">_xlfn.IFNA(INDEX(Long_Data[Calculated PiN],MATCH(1, (PiN_Overview[[#This Row],[Key]]=Long_Data[Key]) * (8=Long_Data[Indicator Number]),0)),0)</f>
        <v>67760.449241151146</v>
      </c>
      <c r="R9" s="71" cm="1">
        <f t="array" aca="1" ref="R9" ca="1">_xlfn.IFNA(INDEX(Long_Data[Calculated PiN],MATCH(1, (PiN_Overview[[#This Row],[Key]]=Long_Data[Key]) * (9=Long_Data[Indicator Number]),0)),0)</f>
        <v>0</v>
      </c>
      <c r="S9" s="71" cm="1">
        <f t="array" aca="1" ref="S9" ca="1">_xlfn.IFNA(INDEX(Long_Data[Calculated PiN],MATCH(1, (PiN_Overview[[#This Row],[Key]]=Long_Data[Key]) * (10=Long_Data[Indicator Number]),0)),0)</f>
        <v>996800.99999999988</v>
      </c>
      <c r="T9" s="71" cm="1">
        <f t="array" aca="1" ref="T9" ca="1">_xlfn.IFNA(INDEX(Long_Data[Calculated PiN],MATCH(1, (PiN_Overview[[#This Row],[Key]]=Long_Data[Key]) * (11=Long_Data[Indicator Number]),0)),0)</f>
        <v>1260680.4054054071</v>
      </c>
      <c r="U9" s="71" cm="1">
        <f t="array" aca="1" ref="U9" ca="1">_xlfn.IFNA(INDEX(Long_Data[Calculated PiN],MATCH(1, (PiN_Overview[[#This Row],[Key]]=Long_Data[Key]) * (12=Long_Data[Indicator Number]),0)),0)</f>
        <v>1405405.5570686699</v>
      </c>
    </row>
    <row r="10" spans="2:21">
      <c r="B10">
        <v>7</v>
      </c>
      <c r="E10" t="str">
        <f>IFERROR(INDEX(Data_Entry[ADM2_COUNTY],MATCH('PiN Overview-Expert Judgement'!B10,Data_Entry[ID],0)),"NA")</f>
        <v>Laghman</v>
      </c>
      <c r="F10" t="str">
        <f>IFERROR(INDEX(Data_Entry[ADM2_Pcode],MATCH('PiN Overview-Expert Judgement'!B10,Data_Entry[ID],0)),"NA")</f>
        <v>AF07</v>
      </c>
      <c r="G10" s="71">
        <f>IFERROR(INDEX(Data_Entry[Group Population],MATCH('PiN Overview-Expert Judgement'!B10,Data_Entry[ID],0)),"NA")</f>
        <v>444722</v>
      </c>
      <c r="H10" t="str">
        <f>IFERROR(INDEX(Data_Entry[Group Name],MATCH('PiN Overview-Expert Judgement'!B10,Data_Entry[ID],0)),"NA")</f>
        <v>All_Others</v>
      </c>
      <c r="I10" t="str">
        <f>IFERROR(INDEX(Data_Entry[Key],MATCH('PiN Overview-Expert Judgement'!B10,Data_Entry[ID],0)),"NA")</f>
        <v>AF07-All_Others</v>
      </c>
      <c r="J10" s="71" cm="1">
        <f t="array" aca="1" ref="J10" ca="1">_xlfn.IFNA(INDEX(Long_Data[Calculated PiN],MATCH(1, (PiN_Overview[[#This Row],[Key]]=Long_Data[Key]) * (1=Long_Data[Indicator Number]),0)),0)</f>
        <v>27439.347400000002</v>
      </c>
      <c r="K10" s="71" cm="1">
        <f t="array" aca="1" ref="K10" ca="1">_xlfn.IFNA(INDEX(Long_Data[Calculated PiN],MATCH(1, (PiN_Overview[[#This Row],[Key]]=Long_Data[Key]) * (2=Long_Data[Indicator Number]),0)),0)</f>
        <v>203172.0218471018</v>
      </c>
      <c r="L10" s="71" cm="1">
        <f t="array" aca="1" ref="L10" ca="1">_xlfn.IFNA(INDEX(Long_Data[Calculated PiN],MATCH(1, (PiN_Overview[[#This Row],[Key]]=Long_Data[Key]) * (3=Long_Data[Indicator Number]),0)),0)</f>
        <v>227644.3713964567</v>
      </c>
      <c r="M10" s="71" cm="1">
        <f t="array" aca="1" ref="M10" ca="1">_xlfn.IFNA(INDEX(Long_Data[Calculated PiN],MATCH(1, (PiN_Overview[[#This Row],[Key]]=Long_Data[Key]) * (4=Long_Data[Indicator Number]),0)),0)</f>
        <v>44472.2</v>
      </c>
      <c r="N10" s="71" cm="1">
        <f t="array" aca="1" ref="N10" ca="1">_xlfn.IFNA(INDEX(Long_Data[Calculated PiN],MATCH(1, (PiN_Overview[[#This Row],[Key]]=Long_Data[Key]) * (5=Long_Data[Indicator Number]),0)),0)</f>
        <v>0</v>
      </c>
      <c r="O10" s="71" cm="1">
        <f t="array" aca="1" ref="O10" ca="1">_xlfn.IFNA(INDEX(Long_Data[Calculated PiN],MATCH(1, (PiN_Overview[[#This Row],[Key]]=Long_Data[Key]) * (6=Long_Data[Indicator Number]),0)),0)</f>
        <v>391152.02112385927</v>
      </c>
      <c r="P10" s="71" cm="1">
        <f t="array" aca="1" ref="P10" ca="1">_xlfn.IFNA(INDEX(Long_Data[Calculated PiN],MATCH(1, (PiN_Overview[[#This Row],[Key]]=Long_Data[Key]) * (7=Long_Data[Indicator Number]),0)),0)</f>
        <v>14853.7148</v>
      </c>
      <c r="Q10" s="71" cm="1">
        <f t="array" aca="1" ref="Q10" ca="1">_xlfn.IFNA(INDEX(Long_Data[Calculated PiN],MATCH(1, (PiN_Overview[[#This Row],[Key]]=Long_Data[Key]) * (8=Long_Data[Indicator Number]),0)),0)</f>
        <v>51960.228376130297</v>
      </c>
      <c r="R10" s="71" cm="1">
        <f t="array" aca="1" ref="R10" ca="1">_xlfn.IFNA(INDEX(Long_Data[Calculated PiN],MATCH(1, (PiN_Overview[[#This Row],[Key]]=Long_Data[Key]) * (9=Long_Data[Indicator Number]),0)),0)</f>
        <v>0</v>
      </c>
      <c r="S10" s="71" cm="1">
        <f t="array" aca="1" ref="S10" ca="1">_xlfn.IFNA(INDEX(Long_Data[Calculated PiN],MATCH(1, (PiN_Overview[[#This Row],[Key]]=Long_Data[Key]) * (10=Long_Data[Indicator Number]),0)),0)</f>
        <v>0</v>
      </c>
      <c r="T10" s="71" cm="1">
        <f t="array" aca="1" ref="T10" ca="1">_xlfn.IFNA(INDEX(Long_Data[Calculated PiN],MATCH(1, (PiN_Overview[[#This Row],[Key]]=Long_Data[Key]) * (11=Long_Data[Indicator Number]),0)),0)</f>
        <v>145280.1779999139</v>
      </c>
      <c r="U10" s="71" cm="1">
        <f t="array" aca="1" ref="U10" ca="1">_xlfn.IFNA(INDEX(Long_Data[Calculated PiN],MATCH(1, (PiN_Overview[[#This Row],[Key]]=Long_Data[Key]) * (12=Long_Data[Indicator Number]),0)),0)</f>
        <v>322008.25311203499</v>
      </c>
    </row>
    <row r="11" spans="2:21">
      <c r="B11">
        <v>8</v>
      </c>
      <c r="E11" t="str">
        <f>IFERROR(INDEX(Data_Entry[ADM2_COUNTY],MATCH('PiN Overview-Expert Judgement'!B11,Data_Entry[ID],0)),"NA")</f>
        <v>Panjsher</v>
      </c>
      <c r="F11" t="str">
        <f>IFERROR(INDEX(Data_Entry[ADM2_Pcode],MATCH('PiN Overview-Expert Judgement'!B11,Data_Entry[ID],0)),"NA")</f>
        <v>AF08</v>
      </c>
      <c r="G11" s="71">
        <f>IFERROR(INDEX(Data_Entry[Group Population],MATCH('PiN Overview-Expert Judgement'!B11,Data_Entry[ID],0)),"NA")</f>
        <v>153134</v>
      </c>
      <c r="H11" t="str">
        <f>IFERROR(INDEX(Data_Entry[Group Name],MATCH('PiN Overview-Expert Judgement'!B11,Data_Entry[ID],0)),"NA")</f>
        <v>All_Others</v>
      </c>
      <c r="I11" t="str">
        <f>IFERROR(INDEX(Data_Entry[Key],MATCH('PiN Overview-Expert Judgement'!B11,Data_Entry[ID],0)),"NA")</f>
        <v>AF08-All_Others</v>
      </c>
      <c r="J11" s="71" cm="1">
        <f t="array" aca="1" ref="J11" ca="1">_xlfn.IFNA(INDEX(Long_Data[Calculated PiN],MATCH(1, (PiN_Overview[[#This Row],[Key]]=Long_Data[Key]) * (1=Long_Data[Indicator Number]),0)),0)</f>
        <v>19264.2572</v>
      </c>
      <c r="K11" s="71" cm="1">
        <f t="array" aca="1" ref="K11" ca="1">_xlfn.IFNA(INDEX(Long_Data[Calculated PiN],MATCH(1, (PiN_Overview[[#This Row],[Key]]=Long_Data[Key]) * (2=Long_Data[Indicator Number]),0)),0)</f>
        <v>59211.813333333237</v>
      </c>
      <c r="L11" s="71" cm="1">
        <f t="array" aca="1" ref="L11" ca="1">_xlfn.IFNA(INDEX(Long_Data[Calculated PiN],MATCH(1, (PiN_Overview[[#This Row],[Key]]=Long_Data[Key]) * (3=Long_Data[Indicator Number]),0)),0)</f>
        <v>135711.56886227551</v>
      </c>
      <c r="M11" s="71" cm="1">
        <f t="array" aca="1" ref="M11" ca="1">_xlfn.IFNA(INDEX(Long_Data[Calculated PiN],MATCH(1, (PiN_Overview[[#This Row],[Key]]=Long_Data[Key]) * (4=Long_Data[Indicator Number]),0)),0)</f>
        <v>62356.164799999999</v>
      </c>
      <c r="N11" s="71" cm="1">
        <f t="array" aca="1" ref="N11" ca="1">_xlfn.IFNA(INDEX(Long_Data[Calculated PiN],MATCH(1, (PiN_Overview[[#This Row],[Key]]=Long_Data[Key]) * (5=Long_Data[Indicator Number]),0)),0)</f>
        <v>0</v>
      </c>
      <c r="O11" s="71" cm="1">
        <f t="array" aca="1" ref="O11" ca="1">_xlfn.IFNA(INDEX(Long_Data[Calculated PiN],MATCH(1, (PiN_Overview[[#This Row],[Key]]=Long_Data[Key]) * (6=Long_Data[Indicator Number]),0)),0)</f>
        <v>153134</v>
      </c>
      <c r="P11" s="71" cm="1">
        <f t="array" aca="1" ref="P11" ca="1">_xlfn.IFNA(INDEX(Long_Data[Calculated PiN],MATCH(1, (PiN_Overview[[#This Row],[Key]]=Long_Data[Key]) * (7=Long_Data[Indicator Number]),0)),0)</f>
        <v>4578.7066000000004</v>
      </c>
      <c r="Q11" s="71" cm="1">
        <f t="array" aca="1" ref="Q11" ca="1">_xlfn.IFNA(INDEX(Long_Data[Calculated PiN],MATCH(1, (PiN_Overview[[#This Row],[Key]]=Long_Data[Key]) * (8=Long_Data[Indicator Number]),0)),0)</f>
        <v>2489.9837398373993</v>
      </c>
      <c r="R11" s="71" cm="1">
        <f t="array" aca="1" ref="R11" ca="1">_xlfn.IFNA(INDEX(Long_Data[Calculated PiN],MATCH(1, (PiN_Overview[[#This Row],[Key]]=Long_Data[Key]) * (9=Long_Data[Indicator Number]),0)),0)</f>
        <v>0</v>
      </c>
      <c r="S11" s="71" cm="1">
        <f t="array" aca="1" ref="S11" ca="1">_xlfn.IFNA(INDEX(Long_Data[Calculated PiN],MATCH(1, (PiN_Overview[[#This Row],[Key]]=Long_Data[Key]) * (10=Long_Data[Indicator Number]),0)),0)</f>
        <v>0</v>
      </c>
      <c r="T11" s="71" cm="1">
        <f t="array" aca="1" ref="T11" ca="1">_xlfn.IFNA(INDEX(Long_Data[Calculated PiN],MATCH(1, (PiN_Overview[[#This Row],[Key]]=Long_Data[Key]) * (11=Long_Data[Indicator Number]),0)),0)</f>
        <v>75225.686737400247</v>
      </c>
      <c r="U11" s="71" cm="1">
        <f t="array" aca="1" ref="U11" ca="1">_xlfn.IFNA(INDEX(Long_Data[Calculated PiN],MATCH(1, (PiN_Overview[[#This Row],[Key]]=Long_Data[Key]) * (12=Long_Data[Indicator Number]),0)),0)</f>
        <v>95502.92473118387</v>
      </c>
    </row>
    <row r="12" spans="2:21">
      <c r="B12">
        <v>9</v>
      </c>
      <c r="E12" t="str">
        <f>IFERROR(INDEX(Data_Entry[ADM2_COUNTY],MATCH('PiN Overview-Expert Judgement'!B12,Data_Entry[ID],0)),"NA")</f>
        <v>Baghlan</v>
      </c>
      <c r="F12" t="str">
        <f>IFERROR(INDEX(Data_Entry[ADM2_Pcode],MATCH('PiN Overview-Expert Judgement'!B12,Data_Entry[ID],0)),"NA")</f>
        <v>AF09</v>
      </c>
      <c r="G12" s="71">
        <f>IFERROR(INDEX(Data_Entry[Group Population],MATCH('PiN Overview-Expert Judgement'!B12,Data_Entry[ID],0)),"NA")</f>
        <v>914370</v>
      </c>
      <c r="H12" t="str">
        <f>IFERROR(INDEX(Data_Entry[Group Name],MATCH('PiN Overview-Expert Judgement'!B12,Data_Entry[ID],0)),"NA")</f>
        <v>All_Others</v>
      </c>
      <c r="I12" t="str">
        <f>IFERROR(INDEX(Data_Entry[Key],MATCH('PiN Overview-Expert Judgement'!B12,Data_Entry[ID],0)),"NA")</f>
        <v>AF09-All_Others</v>
      </c>
      <c r="J12" s="71" cm="1">
        <f t="array" aca="1" ref="J12" ca="1">_xlfn.IFNA(INDEX(Long_Data[Calculated PiN],MATCH(1, (PiN_Overview[[#This Row],[Key]]=Long_Data[Key]) * (1=Long_Data[Indicator Number]),0)),0)</f>
        <v>38952.161999999997</v>
      </c>
      <c r="K12" s="71" cm="1">
        <f t="array" aca="1" ref="K12" ca="1">_xlfn.IFNA(INDEX(Long_Data[Calculated PiN],MATCH(1, (PiN_Overview[[#This Row],[Key]]=Long_Data[Key]) * (2=Long_Data[Indicator Number]),0)),0)</f>
        <v>636658.17578817077</v>
      </c>
      <c r="L12" s="71" cm="1">
        <f t="array" aca="1" ref="L12" ca="1">_xlfn.IFNA(INDEX(Long_Data[Calculated PiN],MATCH(1, (PiN_Overview[[#This Row],[Key]]=Long_Data[Key]) * (3=Long_Data[Indicator Number]),0)),0)</f>
        <v>403350.94011410017</v>
      </c>
      <c r="M12" s="71" cm="1">
        <f t="array" aca="1" ref="M12" ca="1">_xlfn.IFNA(INDEX(Long_Data[Calculated PiN],MATCH(1, (PiN_Overview[[#This Row],[Key]]=Long_Data[Key]) * (4=Long_Data[Indicator Number]),0)),0)</f>
        <v>637407.32700000005</v>
      </c>
      <c r="N12" s="71" cm="1">
        <f t="array" aca="1" ref="N12" ca="1">_xlfn.IFNA(INDEX(Long_Data[Calculated PiN],MATCH(1, (PiN_Overview[[#This Row],[Key]]=Long_Data[Key]) * (5=Long_Data[Indicator Number]),0)),0)</f>
        <v>0</v>
      </c>
      <c r="O12" s="71" cm="1">
        <f t="array" aca="1" ref="O12" ca="1">_xlfn.IFNA(INDEX(Long_Data[Calculated PiN],MATCH(1, (PiN_Overview[[#This Row],[Key]]=Long_Data[Key]) * (6=Long_Data[Indicator Number]),0)),0)</f>
        <v>812773.33333333349</v>
      </c>
      <c r="P12" s="71" cm="1">
        <f t="array" aca="1" ref="P12" ca="1">_xlfn.IFNA(INDEX(Long_Data[Calculated PiN],MATCH(1, (PiN_Overview[[#This Row],[Key]]=Long_Data[Key]) * (7=Long_Data[Indicator Number]),0)),0)</f>
        <v>38220.665999999997</v>
      </c>
      <c r="Q12" s="71" cm="1">
        <f t="array" aca="1" ref="Q12" ca="1">_xlfn.IFNA(INDEX(Long_Data[Calculated PiN],MATCH(1, (PiN_Overview[[#This Row],[Key]]=Long_Data[Key]) * (8=Long_Data[Indicator Number]),0)),0)</f>
        <v>31209.859548174525</v>
      </c>
      <c r="R12" s="71" cm="1">
        <f t="array" aca="1" ref="R12" ca="1">_xlfn.IFNA(INDEX(Long_Data[Calculated PiN],MATCH(1, (PiN_Overview[[#This Row],[Key]]=Long_Data[Key]) * (9=Long_Data[Indicator Number]),0)),0)</f>
        <v>0</v>
      </c>
      <c r="S12" s="71" cm="1">
        <f t="array" aca="1" ref="S12" ca="1">_xlfn.IFNA(INDEX(Long_Data[Calculated PiN],MATCH(1, (PiN_Overview[[#This Row],[Key]]=Long_Data[Key]) * (10=Long_Data[Indicator Number]),0)),0)</f>
        <v>539478.30000000005</v>
      </c>
      <c r="T12" s="71" cm="1">
        <f t="array" aca="1" ref="T12" ca="1">_xlfn.IFNA(INDEX(Long_Data[Calculated PiN],MATCH(1, (PiN_Overview[[#This Row],[Key]]=Long_Data[Key]) * (11=Long_Data[Indicator Number]),0)),0)</f>
        <v>767409.02107635094</v>
      </c>
      <c r="U12" s="71" cm="1">
        <f t="array" aca="1" ref="U12" ca="1">_xlfn.IFNA(INDEX(Long_Data[Calculated PiN],MATCH(1, (PiN_Overview[[#This Row],[Key]]=Long_Data[Key]) * (12=Long_Data[Indicator Number]),0)),0)</f>
        <v>724859.3517495183</v>
      </c>
    </row>
    <row r="13" spans="2:21">
      <c r="B13">
        <v>10</v>
      </c>
      <c r="E13" t="str">
        <f>IFERROR(INDEX(Data_Entry[ADM2_COUNTY],MATCH('PiN Overview-Expert Judgement'!B13,Data_Entry[ID],0)),"NA")</f>
        <v>Bamyan</v>
      </c>
      <c r="F13" t="str">
        <f>IFERROR(INDEX(Data_Entry[ADM2_Pcode],MATCH('PiN Overview-Expert Judgement'!B13,Data_Entry[ID],0)),"NA")</f>
        <v>AF10</v>
      </c>
      <c r="G13" s="71">
        <f>IFERROR(INDEX(Data_Entry[Group Population],MATCH('PiN Overview-Expert Judgement'!B13,Data_Entry[ID],0)),"NA")</f>
        <v>446588</v>
      </c>
      <c r="H13" t="str">
        <f>IFERROR(INDEX(Data_Entry[Group Name],MATCH('PiN Overview-Expert Judgement'!B13,Data_Entry[ID],0)),"NA")</f>
        <v>All_Others</v>
      </c>
      <c r="I13" t="str">
        <f>IFERROR(INDEX(Data_Entry[Key],MATCH('PiN Overview-Expert Judgement'!B13,Data_Entry[ID],0)),"NA")</f>
        <v>AF10-All_Others</v>
      </c>
      <c r="J13" s="71" cm="1">
        <f t="array" aca="1" ref="J13" ca="1">_xlfn.IFNA(INDEX(Long_Data[Calculated PiN],MATCH(1, (PiN_Overview[[#This Row],[Key]]=Long_Data[Key]) * (1=Long_Data[Indicator Number]),0)),0)</f>
        <v>92667.010000000009</v>
      </c>
      <c r="K13" s="71" cm="1">
        <f t="array" aca="1" ref="K13" ca="1">_xlfn.IFNA(INDEX(Long_Data[Calculated PiN],MATCH(1, (PiN_Overview[[#This Row],[Key]]=Long_Data[Key]) * (2=Long_Data[Indicator Number]),0)),0)</f>
        <v>343737.43030303047</v>
      </c>
      <c r="L13" s="71" cm="1">
        <f t="array" aca="1" ref="L13" ca="1">_xlfn.IFNA(INDEX(Long_Data[Calculated PiN],MATCH(1, (PiN_Overview[[#This Row],[Key]]=Long_Data[Key]) * (3=Long_Data[Indicator Number]),0)),0)</f>
        <v>316628.52910052909</v>
      </c>
      <c r="M13" s="71" cm="1">
        <f t="array" aca="1" ref="M13" ca="1">_xlfn.IFNA(INDEX(Long_Data[Calculated PiN],MATCH(1, (PiN_Overview[[#This Row],[Key]]=Long_Data[Key]) * (4=Long_Data[Indicator Number]),0)),0)</f>
        <v>75607.348400000003</v>
      </c>
      <c r="N13" s="71" cm="1">
        <f t="array" aca="1" ref="N13" ca="1">_xlfn.IFNA(INDEX(Long_Data[Calculated PiN],MATCH(1, (PiN_Overview[[#This Row],[Key]]=Long_Data[Key]) * (5=Long_Data[Indicator Number]),0)),0)</f>
        <v>0</v>
      </c>
      <c r="O13" s="71" cm="1">
        <f t="array" aca="1" ref="O13" ca="1">_xlfn.IFNA(INDEX(Long_Data[Calculated PiN],MATCH(1, (PiN_Overview[[#This Row],[Key]]=Long_Data[Key]) * (6=Long_Data[Indicator Number]),0)),0)</f>
        <v>446588</v>
      </c>
      <c r="P13" s="71" cm="1">
        <f t="array" aca="1" ref="P13" ca="1">_xlfn.IFNA(INDEX(Long_Data[Calculated PiN],MATCH(1, (PiN_Overview[[#This Row],[Key]]=Long_Data[Key]) * (7=Long_Data[Indicator Number]),0)),0)</f>
        <v>49615.926799999994</v>
      </c>
      <c r="Q13" s="71" cm="1">
        <f t="array" aca="1" ref="Q13" ca="1">_xlfn.IFNA(INDEX(Long_Data[Calculated PiN],MATCH(1, (PiN_Overview[[#This Row],[Key]]=Long_Data[Key]) * (8=Long_Data[Indicator Number]),0)),0)</f>
        <v>32837.352941176476</v>
      </c>
      <c r="R13" s="71" cm="1">
        <f t="array" aca="1" ref="R13" ca="1">_xlfn.IFNA(INDEX(Long_Data[Calculated PiN],MATCH(1, (PiN_Overview[[#This Row],[Key]]=Long_Data[Key]) * (9=Long_Data[Indicator Number]),0)),0)</f>
        <v>0</v>
      </c>
      <c r="S13" s="71" cm="1">
        <f t="array" aca="1" ref="S13" ca="1">_xlfn.IFNA(INDEX(Long_Data[Calculated PiN],MATCH(1, (PiN_Overview[[#This Row],[Key]]=Long_Data[Key]) * (10=Long_Data[Indicator Number]),0)),0)</f>
        <v>0</v>
      </c>
      <c r="T13" s="71" cm="1">
        <f t="array" aca="1" ref="T13" ca="1">_xlfn.IFNA(INDEX(Long_Data[Calculated PiN],MATCH(1, (PiN_Overview[[#This Row],[Key]]=Long_Data[Key]) * (11=Long_Data[Indicator Number]),0)),0)</f>
        <v>262887.99318262632</v>
      </c>
      <c r="U13" s="71" cm="1">
        <f t="array" aca="1" ref="U13" ca="1">_xlfn.IFNA(INDEX(Long_Data[Calculated PiN],MATCH(1, (PiN_Overview[[#This Row],[Key]]=Long_Data[Key]) * (12=Long_Data[Indicator Number]),0)),0)</f>
        <v>311399.56576200272</v>
      </c>
    </row>
    <row r="14" spans="2:21">
      <c r="B14">
        <v>11</v>
      </c>
      <c r="E14" t="str">
        <f>IFERROR(INDEX(Data_Entry[ADM2_COUNTY],MATCH('PiN Overview-Expert Judgement'!B14,Data_Entry[ID],0)),"NA")</f>
        <v>Kabul</v>
      </c>
      <c r="F14" t="str">
        <f>IFERROR(INDEX(Data_Entry[ADM2_Pcode],MATCH('PiN Overview-Expert Judgement'!B14,Data_Entry[ID],0)),"NA")</f>
        <v>AF01</v>
      </c>
      <c r="G14" s="71">
        <f>IFERROR(INDEX(Data_Entry[Group Population],MATCH('PiN Overview-Expert Judgement'!B14,Data_Entry[ID],0)),"NA")</f>
        <v>670052</v>
      </c>
      <c r="H14" t="str">
        <f>IFERROR(INDEX(Data_Entry[Group Name],MATCH('PiN Overview-Expert Judgement'!B14,Data_Entry[ID],0)),"NA")</f>
        <v>Non_Displaced</v>
      </c>
      <c r="I14" t="str">
        <f>IFERROR(INDEX(Data_Entry[Key],MATCH('PiN Overview-Expert Judgement'!B14,Data_Entry[ID],0)),"NA")</f>
        <v>AF01-Non_Displaced</v>
      </c>
      <c r="J14" s="71" cm="1">
        <f t="array" aca="1" ref="J14" ca="1">_xlfn.IFNA(INDEX(Long_Data[Calculated PiN],MATCH(1, (PiN_Overview[[#This Row],[Key]]=Long_Data[Key]) * (1=Long_Data[Indicator Number]),0)),0)</f>
        <v>39131.036800000002</v>
      </c>
      <c r="K14" s="71" cm="1">
        <f t="array" aca="1" ref="K14" ca="1">_xlfn.IFNA(INDEX(Long_Data[Calculated PiN],MATCH(1, (PiN_Overview[[#This Row],[Key]]=Long_Data[Key]) * (2=Long_Data[Indicator Number]),0)),0)</f>
        <v>12073.009009008998</v>
      </c>
      <c r="L14" s="71" cm="1">
        <f t="array" aca="1" ref="L14" ca="1">_xlfn.IFNA(INDEX(Long_Data[Calculated PiN],MATCH(1, (PiN_Overview[[#This Row],[Key]]=Long_Data[Key]) * (3=Long_Data[Indicator Number]),0)),0)</f>
        <v>295867.11688311718</v>
      </c>
      <c r="M14" s="71" cm="1">
        <f t="array" aca="1" ref="M14" ca="1">_xlfn.IFNA(INDEX(Long_Data[Calculated PiN],MATCH(1, (PiN_Overview[[#This Row],[Key]]=Long_Data[Key]) * (4=Long_Data[Indicator Number]),0)),0)</f>
        <v>100105.76880000002</v>
      </c>
      <c r="N14" s="71" cm="1">
        <f t="array" aca="1" ref="N14" ca="1">_xlfn.IFNA(INDEX(Long_Data[Calculated PiN],MATCH(1, (PiN_Overview[[#This Row],[Key]]=Long_Data[Key]) * (5=Long_Data[Indicator Number]),0)),0)</f>
        <v>0</v>
      </c>
      <c r="O14" s="71" cm="1">
        <f t="array" aca="1" ref="O14" ca="1">_xlfn.IFNA(INDEX(Long_Data[Calculated PiN],MATCH(1, (PiN_Overview[[#This Row],[Key]]=Long_Data[Key]) * (6=Long_Data[Indicator Number]),0)),0)</f>
        <v>658499.37931034539</v>
      </c>
      <c r="P14" s="71" cm="1">
        <f t="array" aca="1" ref="P14" ca="1">_xlfn.IFNA(INDEX(Long_Data[Calculated PiN],MATCH(1, (PiN_Overview[[#This Row],[Key]]=Long_Data[Key]) * (7=Long_Data[Indicator Number]),0)),0)</f>
        <v>47841.712799999994</v>
      </c>
      <c r="Q14" s="71" cm="1">
        <f t="array" aca="1" ref="Q14" ca="1">_xlfn.IFNA(INDEX(Long_Data[Calculated PiN],MATCH(1, (PiN_Overview[[#This Row],[Key]]=Long_Data[Key]) * (8=Long_Data[Indicator Number]),0)),0)</f>
        <v>9306.2777777777846</v>
      </c>
      <c r="R14" s="71" cm="1">
        <f t="array" aca="1" ref="R14" ca="1">_xlfn.IFNA(INDEX(Long_Data[Calculated PiN],MATCH(1, (PiN_Overview[[#This Row],[Key]]=Long_Data[Key]) * (9=Long_Data[Indicator Number]),0)),0)</f>
        <v>0</v>
      </c>
      <c r="S14" s="71" cm="1">
        <f t="array" aca="1" ref="S14" ca="1">_xlfn.IFNA(INDEX(Long_Data[Calculated PiN],MATCH(1, (PiN_Overview[[#This Row],[Key]]=Long_Data[Key]) * (10=Long_Data[Indicator Number]),0)),0)</f>
        <v>522640.56</v>
      </c>
      <c r="T14" s="71" cm="1">
        <f t="array" aca="1" ref="T14" ca="1">_xlfn.IFNA(INDEX(Long_Data[Calculated PiN],MATCH(1, (PiN_Overview[[#This Row],[Key]]=Long_Data[Key]) * (11=Long_Data[Indicator Number]),0)),0)</f>
        <v>519011.86349707504</v>
      </c>
      <c r="U14" s="71" cm="1">
        <f t="array" aca="1" ref="U14" ca="1">_xlfn.IFNA(INDEX(Long_Data[Calculated PiN],MATCH(1, (PiN_Overview[[#This Row],[Key]]=Long_Data[Key]) * (12=Long_Data[Indicator Number]),0)),0)</f>
        <v>532864.76010190917</v>
      </c>
    </row>
    <row r="15" spans="2:21">
      <c r="B15">
        <v>12</v>
      </c>
      <c r="E15" t="str">
        <f>IFERROR(INDEX(Data_Entry[ADM2_COUNTY],MATCH('PiN Overview-Expert Judgement'!B15,Data_Entry[ID],0)),"NA")</f>
        <v>Kapisa</v>
      </c>
      <c r="F15" t="str">
        <f>IFERROR(INDEX(Data_Entry[ADM2_Pcode],MATCH('PiN Overview-Expert Judgement'!B15,Data_Entry[ID],0)),"NA")</f>
        <v>AF02</v>
      </c>
      <c r="G15" s="71">
        <f>IFERROR(INDEX(Data_Entry[Group Population],MATCH('PiN Overview-Expert Judgement'!B15,Data_Entry[ID],0)),"NA")</f>
        <v>62864</v>
      </c>
      <c r="H15" t="str">
        <f>IFERROR(INDEX(Data_Entry[Group Name],MATCH('PiN Overview-Expert Judgement'!B15,Data_Entry[ID],0)),"NA")</f>
        <v>Non_Displaced</v>
      </c>
      <c r="I15" t="str">
        <f>IFERROR(INDEX(Data_Entry[Key],MATCH('PiN Overview-Expert Judgement'!B15,Data_Entry[ID],0)),"NA")</f>
        <v>AF02-Non_Displaced</v>
      </c>
      <c r="J15" s="71" cm="1">
        <f t="array" aca="1" ref="J15" ca="1">_xlfn.IFNA(INDEX(Long_Data[Calculated PiN],MATCH(1, (PiN_Overview[[#This Row],[Key]]=Long_Data[Key]) * (1=Long_Data[Indicator Number]),0)),0)</f>
        <v>12491.076799999999</v>
      </c>
      <c r="K15" s="71" cm="1">
        <f t="array" aca="1" ref="K15" ca="1">_xlfn.IFNA(INDEX(Long_Data[Calculated PiN],MATCH(1, (PiN_Overview[[#This Row],[Key]]=Long_Data[Key]) * (2=Long_Data[Indicator Number]),0)),0)</f>
        <v>31432</v>
      </c>
      <c r="L15" s="71" cm="1">
        <f t="array" aca="1" ref="L15" ca="1">_xlfn.IFNA(INDEX(Long_Data[Calculated PiN],MATCH(1, (PiN_Overview[[#This Row],[Key]]=Long_Data[Key]) * (3=Long_Data[Indicator Number]),0)),0)</f>
        <v>39088.512820512828</v>
      </c>
      <c r="M15" s="71" cm="1">
        <f t="array" aca="1" ref="M15" ca="1">_xlfn.IFNA(INDEX(Long_Data[Calculated PiN],MATCH(1, (PiN_Overview[[#This Row],[Key]]=Long_Data[Key]) * (4=Long_Data[Indicator Number]),0)),0)</f>
        <v>28207.076799999999</v>
      </c>
      <c r="N15" s="71" cm="1">
        <f t="array" aca="1" ref="N15" ca="1">_xlfn.IFNA(INDEX(Long_Data[Calculated PiN],MATCH(1, (PiN_Overview[[#This Row],[Key]]=Long_Data[Key]) * (5=Long_Data[Indicator Number]),0)),0)</f>
        <v>0</v>
      </c>
      <c r="O15" s="71" cm="1">
        <f t="array" aca="1" ref="O15" ca="1">_xlfn.IFNA(INDEX(Long_Data[Calculated PiN],MATCH(1, (PiN_Overview[[#This Row],[Key]]=Long_Data[Key]) * (6=Long_Data[Indicator Number]),0)),0)</f>
        <v>62864.000000000015</v>
      </c>
      <c r="P15" s="71" cm="1">
        <f t="array" aca="1" ref="P15" ca="1">_xlfn.IFNA(INDEX(Long_Data[Calculated PiN],MATCH(1, (PiN_Overview[[#This Row],[Key]]=Long_Data[Key]) * (7=Long_Data[Indicator Number]),0)),0)</f>
        <v>3224.9231999999997</v>
      </c>
      <c r="Q15" s="71" cm="1">
        <f t="array" aca="1" ref="Q15" ca="1">_xlfn.IFNA(INDEX(Long_Data[Calculated PiN],MATCH(1, (PiN_Overview[[#This Row],[Key]]=Long_Data[Key]) * (8=Long_Data[Indicator Number]),0)),0)</f>
        <v>0</v>
      </c>
      <c r="R15" s="71" cm="1">
        <f t="array" aca="1" ref="R15" ca="1">_xlfn.IFNA(INDEX(Long_Data[Calculated PiN],MATCH(1, (PiN_Overview[[#This Row],[Key]]=Long_Data[Key]) * (9=Long_Data[Indicator Number]),0)),0)</f>
        <v>0</v>
      </c>
      <c r="S15" s="71" cm="1">
        <f t="array" aca="1" ref="S15" ca="1">_xlfn.IFNA(INDEX(Long_Data[Calculated PiN],MATCH(1, (PiN_Overview[[#This Row],[Key]]=Long_Data[Key]) * (10=Long_Data[Indicator Number]),0)),0)</f>
        <v>0</v>
      </c>
      <c r="T15" s="71" cm="1">
        <f t="array" aca="1" ref="T15" ca="1">_xlfn.IFNA(INDEX(Long_Data[Calculated PiN],MATCH(1, (PiN_Overview[[#This Row],[Key]]=Long_Data[Key]) * (11=Long_Data[Indicator Number]),0)),0)</f>
        <v>26687.547169811252</v>
      </c>
      <c r="U15" s="71" cm="1">
        <f t="array" aca="1" ref="U15" ca="1">_xlfn.IFNA(INDEX(Long_Data[Calculated PiN],MATCH(1, (PiN_Overview[[#This Row],[Key]]=Long_Data[Key]) * (12=Long_Data[Indicator Number]),0)),0)</f>
        <v>43822.207468879824</v>
      </c>
    </row>
    <row r="16" spans="2:21">
      <c r="B16">
        <v>13</v>
      </c>
      <c r="E16" t="str">
        <f>IFERROR(INDEX(Data_Entry[ADM2_COUNTY],MATCH('PiN Overview-Expert Judgement'!B16,Data_Entry[ID],0)),"NA")</f>
        <v>Parwan</v>
      </c>
      <c r="F16" t="str">
        <f>IFERROR(INDEX(Data_Entry[ADM2_Pcode],MATCH('PiN Overview-Expert Judgement'!B16,Data_Entry[ID],0)),"NA")</f>
        <v>AF03</v>
      </c>
      <c r="G16" s="71">
        <f>IFERROR(INDEX(Data_Entry[Group Population],MATCH('PiN Overview-Expert Judgement'!B16,Data_Entry[ID],0)),"NA")</f>
        <v>94972</v>
      </c>
      <c r="H16" t="str">
        <f>IFERROR(INDEX(Data_Entry[Group Name],MATCH('PiN Overview-Expert Judgement'!B16,Data_Entry[ID],0)),"NA")</f>
        <v>Non_Displaced</v>
      </c>
      <c r="I16" t="str">
        <f>IFERROR(INDEX(Data_Entry[Key],MATCH('PiN Overview-Expert Judgement'!B16,Data_Entry[ID],0)),"NA")</f>
        <v>AF03-Non_Displaced</v>
      </c>
      <c r="J16" s="71" cm="1">
        <f t="array" aca="1" ref="J16" ca="1">_xlfn.IFNA(INDEX(Long_Data[Calculated PiN],MATCH(1, (PiN_Overview[[#This Row],[Key]]=Long_Data[Key]) * (1=Long_Data[Indicator Number]),0)),0)</f>
        <v>5213.9628000000002</v>
      </c>
      <c r="K16" s="71" cm="1">
        <f t="array" aca="1" ref="K16" ca="1">_xlfn.IFNA(INDEX(Long_Data[Calculated PiN],MATCH(1, (PiN_Overview[[#This Row],[Key]]=Long_Data[Key]) * (2=Long_Data[Indicator Number]),0)),0)</f>
        <v>84548.24390243899</v>
      </c>
      <c r="L16" s="71" cm="1">
        <f t="array" aca="1" ref="L16" ca="1">_xlfn.IFNA(INDEX(Long_Data[Calculated PiN],MATCH(1, (PiN_Overview[[#This Row],[Key]]=Long_Data[Key]) * (3=Long_Data[Indicator Number]),0)),0)</f>
        <v>93234.707317073204</v>
      </c>
      <c r="M16" s="71" cm="1">
        <f t="array" aca="1" ref="M16" ca="1">_xlfn.IFNA(INDEX(Long_Data[Calculated PiN],MATCH(1, (PiN_Overview[[#This Row],[Key]]=Long_Data[Key]) * (4=Long_Data[Indicator Number]),0)),0)</f>
        <v>12156.416000000001</v>
      </c>
      <c r="N16" s="71" cm="1">
        <f t="array" aca="1" ref="N16" ca="1">_xlfn.IFNA(INDEX(Long_Data[Calculated PiN],MATCH(1, (PiN_Overview[[#This Row],[Key]]=Long_Data[Key]) * (5=Long_Data[Indicator Number]),0)),0)</f>
        <v>0</v>
      </c>
      <c r="O16" s="71" cm="1">
        <f t="array" aca="1" ref="O16" ca="1">_xlfn.IFNA(INDEX(Long_Data[Calculated PiN],MATCH(1, (PiN_Overview[[#This Row],[Key]]=Long_Data[Key]) * (6=Long_Data[Indicator Number]),0)),0)</f>
        <v>92993.416666666672</v>
      </c>
      <c r="P16" s="71" cm="1">
        <f t="array" aca="1" ref="P16" ca="1">_xlfn.IFNA(INDEX(Long_Data[Calculated PiN],MATCH(1, (PiN_Overview[[#This Row],[Key]]=Long_Data[Key]) * (7=Long_Data[Indicator Number]),0)),0)</f>
        <v>15053.062</v>
      </c>
      <c r="Q16" s="71" cm="1">
        <f t="array" aca="1" ref="Q16" ca="1">_xlfn.IFNA(INDEX(Long_Data[Calculated PiN],MATCH(1, (PiN_Overview[[#This Row],[Key]]=Long_Data[Key]) * (8=Long_Data[Indicator Number]),0)),0)</f>
        <v>1194.6163522012619</v>
      </c>
      <c r="R16" s="71" cm="1">
        <f t="array" aca="1" ref="R16" ca="1">_xlfn.IFNA(INDEX(Long_Data[Calculated PiN],MATCH(1, (PiN_Overview[[#This Row],[Key]]=Long_Data[Key]) * (9=Long_Data[Indicator Number]),0)),0)</f>
        <v>0</v>
      </c>
      <c r="S16" s="71" cm="1">
        <f t="array" aca="1" ref="S16" ca="1">_xlfn.IFNA(INDEX(Long_Data[Calculated PiN],MATCH(1, (PiN_Overview[[#This Row],[Key]]=Long_Data[Key]) * (10=Long_Data[Indicator Number]),0)),0)</f>
        <v>17094.96</v>
      </c>
      <c r="T16" s="71" cm="1">
        <f t="array" aca="1" ref="T16" ca="1">_xlfn.IFNA(INDEX(Long_Data[Calculated PiN],MATCH(1, (PiN_Overview[[#This Row],[Key]]=Long_Data[Key]) * (11=Long_Data[Indicator Number]),0)),0)</f>
        <v>48477.587006960537</v>
      </c>
      <c r="U16" s="71" cm="1">
        <f t="array" aca="1" ref="U16" ca="1">_xlfn.IFNA(INDEX(Long_Data[Calculated PiN],MATCH(1, (PiN_Overview[[#This Row],[Key]]=Long_Data[Key]) * (12=Long_Data[Indicator Number]),0)),0)</f>
        <v>75364.877419354947</v>
      </c>
    </row>
    <row r="17" spans="2:21">
      <c r="B17">
        <v>14</v>
      </c>
      <c r="E17" t="str">
        <f>IFERROR(INDEX(Data_Entry[ADM2_COUNTY],MATCH('PiN Overview-Expert Judgement'!B17,Data_Entry[ID],0)),"NA")</f>
        <v>Wardak</v>
      </c>
      <c r="F17" t="str">
        <f>IFERROR(INDEX(Data_Entry[ADM2_Pcode],MATCH('PiN Overview-Expert Judgement'!B17,Data_Entry[ID],0)),"NA")</f>
        <v>AF04</v>
      </c>
      <c r="G17" s="71">
        <f>IFERROR(INDEX(Data_Entry[Group Population],MATCH('PiN Overview-Expert Judgement'!B17,Data_Entry[ID],0)),"NA")</f>
        <v>85002</v>
      </c>
      <c r="H17" t="str">
        <f>IFERROR(INDEX(Data_Entry[Group Name],MATCH('PiN Overview-Expert Judgement'!B17,Data_Entry[ID],0)),"NA")</f>
        <v>Non_Displaced</v>
      </c>
      <c r="I17" t="str">
        <f>IFERROR(INDEX(Data_Entry[Key],MATCH('PiN Overview-Expert Judgement'!B17,Data_Entry[ID],0)),"NA")</f>
        <v>AF04-Non_Displaced</v>
      </c>
      <c r="J17" s="71" cm="1">
        <f t="array" aca="1" ref="J17" ca="1">_xlfn.IFNA(INDEX(Long_Data[Calculated PiN],MATCH(1, (PiN_Overview[[#This Row],[Key]]=Long_Data[Key]) * (1=Long_Data[Indicator Number]),0)),0)</f>
        <v>510.012</v>
      </c>
      <c r="K17" s="71" cm="1">
        <f t="array" aca="1" ref="K17" ca="1">_xlfn.IFNA(INDEX(Long_Data[Calculated PiN],MATCH(1, (PiN_Overview[[#This Row],[Key]]=Long_Data[Key]) * (2=Long_Data[Indicator Number]),0)),0)</f>
        <v>0</v>
      </c>
      <c r="L17" s="71" cm="1">
        <f t="array" aca="1" ref="L17" ca="1">_xlfn.IFNA(INDEX(Long_Data[Calculated PiN],MATCH(1, (PiN_Overview[[#This Row],[Key]]=Long_Data[Key]) * (3=Long_Data[Indicator Number]),0)),0)</f>
        <v>85002</v>
      </c>
      <c r="M17" s="71" cm="1">
        <f t="array" aca="1" ref="M17" ca="1">_xlfn.IFNA(INDEX(Long_Data[Calculated PiN],MATCH(1, (PiN_Overview[[#This Row],[Key]]=Long_Data[Key]) * (4=Long_Data[Indicator Number]),0)),0)</f>
        <v>8678.7042000000001</v>
      </c>
      <c r="N17" s="71" cm="1">
        <f t="array" aca="1" ref="N17" ca="1">_xlfn.IFNA(INDEX(Long_Data[Calculated PiN],MATCH(1, (PiN_Overview[[#This Row],[Key]]=Long_Data[Key]) * (5=Long_Data[Indicator Number]),0)),0)</f>
        <v>0</v>
      </c>
      <c r="O17" s="71" cm="1">
        <f t="array" aca="1" ref="O17" ca="1">_xlfn.IFNA(INDEX(Long_Data[Calculated PiN],MATCH(1, (PiN_Overview[[#This Row],[Key]]=Long_Data[Key]) * (6=Long_Data[Indicator Number]),0)),0)</f>
        <v>85002</v>
      </c>
      <c r="P17" s="71" cm="1">
        <f t="array" aca="1" ref="P17" ca="1">_xlfn.IFNA(INDEX(Long_Data[Calculated PiN],MATCH(1, (PiN_Overview[[#This Row],[Key]]=Long_Data[Key]) * (7=Long_Data[Indicator Number]),0)),0)</f>
        <v>1020.024</v>
      </c>
      <c r="Q17" s="71" cm="1">
        <f t="array" aca="1" ref="Q17" ca="1">_xlfn.IFNA(INDEX(Long_Data[Calculated PiN],MATCH(1, (PiN_Overview[[#This Row],[Key]]=Long_Data[Key]) * (8=Long_Data[Indicator Number]),0)),0)</f>
        <v>14963.056997896076</v>
      </c>
      <c r="R17" s="71" cm="1">
        <f t="array" aca="1" ref="R17" ca="1">_xlfn.IFNA(INDEX(Long_Data[Calculated PiN],MATCH(1, (PiN_Overview[[#This Row],[Key]]=Long_Data[Key]) * (9=Long_Data[Indicator Number]),0)),0)</f>
        <v>0</v>
      </c>
      <c r="S17" s="71" cm="1">
        <f t="array" aca="1" ref="S17" ca="1">_xlfn.IFNA(INDEX(Long_Data[Calculated PiN],MATCH(1, (PiN_Overview[[#This Row],[Key]]=Long_Data[Key]) * (10=Long_Data[Indicator Number]),0)),0)</f>
        <v>0</v>
      </c>
      <c r="T17" s="71" cm="1">
        <f t="array" aca="1" ref="T17" ca="1">_xlfn.IFNA(INDEX(Long_Data[Calculated PiN],MATCH(1, (PiN_Overview[[#This Row],[Key]]=Long_Data[Key]) * (11=Long_Data[Indicator Number]),0)),0)</f>
        <v>61208.521860680361</v>
      </c>
      <c r="U17" s="71" cm="1">
        <f t="array" aca="1" ref="U17" ca="1">_xlfn.IFNA(INDEX(Long_Data[Calculated PiN],MATCH(1, (PiN_Overview[[#This Row],[Key]]=Long_Data[Key]) * (12=Long_Data[Indicator Number]),0)),0)</f>
        <v>59980.534446764083</v>
      </c>
    </row>
    <row r="18" spans="2:21">
      <c r="B18">
        <v>15</v>
      </c>
      <c r="E18" t="str">
        <f>IFERROR(INDEX(Data_Entry[ADM2_COUNTY],MATCH('PiN Overview-Expert Judgement'!B18,Data_Entry[ID],0)),"NA")</f>
        <v>Logar</v>
      </c>
      <c r="F18" t="str">
        <f>IFERROR(INDEX(Data_Entry[ADM2_Pcode],MATCH('PiN Overview-Expert Judgement'!B18,Data_Entry[ID],0)),"NA")</f>
        <v>AF05</v>
      </c>
      <c r="G18" s="71">
        <f>IFERROR(INDEX(Data_Entry[Group Population],MATCH('PiN Overview-Expert Judgement'!B18,Data_Entry[ID],0)),"NA")</f>
        <v>55922</v>
      </c>
      <c r="H18" t="str">
        <f>IFERROR(INDEX(Data_Entry[Group Name],MATCH('PiN Overview-Expert Judgement'!B18,Data_Entry[ID],0)),"NA")</f>
        <v>Non_Displaced</v>
      </c>
      <c r="I18" t="str">
        <f>IFERROR(INDEX(Data_Entry[Key],MATCH('PiN Overview-Expert Judgement'!B18,Data_Entry[ID],0)),"NA")</f>
        <v>AF05-Non_Displaced</v>
      </c>
      <c r="J18" s="71" cm="1">
        <f t="array" aca="1" ref="J18" ca="1">_xlfn.IFNA(INDEX(Long_Data[Calculated PiN],MATCH(1, (PiN_Overview[[#This Row],[Key]]=Long_Data[Key]) * (1=Long_Data[Indicator Number]),0)),0)</f>
        <v>749.35480000000007</v>
      </c>
      <c r="K18" s="71" cm="1">
        <f t="array" aca="1" ref="K18" ca="1">_xlfn.IFNA(INDEX(Long_Data[Calculated PiN],MATCH(1, (PiN_Overview[[#This Row],[Key]]=Long_Data[Key]) * (2=Long_Data[Indicator Number]),0)),0)</f>
        <v>34717.06585854599</v>
      </c>
      <c r="L18" s="71" cm="1">
        <f t="array" aca="1" ref="L18" ca="1">_xlfn.IFNA(INDEX(Long_Data[Calculated PiN],MATCH(1, (PiN_Overview[[#This Row],[Key]]=Long_Data[Key]) * (3=Long_Data[Indicator Number]),0)),0)</f>
        <v>47826.001539015313</v>
      </c>
      <c r="M18" s="71" cm="1">
        <f t="array" aca="1" ref="M18" ca="1">_xlfn.IFNA(INDEX(Long_Data[Calculated PiN],MATCH(1, (PiN_Overview[[#This Row],[Key]]=Long_Data[Key]) * (4=Long_Data[Indicator Number]),0)),0)</f>
        <v>16245.340999999999</v>
      </c>
      <c r="N18" s="71" cm="1">
        <f t="array" aca="1" ref="N18" ca="1">_xlfn.IFNA(INDEX(Long_Data[Calculated PiN],MATCH(1, (PiN_Overview[[#This Row],[Key]]=Long_Data[Key]) * (5=Long_Data[Indicator Number]),0)),0)</f>
        <v>0</v>
      </c>
      <c r="O18" s="71" cm="1">
        <f t="array" aca="1" ref="O18" ca="1">_xlfn.IFNA(INDEX(Long_Data[Calculated PiN],MATCH(1, (PiN_Overview[[#This Row],[Key]]=Long_Data[Key]) * (6=Long_Data[Indicator Number]),0)),0)</f>
        <v>55921.999999999985</v>
      </c>
      <c r="P18" s="71" cm="1">
        <f t="array" aca="1" ref="P18" ca="1">_xlfn.IFNA(INDEX(Long_Data[Calculated PiN],MATCH(1, (PiN_Overview[[#This Row],[Key]]=Long_Data[Key]) * (7=Long_Data[Indicator Number]),0)),0)</f>
        <v>4361.9160000000002</v>
      </c>
      <c r="Q18" s="71" cm="1">
        <f t="array" aca="1" ref="Q18" ca="1">_xlfn.IFNA(INDEX(Long_Data[Calculated PiN],MATCH(1, (PiN_Overview[[#This Row],[Key]]=Long_Data[Key]) * (8=Long_Data[Indicator Number]),0)),0)</f>
        <v>1251.5737749598882</v>
      </c>
      <c r="R18" s="71" cm="1">
        <f t="array" aca="1" ref="R18" ca="1">_xlfn.IFNA(INDEX(Long_Data[Calculated PiN],MATCH(1, (PiN_Overview[[#This Row],[Key]]=Long_Data[Key]) * (9=Long_Data[Indicator Number]),0)),0)</f>
        <v>0</v>
      </c>
      <c r="S18" s="71" cm="1">
        <f t="array" aca="1" ref="S18" ca="1">_xlfn.IFNA(INDEX(Long_Data[Calculated PiN],MATCH(1, (PiN_Overview[[#This Row],[Key]]=Long_Data[Key]) * (10=Long_Data[Indicator Number]),0)),0)</f>
        <v>0</v>
      </c>
      <c r="T18" s="71" cm="1">
        <f t="array" aca="1" ref="T18" ca="1">_xlfn.IFNA(INDEX(Long_Data[Calculated PiN],MATCH(1, (PiN_Overview[[#This Row],[Key]]=Long_Data[Key]) * (11=Long_Data[Indicator Number]),0)),0)</f>
        <v>39040.853739002931</v>
      </c>
      <c r="U18" s="71" cm="1">
        <f t="array" aca="1" ref="U18" ca="1">_xlfn.IFNA(INDEX(Long_Data[Calculated PiN],MATCH(1, (PiN_Overview[[#This Row],[Key]]=Long_Data[Key]) * (12=Long_Data[Indicator Number]),0)),0)</f>
        <v>45270.190476190473</v>
      </c>
    </row>
    <row r="19" spans="2:21">
      <c r="B19">
        <v>16</v>
      </c>
      <c r="E19" t="str">
        <f>IFERROR(INDEX(Data_Entry[ADM2_COUNTY],MATCH('PiN Overview-Expert Judgement'!B19,Data_Entry[ID],0)),"NA")</f>
        <v>Nangarhar</v>
      </c>
      <c r="F19" t="str">
        <f>IFERROR(INDEX(Data_Entry[ADM2_Pcode],MATCH('PiN Overview-Expert Judgement'!B19,Data_Entry[ID],0)),"NA")</f>
        <v>AF06</v>
      </c>
      <c r="G19" s="71">
        <f>IFERROR(INDEX(Data_Entry[Group Population],MATCH('PiN Overview-Expert Judgement'!B19,Data_Entry[ID],0)),"NA")</f>
        <v>219077</v>
      </c>
      <c r="H19" t="str">
        <f>IFERROR(INDEX(Data_Entry[Group Name],MATCH('PiN Overview-Expert Judgement'!B19,Data_Entry[ID],0)),"NA")</f>
        <v>Non_Displaced</v>
      </c>
      <c r="I19" t="str">
        <f>IFERROR(INDEX(Data_Entry[Key],MATCH('PiN Overview-Expert Judgement'!B19,Data_Entry[ID],0)),"NA")</f>
        <v>AF06-Non_Displaced</v>
      </c>
      <c r="J19" s="71" cm="1">
        <f t="array" aca="1" ref="J19" ca="1">_xlfn.IFNA(INDEX(Long_Data[Calculated PiN],MATCH(1, (PiN_Overview[[#This Row],[Key]]=Long_Data[Key]) * (1=Long_Data[Indicator Number]),0)),0)</f>
        <v>40025.367899999997</v>
      </c>
      <c r="K19" s="71" cm="1">
        <f t="array" aca="1" ref="K19" ca="1">_xlfn.IFNA(INDEX(Long_Data[Calculated PiN],MATCH(1, (PiN_Overview[[#This Row],[Key]]=Long_Data[Key]) * (2=Long_Data[Indicator Number]),0)),0)</f>
        <v>55871.926562890694</v>
      </c>
      <c r="L19" s="71" cm="1">
        <f t="array" aca="1" ref="L19" ca="1">_xlfn.IFNA(INDEX(Long_Data[Calculated PiN],MATCH(1, (PiN_Overview[[#This Row],[Key]]=Long_Data[Key]) * (3=Long_Data[Indicator Number]),0)),0)</f>
        <v>208797.980086731</v>
      </c>
      <c r="M19" s="71" cm="1">
        <f t="array" aca="1" ref="M19" ca="1">_xlfn.IFNA(INDEX(Long_Data[Calculated PiN],MATCH(1, (PiN_Overview[[#This Row],[Key]]=Long_Data[Key]) * (4=Long_Data[Indicator Number]),0)),0)</f>
        <v>51767.895100000002</v>
      </c>
      <c r="N19" s="71" cm="1">
        <f t="array" aca="1" ref="N19" ca="1">_xlfn.IFNA(INDEX(Long_Data[Calculated PiN],MATCH(1, (PiN_Overview[[#This Row],[Key]]=Long_Data[Key]) * (5=Long_Data[Indicator Number]),0)),0)</f>
        <v>0</v>
      </c>
      <c r="O19" s="71" cm="1">
        <f t="array" aca="1" ref="O19" ca="1">_xlfn.IFNA(INDEX(Long_Data[Calculated PiN],MATCH(1, (PiN_Overview[[#This Row],[Key]]=Long_Data[Key]) * (6=Long_Data[Indicator Number]),0)),0)</f>
        <v>212537.25468195975</v>
      </c>
      <c r="P19" s="71" cm="1">
        <f t="array" aca="1" ref="P19" ca="1">_xlfn.IFNA(INDEX(Long_Data[Calculated PiN],MATCH(1, (PiN_Overview[[#This Row],[Key]]=Long_Data[Key]) * (7=Long_Data[Indicator Number]),0)),0)</f>
        <v>19169.237499999999</v>
      </c>
      <c r="Q19" s="71" cm="1">
        <f t="array" aca="1" ref="Q19" ca="1">_xlfn.IFNA(INDEX(Long_Data[Calculated PiN],MATCH(1, (PiN_Overview[[#This Row],[Key]]=Long_Data[Key]) * (8=Long_Data[Indicator Number]),0)),0)</f>
        <v>9680.0578650727512</v>
      </c>
      <c r="R19" s="71" cm="1">
        <f t="array" aca="1" ref="R19" ca="1">_xlfn.IFNA(INDEX(Long_Data[Calculated PiN],MATCH(1, (PiN_Overview[[#This Row],[Key]]=Long_Data[Key]) * (9=Long_Data[Indicator Number]),0)),0)</f>
        <v>0</v>
      </c>
      <c r="S19" s="71" cm="1">
        <f t="array" aca="1" ref="S19" ca="1">_xlfn.IFNA(INDEX(Long_Data[Calculated PiN],MATCH(1, (PiN_Overview[[#This Row],[Key]]=Long_Data[Key]) * (10=Long_Data[Indicator Number]),0)),0)</f>
        <v>142400.04999999999</v>
      </c>
      <c r="T19" s="71" cm="1">
        <f t="array" aca="1" ref="T19" ca="1">_xlfn.IFNA(INDEX(Long_Data[Calculated PiN],MATCH(1, (PiN_Overview[[#This Row],[Key]]=Long_Data[Key]) * (11=Long_Data[Indicator Number]),0)),0)</f>
        <v>180097.08333333358</v>
      </c>
      <c r="U19" s="71" cm="1">
        <f t="array" aca="1" ref="U19" ca="1">_xlfn.IFNA(INDEX(Long_Data[Calculated PiN],MATCH(1, (PiN_Overview[[#This Row],[Key]]=Long_Data[Key]) * (12=Long_Data[Indicator Number]),0)),0)</f>
        <v>200772.09151762133</v>
      </c>
    </row>
    <row r="20" spans="2:21">
      <c r="B20">
        <v>17</v>
      </c>
      <c r="E20" t="str">
        <f>IFERROR(INDEX(Data_Entry[ADM2_COUNTY],MATCH('PiN Overview-Expert Judgement'!B20,Data_Entry[ID],0)),"NA")</f>
        <v>Laghman</v>
      </c>
      <c r="F20" t="str">
        <f>IFERROR(INDEX(Data_Entry[ADM2_Pcode],MATCH('PiN Overview-Expert Judgement'!B20,Data_Entry[ID],0)),"NA")</f>
        <v>AF07</v>
      </c>
      <c r="G20" s="71">
        <f>IFERROR(INDEX(Data_Entry[Group Population],MATCH('PiN Overview-Expert Judgement'!B20,Data_Entry[ID],0)),"NA")</f>
        <v>63532</v>
      </c>
      <c r="H20" t="str">
        <f>IFERROR(INDEX(Data_Entry[Group Name],MATCH('PiN Overview-Expert Judgement'!B20,Data_Entry[ID],0)),"NA")</f>
        <v>Non_Displaced</v>
      </c>
      <c r="I20" t="str">
        <f>IFERROR(INDEX(Data_Entry[Key],MATCH('PiN Overview-Expert Judgement'!B20,Data_Entry[ID],0)),"NA")</f>
        <v>AF07-Non_Displaced</v>
      </c>
      <c r="J20" s="71" cm="1">
        <f t="array" aca="1" ref="J20" ca="1">_xlfn.IFNA(INDEX(Long_Data[Calculated PiN],MATCH(1, (PiN_Overview[[#This Row],[Key]]=Long_Data[Key]) * (1=Long_Data[Indicator Number]),0)),0)</f>
        <v>3919.9244000000003</v>
      </c>
      <c r="K20" s="71" cm="1">
        <f t="array" aca="1" ref="K20" ca="1">_xlfn.IFNA(INDEX(Long_Data[Calculated PiN],MATCH(1, (PiN_Overview[[#This Row],[Key]]=Long_Data[Key]) * (2=Long_Data[Indicator Number]),0)),0)</f>
        <v>29024.705078656043</v>
      </c>
      <c r="L20" s="71" cm="1">
        <f t="array" aca="1" ref="L20" ca="1">_xlfn.IFNA(INDEX(Long_Data[Calculated PiN],MATCH(1, (PiN_Overview[[#This Row],[Key]]=Long_Data[Key]) * (3=Long_Data[Indicator Number]),0)),0)</f>
        <v>32520.770736684237</v>
      </c>
      <c r="M20" s="71" cm="1">
        <f t="array" aca="1" ref="M20" ca="1">_xlfn.IFNA(INDEX(Long_Data[Calculated PiN],MATCH(1, (PiN_Overview[[#This Row],[Key]]=Long_Data[Key]) * (4=Long_Data[Indicator Number]),0)),0)</f>
        <v>6353.2</v>
      </c>
      <c r="N20" s="71" cm="1">
        <f t="array" aca="1" ref="N20" ca="1">_xlfn.IFNA(INDEX(Long_Data[Calculated PiN],MATCH(1, (PiN_Overview[[#This Row],[Key]]=Long_Data[Key]) * (5=Long_Data[Indicator Number]),0)),0)</f>
        <v>0</v>
      </c>
      <c r="O20" s="71" cm="1">
        <f t="array" aca="1" ref="O20" ca="1">_xlfn.IFNA(INDEX(Long_Data[Calculated PiN],MATCH(1, (PiN_Overview[[#This Row],[Key]]=Long_Data[Key]) * (6=Long_Data[Indicator Number]),0)),0)</f>
        <v>55879.111458486484</v>
      </c>
      <c r="P20" s="71" cm="1">
        <f t="array" aca="1" ref="P20" ca="1">_xlfn.IFNA(INDEX(Long_Data[Calculated PiN],MATCH(1, (PiN_Overview[[#This Row],[Key]]=Long_Data[Key]) * (7=Long_Data[Indicator Number]),0)),0)</f>
        <v>2121.9688000000001</v>
      </c>
      <c r="Q20" s="71" cm="1">
        <f t="array" aca="1" ref="Q20" ca="1">_xlfn.IFNA(INDEX(Long_Data[Calculated PiN],MATCH(1, (PiN_Overview[[#This Row],[Key]]=Long_Data[Key]) * (8=Long_Data[Indicator Number]),0)),0)</f>
        <v>7422.923150175413</v>
      </c>
      <c r="R20" s="71" cm="1">
        <f t="array" aca="1" ref="R20" ca="1">_xlfn.IFNA(INDEX(Long_Data[Calculated PiN],MATCH(1, (PiN_Overview[[#This Row],[Key]]=Long_Data[Key]) * (9=Long_Data[Indicator Number]),0)),0)</f>
        <v>0</v>
      </c>
      <c r="S20" s="71" cm="1">
        <f t="array" aca="1" ref="S20" ca="1">_xlfn.IFNA(INDEX(Long_Data[Calculated PiN],MATCH(1, (PiN_Overview[[#This Row],[Key]]=Long_Data[Key]) * (10=Long_Data[Indicator Number]),0)),0)</f>
        <v>0</v>
      </c>
      <c r="T20" s="71" cm="1">
        <f t="array" aca="1" ref="T20" ca="1">_xlfn.IFNA(INDEX(Long_Data[Calculated PiN],MATCH(1, (PiN_Overview[[#This Row],[Key]]=Long_Data[Key]) * (11=Long_Data[Indicator Number]),0)),0)</f>
        <v>20754.404478956581</v>
      </c>
      <c r="U20" s="71" cm="1">
        <f t="array" aca="1" ref="U20" ca="1">_xlfn.IFNA(INDEX(Long_Data[Calculated PiN],MATCH(1, (PiN_Overview[[#This Row],[Key]]=Long_Data[Key]) * (12=Long_Data[Indicator Number]),0)),0)</f>
        <v>46001.385892116443</v>
      </c>
    </row>
    <row r="21" spans="2:21">
      <c r="B21">
        <v>18</v>
      </c>
      <c r="E21" t="str">
        <f>IFERROR(INDEX(Data_Entry[ADM2_COUNTY],MATCH('PiN Overview-Expert Judgement'!B21,Data_Entry[ID],0)),"NA")</f>
        <v>Panjsher</v>
      </c>
      <c r="F21" t="str">
        <f>IFERROR(INDEX(Data_Entry[ADM2_Pcode],MATCH('PiN Overview-Expert Judgement'!B21,Data_Entry[ID],0)),"NA")</f>
        <v>AF08</v>
      </c>
      <c r="G21" s="71">
        <f>IFERROR(INDEX(Data_Entry[Group Population],MATCH('PiN Overview-Expert Judgement'!B21,Data_Entry[ID],0)),"NA")</f>
        <v>21876</v>
      </c>
      <c r="H21" t="str">
        <f>IFERROR(INDEX(Data_Entry[Group Name],MATCH('PiN Overview-Expert Judgement'!B21,Data_Entry[ID],0)),"NA")</f>
        <v>Non_Displaced</v>
      </c>
      <c r="I21" t="str">
        <f>IFERROR(INDEX(Data_Entry[Key],MATCH('PiN Overview-Expert Judgement'!B21,Data_Entry[ID],0)),"NA")</f>
        <v>AF08-Non_Displaced</v>
      </c>
      <c r="J21" s="71" cm="1">
        <f t="array" aca="1" ref="J21" ca="1">_xlfn.IFNA(INDEX(Long_Data[Calculated PiN],MATCH(1, (PiN_Overview[[#This Row],[Key]]=Long_Data[Key]) * (1=Long_Data[Indicator Number]),0)),0)</f>
        <v>2752.0007999999998</v>
      </c>
      <c r="K21" s="71" cm="1">
        <f t="array" aca="1" ref="K21" ca="1">_xlfn.IFNA(INDEX(Long_Data[Calculated PiN],MATCH(1, (PiN_Overview[[#This Row],[Key]]=Long_Data[Key]) * (2=Long_Data[Indicator Number]),0)),0)</f>
        <v>8458.7199999999866</v>
      </c>
      <c r="L21" s="71" cm="1">
        <f t="array" aca="1" ref="L21" ca="1">_xlfn.IFNA(INDEX(Long_Data[Calculated PiN],MATCH(1, (PiN_Overview[[#This Row],[Key]]=Long_Data[Key]) * (3=Long_Data[Indicator Number]),0)),0)</f>
        <v>19387.113772455097</v>
      </c>
      <c r="M21" s="71" cm="1">
        <f t="array" aca="1" ref="M21" ca="1">_xlfn.IFNA(INDEX(Long_Data[Calculated PiN],MATCH(1, (PiN_Overview[[#This Row],[Key]]=Long_Data[Key]) * (4=Long_Data[Indicator Number]),0)),0)</f>
        <v>8907.9071999999996</v>
      </c>
      <c r="N21" s="71" cm="1">
        <f t="array" aca="1" ref="N21" ca="1">_xlfn.IFNA(INDEX(Long_Data[Calculated PiN],MATCH(1, (PiN_Overview[[#This Row],[Key]]=Long_Data[Key]) * (5=Long_Data[Indicator Number]),0)),0)</f>
        <v>0</v>
      </c>
      <c r="O21" s="71" cm="1">
        <f t="array" aca="1" ref="O21" ca="1">_xlfn.IFNA(INDEX(Long_Data[Calculated PiN],MATCH(1, (PiN_Overview[[#This Row],[Key]]=Long_Data[Key]) * (6=Long_Data[Indicator Number]),0)),0)</f>
        <v>21876</v>
      </c>
      <c r="P21" s="71" cm="1">
        <f t="array" aca="1" ref="P21" ca="1">_xlfn.IFNA(INDEX(Long_Data[Calculated PiN],MATCH(1, (PiN_Overview[[#This Row],[Key]]=Long_Data[Key]) * (7=Long_Data[Indicator Number]),0)),0)</f>
        <v>654.09240000000011</v>
      </c>
      <c r="Q21" s="71" cm="1">
        <f t="array" aca="1" ref="Q21" ca="1">_xlfn.IFNA(INDEX(Long_Data[Calculated PiN],MATCH(1, (PiN_Overview[[#This Row],[Key]]=Long_Data[Key]) * (8=Long_Data[Indicator Number]),0)),0)</f>
        <v>355.70731707317083</v>
      </c>
      <c r="R21" s="71" cm="1">
        <f t="array" aca="1" ref="R21" ca="1">_xlfn.IFNA(INDEX(Long_Data[Calculated PiN],MATCH(1, (PiN_Overview[[#This Row],[Key]]=Long_Data[Key]) * (9=Long_Data[Indicator Number]),0)),0)</f>
        <v>0</v>
      </c>
      <c r="S21" s="71" cm="1">
        <f t="array" aca="1" ref="S21" ca="1">_xlfn.IFNA(INDEX(Long_Data[Calculated PiN],MATCH(1, (PiN_Overview[[#This Row],[Key]]=Long_Data[Key]) * (10=Long_Data[Indicator Number]),0)),0)</f>
        <v>0</v>
      </c>
      <c r="T21" s="71" cm="1">
        <f t="array" aca="1" ref="T21" ca="1">_xlfn.IFNA(INDEX(Long_Data[Calculated PiN],MATCH(1, (PiN_Overview[[#This Row],[Key]]=Long_Data[Key]) * (11=Long_Data[Indicator Number]),0)),0)</f>
        <v>10746.386322223463</v>
      </c>
      <c r="U21" s="71" cm="1">
        <f t="array" aca="1" ref="U21" ca="1">_xlfn.IFNA(INDEX(Long_Data[Calculated PiN],MATCH(1, (PiN_Overview[[#This Row],[Key]]=Long_Data[Key]) * (12=Long_Data[Indicator Number]),0)),0)</f>
        <v>13643.096774193702</v>
      </c>
    </row>
    <row r="22" spans="2:21">
      <c r="B22">
        <v>19</v>
      </c>
      <c r="E22" t="str">
        <f>IFERROR(INDEX(Data_Entry[ADM2_COUNTY],MATCH('PiN Overview-Expert Judgement'!B22,Data_Entry[ID],0)),"NA")</f>
        <v>Baghlan</v>
      </c>
      <c r="F22" t="str">
        <f>IFERROR(INDEX(Data_Entry[ADM2_Pcode],MATCH('PiN Overview-Expert Judgement'!B22,Data_Entry[ID],0)),"NA")</f>
        <v>AF09</v>
      </c>
      <c r="G22" s="71">
        <f>IFERROR(INDEX(Data_Entry[Group Population],MATCH('PiN Overview-Expert Judgement'!B22,Data_Entry[ID],0)),"NA")</f>
        <v>130624</v>
      </c>
      <c r="H22" t="str">
        <f>IFERROR(INDEX(Data_Entry[Group Name],MATCH('PiN Overview-Expert Judgement'!B22,Data_Entry[ID],0)),"NA")</f>
        <v>Non_Displaced</v>
      </c>
      <c r="I22" t="str">
        <f>IFERROR(INDEX(Data_Entry[Key],MATCH('PiN Overview-Expert Judgement'!B22,Data_Entry[ID],0)),"NA")</f>
        <v>AF09-Non_Displaced</v>
      </c>
      <c r="J22" s="71" cm="1">
        <f t="array" aca="1" ref="J22" ca="1">_xlfn.IFNA(INDEX(Long_Data[Calculated PiN],MATCH(1, (PiN_Overview[[#This Row],[Key]]=Long_Data[Key]) * (1=Long_Data[Indicator Number]),0)),0)</f>
        <v>5564.5824000000002</v>
      </c>
      <c r="K22" s="71" cm="1">
        <f t="array" aca="1" ref="K22" ca="1">_xlfn.IFNA(INDEX(Long_Data[Calculated PiN],MATCH(1, (PiN_Overview[[#This Row],[Key]]=Long_Data[Key]) * (2=Long_Data[Indicator Number]),0)),0)</f>
        <v>90950.96903239828</v>
      </c>
      <c r="L22" s="71" cm="1">
        <f t="array" aca="1" ref="L22" ca="1">_xlfn.IFNA(INDEX(Long_Data[Calculated PiN],MATCH(1, (PiN_Overview[[#This Row],[Key]]=Long_Data[Key]) * (3=Long_Data[Indicator Number]),0)),0)</f>
        <v>57621.436837892994</v>
      </c>
      <c r="M22" s="71" cm="1">
        <f t="array" aca="1" ref="M22" ca="1">_xlfn.IFNA(INDEX(Long_Data[Calculated PiN],MATCH(1, (PiN_Overview[[#This Row],[Key]]=Long_Data[Key]) * (4=Long_Data[Indicator Number]),0)),0)</f>
        <v>91057.99040000001</v>
      </c>
      <c r="N22" s="71" cm="1">
        <f t="array" aca="1" ref="N22" ca="1">_xlfn.IFNA(INDEX(Long_Data[Calculated PiN],MATCH(1, (PiN_Overview[[#This Row],[Key]]=Long_Data[Key]) * (5=Long_Data[Indicator Number]),0)),0)</f>
        <v>0</v>
      </c>
      <c r="O22" s="71" cm="1">
        <f t="array" aca="1" ref="O22" ca="1">_xlfn.IFNA(INDEX(Long_Data[Calculated PiN],MATCH(1, (PiN_Overview[[#This Row],[Key]]=Long_Data[Key]) * (6=Long_Data[Indicator Number]),0)),0)</f>
        <v>116110.22222222225</v>
      </c>
      <c r="P22" s="71" cm="1">
        <f t="array" aca="1" ref="P22" ca="1">_xlfn.IFNA(INDEX(Long_Data[Calculated PiN],MATCH(1, (PiN_Overview[[#This Row],[Key]]=Long_Data[Key]) * (7=Long_Data[Indicator Number]),0)),0)</f>
        <v>5460.0832</v>
      </c>
      <c r="Q22" s="71" cm="1">
        <f t="array" aca="1" ref="Q22" ca="1">_xlfn.IFNA(INDEX(Long_Data[Calculated PiN],MATCH(1, (PiN_Overview[[#This Row],[Key]]=Long_Data[Key]) * (8=Long_Data[Indicator Number]),0)),0)</f>
        <v>4458.5416118428529</v>
      </c>
      <c r="R22" s="71" cm="1">
        <f t="array" aca="1" ref="R22" ca="1">_xlfn.IFNA(INDEX(Long_Data[Calculated PiN],MATCH(1, (PiN_Overview[[#This Row],[Key]]=Long_Data[Key]) * (9=Long_Data[Indicator Number]),0)),0)</f>
        <v>0</v>
      </c>
      <c r="S22" s="71" cm="1">
        <f t="array" aca="1" ref="S22" ca="1">_xlfn.IFNA(INDEX(Long_Data[Calculated PiN],MATCH(1, (PiN_Overview[[#This Row],[Key]]=Long_Data[Key]) * (10=Long_Data[Indicator Number]),0)),0)</f>
        <v>77068.160000000003</v>
      </c>
      <c r="T22" s="71" cm="1">
        <f t="array" aca="1" ref="T22" ca="1">_xlfn.IFNA(INDEX(Long_Data[Calculated PiN],MATCH(1, (PiN_Overview[[#This Row],[Key]]=Long_Data[Key]) * (11=Long_Data[Indicator Number]),0)),0)</f>
        <v>109629.62036055126</v>
      </c>
      <c r="U22" s="71" cm="1">
        <f t="array" aca="1" ref="U22" ca="1">_xlfn.IFNA(INDEX(Long_Data[Calculated PiN],MATCH(1, (PiN_Overview[[#This Row],[Key]]=Long_Data[Key]) * (12=Long_Data[Indicator Number]),0)),0)</f>
        <v>103551.10946654974</v>
      </c>
    </row>
    <row r="23" spans="2:21">
      <c r="B23">
        <v>20</v>
      </c>
      <c r="E23" t="str">
        <f>IFERROR(INDEX(Data_Entry[ADM2_COUNTY],MATCH('PiN Overview-Expert Judgement'!B23,Data_Entry[ID],0)),"NA")</f>
        <v>Bamyan</v>
      </c>
      <c r="F23" t="str">
        <f>IFERROR(INDEX(Data_Entry[ADM2_Pcode],MATCH('PiN Overview-Expert Judgement'!B23,Data_Entry[ID],0)),"NA")</f>
        <v>AF10</v>
      </c>
      <c r="G23" s="71">
        <f>IFERROR(INDEX(Data_Entry[Group Population],MATCH('PiN Overview-Expert Judgement'!B23,Data_Entry[ID],0)),"NA")</f>
        <v>63798</v>
      </c>
      <c r="H23" t="str">
        <f>IFERROR(INDEX(Data_Entry[Group Name],MATCH('PiN Overview-Expert Judgement'!B23,Data_Entry[ID],0)),"NA")</f>
        <v>Non_Displaced</v>
      </c>
      <c r="I23" t="str">
        <f>IFERROR(INDEX(Data_Entry[Key],MATCH('PiN Overview-Expert Judgement'!B23,Data_Entry[ID],0)),"NA")</f>
        <v>AF10-Non_Displaced</v>
      </c>
      <c r="J23" s="71" cm="1">
        <f t="array" aca="1" ref="J23" ca="1">_xlfn.IFNA(INDEX(Long_Data[Calculated PiN],MATCH(1, (PiN_Overview[[#This Row],[Key]]=Long_Data[Key]) * (1=Long_Data[Indicator Number]),0)),0)</f>
        <v>13238.085000000001</v>
      </c>
      <c r="K23" s="71" cm="1">
        <f t="array" aca="1" ref="K23" ca="1">_xlfn.IFNA(INDEX(Long_Data[Calculated PiN],MATCH(1, (PiN_Overview[[#This Row],[Key]]=Long_Data[Key]) * (2=Long_Data[Indicator Number]),0)),0)</f>
        <v>49105.127272727295</v>
      </c>
      <c r="L23" s="71" cm="1">
        <f t="array" aca="1" ref="L23" ca="1">_xlfn.IFNA(INDEX(Long_Data[Calculated PiN],MATCH(1, (PiN_Overview[[#This Row],[Key]]=Long_Data[Key]) * (3=Long_Data[Indicator Number]),0)),0)</f>
        <v>45232.444444444445</v>
      </c>
      <c r="M23" s="71" cm="1">
        <f t="array" aca="1" ref="M23" ca="1">_xlfn.IFNA(INDEX(Long_Data[Calculated PiN],MATCH(1, (PiN_Overview[[#This Row],[Key]]=Long_Data[Key]) * (4=Long_Data[Indicator Number]),0)),0)</f>
        <v>10801.001400000001</v>
      </c>
      <c r="N23" s="71" cm="1">
        <f t="array" aca="1" ref="N23" ca="1">_xlfn.IFNA(INDEX(Long_Data[Calculated PiN],MATCH(1, (PiN_Overview[[#This Row],[Key]]=Long_Data[Key]) * (5=Long_Data[Indicator Number]),0)),0)</f>
        <v>0</v>
      </c>
      <c r="O23" s="71" cm="1">
        <f t="array" aca="1" ref="O23" ca="1">_xlfn.IFNA(INDEX(Long_Data[Calculated PiN],MATCH(1, (PiN_Overview[[#This Row],[Key]]=Long_Data[Key]) * (6=Long_Data[Indicator Number]),0)),0)</f>
        <v>63798</v>
      </c>
      <c r="P23" s="71" cm="1">
        <f t="array" aca="1" ref="P23" ca="1">_xlfn.IFNA(INDEX(Long_Data[Calculated PiN],MATCH(1, (PiN_Overview[[#This Row],[Key]]=Long_Data[Key]) * (7=Long_Data[Indicator Number]),0)),0)</f>
        <v>7087.9577999999992</v>
      </c>
      <c r="Q23" s="71" cm="1">
        <f t="array" aca="1" ref="Q23" ca="1">_xlfn.IFNA(INDEX(Long_Data[Calculated PiN],MATCH(1, (PiN_Overview[[#This Row],[Key]]=Long_Data[Key]) * (8=Long_Data[Indicator Number]),0)),0)</f>
        <v>4691.0294117647072</v>
      </c>
      <c r="R23" s="71" cm="1">
        <f t="array" aca="1" ref="R23" ca="1">_xlfn.IFNA(INDEX(Long_Data[Calculated PiN],MATCH(1, (PiN_Overview[[#This Row],[Key]]=Long_Data[Key]) * (9=Long_Data[Indicator Number]),0)),0)</f>
        <v>0</v>
      </c>
      <c r="S23" s="71" cm="1">
        <f t="array" aca="1" ref="S23" ca="1">_xlfn.IFNA(INDEX(Long_Data[Calculated PiN],MATCH(1, (PiN_Overview[[#This Row],[Key]]=Long_Data[Key]) * (10=Long_Data[Indicator Number]),0)),0)</f>
        <v>0</v>
      </c>
      <c r="T23" s="71" cm="1">
        <f t="array" aca="1" ref="T23" ca="1">_xlfn.IFNA(INDEX(Long_Data[Calculated PiN],MATCH(1, (PiN_Overview[[#This Row],[Key]]=Long_Data[Key]) * (11=Long_Data[Indicator Number]),0)),0)</f>
        <v>37555.259409265796</v>
      </c>
      <c r="U23" s="71" cm="1">
        <f t="array" aca="1" ref="U23" ca="1">_xlfn.IFNA(INDEX(Long_Data[Calculated PiN],MATCH(1, (PiN_Overview[[#This Row],[Key]]=Long_Data[Key]) * (12=Long_Data[Indicator Number]),0)),0)</f>
        <v>44485.453027139665</v>
      </c>
    </row>
    <row r="24" spans="2:21">
      <c r="B24">
        <v>21</v>
      </c>
      <c r="E24" t="str">
        <f>IFERROR(INDEX(Data_Entry[ADM2_COUNTY],MATCH('PiN Overview-Expert Judgement'!B24,Data_Entry[ID],0)),"NA")</f>
        <v>Kabul</v>
      </c>
      <c r="F24" t="str">
        <f>IFERROR(INDEX(Data_Entry[ADM2_Pcode],MATCH('PiN Overview-Expert Judgement'!B24,Data_Entry[ID],0)),"NA")</f>
        <v>AF01</v>
      </c>
      <c r="G24" s="71">
        <f>IFERROR(INDEX(Data_Entry[Group Population],MATCH('PiN Overview-Expert Judgement'!B24,Data_Entry[ID],0)),"NA")</f>
        <v>1340103</v>
      </c>
      <c r="H24" t="str">
        <f>IFERROR(INDEX(Data_Entry[Group Name],MATCH('PiN Overview-Expert Judgement'!B24,Data_Entry[ID],0)),"NA")</f>
        <v>Migrants</v>
      </c>
      <c r="I24" t="str">
        <f>IFERROR(INDEX(Data_Entry[Key],MATCH('PiN Overview-Expert Judgement'!B24,Data_Entry[ID],0)),"NA")</f>
        <v>AF01-Migrants</v>
      </c>
      <c r="J24" s="71" cm="1">
        <f t="array" aca="1" ref="J24" ca="1">_xlfn.IFNA(INDEX(Long_Data[Calculated PiN],MATCH(1, (PiN_Overview[[#This Row],[Key]]=Long_Data[Key]) * (1=Long_Data[Indicator Number]),0)),0)</f>
        <v>78262.015199999994</v>
      </c>
      <c r="K24" s="71" cm="1">
        <f t="array" aca="1" ref="K24" ca="1">_xlfn.IFNA(INDEX(Long_Data[Calculated PiN],MATCH(1, (PiN_Overview[[#This Row],[Key]]=Long_Data[Key]) * (2=Long_Data[Indicator Number]),0)),0)</f>
        <v>24145.999999999978</v>
      </c>
      <c r="L24" s="71" cm="1">
        <f t="array" aca="1" ref="L24" ca="1">_xlfn.IFNA(INDEX(Long_Data[Calculated PiN],MATCH(1, (PiN_Overview[[#This Row],[Key]]=Long_Data[Key]) * (3=Long_Data[Indicator Number]),0)),0)</f>
        <v>591733.79220779275</v>
      </c>
      <c r="M24" s="71" cm="1">
        <f t="array" aca="1" ref="M24" ca="1">_xlfn.IFNA(INDEX(Long_Data[Calculated PiN],MATCH(1, (PiN_Overview[[#This Row],[Key]]=Long_Data[Key]) * (4=Long_Data[Indicator Number]),0)),0)</f>
        <v>200211.38820000004</v>
      </c>
      <c r="N24" s="71" cm="1">
        <f t="array" aca="1" ref="N24" ca="1">_xlfn.IFNA(INDEX(Long_Data[Calculated PiN],MATCH(1, (PiN_Overview[[#This Row],[Key]]=Long_Data[Key]) * (5=Long_Data[Indicator Number]),0)),0)</f>
        <v>0</v>
      </c>
      <c r="O24" s="71" cm="1">
        <f t="array" aca="1" ref="O24" ca="1">_xlfn.IFNA(INDEX(Long_Data[Calculated PiN],MATCH(1, (PiN_Overview[[#This Row],[Key]]=Long_Data[Key]) * (6=Long_Data[Indicator Number]),0)),0)</f>
        <v>1316997.77586207</v>
      </c>
      <c r="P24" s="71" cm="1">
        <f t="array" aca="1" ref="P24" ca="1">_xlfn.IFNA(INDEX(Long_Data[Calculated PiN],MATCH(1, (PiN_Overview[[#This Row],[Key]]=Long_Data[Key]) * (7=Long_Data[Indicator Number]),0)),0)</f>
        <v>95683.354199999987</v>
      </c>
      <c r="Q24" s="71" cm="1">
        <f t="array" aca="1" ref="Q24" ca="1">_xlfn.IFNA(INDEX(Long_Data[Calculated PiN],MATCH(1, (PiN_Overview[[#This Row],[Key]]=Long_Data[Key]) * (8=Long_Data[Indicator Number]),0)),0)</f>
        <v>18612.541666666682</v>
      </c>
      <c r="R24" s="71" cm="1">
        <f t="array" aca="1" ref="R24" ca="1">_xlfn.IFNA(INDEX(Long_Data[Calculated PiN],MATCH(1, (PiN_Overview[[#This Row],[Key]]=Long_Data[Key]) * (9=Long_Data[Indicator Number]),0)),0)</f>
        <v>0</v>
      </c>
      <c r="S24" s="71" cm="1">
        <f t="array" aca="1" ref="S24" ca="1">_xlfn.IFNA(INDEX(Long_Data[Calculated PiN],MATCH(1, (PiN_Overview[[#This Row],[Key]]=Long_Data[Key]) * (10=Long_Data[Indicator Number]),0)),0)</f>
        <v>1045280.3400000001</v>
      </c>
      <c r="T24" s="71" cm="1">
        <f t="array" aca="1" ref="T24" ca="1">_xlfn.IFNA(INDEX(Long_Data[Calculated PiN],MATCH(1, (PiN_Overview[[#This Row],[Key]]=Long_Data[Key]) * (11=Long_Data[Indicator Number]),0)),0)</f>
        <v>1038022.9524096948</v>
      </c>
      <c r="U24" s="71" cm="1">
        <f t="array" aca="1" ref="U24" ca="1">_xlfn.IFNA(INDEX(Long_Data[Calculated PiN],MATCH(1, (PiN_Overview[[#This Row],[Key]]=Long_Data[Key]) * (12=Long_Data[Indicator Number]),0)),0)</f>
        <v>1065728.7249450025</v>
      </c>
    </row>
    <row r="25" spans="2:21">
      <c r="B25">
        <v>22</v>
      </c>
      <c r="E25" t="str">
        <f>IFERROR(INDEX(Data_Entry[ADM2_COUNTY],MATCH('PiN Overview-Expert Judgement'!B25,Data_Entry[ID],0)),"NA")</f>
        <v>Kapisa</v>
      </c>
      <c r="F25" t="str">
        <f>IFERROR(INDEX(Data_Entry[ADM2_Pcode],MATCH('PiN Overview-Expert Judgement'!B25,Data_Entry[ID],0)),"NA")</f>
        <v>AF02</v>
      </c>
      <c r="G25" s="71">
        <f>IFERROR(INDEX(Data_Entry[Group Population],MATCH('PiN Overview-Expert Judgement'!B25,Data_Entry[ID],0)),"NA")</f>
        <v>125728</v>
      </c>
      <c r="H25" t="str">
        <f>IFERROR(INDEX(Data_Entry[Group Name],MATCH('PiN Overview-Expert Judgement'!B25,Data_Entry[ID],0)),"NA")</f>
        <v>Migrants</v>
      </c>
      <c r="I25" t="str">
        <f>IFERROR(INDEX(Data_Entry[Key],MATCH('PiN Overview-Expert Judgement'!B25,Data_Entry[ID],0)),"NA")</f>
        <v>AF02-Migrants</v>
      </c>
      <c r="J25" s="71" cm="1">
        <f t="array" aca="1" ref="J25" ca="1">_xlfn.IFNA(INDEX(Long_Data[Calculated PiN],MATCH(1, (PiN_Overview[[#This Row],[Key]]=Long_Data[Key]) * (1=Long_Data[Indicator Number]),0)),0)</f>
        <v>24982.153599999998</v>
      </c>
      <c r="K25" s="71" cm="1">
        <f t="array" aca="1" ref="K25" ca="1">_xlfn.IFNA(INDEX(Long_Data[Calculated PiN],MATCH(1, (PiN_Overview[[#This Row],[Key]]=Long_Data[Key]) * (2=Long_Data[Indicator Number]),0)),0)</f>
        <v>62864</v>
      </c>
      <c r="L25" s="71" cm="1">
        <f t="array" aca="1" ref="L25" ca="1">_xlfn.IFNA(INDEX(Long_Data[Calculated PiN],MATCH(1, (PiN_Overview[[#This Row],[Key]]=Long_Data[Key]) * (3=Long_Data[Indicator Number]),0)),0)</f>
        <v>78177.025641025655</v>
      </c>
      <c r="M25" s="71" cm="1">
        <f t="array" aca="1" ref="M25" ca="1">_xlfn.IFNA(INDEX(Long_Data[Calculated PiN],MATCH(1, (PiN_Overview[[#This Row],[Key]]=Long_Data[Key]) * (4=Long_Data[Indicator Number]),0)),0)</f>
        <v>56414.153599999998</v>
      </c>
      <c r="N25" s="71" cm="1">
        <f t="array" aca="1" ref="N25" ca="1">_xlfn.IFNA(INDEX(Long_Data[Calculated PiN],MATCH(1, (PiN_Overview[[#This Row],[Key]]=Long_Data[Key]) * (5=Long_Data[Indicator Number]),0)),0)</f>
        <v>0</v>
      </c>
      <c r="O25" s="71" cm="1">
        <f t="array" aca="1" ref="O25" ca="1">_xlfn.IFNA(INDEX(Long_Data[Calculated PiN],MATCH(1, (PiN_Overview[[#This Row],[Key]]=Long_Data[Key]) * (6=Long_Data[Indicator Number]),0)),0)</f>
        <v>125728.00000000003</v>
      </c>
      <c r="P25" s="71" cm="1">
        <f t="array" aca="1" ref="P25" ca="1">_xlfn.IFNA(INDEX(Long_Data[Calculated PiN],MATCH(1, (PiN_Overview[[#This Row],[Key]]=Long_Data[Key]) * (7=Long_Data[Indicator Number]),0)),0)</f>
        <v>6449.8463999999994</v>
      </c>
      <c r="Q25" s="71" cm="1">
        <f t="array" aca="1" ref="Q25" ca="1">_xlfn.IFNA(INDEX(Long_Data[Calculated PiN],MATCH(1, (PiN_Overview[[#This Row],[Key]]=Long_Data[Key]) * (8=Long_Data[Indicator Number]),0)),0)</f>
        <v>0</v>
      </c>
      <c r="R25" s="71" cm="1">
        <f t="array" aca="1" ref="R25" ca="1">_xlfn.IFNA(INDEX(Long_Data[Calculated PiN],MATCH(1, (PiN_Overview[[#This Row],[Key]]=Long_Data[Key]) * (9=Long_Data[Indicator Number]),0)),0)</f>
        <v>0</v>
      </c>
      <c r="S25" s="71" cm="1">
        <f t="array" aca="1" ref="S25" ca="1">_xlfn.IFNA(INDEX(Long_Data[Calculated PiN],MATCH(1, (PiN_Overview[[#This Row],[Key]]=Long_Data[Key]) * (10=Long_Data[Indicator Number]),0)),0)</f>
        <v>0</v>
      </c>
      <c r="T25" s="71" cm="1">
        <f t="array" aca="1" ref="T25" ca="1">_xlfn.IFNA(INDEX(Long_Data[Calculated PiN],MATCH(1, (PiN_Overview[[#This Row],[Key]]=Long_Data[Key]) * (11=Long_Data[Indicator Number]),0)),0)</f>
        <v>53375.094339622505</v>
      </c>
      <c r="U25" s="71" cm="1">
        <f t="array" aca="1" ref="U25" ca="1">_xlfn.IFNA(INDEX(Long_Data[Calculated PiN],MATCH(1, (PiN_Overview[[#This Row],[Key]]=Long_Data[Key]) * (12=Long_Data[Indicator Number]),0)),0)</f>
        <v>87644.414937759648</v>
      </c>
    </row>
    <row r="26" spans="2:21">
      <c r="B26">
        <v>23</v>
      </c>
      <c r="E26" t="str">
        <f>IFERROR(INDEX(Data_Entry[ADM2_COUNTY],MATCH('PiN Overview-Expert Judgement'!B26,Data_Entry[ID],0)),"NA")</f>
        <v>Parwan</v>
      </c>
      <c r="F26" t="str">
        <f>IFERROR(INDEX(Data_Entry[ADM2_Pcode],MATCH('PiN Overview-Expert Judgement'!B26,Data_Entry[ID],0)),"NA")</f>
        <v>AF03</v>
      </c>
      <c r="G26" s="71">
        <f>IFERROR(INDEX(Data_Entry[Group Population],MATCH('PiN Overview-Expert Judgement'!B26,Data_Entry[ID],0)),"NA")</f>
        <v>189944</v>
      </c>
      <c r="H26" t="str">
        <f>IFERROR(INDEX(Data_Entry[Group Name],MATCH('PiN Overview-Expert Judgement'!B26,Data_Entry[ID],0)),"NA")</f>
        <v>Migrants</v>
      </c>
      <c r="I26" t="str">
        <f>IFERROR(INDEX(Data_Entry[Key],MATCH('PiN Overview-Expert Judgement'!B26,Data_Entry[ID],0)),"NA")</f>
        <v>AF03-Migrants</v>
      </c>
      <c r="J26" s="71" cm="1">
        <f t="array" aca="1" ref="J26" ca="1">_xlfn.IFNA(INDEX(Long_Data[Calculated PiN],MATCH(1, (PiN_Overview[[#This Row],[Key]]=Long_Data[Key]) * (1=Long_Data[Indicator Number]),0)),0)</f>
        <v>10427.9256</v>
      </c>
      <c r="K26" s="71" cm="1">
        <f t="array" aca="1" ref="K26" ca="1">_xlfn.IFNA(INDEX(Long_Data[Calculated PiN],MATCH(1, (PiN_Overview[[#This Row],[Key]]=Long_Data[Key]) * (2=Long_Data[Indicator Number]),0)),0)</f>
        <v>169096.48780487798</v>
      </c>
      <c r="L26" s="71" cm="1">
        <f t="array" aca="1" ref="L26" ca="1">_xlfn.IFNA(INDEX(Long_Data[Calculated PiN],MATCH(1, (PiN_Overview[[#This Row],[Key]]=Long_Data[Key]) * (3=Long_Data[Indicator Number]),0)),0)</f>
        <v>186469.41463414641</v>
      </c>
      <c r="M26" s="71" cm="1">
        <f t="array" aca="1" ref="M26" ca="1">_xlfn.IFNA(INDEX(Long_Data[Calculated PiN],MATCH(1, (PiN_Overview[[#This Row],[Key]]=Long_Data[Key]) * (4=Long_Data[Indicator Number]),0)),0)</f>
        <v>24312.832000000002</v>
      </c>
      <c r="N26" s="71" cm="1">
        <f t="array" aca="1" ref="N26" ca="1">_xlfn.IFNA(INDEX(Long_Data[Calculated PiN],MATCH(1, (PiN_Overview[[#This Row],[Key]]=Long_Data[Key]) * (5=Long_Data[Indicator Number]),0)),0)</f>
        <v>0</v>
      </c>
      <c r="O26" s="71" cm="1">
        <f t="array" aca="1" ref="O26" ca="1">_xlfn.IFNA(INDEX(Long_Data[Calculated PiN],MATCH(1, (PiN_Overview[[#This Row],[Key]]=Long_Data[Key]) * (6=Long_Data[Indicator Number]),0)),0)</f>
        <v>185986.83333333334</v>
      </c>
      <c r="P26" s="71" cm="1">
        <f t="array" aca="1" ref="P26" ca="1">_xlfn.IFNA(INDEX(Long_Data[Calculated PiN],MATCH(1, (PiN_Overview[[#This Row],[Key]]=Long_Data[Key]) * (7=Long_Data[Indicator Number]),0)),0)</f>
        <v>30106.124</v>
      </c>
      <c r="Q26" s="71" cm="1">
        <f t="array" aca="1" ref="Q26" ca="1">_xlfn.IFNA(INDEX(Long_Data[Calculated PiN],MATCH(1, (PiN_Overview[[#This Row],[Key]]=Long_Data[Key]) * (8=Long_Data[Indicator Number]),0)),0)</f>
        <v>2389.2327044025237</v>
      </c>
      <c r="R26" s="71" cm="1">
        <f t="array" aca="1" ref="R26" ca="1">_xlfn.IFNA(INDEX(Long_Data[Calculated PiN],MATCH(1, (PiN_Overview[[#This Row],[Key]]=Long_Data[Key]) * (9=Long_Data[Indicator Number]),0)),0)</f>
        <v>0</v>
      </c>
      <c r="S26" s="71" cm="1">
        <f t="array" aca="1" ref="S26" ca="1">_xlfn.IFNA(INDEX(Long_Data[Calculated PiN],MATCH(1, (PiN_Overview[[#This Row],[Key]]=Long_Data[Key]) * (10=Long_Data[Indicator Number]),0)),0)</f>
        <v>34189.919999999998</v>
      </c>
      <c r="T26" s="71" cm="1">
        <f t="array" aca="1" ref="T26" ca="1">_xlfn.IFNA(INDEX(Long_Data[Calculated PiN],MATCH(1, (PiN_Overview[[#This Row],[Key]]=Long_Data[Key]) * (11=Long_Data[Indicator Number]),0)),0)</f>
        <v>96955.174013921074</v>
      </c>
      <c r="U26" s="71" cm="1">
        <f t="array" aca="1" ref="U26" ca="1">_xlfn.IFNA(INDEX(Long_Data[Calculated PiN],MATCH(1, (PiN_Overview[[#This Row],[Key]]=Long_Data[Key]) * (12=Long_Data[Indicator Number]),0)),0)</f>
        <v>150729.75483870989</v>
      </c>
    </row>
    <row r="27" spans="2:21">
      <c r="B27">
        <v>24</v>
      </c>
      <c r="E27" t="str">
        <f>IFERROR(INDEX(Data_Entry[ADM2_COUNTY],MATCH('PiN Overview-Expert Judgement'!B27,Data_Entry[ID],0)),"NA")</f>
        <v>Wardak</v>
      </c>
      <c r="F27" t="str">
        <f>IFERROR(INDEX(Data_Entry[ADM2_Pcode],MATCH('PiN Overview-Expert Judgement'!B27,Data_Entry[ID],0)),"NA")</f>
        <v>AF04</v>
      </c>
      <c r="G27" s="71">
        <f>IFERROR(INDEX(Data_Entry[Group Population],MATCH('PiN Overview-Expert Judgement'!B27,Data_Entry[ID],0)),"NA")</f>
        <v>170004</v>
      </c>
      <c r="H27" t="str">
        <f>IFERROR(INDEX(Data_Entry[Group Name],MATCH('PiN Overview-Expert Judgement'!B27,Data_Entry[ID],0)),"NA")</f>
        <v>Migrants</v>
      </c>
      <c r="I27" t="str">
        <f>IFERROR(INDEX(Data_Entry[Key],MATCH('PiN Overview-Expert Judgement'!B27,Data_Entry[ID],0)),"NA")</f>
        <v>AF04-Migrants</v>
      </c>
      <c r="J27" s="71" cm="1">
        <f t="array" aca="1" ref="J27" ca="1">_xlfn.IFNA(INDEX(Long_Data[Calculated PiN],MATCH(1, (PiN_Overview[[#This Row],[Key]]=Long_Data[Key]) * (1=Long_Data[Indicator Number]),0)),0)</f>
        <v>1020.024</v>
      </c>
      <c r="K27" s="71" cm="1">
        <f t="array" aca="1" ref="K27" ca="1">_xlfn.IFNA(INDEX(Long_Data[Calculated PiN],MATCH(1, (PiN_Overview[[#This Row],[Key]]=Long_Data[Key]) * (2=Long_Data[Indicator Number]),0)),0)</f>
        <v>0</v>
      </c>
      <c r="L27" s="71" cm="1">
        <f t="array" aca="1" ref="L27" ca="1">_xlfn.IFNA(INDEX(Long_Data[Calculated PiN],MATCH(1, (PiN_Overview[[#This Row],[Key]]=Long_Data[Key]) * (3=Long_Data[Indicator Number]),0)),0)</f>
        <v>170004</v>
      </c>
      <c r="M27" s="71" cm="1">
        <f t="array" aca="1" ref="M27" ca="1">_xlfn.IFNA(INDEX(Long_Data[Calculated PiN],MATCH(1, (PiN_Overview[[#This Row],[Key]]=Long_Data[Key]) * (4=Long_Data[Indicator Number]),0)),0)</f>
        <v>17357.4084</v>
      </c>
      <c r="N27" s="71" cm="1">
        <f t="array" aca="1" ref="N27" ca="1">_xlfn.IFNA(INDEX(Long_Data[Calculated PiN],MATCH(1, (PiN_Overview[[#This Row],[Key]]=Long_Data[Key]) * (5=Long_Data[Indicator Number]),0)),0)</f>
        <v>0</v>
      </c>
      <c r="O27" s="71" cm="1">
        <f t="array" aca="1" ref="O27" ca="1">_xlfn.IFNA(INDEX(Long_Data[Calculated PiN],MATCH(1, (PiN_Overview[[#This Row],[Key]]=Long_Data[Key]) * (6=Long_Data[Indicator Number]),0)),0)</f>
        <v>170004</v>
      </c>
      <c r="P27" s="71" cm="1">
        <f t="array" aca="1" ref="P27" ca="1">_xlfn.IFNA(INDEX(Long_Data[Calculated PiN],MATCH(1, (PiN_Overview[[#This Row],[Key]]=Long_Data[Key]) * (7=Long_Data[Indicator Number]),0)),0)</f>
        <v>2040.048</v>
      </c>
      <c r="Q27" s="71" cm="1">
        <f t="array" aca="1" ref="Q27" ca="1">_xlfn.IFNA(INDEX(Long_Data[Calculated PiN],MATCH(1, (PiN_Overview[[#This Row],[Key]]=Long_Data[Key]) * (8=Long_Data[Indicator Number]),0)),0)</f>
        <v>29926.113995792151</v>
      </c>
      <c r="R27" s="71" cm="1">
        <f t="array" aca="1" ref="R27" ca="1">_xlfn.IFNA(INDEX(Long_Data[Calculated PiN],MATCH(1, (PiN_Overview[[#This Row],[Key]]=Long_Data[Key]) * (9=Long_Data[Indicator Number]),0)),0)</f>
        <v>0</v>
      </c>
      <c r="S27" s="71" cm="1">
        <f t="array" aca="1" ref="S27" ca="1">_xlfn.IFNA(INDEX(Long_Data[Calculated PiN],MATCH(1, (PiN_Overview[[#This Row],[Key]]=Long_Data[Key]) * (10=Long_Data[Indicator Number]),0)),0)</f>
        <v>0</v>
      </c>
      <c r="T27" s="71" cm="1">
        <f t="array" aca="1" ref="T27" ca="1">_xlfn.IFNA(INDEX(Long_Data[Calculated PiN],MATCH(1, (PiN_Overview[[#This Row],[Key]]=Long_Data[Key]) * (11=Long_Data[Indicator Number]),0)),0)</f>
        <v>122417.04372136072</v>
      </c>
      <c r="U27" s="71" cm="1">
        <f t="array" aca="1" ref="U27" ca="1">_xlfn.IFNA(INDEX(Long_Data[Calculated PiN],MATCH(1, (PiN_Overview[[#This Row],[Key]]=Long_Data[Key]) * (12=Long_Data[Indicator Number]),0)),0)</f>
        <v>119961.06889352817</v>
      </c>
    </row>
    <row r="28" spans="2:21">
      <c r="B28">
        <v>25</v>
      </c>
      <c r="E28" t="str">
        <f>IFERROR(INDEX(Data_Entry[ADM2_COUNTY],MATCH('PiN Overview-Expert Judgement'!B28,Data_Entry[ID],0)),"NA")</f>
        <v>Logar</v>
      </c>
      <c r="F28" t="str">
        <f>IFERROR(INDEX(Data_Entry[ADM2_Pcode],MATCH('PiN Overview-Expert Judgement'!B28,Data_Entry[ID],0)),"NA")</f>
        <v>AF05</v>
      </c>
      <c r="G28" s="71">
        <f>IFERROR(INDEX(Data_Entry[Group Population],MATCH('PiN Overview-Expert Judgement'!B28,Data_Entry[ID],0)),"NA")</f>
        <v>111843</v>
      </c>
      <c r="H28" t="str">
        <f>IFERROR(INDEX(Data_Entry[Group Name],MATCH('PiN Overview-Expert Judgement'!B28,Data_Entry[ID],0)),"NA")</f>
        <v>Migrants</v>
      </c>
      <c r="I28" t="str">
        <f>IFERROR(INDEX(Data_Entry[Key],MATCH('PiN Overview-Expert Judgement'!B28,Data_Entry[ID],0)),"NA")</f>
        <v>AF05-Migrants</v>
      </c>
      <c r="J28" s="71" cm="1">
        <f t="array" aca="1" ref="J28" ca="1">_xlfn.IFNA(INDEX(Long_Data[Calculated PiN],MATCH(1, (PiN_Overview[[#This Row],[Key]]=Long_Data[Key]) * (1=Long_Data[Indicator Number]),0)),0)</f>
        <v>1498.6962000000001</v>
      </c>
      <c r="K28" s="71" cm="1">
        <f t="array" aca="1" ref="K28" ca="1">_xlfn.IFNA(INDEX(Long_Data[Calculated PiN],MATCH(1, (PiN_Overview[[#This Row],[Key]]=Long_Data[Key]) * (2=Long_Data[Indicator Number]),0)),0)</f>
        <v>69433.510904784504</v>
      </c>
      <c r="L28" s="71" cm="1">
        <f t="array" aca="1" ref="L28" ca="1">_xlfn.IFNA(INDEX(Long_Data[Calculated PiN],MATCH(1, (PiN_Overview[[#This Row],[Key]]=Long_Data[Key]) * (3=Long_Data[Indicator Number]),0)),0)</f>
        <v>95651.147851079892</v>
      </c>
      <c r="M28" s="71" cm="1">
        <f t="array" aca="1" ref="M28" ca="1">_xlfn.IFNA(INDEX(Long_Data[Calculated PiN],MATCH(1, (PiN_Overview[[#This Row],[Key]]=Long_Data[Key]) * (4=Long_Data[Indicator Number]),0)),0)</f>
        <v>32490.391499999998</v>
      </c>
      <c r="N28" s="71" cm="1">
        <f t="array" aca="1" ref="N28" ca="1">_xlfn.IFNA(INDEX(Long_Data[Calculated PiN],MATCH(1, (PiN_Overview[[#This Row],[Key]]=Long_Data[Key]) * (5=Long_Data[Indicator Number]),0)),0)</f>
        <v>0</v>
      </c>
      <c r="O28" s="71" cm="1">
        <f t="array" aca="1" ref="O28" ca="1">_xlfn.IFNA(INDEX(Long_Data[Calculated PiN],MATCH(1, (PiN_Overview[[#This Row],[Key]]=Long_Data[Key]) * (6=Long_Data[Indicator Number]),0)),0)</f>
        <v>111842.99999999997</v>
      </c>
      <c r="P28" s="71" cm="1">
        <f t="array" aca="1" ref="P28" ca="1">_xlfn.IFNA(INDEX(Long_Data[Calculated PiN],MATCH(1, (PiN_Overview[[#This Row],[Key]]=Long_Data[Key]) * (7=Long_Data[Indicator Number]),0)),0)</f>
        <v>8723.7540000000008</v>
      </c>
      <c r="Q28" s="71" cm="1">
        <f t="array" aca="1" ref="Q28" ca="1">_xlfn.IFNA(INDEX(Long_Data[Calculated PiN],MATCH(1, (PiN_Overview[[#This Row],[Key]]=Long_Data[Key]) * (8=Long_Data[Indicator Number]),0)),0)</f>
        <v>2503.1251692149563</v>
      </c>
      <c r="R28" s="71" cm="1">
        <f t="array" aca="1" ref="R28" ca="1">_xlfn.IFNA(INDEX(Long_Data[Calculated PiN],MATCH(1, (PiN_Overview[[#This Row],[Key]]=Long_Data[Key]) * (9=Long_Data[Indicator Number]),0)),0)</f>
        <v>0</v>
      </c>
      <c r="S28" s="71" cm="1">
        <f t="array" aca="1" ref="S28" ca="1">_xlfn.IFNA(INDEX(Long_Data[Calculated PiN],MATCH(1, (PiN_Overview[[#This Row],[Key]]=Long_Data[Key]) * (10=Long_Data[Indicator Number]),0)),0)</f>
        <v>0</v>
      </c>
      <c r="T28" s="71" cm="1">
        <f t="array" aca="1" ref="T28" ca="1">_xlfn.IFNA(INDEX(Long_Data[Calculated PiN],MATCH(1, (PiN_Overview[[#This Row],[Key]]=Long_Data[Key]) * (11=Long_Data[Indicator Number]),0)),0)</f>
        <v>78081.009347507337</v>
      </c>
      <c r="U28" s="71" cm="1">
        <f t="array" aca="1" ref="U28" ca="1">_xlfn.IFNA(INDEX(Long_Data[Calculated PiN],MATCH(1, (PiN_Overview[[#This Row],[Key]]=Long_Data[Key]) * (12=Long_Data[Indicator Number]),0)),0)</f>
        <v>90539.571428571435</v>
      </c>
    </row>
    <row r="29" spans="2:21">
      <c r="B29">
        <v>26</v>
      </c>
      <c r="E29" t="str">
        <f>IFERROR(INDEX(Data_Entry[ADM2_COUNTY],MATCH('PiN Overview-Expert Judgement'!B29,Data_Entry[ID],0)),"NA")</f>
        <v>Nangarhar</v>
      </c>
      <c r="F29" t="str">
        <f>IFERROR(INDEX(Data_Entry[ADM2_Pcode],MATCH('PiN Overview-Expert Judgement'!B29,Data_Entry[ID],0)),"NA")</f>
        <v>AF06</v>
      </c>
      <c r="G29" s="71">
        <f>IFERROR(INDEX(Data_Entry[Group Population],MATCH('PiN Overview-Expert Judgement'!B29,Data_Entry[ID],0)),"NA")</f>
        <v>438154</v>
      </c>
      <c r="H29" t="str">
        <f>IFERROR(INDEX(Data_Entry[Group Name],MATCH('PiN Overview-Expert Judgement'!B29,Data_Entry[ID],0)),"NA")</f>
        <v>Migrants</v>
      </c>
      <c r="I29" t="str">
        <f>IFERROR(INDEX(Data_Entry[Key],MATCH('PiN Overview-Expert Judgement'!B29,Data_Entry[ID],0)),"NA")</f>
        <v>AF06-Migrants</v>
      </c>
      <c r="J29" s="71" cm="1">
        <f t="array" aca="1" ref="J29" ca="1">_xlfn.IFNA(INDEX(Long_Data[Calculated PiN],MATCH(1, (PiN_Overview[[#This Row],[Key]]=Long_Data[Key]) * (1=Long_Data[Indicator Number]),0)),0)</f>
        <v>80050.735799999995</v>
      </c>
      <c r="K29" s="71" cm="1">
        <f t="array" aca="1" ref="K29" ca="1">_xlfn.IFNA(INDEX(Long_Data[Calculated PiN],MATCH(1, (PiN_Overview[[#This Row],[Key]]=Long_Data[Key]) * (2=Long_Data[Indicator Number]),0)),0)</f>
        <v>111743.85312578139</v>
      </c>
      <c r="L29" s="71" cm="1">
        <f t="array" aca="1" ref="L29" ca="1">_xlfn.IFNA(INDEX(Long_Data[Calculated PiN],MATCH(1, (PiN_Overview[[#This Row],[Key]]=Long_Data[Key]) * (3=Long_Data[Indicator Number]),0)),0)</f>
        <v>417595.96017346199</v>
      </c>
      <c r="M29" s="71" cm="1">
        <f t="array" aca="1" ref="M29" ca="1">_xlfn.IFNA(INDEX(Long_Data[Calculated PiN],MATCH(1, (PiN_Overview[[#This Row],[Key]]=Long_Data[Key]) * (4=Long_Data[Indicator Number]),0)),0)</f>
        <v>103535.7902</v>
      </c>
      <c r="N29" s="71" cm="1">
        <f t="array" aca="1" ref="N29" ca="1">_xlfn.IFNA(INDEX(Long_Data[Calculated PiN],MATCH(1, (PiN_Overview[[#This Row],[Key]]=Long_Data[Key]) * (5=Long_Data[Indicator Number]),0)),0)</f>
        <v>0</v>
      </c>
      <c r="O29" s="71" cm="1">
        <f t="array" aca="1" ref="O29" ca="1">_xlfn.IFNA(INDEX(Long_Data[Calculated PiN],MATCH(1, (PiN_Overview[[#This Row],[Key]]=Long_Data[Key]) * (6=Long_Data[Indicator Number]),0)),0)</f>
        <v>425074.5093639195</v>
      </c>
      <c r="P29" s="71" cm="1">
        <f t="array" aca="1" ref="P29" ca="1">_xlfn.IFNA(INDEX(Long_Data[Calculated PiN],MATCH(1, (PiN_Overview[[#This Row],[Key]]=Long_Data[Key]) * (7=Long_Data[Indicator Number]),0)),0)</f>
        <v>38338.474999999999</v>
      </c>
      <c r="Q29" s="71" cm="1">
        <f t="array" aca="1" ref="Q29" ca="1">_xlfn.IFNA(INDEX(Long_Data[Calculated PiN],MATCH(1, (PiN_Overview[[#This Row],[Key]]=Long_Data[Key]) * (8=Long_Data[Indicator Number]),0)),0)</f>
        <v>19360.115730145502</v>
      </c>
      <c r="R29" s="71" cm="1">
        <f t="array" aca="1" ref="R29" ca="1">_xlfn.IFNA(INDEX(Long_Data[Calculated PiN],MATCH(1, (PiN_Overview[[#This Row],[Key]]=Long_Data[Key]) * (9=Long_Data[Indicator Number]),0)),0)</f>
        <v>0</v>
      </c>
      <c r="S29" s="71" cm="1">
        <f t="array" aca="1" ref="S29" ca="1">_xlfn.IFNA(INDEX(Long_Data[Calculated PiN],MATCH(1, (PiN_Overview[[#This Row],[Key]]=Long_Data[Key]) * (10=Long_Data[Indicator Number]),0)),0)</f>
        <v>284800.09999999998</v>
      </c>
      <c r="T29" s="71" cm="1">
        <f t="array" aca="1" ref="T29" ca="1">_xlfn.IFNA(INDEX(Long_Data[Calculated PiN],MATCH(1, (PiN_Overview[[#This Row],[Key]]=Long_Data[Key]) * (11=Long_Data[Indicator Number]),0)),0)</f>
        <v>360194.16666666715</v>
      </c>
      <c r="U29" s="71" cm="1">
        <f t="array" aca="1" ref="U29" ca="1">_xlfn.IFNA(INDEX(Long_Data[Calculated PiN],MATCH(1, (PiN_Overview[[#This Row],[Key]]=Long_Data[Key]) * (12=Long_Data[Indicator Number]),0)),0)</f>
        <v>401544.18303524266</v>
      </c>
    </row>
    <row r="30" spans="2:21">
      <c r="B30">
        <v>27</v>
      </c>
      <c r="E30" t="str">
        <f>IFERROR(INDEX(Data_Entry[ADM2_COUNTY],MATCH('PiN Overview-Expert Judgement'!B30,Data_Entry[ID],0)),"NA")</f>
        <v>Laghman</v>
      </c>
      <c r="F30" t="str">
        <f>IFERROR(INDEX(Data_Entry[ADM2_Pcode],MATCH('PiN Overview-Expert Judgement'!B30,Data_Entry[ID],0)),"NA")</f>
        <v>AF07</v>
      </c>
      <c r="G30" s="71">
        <f>IFERROR(INDEX(Data_Entry[Group Population],MATCH('PiN Overview-Expert Judgement'!B30,Data_Entry[ID],0)),"NA")</f>
        <v>127063</v>
      </c>
      <c r="H30" t="str">
        <f>IFERROR(INDEX(Data_Entry[Group Name],MATCH('PiN Overview-Expert Judgement'!B30,Data_Entry[ID],0)),"NA")</f>
        <v>Migrants</v>
      </c>
      <c r="I30" t="str">
        <f>IFERROR(INDEX(Data_Entry[Key],MATCH('PiN Overview-Expert Judgement'!B30,Data_Entry[ID],0)),"NA")</f>
        <v>AF07-Migrants</v>
      </c>
      <c r="J30" s="71" cm="1">
        <f t="array" aca="1" ref="J30" ca="1">_xlfn.IFNA(INDEX(Long_Data[Calculated PiN],MATCH(1, (PiN_Overview[[#This Row],[Key]]=Long_Data[Key]) * (1=Long_Data[Indicator Number]),0)),0)</f>
        <v>7839.7871000000005</v>
      </c>
      <c r="K30" s="71" cm="1">
        <f t="array" aca="1" ref="K30" ca="1">_xlfn.IFNA(INDEX(Long_Data[Calculated PiN],MATCH(1, (PiN_Overview[[#This Row],[Key]]=Long_Data[Key]) * (2=Long_Data[Indicator Number]),0)),0)</f>
        <v>58048.953305566843</v>
      </c>
      <c r="L30" s="71" cm="1">
        <f t="array" aca="1" ref="L30" ca="1">_xlfn.IFNA(INDEX(Long_Data[Calculated PiN],MATCH(1, (PiN_Overview[[#This Row],[Key]]=Long_Data[Key]) * (3=Long_Data[Indicator Number]),0)),0)</f>
        <v>65041.029593201994</v>
      </c>
      <c r="M30" s="71" cm="1">
        <f t="array" aca="1" ref="M30" ca="1">_xlfn.IFNA(INDEX(Long_Data[Calculated PiN],MATCH(1, (PiN_Overview[[#This Row],[Key]]=Long_Data[Key]) * (4=Long_Data[Indicator Number]),0)),0)</f>
        <v>12706.3</v>
      </c>
      <c r="N30" s="71" cm="1">
        <f t="array" aca="1" ref="N30" ca="1">_xlfn.IFNA(INDEX(Long_Data[Calculated PiN],MATCH(1, (PiN_Overview[[#This Row],[Key]]=Long_Data[Key]) * (5=Long_Data[Indicator Number]),0)),0)</f>
        <v>0</v>
      </c>
      <c r="O30" s="71" cm="1">
        <f t="array" aca="1" ref="O30" ca="1">_xlfn.IFNA(INDEX(Long_Data[Calculated PiN],MATCH(1, (PiN_Overview[[#This Row],[Key]]=Long_Data[Key]) * (6=Long_Data[Indicator Number]),0)),0)</f>
        <v>111757.3433741999</v>
      </c>
      <c r="P30" s="71" cm="1">
        <f t="array" aca="1" ref="P30" ca="1">_xlfn.IFNA(INDEX(Long_Data[Calculated PiN],MATCH(1, (PiN_Overview[[#This Row],[Key]]=Long_Data[Key]) * (7=Long_Data[Indicator Number]),0)),0)</f>
        <v>4243.9041999999999</v>
      </c>
      <c r="Q30" s="71" cm="1">
        <f t="array" aca="1" ref="Q30" ca="1">_xlfn.IFNA(INDEX(Long_Data[Calculated PiN],MATCH(1, (PiN_Overview[[#This Row],[Key]]=Long_Data[Key]) * (8=Long_Data[Indicator Number]),0)),0)</f>
        <v>14845.729462802028</v>
      </c>
      <c r="R30" s="71" cm="1">
        <f t="array" aca="1" ref="R30" ca="1">_xlfn.IFNA(INDEX(Long_Data[Calculated PiN],MATCH(1, (PiN_Overview[[#This Row],[Key]]=Long_Data[Key]) * (9=Long_Data[Indicator Number]),0)),0)</f>
        <v>0</v>
      </c>
      <c r="S30" s="71" cm="1">
        <f t="array" aca="1" ref="S30" ca="1">_xlfn.IFNA(INDEX(Long_Data[Calculated PiN],MATCH(1, (PiN_Overview[[#This Row],[Key]]=Long_Data[Key]) * (10=Long_Data[Indicator Number]),0)),0)</f>
        <v>0</v>
      </c>
      <c r="T30" s="71" cm="1">
        <f t="array" aca="1" ref="T30" ca="1">_xlfn.IFNA(INDEX(Long_Data[Calculated PiN],MATCH(1, (PiN_Overview[[#This Row],[Key]]=Long_Data[Key]) * (11=Long_Data[Indicator Number]),0)),0)</f>
        <v>41508.482281522076</v>
      </c>
      <c r="U30" s="71" cm="1">
        <f t="array" aca="1" ref="U30" ca="1">_xlfn.IFNA(INDEX(Long_Data[Calculated PiN],MATCH(1, (PiN_Overview[[#This Row],[Key]]=Long_Data[Key]) * (12=Long_Data[Indicator Number]),0)),0)</f>
        <v>92002.047717842841</v>
      </c>
    </row>
    <row r="31" spans="2:21">
      <c r="B31">
        <v>28</v>
      </c>
      <c r="E31" t="str">
        <f>IFERROR(INDEX(Data_Entry[ADM2_COUNTY],MATCH('PiN Overview-Expert Judgement'!B31,Data_Entry[ID],0)),"NA")</f>
        <v>Panjsher</v>
      </c>
      <c r="F31" t="str">
        <f>IFERROR(INDEX(Data_Entry[ADM2_Pcode],MATCH('PiN Overview-Expert Judgement'!B31,Data_Entry[ID],0)),"NA")</f>
        <v>AF08</v>
      </c>
      <c r="G31" s="71">
        <f>IFERROR(INDEX(Data_Entry[Group Population],MATCH('PiN Overview-Expert Judgement'!B31,Data_Entry[ID],0)),"NA")</f>
        <v>43753</v>
      </c>
      <c r="H31" t="str">
        <f>IFERROR(INDEX(Data_Entry[Group Name],MATCH('PiN Overview-Expert Judgement'!B31,Data_Entry[ID],0)),"NA")</f>
        <v>Migrants</v>
      </c>
      <c r="I31" t="str">
        <f>IFERROR(INDEX(Data_Entry[Key],MATCH('PiN Overview-Expert Judgement'!B31,Data_Entry[ID],0)),"NA")</f>
        <v>AF08-Migrants</v>
      </c>
      <c r="J31" s="71" cm="1">
        <f t="array" aca="1" ref="J31" ca="1">_xlfn.IFNA(INDEX(Long_Data[Calculated PiN],MATCH(1, (PiN_Overview[[#This Row],[Key]]=Long_Data[Key]) * (1=Long_Data[Indicator Number]),0)),0)</f>
        <v>5504.1273999999994</v>
      </c>
      <c r="K31" s="71" cm="1">
        <f t="array" aca="1" ref="K31" ca="1">_xlfn.IFNA(INDEX(Long_Data[Calculated PiN],MATCH(1, (PiN_Overview[[#This Row],[Key]]=Long_Data[Key]) * (2=Long_Data[Indicator Number]),0)),0)</f>
        <v>16917.826666666639</v>
      </c>
      <c r="L31" s="71" cm="1">
        <f t="array" aca="1" ref="L31" ca="1">_xlfn.IFNA(INDEX(Long_Data[Calculated PiN],MATCH(1, (PiN_Overview[[#This Row],[Key]]=Long_Data[Key]) * (3=Long_Data[Indicator Number]),0)),0)</f>
        <v>38775.113772455101</v>
      </c>
      <c r="M31" s="71" cm="1">
        <f t="array" aca="1" ref="M31" ca="1">_xlfn.IFNA(INDEX(Long_Data[Calculated PiN],MATCH(1, (PiN_Overview[[#This Row],[Key]]=Long_Data[Key]) * (4=Long_Data[Indicator Number]),0)),0)</f>
        <v>17816.221600000001</v>
      </c>
      <c r="N31" s="71" cm="1">
        <f t="array" aca="1" ref="N31" ca="1">_xlfn.IFNA(INDEX(Long_Data[Calculated PiN],MATCH(1, (PiN_Overview[[#This Row],[Key]]=Long_Data[Key]) * (5=Long_Data[Indicator Number]),0)),0)</f>
        <v>0</v>
      </c>
      <c r="O31" s="71" cm="1">
        <f t="array" aca="1" ref="O31" ca="1">_xlfn.IFNA(INDEX(Long_Data[Calculated PiN],MATCH(1, (PiN_Overview[[#This Row],[Key]]=Long_Data[Key]) * (6=Long_Data[Indicator Number]),0)),0)</f>
        <v>43753</v>
      </c>
      <c r="P31" s="71" cm="1">
        <f t="array" aca="1" ref="P31" ca="1">_xlfn.IFNA(INDEX(Long_Data[Calculated PiN],MATCH(1, (PiN_Overview[[#This Row],[Key]]=Long_Data[Key]) * (7=Long_Data[Indicator Number]),0)),0)</f>
        <v>1308.2147000000002</v>
      </c>
      <c r="Q31" s="71" cm="1">
        <f t="array" aca="1" ref="Q31" ca="1">_xlfn.IFNA(INDEX(Long_Data[Calculated PiN],MATCH(1, (PiN_Overview[[#This Row],[Key]]=Long_Data[Key]) * (8=Long_Data[Indicator Number]),0)),0)</f>
        <v>711.43089430894327</v>
      </c>
      <c r="R31" s="71" cm="1">
        <f t="array" aca="1" ref="R31" ca="1">_xlfn.IFNA(INDEX(Long_Data[Calculated PiN],MATCH(1, (PiN_Overview[[#This Row],[Key]]=Long_Data[Key]) * (9=Long_Data[Indicator Number]),0)),0)</f>
        <v>0</v>
      </c>
      <c r="S31" s="71" cm="1">
        <f t="array" aca="1" ref="S31" ca="1">_xlfn.IFNA(INDEX(Long_Data[Calculated PiN],MATCH(1, (PiN_Overview[[#This Row],[Key]]=Long_Data[Key]) * (10=Long_Data[Indicator Number]),0)),0)</f>
        <v>0</v>
      </c>
      <c r="T31" s="71" cm="1">
        <f t="array" aca="1" ref="T31" ca="1">_xlfn.IFNA(INDEX(Long_Data[Calculated PiN],MATCH(1, (PiN_Overview[[#This Row],[Key]]=Long_Data[Key]) * (11=Long_Data[Indicator Number]),0)),0)</f>
        <v>21493.26388536493</v>
      </c>
      <c r="U31" s="71" cm="1">
        <f t="array" aca="1" ref="U31" ca="1">_xlfn.IFNA(INDEX(Long_Data[Calculated PiN],MATCH(1, (PiN_Overview[[#This Row],[Key]]=Long_Data[Key]) * (12=Long_Data[Indicator Number]),0)),0)</f>
        <v>27286.81720430138</v>
      </c>
    </row>
    <row r="32" spans="2:21">
      <c r="B32">
        <v>29</v>
      </c>
      <c r="E32" t="str">
        <f>IFERROR(INDEX(Data_Entry[ADM2_COUNTY],MATCH('PiN Overview-Expert Judgement'!B32,Data_Entry[ID],0)),"NA")</f>
        <v>Baghlan</v>
      </c>
      <c r="F32" t="str">
        <f>IFERROR(INDEX(Data_Entry[ADM2_Pcode],MATCH('PiN Overview-Expert Judgement'!B32,Data_Entry[ID],0)),"NA")</f>
        <v>AF09</v>
      </c>
      <c r="G32" s="71">
        <f>IFERROR(INDEX(Data_Entry[Group Population],MATCH('PiN Overview-Expert Judgement'!B32,Data_Entry[ID],0)),"NA")</f>
        <v>261249</v>
      </c>
      <c r="H32" t="str">
        <f>IFERROR(INDEX(Data_Entry[Group Name],MATCH('PiN Overview-Expert Judgement'!B32,Data_Entry[ID],0)),"NA")</f>
        <v>Migrants</v>
      </c>
      <c r="I32" t="str">
        <f>IFERROR(INDEX(Data_Entry[Key],MATCH('PiN Overview-Expert Judgement'!B32,Data_Entry[ID],0)),"NA")</f>
        <v>AF09-Migrants</v>
      </c>
      <c r="J32" s="71" cm="1">
        <f t="array" aca="1" ref="J32" ca="1">_xlfn.IFNA(INDEX(Long_Data[Calculated PiN],MATCH(1, (PiN_Overview[[#This Row],[Key]]=Long_Data[Key]) * (1=Long_Data[Indicator Number]),0)),0)</f>
        <v>11129.207399999999</v>
      </c>
      <c r="K32" s="71" cm="1">
        <f t="array" aca="1" ref="K32" ca="1">_xlfn.IFNA(INDEX(Long_Data[Calculated PiN],MATCH(1, (PiN_Overview[[#This Row],[Key]]=Long_Data[Key]) * (2=Long_Data[Indicator Number]),0)),0)</f>
        <v>181902.63434548795</v>
      </c>
      <c r="L32" s="71" cm="1">
        <f t="array" aca="1" ref="L32" ca="1">_xlfn.IFNA(INDEX(Long_Data[Calculated PiN],MATCH(1, (PiN_Overview[[#This Row],[Key]]=Long_Data[Key]) * (3=Long_Data[Indicator Number]),0)),0)</f>
        <v>115243.31480021059</v>
      </c>
      <c r="M32" s="71" cm="1">
        <f t="array" aca="1" ref="M32" ca="1">_xlfn.IFNA(INDEX(Long_Data[Calculated PiN],MATCH(1, (PiN_Overview[[#This Row],[Key]]=Long_Data[Key]) * (4=Long_Data[Indicator Number]),0)),0)</f>
        <v>182116.67790000001</v>
      </c>
      <c r="N32" s="71" cm="1">
        <f t="array" aca="1" ref="N32" ca="1">_xlfn.IFNA(INDEX(Long_Data[Calculated PiN],MATCH(1, (PiN_Overview[[#This Row],[Key]]=Long_Data[Key]) * (5=Long_Data[Indicator Number]),0)),0)</f>
        <v>0</v>
      </c>
      <c r="O32" s="71" cm="1">
        <f t="array" aca="1" ref="O32" ca="1">_xlfn.IFNA(INDEX(Long_Data[Calculated PiN],MATCH(1, (PiN_Overview[[#This Row],[Key]]=Long_Data[Key]) * (6=Long_Data[Indicator Number]),0)),0)</f>
        <v>232221.33333333337</v>
      </c>
      <c r="P32" s="71" cm="1">
        <f t="array" aca="1" ref="P32" ca="1">_xlfn.IFNA(INDEX(Long_Data[Calculated PiN],MATCH(1, (PiN_Overview[[#This Row],[Key]]=Long_Data[Key]) * (7=Long_Data[Indicator Number]),0)),0)</f>
        <v>10920.208199999999</v>
      </c>
      <c r="Q32" s="71" cm="1">
        <f t="array" aca="1" ref="Q32" ca="1">_xlfn.IFNA(INDEX(Long_Data[Calculated PiN],MATCH(1, (PiN_Overview[[#This Row],[Key]]=Long_Data[Key]) * (8=Long_Data[Indicator Number]),0)),0)</f>
        <v>8917.1173563229841</v>
      </c>
      <c r="R32" s="71" cm="1">
        <f t="array" aca="1" ref="R32" ca="1">_xlfn.IFNA(INDEX(Long_Data[Calculated PiN],MATCH(1, (PiN_Overview[[#This Row],[Key]]=Long_Data[Key]) * (9=Long_Data[Indicator Number]),0)),0)</f>
        <v>0</v>
      </c>
      <c r="S32" s="71" cm="1">
        <f t="array" aca="1" ref="S32" ca="1">_xlfn.IFNA(INDEX(Long_Data[Calculated PiN],MATCH(1, (PiN_Overview[[#This Row],[Key]]=Long_Data[Key]) * (10=Long_Data[Indicator Number]),0)),0)</f>
        <v>154136.91000000003</v>
      </c>
      <c r="T32" s="71" cm="1">
        <f t="array" aca="1" ref="T32" ca="1">_xlfn.IFNA(INDEX(Long_Data[Calculated PiN],MATCH(1, (PiN_Overview[[#This Row],[Key]]=Long_Data[Key]) * (11=Long_Data[Indicator Number]),0)),0)</f>
        <v>219260.07999734854</v>
      </c>
      <c r="U32" s="71" cm="1">
        <f t="array" aca="1" ref="U32" ca="1">_xlfn.IFNA(INDEX(Long_Data[Calculated PiN],MATCH(1, (PiN_Overview[[#This Row],[Key]]=Long_Data[Key]) * (12=Long_Data[Indicator Number]),0)),0)</f>
        <v>207103.01167493456</v>
      </c>
    </row>
    <row r="33" spans="2:21">
      <c r="B33">
        <v>30</v>
      </c>
      <c r="E33" t="str">
        <f>IFERROR(INDEX(Data_Entry[ADM2_COUNTY],MATCH('PiN Overview-Expert Judgement'!B33,Data_Entry[ID],0)),"NA")</f>
        <v>Bamyan</v>
      </c>
      <c r="F33" t="str">
        <f>IFERROR(INDEX(Data_Entry[ADM2_Pcode],MATCH('PiN Overview-Expert Judgement'!B33,Data_Entry[ID],0)),"NA")</f>
        <v>AF10</v>
      </c>
      <c r="G33" s="71">
        <f>IFERROR(INDEX(Data_Entry[Group Population],MATCH('PiN Overview-Expert Judgement'!B33,Data_Entry[ID],0)),"NA")</f>
        <v>127597</v>
      </c>
      <c r="H33" t="str">
        <f>IFERROR(INDEX(Data_Entry[Group Name],MATCH('PiN Overview-Expert Judgement'!B33,Data_Entry[ID],0)),"NA")</f>
        <v>Migrants</v>
      </c>
      <c r="I33" t="str">
        <f>IFERROR(INDEX(Data_Entry[Key],MATCH('PiN Overview-Expert Judgement'!B33,Data_Entry[ID],0)),"NA")</f>
        <v>AF10-Migrants</v>
      </c>
      <c r="J33" s="71" cm="1">
        <f t="array" aca="1" ref="J33" ca="1">_xlfn.IFNA(INDEX(Long_Data[Calculated PiN],MATCH(1, (PiN_Overview[[#This Row],[Key]]=Long_Data[Key]) * (1=Long_Data[Indicator Number]),0)),0)</f>
        <v>26476.377500000002</v>
      </c>
      <c r="K33" s="71" cm="1">
        <f t="array" aca="1" ref="K33" ca="1">_xlfn.IFNA(INDEX(Long_Data[Calculated PiN],MATCH(1, (PiN_Overview[[#This Row],[Key]]=Long_Data[Key]) * (2=Long_Data[Indicator Number]),0)),0)</f>
        <v>98211.02424242429</v>
      </c>
      <c r="L33" s="71" cm="1">
        <f t="array" aca="1" ref="L33" ca="1">_xlfn.IFNA(INDEX(Long_Data[Calculated PiN],MATCH(1, (PiN_Overview[[#This Row],[Key]]=Long_Data[Key]) * (3=Long_Data[Indicator Number]),0)),0)</f>
        <v>90465.597883597875</v>
      </c>
      <c r="M33" s="71" cm="1">
        <f t="array" aca="1" ref="M33" ca="1">_xlfn.IFNA(INDEX(Long_Data[Calculated PiN],MATCH(1, (PiN_Overview[[#This Row],[Key]]=Long_Data[Key]) * (4=Long_Data[Indicator Number]),0)),0)</f>
        <v>21602.1721</v>
      </c>
      <c r="N33" s="71" cm="1">
        <f t="array" aca="1" ref="N33" ca="1">_xlfn.IFNA(INDEX(Long_Data[Calculated PiN],MATCH(1, (PiN_Overview[[#This Row],[Key]]=Long_Data[Key]) * (5=Long_Data[Indicator Number]),0)),0)</f>
        <v>0</v>
      </c>
      <c r="O33" s="71" cm="1">
        <f t="array" aca="1" ref="O33" ca="1">_xlfn.IFNA(INDEX(Long_Data[Calculated PiN],MATCH(1, (PiN_Overview[[#This Row],[Key]]=Long_Data[Key]) * (6=Long_Data[Indicator Number]),0)),0)</f>
        <v>127597</v>
      </c>
      <c r="P33" s="71" cm="1">
        <f t="array" aca="1" ref="P33" ca="1">_xlfn.IFNA(INDEX(Long_Data[Calculated PiN],MATCH(1, (PiN_Overview[[#This Row],[Key]]=Long_Data[Key]) * (7=Long_Data[Indicator Number]),0)),0)</f>
        <v>14176.026699999999</v>
      </c>
      <c r="Q33" s="71" cm="1">
        <f t="array" aca="1" ref="Q33" ca="1">_xlfn.IFNA(INDEX(Long_Data[Calculated PiN],MATCH(1, (PiN_Overview[[#This Row],[Key]]=Long_Data[Key]) * (8=Long_Data[Indicator Number]),0)),0)</f>
        <v>9382.1323529411784</v>
      </c>
      <c r="R33" s="71" cm="1">
        <f t="array" aca="1" ref="R33" ca="1">_xlfn.IFNA(INDEX(Long_Data[Calculated PiN],MATCH(1, (PiN_Overview[[#This Row],[Key]]=Long_Data[Key]) * (9=Long_Data[Indicator Number]),0)),0)</f>
        <v>0</v>
      </c>
      <c r="S33" s="71" cm="1">
        <f t="array" aca="1" ref="S33" ca="1">_xlfn.IFNA(INDEX(Long_Data[Calculated PiN],MATCH(1, (PiN_Overview[[#This Row],[Key]]=Long_Data[Key]) * (10=Long_Data[Indicator Number]),0)),0)</f>
        <v>0</v>
      </c>
      <c r="T33" s="71" cm="1">
        <f t="array" aca="1" ref="T33" ca="1">_xlfn.IFNA(INDEX(Long_Data[Calculated PiN],MATCH(1, (PiN_Overview[[#This Row],[Key]]=Long_Data[Key]) * (11=Long_Data[Indicator Number]),0)),0)</f>
        <v>75111.107477414465</v>
      </c>
      <c r="U33" s="71" cm="1">
        <f t="array" aca="1" ref="U33" ca="1">_xlfn.IFNA(INDEX(Long_Data[Calculated PiN],MATCH(1, (PiN_Overview[[#This Row],[Key]]=Long_Data[Key]) * (12=Long_Data[Indicator Number]),0)),0)</f>
        <v>88971.603340291855</v>
      </c>
    </row>
  </sheetData>
  <conditionalFormatting sqref="J4:U4">
    <cfRule type="top10" dxfId="41" priority="30" rank="1"/>
  </conditionalFormatting>
  <conditionalFormatting sqref="J5:U5">
    <cfRule type="top10" dxfId="40" priority="29" rank="1"/>
  </conditionalFormatting>
  <conditionalFormatting sqref="J6:U6">
    <cfRule type="top10" dxfId="39" priority="28" rank="1"/>
  </conditionalFormatting>
  <conditionalFormatting sqref="J7:U7">
    <cfRule type="top10" dxfId="38" priority="27" rank="1"/>
  </conditionalFormatting>
  <conditionalFormatting sqref="J8:U8">
    <cfRule type="top10" dxfId="37" priority="26" rank="1"/>
  </conditionalFormatting>
  <conditionalFormatting sqref="J9:U9">
    <cfRule type="top10" dxfId="36" priority="25" rank="1"/>
  </conditionalFormatting>
  <conditionalFormatting sqref="J10:U10">
    <cfRule type="top10" dxfId="35" priority="24" rank="1"/>
  </conditionalFormatting>
  <conditionalFormatting sqref="J11:U11">
    <cfRule type="top10" dxfId="34" priority="23" rank="1"/>
  </conditionalFormatting>
  <conditionalFormatting sqref="J12:U12">
    <cfRule type="top10" dxfId="33" priority="22" rank="1"/>
  </conditionalFormatting>
  <conditionalFormatting sqref="J13:U13">
    <cfRule type="top10" dxfId="32" priority="21" rank="1"/>
  </conditionalFormatting>
  <conditionalFormatting sqref="J14:U14">
    <cfRule type="top10" dxfId="31" priority="20" rank="1"/>
  </conditionalFormatting>
  <conditionalFormatting sqref="J15:U15">
    <cfRule type="top10" dxfId="30" priority="19" rank="1"/>
  </conditionalFormatting>
  <conditionalFormatting sqref="J16:U16">
    <cfRule type="top10" dxfId="29" priority="18" rank="1"/>
  </conditionalFormatting>
  <conditionalFormatting sqref="J17:U17">
    <cfRule type="top10" dxfId="28" priority="17" rank="1"/>
  </conditionalFormatting>
  <conditionalFormatting sqref="J18:U18">
    <cfRule type="top10" dxfId="27" priority="16" rank="1"/>
  </conditionalFormatting>
  <conditionalFormatting sqref="J19:U19">
    <cfRule type="top10" dxfId="26" priority="15" rank="1"/>
  </conditionalFormatting>
  <conditionalFormatting sqref="J20:U20">
    <cfRule type="top10" dxfId="25" priority="14" rank="1"/>
  </conditionalFormatting>
  <conditionalFormatting sqref="J21:U21">
    <cfRule type="top10" dxfId="24" priority="13" rank="1"/>
  </conditionalFormatting>
  <conditionalFormatting sqref="J22:U22">
    <cfRule type="top10" dxfId="23" priority="12" rank="1"/>
  </conditionalFormatting>
  <conditionalFormatting sqref="J23:U23">
    <cfRule type="top10" dxfId="22" priority="11" rank="1"/>
  </conditionalFormatting>
  <conditionalFormatting sqref="J24:U24">
    <cfRule type="top10" dxfId="21" priority="10" rank="1"/>
  </conditionalFormatting>
  <conditionalFormatting sqref="J25:U25">
    <cfRule type="top10" dxfId="20" priority="9" rank="1"/>
  </conditionalFormatting>
  <conditionalFormatting sqref="J26:U26">
    <cfRule type="top10" dxfId="19" priority="8" rank="1"/>
  </conditionalFormatting>
  <conditionalFormatting sqref="J27:U27">
    <cfRule type="top10" dxfId="18" priority="7" rank="1"/>
  </conditionalFormatting>
  <conditionalFormatting sqref="J28:U28">
    <cfRule type="top10" dxfId="17" priority="6" rank="1"/>
  </conditionalFormatting>
  <conditionalFormatting sqref="J29:U29">
    <cfRule type="top10" dxfId="16" priority="5" rank="1"/>
  </conditionalFormatting>
  <conditionalFormatting sqref="J30:U30">
    <cfRule type="top10" dxfId="15" priority="4" rank="1"/>
  </conditionalFormatting>
  <conditionalFormatting sqref="J31:U31">
    <cfRule type="top10" dxfId="14" priority="3" rank="1"/>
  </conditionalFormatting>
  <conditionalFormatting sqref="J32:U32">
    <cfRule type="top10" dxfId="13" priority="2" rank="1"/>
  </conditionalFormatting>
  <conditionalFormatting sqref="J33:U33">
    <cfRule type="top10" dxfId="12" priority="1" rank="1"/>
  </conditionalFormatting>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4A31-BF92-4631-B956-EEEEC92F2753}">
  <sheetPr>
    <tabColor theme="5" tint="0.39997558519241921"/>
  </sheetPr>
  <dimension ref="B2:G32"/>
  <sheetViews>
    <sheetView workbookViewId="0">
      <selection activeCell="C3" sqref="C3"/>
    </sheetView>
  </sheetViews>
  <sheetFormatPr defaultRowHeight="14.4"/>
  <cols>
    <col min="3" max="3" width="17.44140625" customWidth="1"/>
    <col min="4" max="4" width="17.44140625" bestFit="1" customWidth="1"/>
    <col min="5" max="5" width="15.109375" bestFit="1" customWidth="1"/>
    <col min="6" max="6" width="22.88671875" customWidth="1"/>
    <col min="7" max="7" width="18.5546875" customWidth="1"/>
    <col min="8" max="8" width="19.5546875" bestFit="1" customWidth="1"/>
  </cols>
  <sheetData>
    <row r="2" spans="2:7">
      <c r="B2" t="s">
        <v>136</v>
      </c>
      <c r="C2" t="s">
        <v>139</v>
      </c>
      <c r="D2" t="s">
        <v>140</v>
      </c>
      <c r="E2" t="s">
        <v>228</v>
      </c>
      <c r="F2" t="s">
        <v>275</v>
      </c>
      <c r="G2" t="s">
        <v>143</v>
      </c>
    </row>
    <row r="3" spans="2:7">
      <c r="B3">
        <v>1</v>
      </c>
      <c r="C3" t="str">
        <f>IFERROR(INDEX(Data_Entry[ADM2_COUNTY],MATCH(Baseline_Popopulation!B3,Data_Entry[ID],0)),"NA")</f>
        <v>Kabul</v>
      </c>
      <c r="D3" t="str">
        <f>IFERROR(INDEX(Data_Entry[ADM2_Pcode],MATCH(Baseline_Popopulation!B3,Data_Entry[ID],0)),"NA")</f>
        <v>AF01</v>
      </c>
      <c r="E3">
        <f>IFERROR(INDEX(Data_Entry[Group Population],MATCH(Baseline_Popopulation!B3,Data_Entry[ID],0)),"NA")</f>
        <v>4690361</v>
      </c>
      <c r="F3" t="str">
        <f>IFERROR(INDEX(Data_Entry[Group Name],MATCH(Baseline_Popopulation!B3,Data_Entry[ID],0)),"NA")</f>
        <v>All_Others</v>
      </c>
      <c r="G3" t="str">
        <f>IFERROR(INDEX(Data_Entry[Key],MATCH(Baseline_Popopulation!B3,Data_Entry[ID],0)),"NA")</f>
        <v>AF01-All_Others</v>
      </c>
    </row>
    <row r="4" spans="2:7">
      <c r="B4">
        <v>2</v>
      </c>
      <c r="C4" t="str">
        <f>IFERROR(INDEX(Data_Entry[ADM2_COUNTY],MATCH(Baseline_Popopulation!B4,Data_Entry[ID],0)),"NA")</f>
        <v>Kapisa</v>
      </c>
      <c r="D4" t="str">
        <f>IFERROR(INDEX(Data_Entry[ADM2_Pcode],MATCH(Baseline_Popopulation!B4,Data_Entry[ID],0)),"NA")</f>
        <v>AF02</v>
      </c>
      <c r="E4">
        <f>IFERROR(INDEX(Data_Entry[Group Population],MATCH(Baseline_Popopulation!B4,Data_Entry[ID],0)),"NA")</f>
        <v>440047</v>
      </c>
      <c r="F4" t="str">
        <f>IFERROR(INDEX(Data_Entry[Group Name],MATCH(Baseline_Popopulation!B4,Data_Entry[ID],0)),"NA")</f>
        <v>All_Others</v>
      </c>
      <c r="G4" t="str">
        <f>IFERROR(INDEX(Data_Entry[Key],MATCH(Baseline_Popopulation!B4,Data_Entry[ID],0)),"NA")</f>
        <v>AF02-All_Others</v>
      </c>
    </row>
    <row r="5" spans="2:7">
      <c r="B5">
        <v>3</v>
      </c>
      <c r="C5" t="str">
        <f>IFERROR(INDEX(Data_Entry[ADM2_COUNTY],MATCH(Baseline_Popopulation!B5,Data_Entry[ID],0)),"NA")</f>
        <v>Parwan</v>
      </c>
      <c r="D5" t="str">
        <f>IFERROR(INDEX(Data_Entry[ADM2_Pcode],MATCH(Baseline_Popopulation!B5,Data_Entry[ID],0)),"NA")</f>
        <v>AF03</v>
      </c>
      <c r="E5">
        <f>IFERROR(INDEX(Data_Entry[Group Population],MATCH(Baseline_Popopulation!B5,Data_Entry[ID],0)),"NA")</f>
        <v>664805</v>
      </c>
      <c r="F5" t="str">
        <f>IFERROR(INDEX(Data_Entry[Group Name],MATCH(Baseline_Popopulation!B5,Data_Entry[ID],0)),"NA")</f>
        <v>All_Others</v>
      </c>
      <c r="G5" t="str">
        <f>IFERROR(INDEX(Data_Entry[Key],MATCH(Baseline_Popopulation!B5,Data_Entry[ID],0)),"NA")</f>
        <v>AF03-All_Others</v>
      </c>
    </row>
    <row r="6" spans="2:7">
      <c r="B6">
        <v>4</v>
      </c>
      <c r="C6" t="str">
        <f>IFERROR(INDEX(Data_Entry[ADM2_COUNTY],MATCH(Baseline_Popopulation!B6,Data_Entry[ID],0)),"NA")</f>
        <v>Wardak</v>
      </c>
      <c r="D6" t="str">
        <f>IFERROR(INDEX(Data_Entry[ADM2_Pcode],MATCH(Baseline_Popopulation!B6,Data_Entry[ID],0)),"NA")</f>
        <v>AF04</v>
      </c>
      <c r="E6">
        <f>IFERROR(INDEX(Data_Entry[Group Population],MATCH(Baseline_Popopulation!B6,Data_Entry[ID],0)),"NA")</f>
        <v>595013</v>
      </c>
      <c r="F6" t="str">
        <f>IFERROR(INDEX(Data_Entry[Group Name],MATCH(Baseline_Popopulation!B6,Data_Entry[ID],0)),"NA")</f>
        <v>All_Others</v>
      </c>
      <c r="G6" t="str">
        <f>IFERROR(INDEX(Data_Entry[Key],MATCH(Baseline_Popopulation!B6,Data_Entry[ID],0)),"NA")</f>
        <v>AF04-All_Others</v>
      </c>
    </row>
    <row r="7" spans="2:7">
      <c r="B7">
        <v>5</v>
      </c>
      <c r="C7" t="str">
        <f>IFERROR(INDEX(Data_Entry[ADM2_COUNTY],MATCH(Baseline_Popopulation!B7,Data_Entry[ID],0)),"NA")</f>
        <v>Logar</v>
      </c>
      <c r="D7" t="str">
        <f>IFERROR(INDEX(Data_Entry[ADM2_Pcode],MATCH(Baseline_Popopulation!B7,Data_Entry[ID],0)),"NA")</f>
        <v>AF05</v>
      </c>
      <c r="E7">
        <f>IFERROR(INDEX(Data_Entry[Group Population],MATCH(Baseline_Popopulation!B7,Data_Entry[ID],0)),"NA")</f>
        <v>391451</v>
      </c>
      <c r="F7" t="str">
        <f>IFERROR(INDEX(Data_Entry[Group Name],MATCH(Baseline_Popopulation!B7,Data_Entry[ID],0)),"NA")</f>
        <v>All_Others</v>
      </c>
      <c r="G7" t="str">
        <f>IFERROR(INDEX(Data_Entry[Key],MATCH(Baseline_Popopulation!B7,Data_Entry[ID],0)),"NA")</f>
        <v>AF05-All_Others</v>
      </c>
    </row>
    <row r="8" spans="2:7">
      <c r="B8">
        <v>6</v>
      </c>
      <c r="C8" t="str">
        <f>IFERROR(INDEX(Data_Entry[ADM2_COUNTY],MATCH(Baseline_Popopulation!B8,Data_Entry[ID],0)),"NA")</f>
        <v>Nangarhar</v>
      </c>
      <c r="D8" t="str">
        <f>IFERROR(INDEX(Data_Entry[ADM2_Pcode],MATCH(Baseline_Popopulation!B8,Data_Entry[ID],0)),"NA")</f>
        <v>AF06</v>
      </c>
      <c r="E8">
        <f>IFERROR(INDEX(Data_Entry[Group Population],MATCH(Baseline_Popopulation!B8,Data_Entry[ID],0)),"NA")</f>
        <v>1533540</v>
      </c>
      <c r="F8" t="str">
        <f>IFERROR(INDEX(Data_Entry[Group Name],MATCH(Baseline_Popopulation!B8,Data_Entry[ID],0)),"NA")</f>
        <v>All_Others</v>
      </c>
      <c r="G8" t="str">
        <f>IFERROR(INDEX(Data_Entry[Key],MATCH(Baseline_Popopulation!B8,Data_Entry[ID],0)),"NA")</f>
        <v>AF06-All_Others</v>
      </c>
    </row>
    <row r="9" spans="2:7">
      <c r="B9">
        <v>7</v>
      </c>
      <c r="C9" t="str">
        <f>IFERROR(INDEX(Data_Entry[ADM2_COUNTY],MATCH(Baseline_Popopulation!B9,Data_Entry[ID],0)),"NA")</f>
        <v>Laghman</v>
      </c>
      <c r="D9" t="str">
        <f>IFERROR(INDEX(Data_Entry[ADM2_Pcode],MATCH(Baseline_Popopulation!B9,Data_Entry[ID],0)),"NA")</f>
        <v>AF07</v>
      </c>
      <c r="E9">
        <f>IFERROR(INDEX(Data_Entry[Group Population],MATCH(Baseline_Popopulation!B9,Data_Entry[ID],0)),"NA")</f>
        <v>444722</v>
      </c>
      <c r="F9" t="str">
        <f>IFERROR(INDEX(Data_Entry[Group Name],MATCH(Baseline_Popopulation!B9,Data_Entry[ID],0)),"NA")</f>
        <v>All_Others</v>
      </c>
      <c r="G9" t="str">
        <f>IFERROR(INDEX(Data_Entry[Key],MATCH(Baseline_Popopulation!B9,Data_Entry[ID],0)),"NA")</f>
        <v>AF07-All_Others</v>
      </c>
    </row>
    <row r="10" spans="2:7">
      <c r="B10">
        <v>8</v>
      </c>
      <c r="C10" t="str">
        <f>IFERROR(INDEX(Data_Entry[ADM2_COUNTY],MATCH(Baseline_Popopulation!B10,Data_Entry[ID],0)),"NA")</f>
        <v>Panjsher</v>
      </c>
      <c r="D10" t="str">
        <f>IFERROR(INDEX(Data_Entry[ADM2_Pcode],MATCH(Baseline_Popopulation!B10,Data_Entry[ID],0)),"NA")</f>
        <v>AF08</v>
      </c>
      <c r="E10">
        <f>IFERROR(INDEX(Data_Entry[Group Population],MATCH(Baseline_Popopulation!B10,Data_Entry[ID],0)),"NA")</f>
        <v>153134</v>
      </c>
      <c r="F10" t="str">
        <f>IFERROR(INDEX(Data_Entry[Group Name],MATCH(Baseline_Popopulation!B10,Data_Entry[ID],0)),"NA")</f>
        <v>All_Others</v>
      </c>
      <c r="G10" t="str">
        <f>IFERROR(INDEX(Data_Entry[Key],MATCH(Baseline_Popopulation!B10,Data_Entry[ID],0)),"NA")</f>
        <v>AF08-All_Others</v>
      </c>
    </row>
    <row r="11" spans="2:7">
      <c r="B11">
        <v>9</v>
      </c>
      <c r="C11" t="str">
        <f>IFERROR(INDEX(Data_Entry[ADM2_COUNTY],MATCH(Baseline_Popopulation!B11,Data_Entry[ID],0)),"NA")</f>
        <v>Baghlan</v>
      </c>
      <c r="D11" t="str">
        <f>IFERROR(INDEX(Data_Entry[ADM2_Pcode],MATCH(Baseline_Popopulation!B11,Data_Entry[ID],0)),"NA")</f>
        <v>AF09</v>
      </c>
      <c r="E11">
        <f>IFERROR(INDEX(Data_Entry[Group Population],MATCH(Baseline_Popopulation!B11,Data_Entry[ID],0)),"NA")</f>
        <v>914370</v>
      </c>
      <c r="F11" t="str">
        <f>IFERROR(INDEX(Data_Entry[Group Name],MATCH(Baseline_Popopulation!B11,Data_Entry[ID],0)),"NA")</f>
        <v>All_Others</v>
      </c>
      <c r="G11" t="str">
        <f>IFERROR(INDEX(Data_Entry[Key],MATCH(Baseline_Popopulation!B11,Data_Entry[ID],0)),"NA")</f>
        <v>AF09-All_Others</v>
      </c>
    </row>
    <row r="12" spans="2:7">
      <c r="B12">
        <v>10</v>
      </c>
      <c r="C12" t="str">
        <f>IFERROR(INDEX(Data_Entry[ADM2_COUNTY],MATCH(Baseline_Popopulation!B12,Data_Entry[ID],0)),"NA")</f>
        <v>Bamyan</v>
      </c>
      <c r="D12" t="str">
        <f>IFERROR(INDEX(Data_Entry[ADM2_Pcode],MATCH(Baseline_Popopulation!B12,Data_Entry[ID],0)),"NA")</f>
        <v>AF10</v>
      </c>
      <c r="E12">
        <f>IFERROR(INDEX(Data_Entry[Group Population],MATCH(Baseline_Popopulation!B12,Data_Entry[ID],0)),"NA")</f>
        <v>446588</v>
      </c>
      <c r="F12" t="str">
        <f>IFERROR(INDEX(Data_Entry[Group Name],MATCH(Baseline_Popopulation!B12,Data_Entry[ID],0)),"NA")</f>
        <v>All_Others</v>
      </c>
      <c r="G12" t="str">
        <f>IFERROR(INDEX(Data_Entry[Key],MATCH(Baseline_Popopulation!B12,Data_Entry[ID],0)),"NA")</f>
        <v>AF10-All_Others</v>
      </c>
    </row>
    <row r="13" spans="2:7">
      <c r="B13">
        <v>11</v>
      </c>
      <c r="C13" t="str">
        <f>IFERROR(INDEX(Data_Entry[ADM2_COUNTY],MATCH(Baseline_Popopulation!B13,Data_Entry[ID],0)),"NA")</f>
        <v>Kabul</v>
      </c>
      <c r="D13" t="str">
        <f>IFERROR(INDEX(Data_Entry[ADM2_Pcode],MATCH(Baseline_Popopulation!B13,Data_Entry[ID],0)),"NA")</f>
        <v>AF01</v>
      </c>
      <c r="E13">
        <f>IFERROR(INDEX(Data_Entry[Group Population],MATCH(Baseline_Popopulation!B13,Data_Entry[ID],0)),"NA")</f>
        <v>670052</v>
      </c>
      <c r="F13" t="str">
        <f>IFERROR(INDEX(Data_Entry[Group Name],MATCH(Baseline_Popopulation!B13,Data_Entry[ID],0)),"NA")</f>
        <v>Non_Displaced</v>
      </c>
      <c r="G13" t="str">
        <f>IFERROR(INDEX(Data_Entry[Key],MATCH(Baseline_Popopulation!B13,Data_Entry[ID],0)),"NA")</f>
        <v>AF01-Non_Displaced</v>
      </c>
    </row>
    <row r="14" spans="2:7">
      <c r="B14">
        <v>12</v>
      </c>
      <c r="C14" t="str">
        <f>IFERROR(INDEX(Data_Entry[ADM2_COUNTY],MATCH(Baseline_Popopulation!B14,Data_Entry[ID],0)),"NA")</f>
        <v>Kapisa</v>
      </c>
      <c r="D14" t="str">
        <f>IFERROR(INDEX(Data_Entry[ADM2_Pcode],MATCH(Baseline_Popopulation!B14,Data_Entry[ID],0)),"NA")</f>
        <v>AF02</v>
      </c>
      <c r="E14">
        <f>IFERROR(INDEX(Data_Entry[Group Population],MATCH(Baseline_Popopulation!B14,Data_Entry[ID],0)),"NA")</f>
        <v>62864</v>
      </c>
      <c r="F14" t="str">
        <f>IFERROR(INDEX(Data_Entry[Group Name],MATCH(Baseline_Popopulation!B14,Data_Entry[ID],0)),"NA")</f>
        <v>Non_Displaced</v>
      </c>
      <c r="G14" t="str">
        <f>IFERROR(INDEX(Data_Entry[Key],MATCH(Baseline_Popopulation!B14,Data_Entry[ID],0)),"NA")</f>
        <v>AF02-Non_Displaced</v>
      </c>
    </row>
    <row r="15" spans="2:7">
      <c r="B15">
        <v>13</v>
      </c>
      <c r="C15" t="str">
        <f>IFERROR(INDEX(Data_Entry[ADM2_COUNTY],MATCH(Baseline_Popopulation!B15,Data_Entry[ID],0)),"NA")</f>
        <v>Parwan</v>
      </c>
      <c r="D15" t="str">
        <f>IFERROR(INDEX(Data_Entry[ADM2_Pcode],MATCH(Baseline_Popopulation!B15,Data_Entry[ID],0)),"NA")</f>
        <v>AF03</v>
      </c>
      <c r="E15">
        <f>IFERROR(INDEX(Data_Entry[Group Population],MATCH(Baseline_Popopulation!B15,Data_Entry[ID],0)),"NA")</f>
        <v>94972</v>
      </c>
      <c r="F15" t="str">
        <f>IFERROR(INDEX(Data_Entry[Group Name],MATCH(Baseline_Popopulation!B15,Data_Entry[ID],0)),"NA")</f>
        <v>Non_Displaced</v>
      </c>
      <c r="G15" t="str">
        <f>IFERROR(INDEX(Data_Entry[Key],MATCH(Baseline_Popopulation!B15,Data_Entry[ID],0)),"NA")</f>
        <v>AF03-Non_Displaced</v>
      </c>
    </row>
    <row r="16" spans="2:7">
      <c r="B16">
        <v>14</v>
      </c>
      <c r="C16" t="str">
        <f>IFERROR(INDEX(Data_Entry[ADM2_COUNTY],MATCH(Baseline_Popopulation!B16,Data_Entry[ID],0)),"NA")</f>
        <v>Wardak</v>
      </c>
      <c r="D16" t="str">
        <f>IFERROR(INDEX(Data_Entry[ADM2_Pcode],MATCH(Baseline_Popopulation!B16,Data_Entry[ID],0)),"NA")</f>
        <v>AF04</v>
      </c>
      <c r="E16">
        <f>IFERROR(INDEX(Data_Entry[Group Population],MATCH(Baseline_Popopulation!B16,Data_Entry[ID],0)),"NA")</f>
        <v>85002</v>
      </c>
      <c r="F16" t="str">
        <f>IFERROR(INDEX(Data_Entry[Group Name],MATCH(Baseline_Popopulation!B16,Data_Entry[ID],0)),"NA")</f>
        <v>Non_Displaced</v>
      </c>
      <c r="G16" t="str">
        <f>IFERROR(INDEX(Data_Entry[Key],MATCH(Baseline_Popopulation!B16,Data_Entry[ID],0)),"NA")</f>
        <v>AF04-Non_Displaced</v>
      </c>
    </row>
    <row r="17" spans="2:7">
      <c r="B17">
        <v>15</v>
      </c>
      <c r="C17" t="str">
        <f>IFERROR(INDEX(Data_Entry[ADM2_COUNTY],MATCH(Baseline_Popopulation!B17,Data_Entry[ID],0)),"NA")</f>
        <v>Logar</v>
      </c>
      <c r="D17" t="str">
        <f>IFERROR(INDEX(Data_Entry[ADM2_Pcode],MATCH(Baseline_Popopulation!B17,Data_Entry[ID],0)),"NA")</f>
        <v>AF05</v>
      </c>
      <c r="E17">
        <f>IFERROR(INDEX(Data_Entry[Group Population],MATCH(Baseline_Popopulation!B17,Data_Entry[ID],0)),"NA")</f>
        <v>55922</v>
      </c>
      <c r="F17" t="str">
        <f>IFERROR(INDEX(Data_Entry[Group Name],MATCH(Baseline_Popopulation!B17,Data_Entry[ID],0)),"NA")</f>
        <v>Non_Displaced</v>
      </c>
      <c r="G17" t="str">
        <f>IFERROR(INDEX(Data_Entry[Key],MATCH(Baseline_Popopulation!B17,Data_Entry[ID],0)),"NA")</f>
        <v>AF05-Non_Displaced</v>
      </c>
    </row>
    <row r="18" spans="2:7">
      <c r="B18">
        <v>16</v>
      </c>
      <c r="C18" t="str">
        <f>IFERROR(INDEX(Data_Entry[ADM2_COUNTY],MATCH(Baseline_Popopulation!B18,Data_Entry[ID],0)),"NA")</f>
        <v>Nangarhar</v>
      </c>
      <c r="D18" t="str">
        <f>IFERROR(INDEX(Data_Entry[ADM2_Pcode],MATCH(Baseline_Popopulation!B18,Data_Entry[ID],0)),"NA")</f>
        <v>AF06</v>
      </c>
      <c r="E18">
        <f>IFERROR(INDEX(Data_Entry[Group Population],MATCH(Baseline_Popopulation!B18,Data_Entry[ID],0)),"NA")</f>
        <v>219077</v>
      </c>
      <c r="F18" t="str">
        <f>IFERROR(INDEX(Data_Entry[Group Name],MATCH(Baseline_Popopulation!B18,Data_Entry[ID],0)),"NA")</f>
        <v>Non_Displaced</v>
      </c>
      <c r="G18" t="str">
        <f>IFERROR(INDEX(Data_Entry[Key],MATCH(Baseline_Popopulation!B18,Data_Entry[ID],0)),"NA")</f>
        <v>AF06-Non_Displaced</v>
      </c>
    </row>
    <row r="19" spans="2:7">
      <c r="B19">
        <v>17</v>
      </c>
      <c r="C19" t="str">
        <f>IFERROR(INDEX(Data_Entry[ADM2_COUNTY],MATCH(Baseline_Popopulation!B19,Data_Entry[ID],0)),"NA")</f>
        <v>Laghman</v>
      </c>
      <c r="D19" t="str">
        <f>IFERROR(INDEX(Data_Entry[ADM2_Pcode],MATCH(Baseline_Popopulation!B19,Data_Entry[ID],0)),"NA")</f>
        <v>AF07</v>
      </c>
      <c r="E19">
        <f>IFERROR(INDEX(Data_Entry[Group Population],MATCH(Baseline_Popopulation!B19,Data_Entry[ID],0)),"NA")</f>
        <v>63532</v>
      </c>
      <c r="F19" t="str">
        <f>IFERROR(INDEX(Data_Entry[Group Name],MATCH(Baseline_Popopulation!B19,Data_Entry[ID],0)),"NA")</f>
        <v>Non_Displaced</v>
      </c>
      <c r="G19" t="str">
        <f>IFERROR(INDEX(Data_Entry[Key],MATCH(Baseline_Popopulation!B19,Data_Entry[ID],0)),"NA")</f>
        <v>AF07-Non_Displaced</v>
      </c>
    </row>
    <row r="20" spans="2:7">
      <c r="B20">
        <v>18</v>
      </c>
      <c r="C20" t="str">
        <f>IFERROR(INDEX(Data_Entry[ADM2_COUNTY],MATCH(Baseline_Popopulation!B20,Data_Entry[ID],0)),"NA")</f>
        <v>Panjsher</v>
      </c>
      <c r="D20" t="str">
        <f>IFERROR(INDEX(Data_Entry[ADM2_Pcode],MATCH(Baseline_Popopulation!B20,Data_Entry[ID],0)),"NA")</f>
        <v>AF08</v>
      </c>
      <c r="E20">
        <f>IFERROR(INDEX(Data_Entry[Group Population],MATCH(Baseline_Popopulation!B20,Data_Entry[ID],0)),"NA")</f>
        <v>21876</v>
      </c>
      <c r="F20" t="str">
        <f>IFERROR(INDEX(Data_Entry[Group Name],MATCH(Baseline_Popopulation!B20,Data_Entry[ID],0)),"NA")</f>
        <v>Non_Displaced</v>
      </c>
      <c r="G20" t="str">
        <f>IFERROR(INDEX(Data_Entry[Key],MATCH(Baseline_Popopulation!B20,Data_Entry[ID],0)),"NA")</f>
        <v>AF08-Non_Displaced</v>
      </c>
    </row>
    <row r="21" spans="2:7">
      <c r="B21">
        <v>19</v>
      </c>
      <c r="C21" t="str">
        <f>IFERROR(INDEX(Data_Entry[ADM2_COUNTY],MATCH(Baseline_Popopulation!B21,Data_Entry[ID],0)),"NA")</f>
        <v>Baghlan</v>
      </c>
      <c r="D21" t="str">
        <f>IFERROR(INDEX(Data_Entry[ADM2_Pcode],MATCH(Baseline_Popopulation!B21,Data_Entry[ID],0)),"NA")</f>
        <v>AF09</v>
      </c>
      <c r="E21">
        <f>IFERROR(INDEX(Data_Entry[Group Population],MATCH(Baseline_Popopulation!B21,Data_Entry[ID],0)),"NA")</f>
        <v>130624</v>
      </c>
      <c r="F21" t="str">
        <f>IFERROR(INDEX(Data_Entry[Group Name],MATCH(Baseline_Popopulation!B21,Data_Entry[ID],0)),"NA")</f>
        <v>Non_Displaced</v>
      </c>
      <c r="G21" t="str">
        <f>IFERROR(INDEX(Data_Entry[Key],MATCH(Baseline_Popopulation!B21,Data_Entry[ID],0)),"NA")</f>
        <v>AF09-Non_Displaced</v>
      </c>
    </row>
    <row r="22" spans="2:7">
      <c r="B22">
        <v>20</v>
      </c>
      <c r="C22" t="str">
        <f>IFERROR(INDEX(Data_Entry[ADM2_COUNTY],MATCH(Baseline_Popopulation!B22,Data_Entry[ID],0)),"NA")</f>
        <v>Bamyan</v>
      </c>
      <c r="D22" t="str">
        <f>IFERROR(INDEX(Data_Entry[ADM2_Pcode],MATCH(Baseline_Popopulation!B22,Data_Entry[ID],0)),"NA")</f>
        <v>AF10</v>
      </c>
      <c r="E22">
        <f>IFERROR(INDEX(Data_Entry[Group Population],MATCH(Baseline_Popopulation!B22,Data_Entry[ID],0)),"NA")</f>
        <v>63798</v>
      </c>
      <c r="F22" t="str">
        <f>IFERROR(INDEX(Data_Entry[Group Name],MATCH(Baseline_Popopulation!B22,Data_Entry[ID],0)),"NA")</f>
        <v>Non_Displaced</v>
      </c>
      <c r="G22" t="str">
        <f>IFERROR(INDEX(Data_Entry[Key],MATCH(Baseline_Popopulation!B22,Data_Entry[ID],0)),"NA")</f>
        <v>AF10-Non_Displaced</v>
      </c>
    </row>
    <row r="23" spans="2:7">
      <c r="B23">
        <v>21</v>
      </c>
      <c r="C23" t="str">
        <f>IFERROR(INDEX(Data_Entry[ADM2_COUNTY],MATCH(Baseline_Popopulation!B23,Data_Entry[ID],0)),"NA")</f>
        <v>Kabul</v>
      </c>
      <c r="D23" t="str">
        <f>IFERROR(INDEX(Data_Entry[ADM2_Pcode],MATCH(Baseline_Popopulation!B23,Data_Entry[ID],0)),"NA")</f>
        <v>AF01</v>
      </c>
      <c r="E23">
        <f>IFERROR(INDEX(Data_Entry[Group Population],MATCH(Baseline_Popopulation!B23,Data_Entry[ID],0)),"NA")</f>
        <v>1340103</v>
      </c>
      <c r="F23" t="str">
        <f>IFERROR(INDEX(Data_Entry[Group Name],MATCH(Baseline_Popopulation!B23,Data_Entry[ID],0)),"NA")</f>
        <v>Migrants</v>
      </c>
      <c r="G23" t="str">
        <f>IFERROR(INDEX(Data_Entry[Key],MATCH(Baseline_Popopulation!B23,Data_Entry[ID],0)),"NA")</f>
        <v>AF01-Migrants</v>
      </c>
    </row>
    <row r="24" spans="2:7">
      <c r="B24">
        <v>22</v>
      </c>
      <c r="C24" t="str">
        <f>IFERROR(INDEX(Data_Entry[ADM2_COUNTY],MATCH(Baseline_Popopulation!B24,Data_Entry[ID],0)),"NA")</f>
        <v>Kapisa</v>
      </c>
      <c r="D24" t="str">
        <f>IFERROR(INDEX(Data_Entry[ADM2_Pcode],MATCH(Baseline_Popopulation!B24,Data_Entry[ID],0)),"NA")</f>
        <v>AF02</v>
      </c>
      <c r="E24">
        <f>IFERROR(INDEX(Data_Entry[Group Population],MATCH(Baseline_Popopulation!B24,Data_Entry[ID],0)),"NA")</f>
        <v>125728</v>
      </c>
      <c r="F24" t="str">
        <f>IFERROR(INDEX(Data_Entry[Group Name],MATCH(Baseline_Popopulation!B24,Data_Entry[ID],0)),"NA")</f>
        <v>Migrants</v>
      </c>
      <c r="G24" t="str">
        <f>IFERROR(INDEX(Data_Entry[Key],MATCH(Baseline_Popopulation!B24,Data_Entry[ID],0)),"NA")</f>
        <v>AF02-Migrants</v>
      </c>
    </row>
    <row r="25" spans="2:7">
      <c r="B25">
        <v>23</v>
      </c>
      <c r="C25" t="str">
        <f>IFERROR(INDEX(Data_Entry[ADM2_COUNTY],MATCH(Baseline_Popopulation!B25,Data_Entry[ID],0)),"NA")</f>
        <v>Parwan</v>
      </c>
      <c r="D25" t="str">
        <f>IFERROR(INDEX(Data_Entry[ADM2_Pcode],MATCH(Baseline_Popopulation!B25,Data_Entry[ID],0)),"NA")</f>
        <v>AF03</v>
      </c>
      <c r="E25">
        <f>IFERROR(INDEX(Data_Entry[Group Population],MATCH(Baseline_Popopulation!B25,Data_Entry[ID],0)),"NA")</f>
        <v>189944</v>
      </c>
      <c r="F25" t="str">
        <f>IFERROR(INDEX(Data_Entry[Group Name],MATCH(Baseline_Popopulation!B25,Data_Entry[ID],0)),"NA")</f>
        <v>Migrants</v>
      </c>
      <c r="G25" t="str">
        <f>IFERROR(INDEX(Data_Entry[Key],MATCH(Baseline_Popopulation!B25,Data_Entry[ID],0)),"NA")</f>
        <v>AF03-Migrants</v>
      </c>
    </row>
    <row r="26" spans="2:7">
      <c r="B26">
        <v>24</v>
      </c>
      <c r="C26" t="str">
        <f>IFERROR(INDEX(Data_Entry[ADM2_COUNTY],MATCH(Baseline_Popopulation!B26,Data_Entry[ID],0)),"NA")</f>
        <v>Wardak</v>
      </c>
      <c r="D26" t="str">
        <f>IFERROR(INDEX(Data_Entry[ADM2_Pcode],MATCH(Baseline_Popopulation!B26,Data_Entry[ID],0)),"NA")</f>
        <v>AF04</v>
      </c>
      <c r="E26">
        <f>IFERROR(INDEX(Data_Entry[Group Population],MATCH(Baseline_Popopulation!B26,Data_Entry[ID],0)),"NA")</f>
        <v>170004</v>
      </c>
      <c r="F26" t="str">
        <f>IFERROR(INDEX(Data_Entry[Group Name],MATCH(Baseline_Popopulation!B26,Data_Entry[ID],0)),"NA")</f>
        <v>Migrants</v>
      </c>
      <c r="G26" t="str">
        <f>IFERROR(INDEX(Data_Entry[Key],MATCH(Baseline_Popopulation!B26,Data_Entry[ID],0)),"NA")</f>
        <v>AF04-Migrants</v>
      </c>
    </row>
    <row r="27" spans="2:7">
      <c r="B27">
        <v>25</v>
      </c>
      <c r="C27" t="str">
        <f>IFERROR(INDEX(Data_Entry[ADM2_COUNTY],MATCH(Baseline_Popopulation!B27,Data_Entry[ID],0)),"NA")</f>
        <v>Logar</v>
      </c>
      <c r="D27" t="str">
        <f>IFERROR(INDEX(Data_Entry[ADM2_Pcode],MATCH(Baseline_Popopulation!B27,Data_Entry[ID],0)),"NA")</f>
        <v>AF05</v>
      </c>
      <c r="E27">
        <f>IFERROR(INDEX(Data_Entry[Group Population],MATCH(Baseline_Popopulation!B27,Data_Entry[ID],0)),"NA")</f>
        <v>111843</v>
      </c>
      <c r="F27" t="str">
        <f>IFERROR(INDEX(Data_Entry[Group Name],MATCH(Baseline_Popopulation!B27,Data_Entry[ID],0)),"NA")</f>
        <v>Migrants</v>
      </c>
      <c r="G27" t="str">
        <f>IFERROR(INDEX(Data_Entry[Key],MATCH(Baseline_Popopulation!B27,Data_Entry[ID],0)),"NA")</f>
        <v>AF05-Migrants</v>
      </c>
    </row>
    <row r="28" spans="2:7">
      <c r="B28">
        <v>26</v>
      </c>
      <c r="C28" t="str">
        <f>IFERROR(INDEX(Data_Entry[ADM2_COUNTY],MATCH(Baseline_Popopulation!B28,Data_Entry[ID],0)),"NA")</f>
        <v>Nangarhar</v>
      </c>
      <c r="D28" t="str">
        <f>IFERROR(INDEX(Data_Entry[ADM2_Pcode],MATCH(Baseline_Popopulation!B28,Data_Entry[ID],0)),"NA")</f>
        <v>AF06</v>
      </c>
      <c r="E28">
        <f>IFERROR(INDEX(Data_Entry[Group Population],MATCH(Baseline_Popopulation!B28,Data_Entry[ID],0)),"NA")</f>
        <v>438154</v>
      </c>
      <c r="F28" t="str">
        <f>IFERROR(INDEX(Data_Entry[Group Name],MATCH(Baseline_Popopulation!B28,Data_Entry[ID],0)),"NA")</f>
        <v>Migrants</v>
      </c>
      <c r="G28" t="str">
        <f>IFERROR(INDEX(Data_Entry[Key],MATCH(Baseline_Popopulation!B28,Data_Entry[ID],0)),"NA")</f>
        <v>AF06-Migrants</v>
      </c>
    </row>
    <row r="29" spans="2:7">
      <c r="B29">
        <v>27</v>
      </c>
      <c r="C29" t="str">
        <f>IFERROR(INDEX(Data_Entry[ADM2_COUNTY],MATCH(Baseline_Popopulation!B29,Data_Entry[ID],0)),"NA")</f>
        <v>Laghman</v>
      </c>
      <c r="D29" t="str">
        <f>IFERROR(INDEX(Data_Entry[ADM2_Pcode],MATCH(Baseline_Popopulation!B29,Data_Entry[ID],0)),"NA")</f>
        <v>AF07</v>
      </c>
      <c r="E29">
        <f>IFERROR(INDEX(Data_Entry[Group Population],MATCH(Baseline_Popopulation!B29,Data_Entry[ID],0)),"NA")</f>
        <v>127063</v>
      </c>
      <c r="F29" t="str">
        <f>IFERROR(INDEX(Data_Entry[Group Name],MATCH(Baseline_Popopulation!B29,Data_Entry[ID],0)),"NA")</f>
        <v>Migrants</v>
      </c>
      <c r="G29" t="str">
        <f>IFERROR(INDEX(Data_Entry[Key],MATCH(Baseline_Popopulation!B29,Data_Entry[ID],0)),"NA")</f>
        <v>AF07-Migrants</v>
      </c>
    </row>
    <row r="30" spans="2:7">
      <c r="B30">
        <v>28</v>
      </c>
      <c r="C30" t="str">
        <f>IFERROR(INDEX(Data_Entry[ADM2_COUNTY],MATCH(Baseline_Popopulation!B30,Data_Entry[ID],0)),"NA")</f>
        <v>Panjsher</v>
      </c>
      <c r="D30" t="str">
        <f>IFERROR(INDEX(Data_Entry[ADM2_Pcode],MATCH(Baseline_Popopulation!B30,Data_Entry[ID],0)),"NA")</f>
        <v>AF08</v>
      </c>
      <c r="E30">
        <f>IFERROR(INDEX(Data_Entry[Group Population],MATCH(Baseline_Popopulation!B30,Data_Entry[ID],0)),"NA")</f>
        <v>43753</v>
      </c>
      <c r="F30" t="str">
        <f>IFERROR(INDEX(Data_Entry[Group Name],MATCH(Baseline_Popopulation!B30,Data_Entry[ID],0)),"NA")</f>
        <v>Migrants</v>
      </c>
      <c r="G30" t="str">
        <f>IFERROR(INDEX(Data_Entry[Key],MATCH(Baseline_Popopulation!B30,Data_Entry[ID],0)),"NA")</f>
        <v>AF08-Migrants</v>
      </c>
    </row>
    <row r="31" spans="2:7">
      <c r="B31">
        <v>29</v>
      </c>
      <c r="C31" t="str">
        <f>IFERROR(INDEX(Data_Entry[ADM2_COUNTY],MATCH(Baseline_Popopulation!B31,Data_Entry[ID],0)),"NA")</f>
        <v>Baghlan</v>
      </c>
      <c r="D31" t="str">
        <f>IFERROR(INDEX(Data_Entry[ADM2_Pcode],MATCH(Baseline_Popopulation!B31,Data_Entry[ID],0)),"NA")</f>
        <v>AF09</v>
      </c>
      <c r="E31">
        <f>IFERROR(INDEX(Data_Entry[Group Population],MATCH(Baseline_Popopulation!B31,Data_Entry[ID],0)),"NA")</f>
        <v>261249</v>
      </c>
      <c r="F31" t="str">
        <f>IFERROR(INDEX(Data_Entry[Group Name],MATCH(Baseline_Popopulation!B31,Data_Entry[ID],0)),"NA")</f>
        <v>Migrants</v>
      </c>
      <c r="G31" t="str">
        <f>IFERROR(INDEX(Data_Entry[Key],MATCH(Baseline_Popopulation!B31,Data_Entry[ID],0)),"NA")</f>
        <v>AF09-Migrants</v>
      </c>
    </row>
    <row r="32" spans="2:7">
      <c r="B32">
        <v>30</v>
      </c>
      <c r="C32" t="str">
        <f>IFERROR(INDEX(Data_Entry[ADM2_COUNTY],MATCH(Baseline_Popopulation!B32,Data_Entry[ID],0)),"NA")</f>
        <v>Bamyan</v>
      </c>
      <c r="D32" t="str">
        <f>IFERROR(INDEX(Data_Entry[ADM2_Pcode],MATCH(Baseline_Popopulation!B32,Data_Entry[ID],0)),"NA")</f>
        <v>AF10</v>
      </c>
      <c r="E32">
        <f>IFERROR(INDEX(Data_Entry[Group Population],MATCH(Baseline_Popopulation!B32,Data_Entry[ID],0)),"NA")</f>
        <v>127597</v>
      </c>
      <c r="F32" t="str">
        <f>IFERROR(INDEX(Data_Entry[Group Name],MATCH(Baseline_Popopulation!B32,Data_Entry[ID],0)),"NA")</f>
        <v>Migrants</v>
      </c>
      <c r="G32" t="str">
        <f>IFERROR(INDEX(Data_Entry[Key],MATCH(Baseline_Popopulation!B32,Data_Entry[ID],0)),"NA")</f>
        <v>AF10-Migrants</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EDD0C0BBA38A4685672E2A6642D993" ma:contentTypeVersion="11" ma:contentTypeDescription="Create a new document." ma:contentTypeScope="" ma:versionID="451b4fb8ec92e4d51d6e78ea47423698">
  <xsd:schema xmlns:xsd="http://www.w3.org/2001/XMLSchema" xmlns:xs="http://www.w3.org/2001/XMLSchema" xmlns:p="http://schemas.microsoft.com/office/2006/metadata/properties" xmlns:ns2="f5434bab-be15-4b5d-ae28-71a9aeb9d8ad" xmlns:ns3="5b214622-794b-4393-91a9-f18065c05dcd" targetNamespace="http://schemas.microsoft.com/office/2006/metadata/properties" ma:root="true" ma:fieldsID="2e323935671d710b6468d837e40de2af" ns2:_="" ns3:_="">
    <xsd:import namespace="f5434bab-be15-4b5d-ae28-71a9aeb9d8ad"/>
    <xsd:import namespace="5b214622-794b-4393-91a9-f18065c05dc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4bab-be15-4b5d-ae28-71a9aeb9d8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214622-794b-4393-91a9-f18065c05dc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41B3F-317C-4882-A86E-7E1D7AEDC384}">
  <ds:schemaRefs>
    <ds:schemaRef ds:uri="http://schemas.microsoft.com/sharepoint/v3/contenttype/forms"/>
  </ds:schemaRefs>
</ds:datastoreItem>
</file>

<file path=customXml/itemProps2.xml><?xml version="1.0" encoding="utf-8"?>
<ds:datastoreItem xmlns:ds="http://schemas.openxmlformats.org/officeDocument/2006/customXml" ds:itemID="{4EA5D8B7-E25D-4775-AA10-B0761EEAE19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0FD2E25-C9D3-4BED-B580-71D4B34FB1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434bab-be15-4b5d-ae28-71a9aeb9d8ad"/>
    <ds:schemaRef ds:uri="5b214622-794b-4393-91a9-f18065c05d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vt:lpstr>
      <vt:lpstr>Step 1-Indicator Overview</vt:lpstr>
      <vt:lpstr>Step 2-Data Entry</vt:lpstr>
      <vt:lpstr>Step 3-Sector Data</vt:lpstr>
      <vt:lpstr>Step 4-Long Data</vt:lpstr>
      <vt:lpstr>Step 5-Severity</vt:lpstr>
      <vt:lpstr>Step 6-PiN</vt:lpstr>
      <vt:lpstr>PiN Overview-Expert Judgement</vt:lpstr>
      <vt:lpstr>Baseline_Popopulation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Kashif NADEEM</dc:creator>
  <cp:keywords/>
  <dc:description/>
  <cp:lastModifiedBy>Brian Mc Donald</cp:lastModifiedBy>
  <cp:revision/>
  <dcterms:created xsi:type="dcterms:W3CDTF">2021-11-01T14:29:16Z</dcterms:created>
  <dcterms:modified xsi:type="dcterms:W3CDTF">2021-11-08T13:02:23Z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2021-11-01T14:29:16Z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96e87bb1-ddc1-48ca-bead-2139d16256d8</vt:lpwstr>
  </property>
  <property fmtid="{D5CDD505-2E9C-101B-9397-08002B2CF9AE}" pid="8" name="MSIP_Label_2059aa38-f392-4105-be92-628035578272_ContentBits">
    <vt:lpwstr>0</vt:lpwstr>
  </property>
  <property fmtid="{D5CDD505-2E9C-101B-9397-08002B2CF9AE}" pid="9" name="ContentTypeId">
    <vt:lpwstr>0x01010046EDD0C0BBA38A4685672E2A6642D993</vt:lpwstr>
  </property>
</Properties>
</file>