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ONDO\Downloads\"/>
    </mc:Choice>
  </mc:AlternateContent>
  <bookViews>
    <workbookView xWindow="0" yWindow="0" windowWidth="20460" windowHeight="7680" firstSheet="6" activeTab="8"/>
  </bookViews>
  <sheets>
    <sheet name="Relief Jan Feb 22" sheetId="7" r:id="rId1"/>
    <sheet name="Jan 22 depots cleaners" sheetId="1" r:id="rId2"/>
    <sheet name="bank sal Jan 22" sheetId="4" r:id="rId3"/>
    <sheet name="LifeCo Dec 21" sheetId="6" r:id="rId4"/>
    <sheet name="Sheet2" sheetId="5" r:id="rId5"/>
    <sheet name="Karo Castel" sheetId="2" r:id="rId6"/>
    <sheet name="Feb 22 depots cleaners " sheetId="3" r:id="rId7"/>
    <sheet name="Marc 22 depots and cleaners" sheetId="8" r:id="rId8"/>
    <sheet name="April 22 depots and cleaners (2" sheetId="9" r:id="rId9"/>
  </sheets>
  <definedNames>
    <definedName name="_xlnm.Print_Area" localSheetId="8">'April 22 depots and cleaners (2'!$A$1:$R$152</definedName>
    <definedName name="_xlnm.Print_Area" localSheetId="6">'Feb 22 depots cleaners '!$A$1:$Q$146</definedName>
    <definedName name="_xlnm.Print_Area" localSheetId="1">'Jan 22 depots cleaners'!$A$1:$Q$152</definedName>
    <definedName name="_xlnm.Print_Area" localSheetId="5">'Karo Castel'!$A$1:$M$41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7" i="9" l="1"/>
  <c r="D102" i="9"/>
  <c r="C60" i="9"/>
  <c r="C46" i="9"/>
  <c r="D146" i="9" l="1"/>
  <c r="D97" i="9"/>
  <c r="D100" i="9"/>
  <c r="N21" i="9" l="1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22" i="9"/>
  <c r="N23" i="9"/>
  <c r="N24" i="9"/>
  <c r="N27" i="9"/>
  <c r="N28" i="9"/>
  <c r="N32" i="9"/>
  <c r="N35" i="9"/>
  <c r="N36" i="9"/>
  <c r="N37" i="9"/>
  <c r="N38" i="9"/>
  <c r="N39" i="9"/>
  <c r="N40" i="9"/>
  <c r="N41" i="9"/>
  <c r="N44" i="9"/>
  <c r="N45" i="9"/>
  <c r="N46" i="9"/>
  <c r="N49" i="9"/>
  <c r="N50" i="9"/>
  <c r="N53" i="9"/>
  <c r="N54" i="9"/>
  <c r="N55" i="9"/>
  <c r="N56" i="9"/>
  <c r="N57" i="9"/>
  <c r="N62" i="9"/>
  <c r="N63" i="9"/>
  <c r="N64" i="9"/>
  <c r="N65" i="9"/>
  <c r="N66" i="9"/>
  <c r="N67" i="9"/>
  <c r="N68" i="9"/>
  <c r="N69" i="9"/>
  <c r="N70" i="9"/>
  <c r="N71" i="9"/>
  <c r="N72" i="9"/>
  <c r="N75" i="9"/>
  <c r="N76" i="9"/>
  <c r="N77" i="9"/>
  <c r="N78" i="9"/>
  <c r="N79" i="9"/>
  <c r="N82" i="9"/>
  <c r="N83" i="9"/>
  <c r="N84" i="9"/>
  <c r="N115" i="9"/>
  <c r="N116" i="9"/>
  <c r="N117" i="9"/>
  <c r="N118" i="9"/>
  <c r="N120" i="9"/>
  <c r="N121" i="9"/>
  <c r="N123" i="9"/>
  <c r="N125" i="9"/>
  <c r="N127" i="9"/>
  <c r="N128" i="9"/>
  <c r="N129" i="9"/>
  <c r="N130" i="9"/>
  <c r="N132" i="9"/>
  <c r="N133" i="9"/>
  <c r="N135" i="9"/>
  <c r="B32" i="9"/>
  <c r="B33" i="9" s="1"/>
  <c r="B80" i="9"/>
  <c r="B73" i="9"/>
  <c r="B58" i="9"/>
  <c r="B47" i="9"/>
  <c r="B42" i="9"/>
  <c r="B25" i="9"/>
  <c r="C61" i="9"/>
  <c r="D61" i="9" s="1"/>
  <c r="H7" i="9"/>
  <c r="C136" i="9"/>
  <c r="N136" i="9" s="1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B136" i="9"/>
  <c r="D84" i="9"/>
  <c r="D83" i="9"/>
  <c r="D82" i="9"/>
  <c r="C85" i="9"/>
  <c r="N85" i="9" s="1"/>
  <c r="C80" i="9"/>
  <c r="N80" i="9" s="1"/>
  <c r="D79" i="9"/>
  <c r="D78" i="9"/>
  <c r="D77" i="9"/>
  <c r="D76" i="9"/>
  <c r="D75" i="9"/>
  <c r="C19" i="9"/>
  <c r="N19" i="9" s="1"/>
  <c r="C25" i="9"/>
  <c r="N25" i="9" s="1"/>
  <c r="C29" i="9"/>
  <c r="N29" i="9" s="1"/>
  <c r="C42" i="9"/>
  <c r="N42" i="9" s="1"/>
  <c r="C47" i="9"/>
  <c r="N47" i="9" s="1"/>
  <c r="C51" i="9"/>
  <c r="N51" i="9" s="1"/>
  <c r="C58" i="9"/>
  <c r="N58" i="9" s="1"/>
  <c r="D72" i="9"/>
  <c r="D71" i="9"/>
  <c r="D70" i="9"/>
  <c r="D69" i="9"/>
  <c r="D68" i="9"/>
  <c r="D67" i="9"/>
  <c r="D66" i="9"/>
  <c r="D65" i="9"/>
  <c r="D64" i="9"/>
  <c r="D63" i="9"/>
  <c r="D62" i="9"/>
  <c r="B85" i="9"/>
  <c r="D57" i="9"/>
  <c r="D56" i="9"/>
  <c r="D55" i="9"/>
  <c r="D54" i="9"/>
  <c r="D53" i="9"/>
  <c r="D46" i="9"/>
  <c r="D45" i="9"/>
  <c r="D44" i="9"/>
  <c r="D50" i="9"/>
  <c r="D49" i="9"/>
  <c r="B51" i="9"/>
  <c r="D41" i="9"/>
  <c r="D40" i="9"/>
  <c r="D39" i="9"/>
  <c r="D38" i="9"/>
  <c r="D37" i="9"/>
  <c r="D36" i="9"/>
  <c r="D35" i="9"/>
  <c r="D31" i="9"/>
  <c r="D28" i="9"/>
  <c r="D27" i="9"/>
  <c r="B29" i="9"/>
  <c r="D24" i="9"/>
  <c r="D23" i="9"/>
  <c r="D22" i="9"/>
  <c r="D21" i="9"/>
  <c r="D7" i="9"/>
  <c r="D8" i="9"/>
  <c r="D9" i="9"/>
  <c r="D10" i="9"/>
  <c r="D11" i="9"/>
  <c r="D12" i="9"/>
  <c r="D13" i="9"/>
  <c r="D14" i="9"/>
  <c r="D15" i="9"/>
  <c r="D6" i="9"/>
  <c r="H22" i="9" l="1"/>
  <c r="I22" i="9"/>
  <c r="K22" i="9"/>
  <c r="L40" i="9"/>
  <c r="I40" i="9"/>
  <c r="L57" i="9"/>
  <c r="I57" i="9"/>
  <c r="H64" i="9"/>
  <c r="L64" i="9"/>
  <c r="I64" i="9"/>
  <c r="H72" i="9"/>
  <c r="L72" i="9"/>
  <c r="I72" i="9"/>
  <c r="I79" i="9"/>
  <c r="L79" i="9"/>
  <c r="H6" i="9"/>
  <c r="K6" i="9"/>
  <c r="L6" i="9"/>
  <c r="I6" i="9"/>
  <c r="L12" i="9"/>
  <c r="I12" i="9"/>
  <c r="K12" i="9"/>
  <c r="G8" i="9"/>
  <c r="L8" i="9"/>
  <c r="I8" i="9"/>
  <c r="K8" i="9"/>
  <c r="G23" i="9"/>
  <c r="K23" i="9"/>
  <c r="I23" i="9"/>
  <c r="I28" i="9"/>
  <c r="K28" i="9"/>
  <c r="G37" i="9"/>
  <c r="I37" i="9"/>
  <c r="L37" i="9"/>
  <c r="G41" i="9"/>
  <c r="I41" i="9"/>
  <c r="L41" i="9"/>
  <c r="G44" i="9"/>
  <c r="I44" i="9"/>
  <c r="L44" i="9"/>
  <c r="L54" i="9"/>
  <c r="I54" i="9"/>
  <c r="H65" i="9"/>
  <c r="I65" i="9"/>
  <c r="L65" i="9"/>
  <c r="H69" i="9"/>
  <c r="I69" i="9"/>
  <c r="L69" i="9"/>
  <c r="I76" i="9"/>
  <c r="L76" i="9"/>
  <c r="G84" i="9"/>
  <c r="L84" i="9"/>
  <c r="I84" i="9"/>
  <c r="H61" i="9"/>
  <c r="I61" i="9"/>
  <c r="L61" i="9"/>
  <c r="H13" i="9"/>
  <c r="I13" i="9"/>
  <c r="K13" i="9"/>
  <c r="L13" i="9"/>
  <c r="I27" i="9"/>
  <c r="K27" i="9"/>
  <c r="I50" i="9"/>
  <c r="L50" i="9"/>
  <c r="G83" i="9"/>
  <c r="L83" i="9"/>
  <c r="I83" i="9"/>
  <c r="H15" i="9"/>
  <c r="K15" i="9"/>
  <c r="L15" i="9"/>
  <c r="I15" i="9"/>
  <c r="H11" i="9"/>
  <c r="K11" i="9"/>
  <c r="L11" i="9"/>
  <c r="I11" i="9"/>
  <c r="K7" i="9"/>
  <c r="L7" i="9"/>
  <c r="I7" i="9"/>
  <c r="H24" i="9"/>
  <c r="K24" i="9"/>
  <c r="I24" i="9"/>
  <c r="G38" i="9"/>
  <c r="I38" i="9"/>
  <c r="L38" i="9"/>
  <c r="G45" i="9"/>
  <c r="L45" i="9"/>
  <c r="I45" i="9"/>
  <c r="I55" i="9"/>
  <c r="L55" i="9"/>
  <c r="I62" i="9"/>
  <c r="L62" i="9"/>
  <c r="I66" i="9"/>
  <c r="L66" i="9"/>
  <c r="I70" i="9"/>
  <c r="L70" i="9"/>
  <c r="L77" i="9"/>
  <c r="I77" i="9"/>
  <c r="H9" i="9"/>
  <c r="I9" i="9"/>
  <c r="L9" i="9"/>
  <c r="K9" i="9"/>
  <c r="I36" i="9"/>
  <c r="L36" i="9"/>
  <c r="L53" i="9"/>
  <c r="I53" i="9"/>
  <c r="H68" i="9"/>
  <c r="I68" i="9"/>
  <c r="L68" i="9"/>
  <c r="G75" i="9"/>
  <c r="I75" i="9"/>
  <c r="L75" i="9"/>
  <c r="G14" i="9"/>
  <c r="I14" i="9"/>
  <c r="K14" i="9"/>
  <c r="L14" i="9"/>
  <c r="G10" i="9"/>
  <c r="K10" i="9"/>
  <c r="I10" i="9"/>
  <c r="L10" i="9"/>
  <c r="H21" i="9"/>
  <c r="K21" i="9"/>
  <c r="I21" i="9"/>
  <c r="G35" i="9"/>
  <c r="L35" i="9"/>
  <c r="I35" i="9"/>
  <c r="G39" i="9"/>
  <c r="L39" i="9"/>
  <c r="I39" i="9"/>
  <c r="I49" i="9"/>
  <c r="L49" i="9"/>
  <c r="I46" i="9"/>
  <c r="L46" i="9"/>
  <c r="I56" i="9"/>
  <c r="L56" i="9"/>
  <c r="H63" i="9"/>
  <c r="L63" i="9"/>
  <c r="I63" i="9"/>
  <c r="H67" i="9"/>
  <c r="L67" i="9"/>
  <c r="I67" i="9"/>
  <c r="H71" i="9"/>
  <c r="L71" i="9"/>
  <c r="I71" i="9"/>
  <c r="G78" i="9"/>
  <c r="I78" i="9"/>
  <c r="L78" i="9"/>
  <c r="I82" i="9"/>
  <c r="L82" i="9"/>
  <c r="D32" i="9"/>
  <c r="H39" i="9"/>
  <c r="H35" i="9"/>
  <c r="H83" i="9"/>
  <c r="G21" i="9"/>
  <c r="D80" i="9"/>
  <c r="C73" i="9"/>
  <c r="N73" i="9" s="1"/>
  <c r="G12" i="9"/>
  <c r="G77" i="9"/>
  <c r="D85" i="9"/>
  <c r="G85" i="9" s="1"/>
  <c r="G6" i="9"/>
  <c r="H10" i="9"/>
  <c r="H14" i="9"/>
  <c r="H23" i="9"/>
  <c r="H28" i="9"/>
  <c r="H38" i="9"/>
  <c r="H62" i="9"/>
  <c r="H66" i="9"/>
  <c r="H70" i="9"/>
  <c r="H82" i="9"/>
  <c r="G7" i="9"/>
  <c r="G11" i="9"/>
  <c r="G15" i="9"/>
  <c r="G24" i="9"/>
  <c r="G76" i="9"/>
  <c r="G82" i="9"/>
  <c r="N60" i="9"/>
  <c r="D60" i="9"/>
  <c r="H8" i="9"/>
  <c r="H12" i="9"/>
  <c r="H36" i="9"/>
  <c r="H40" i="9"/>
  <c r="H84" i="9"/>
  <c r="G9" i="9"/>
  <c r="G13" i="9"/>
  <c r="G22" i="9"/>
  <c r="G36" i="9"/>
  <c r="G40" i="9"/>
  <c r="G46" i="9"/>
  <c r="H27" i="9"/>
  <c r="H37" i="9"/>
  <c r="H41" i="9"/>
  <c r="H79" i="9"/>
  <c r="G79" i="9"/>
  <c r="N61" i="9"/>
  <c r="M79" i="9"/>
  <c r="K79" i="9"/>
  <c r="M78" i="9"/>
  <c r="K78" i="9"/>
  <c r="M77" i="9"/>
  <c r="K77" i="9"/>
  <c r="M76" i="9"/>
  <c r="K76" i="9"/>
  <c r="M75" i="9"/>
  <c r="K75" i="9"/>
  <c r="K80" i="9"/>
  <c r="H78" i="9"/>
  <c r="H77" i="9"/>
  <c r="H76" i="9"/>
  <c r="H75" i="9"/>
  <c r="D33" i="9" l="1"/>
  <c r="K32" i="9"/>
  <c r="I60" i="9"/>
  <c r="L60" i="9"/>
  <c r="O75" i="9"/>
  <c r="C87" i="9"/>
  <c r="N87" i="9" s="1"/>
  <c r="O77" i="9"/>
  <c r="O76" i="9"/>
  <c r="O78" i="9"/>
  <c r="O79" i="9"/>
  <c r="H85" i="9"/>
  <c r="H60" i="9"/>
  <c r="L80" i="9"/>
  <c r="M80" i="9"/>
  <c r="I80" i="9"/>
  <c r="H80" i="9"/>
  <c r="G80" i="9"/>
  <c r="H32" i="9" l="1"/>
  <c r="B17" i="9"/>
  <c r="D17" i="9" s="1"/>
  <c r="M32" i="9" l="1"/>
  <c r="L32" i="9"/>
  <c r="J136" i="9"/>
  <c r="D143" i="9" s="1"/>
  <c r="M135" i="9"/>
  <c r="L135" i="9"/>
  <c r="K135" i="9"/>
  <c r="I135" i="9"/>
  <c r="H135" i="9"/>
  <c r="G135" i="9"/>
  <c r="M133" i="9"/>
  <c r="L133" i="9"/>
  <c r="K133" i="9"/>
  <c r="I133" i="9"/>
  <c r="H133" i="9"/>
  <c r="G133" i="9"/>
  <c r="M132" i="9"/>
  <c r="L132" i="9"/>
  <c r="K132" i="9"/>
  <c r="I132" i="9"/>
  <c r="H132" i="9"/>
  <c r="G132" i="9"/>
  <c r="M130" i="9"/>
  <c r="L130" i="9"/>
  <c r="K130" i="9"/>
  <c r="I130" i="9"/>
  <c r="H130" i="9"/>
  <c r="G130" i="9"/>
  <c r="M128" i="9"/>
  <c r="L128" i="9"/>
  <c r="K128" i="9"/>
  <c r="I128" i="9"/>
  <c r="H128" i="9"/>
  <c r="G128" i="9"/>
  <c r="M127" i="9"/>
  <c r="L127" i="9"/>
  <c r="K127" i="9"/>
  <c r="I127" i="9"/>
  <c r="H127" i="9"/>
  <c r="G127" i="9"/>
  <c r="M125" i="9"/>
  <c r="L125" i="9"/>
  <c r="K125" i="9"/>
  <c r="I125" i="9"/>
  <c r="H125" i="9"/>
  <c r="G125" i="9"/>
  <c r="M123" i="9"/>
  <c r="L123" i="9"/>
  <c r="K123" i="9"/>
  <c r="I123" i="9"/>
  <c r="H123" i="9"/>
  <c r="G123" i="9"/>
  <c r="M121" i="9"/>
  <c r="L121" i="9"/>
  <c r="K121" i="9"/>
  <c r="I121" i="9"/>
  <c r="H121" i="9"/>
  <c r="G121" i="9"/>
  <c r="M120" i="9"/>
  <c r="L120" i="9"/>
  <c r="K120" i="9"/>
  <c r="I120" i="9"/>
  <c r="H120" i="9"/>
  <c r="G120" i="9"/>
  <c r="M118" i="9"/>
  <c r="L118" i="9"/>
  <c r="K118" i="9"/>
  <c r="I118" i="9"/>
  <c r="H118" i="9"/>
  <c r="G118" i="9"/>
  <c r="M117" i="9"/>
  <c r="L117" i="9"/>
  <c r="K117" i="9"/>
  <c r="I117" i="9"/>
  <c r="H117" i="9"/>
  <c r="G117" i="9"/>
  <c r="M116" i="9"/>
  <c r="L116" i="9"/>
  <c r="K116" i="9"/>
  <c r="I116" i="9"/>
  <c r="H116" i="9"/>
  <c r="G116" i="9"/>
  <c r="A111" i="9"/>
  <c r="J85" i="9"/>
  <c r="M84" i="9"/>
  <c r="K84" i="9"/>
  <c r="M83" i="9"/>
  <c r="K83" i="9"/>
  <c r="M82" i="9"/>
  <c r="K82" i="9"/>
  <c r="D73" i="9"/>
  <c r="M72" i="9"/>
  <c r="K72" i="9"/>
  <c r="G72" i="9"/>
  <c r="M71" i="9"/>
  <c r="K71" i="9"/>
  <c r="G71" i="9"/>
  <c r="M70" i="9"/>
  <c r="K70" i="9"/>
  <c r="G70" i="9"/>
  <c r="M69" i="9"/>
  <c r="K69" i="9"/>
  <c r="G69" i="9"/>
  <c r="M68" i="9"/>
  <c r="K68" i="9"/>
  <c r="G68" i="9"/>
  <c r="M67" i="9"/>
  <c r="K67" i="9"/>
  <c r="G67" i="9"/>
  <c r="M66" i="9"/>
  <c r="K66" i="9"/>
  <c r="G66" i="9"/>
  <c r="M65" i="9"/>
  <c r="K65" i="9"/>
  <c r="G65" i="9"/>
  <c r="M64" i="9"/>
  <c r="K64" i="9"/>
  <c r="M63" i="9"/>
  <c r="K63" i="9"/>
  <c r="G63" i="9"/>
  <c r="M62" i="9"/>
  <c r="K62" i="9"/>
  <c r="G62" i="9"/>
  <c r="M61" i="9"/>
  <c r="K61" i="9"/>
  <c r="J61" i="9"/>
  <c r="G61" i="9"/>
  <c r="M60" i="9"/>
  <c r="K60" i="9"/>
  <c r="J60" i="9"/>
  <c r="G60" i="9"/>
  <c r="D58" i="9"/>
  <c r="M57" i="9"/>
  <c r="K57" i="9"/>
  <c r="H57" i="9"/>
  <c r="G57" i="9"/>
  <c r="M56" i="9"/>
  <c r="K56" i="9"/>
  <c r="J56" i="9"/>
  <c r="H56" i="9"/>
  <c r="G56" i="9"/>
  <c r="M55" i="9"/>
  <c r="K55" i="9"/>
  <c r="H55" i="9"/>
  <c r="G55" i="9"/>
  <c r="M54" i="9"/>
  <c r="K54" i="9"/>
  <c r="J54" i="9"/>
  <c r="H54" i="9"/>
  <c r="G54" i="9"/>
  <c r="M53" i="9"/>
  <c r="K53" i="9"/>
  <c r="J53" i="9"/>
  <c r="H53" i="9"/>
  <c r="G53" i="9"/>
  <c r="D51" i="9"/>
  <c r="M50" i="9"/>
  <c r="K50" i="9"/>
  <c r="J50" i="9"/>
  <c r="H50" i="9"/>
  <c r="G50" i="9"/>
  <c r="M49" i="9"/>
  <c r="K49" i="9"/>
  <c r="J49" i="9"/>
  <c r="H49" i="9"/>
  <c r="G49" i="9"/>
  <c r="D47" i="9"/>
  <c r="M46" i="9"/>
  <c r="K46" i="9"/>
  <c r="J46" i="9"/>
  <c r="H46" i="9"/>
  <c r="M45" i="9"/>
  <c r="K45" i="9"/>
  <c r="J45" i="9"/>
  <c r="H45" i="9"/>
  <c r="M44" i="9"/>
  <c r="K44" i="9"/>
  <c r="J44" i="9"/>
  <c r="H44" i="9"/>
  <c r="D42" i="9"/>
  <c r="M41" i="9"/>
  <c r="K41" i="9"/>
  <c r="M40" i="9"/>
  <c r="K40" i="9"/>
  <c r="M39" i="9"/>
  <c r="K39" i="9"/>
  <c r="M38" i="9"/>
  <c r="K38" i="9"/>
  <c r="M37" i="9"/>
  <c r="K37" i="9"/>
  <c r="M36" i="9"/>
  <c r="K36" i="9"/>
  <c r="M35" i="9"/>
  <c r="K35" i="9"/>
  <c r="J35" i="9"/>
  <c r="J42" i="9" s="1"/>
  <c r="J29" i="9"/>
  <c r="D29" i="9"/>
  <c r="M28" i="9"/>
  <c r="L28" i="9"/>
  <c r="G28" i="9"/>
  <c r="M27" i="9"/>
  <c r="L27" i="9"/>
  <c r="G27" i="9"/>
  <c r="J25" i="9"/>
  <c r="D25" i="9"/>
  <c r="H25" i="9" s="1"/>
  <c r="M24" i="9"/>
  <c r="L24" i="9"/>
  <c r="M23" i="9"/>
  <c r="L23" i="9"/>
  <c r="M22" i="9"/>
  <c r="L22" i="9"/>
  <c r="M21" i="9"/>
  <c r="L21" i="9"/>
  <c r="B18" i="9"/>
  <c r="B16" i="9"/>
  <c r="M15" i="9"/>
  <c r="M14" i="9"/>
  <c r="M13" i="9"/>
  <c r="M12" i="9"/>
  <c r="M11" i="9"/>
  <c r="J11" i="9"/>
  <c r="J19" i="9" s="1"/>
  <c r="M10" i="9"/>
  <c r="M9" i="9"/>
  <c r="M8" i="9"/>
  <c r="M7" i="9"/>
  <c r="M6" i="9"/>
  <c r="O6" i="9" s="1"/>
  <c r="I1" i="9"/>
  <c r="O17" i="9" l="1"/>
  <c r="O116" i="9"/>
  <c r="O118" i="9"/>
  <c r="O121" i="9"/>
  <c r="O125" i="9"/>
  <c r="O128" i="9"/>
  <c r="O132" i="9"/>
  <c r="O135" i="9"/>
  <c r="O117" i="9"/>
  <c r="O120" i="9"/>
  <c r="O123" i="9"/>
  <c r="O127" i="9"/>
  <c r="O130" i="9"/>
  <c r="O133" i="9"/>
  <c r="O37" i="9"/>
  <c r="O39" i="9"/>
  <c r="O41" i="9"/>
  <c r="O49" i="9"/>
  <c r="O66" i="9"/>
  <c r="O83" i="9"/>
  <c r="O28" i="9"/>
  <c r="O36" i="9"/>
  <c r="O38" i="9"/>
  <c r="O40" i="9"/>
  <c r="O70" i="9"/>
  <c r="O82" i="9"/>
  <c r="O84" i="9"/>
  <c r="O8" i="9"/>
  <c r="O11" i="9"/>
  <c r="O54" i="9"/>
  <c r="O57" i="9"/>
  <c r="O63" i="9"/>
  <c r="O68" i="9"/>
  <c r="O72" i="9"/>
  <c r="O21" i="9"/>
  <c r="O22" i="9"/>
  <c r="O23" i="9"/>
  <c r="O24" i="9"/>
  <c r="O44" i="9"/>
  <c r="O46" i="9"/>
  <c r="O55" i="9"/>
  <c r="O60" i="9"/>
  <c r="O62" i="9"/>
  <c r="O67" i="9"/>
  <c r="O71" i="9"/>
  <c r="O7" i="9"/>
  <c r="O9" i="9"/>
  <c r="O10" i="9"/>
  <c r="O12" i="9"/>
  <c r="O13" i="9"/>
  <c r="O14" i="9"/>
  <c r="O15" i="9"/>
  <c r="D16" i="9"/>
  <c r="B19" i="9"/>
  <c r="B87" i="9" s="1"/>
  <c r="O27" i="9"/>
  <c r="O35" i="9"/>
  <c r="O45" i="9"/>
  <c r="O50" i="9"/>
  <c r="O53" i="9"/>
  <c r="O56" i="9"/>
  <c r="O61" i="9"/>
  <c r="O64" i="9"/>
  <c r="O65" i="9"/>
  <c r="O69" i="9"/>
  <c r="J73" i="9"/>
  <c r="D18" i="9"/>
  <c r="M51" i="9"/>
  <c r="H51" i="9"/>
  <c r="L51" i="9"/>
  <c r="J51" i="9"/>
  <c r="O32" i="9"/>
  <c r="I85" i="9"/>
  <c r="H136" i="9"/>
  <c r="H42" i="9"/>
  <c r="J58" i="9"/>
  <c r="M85" i="9"/>
  <c r="M42" i="9"/>
  <c r="H47" i="9"/>
  <c r="M73" i="9"/>
  <c r="L29" i="9"/>
  <c r="I47" i="9"/>
  <c r="M47" i="9"/>
  <c r="I29" i="9"/>
  <c r="I25" i="9"/>
  <c r="J47" i="9"/>
  <c r="K47" i="9"/>
  <c r="H19" i="9"/>
  <c r="M25" i="9"/>
  <c r="L42" i="9"/>
  <c r="K29" i="9"/>
  <c r="K85" i="9"/>
  <c r="K58" i="9"/>
  <c r="O31" i="9"/>
  <c r="K51" i="9"/>
  <c r="I73" i="9"/>
  <c r="K25" i="9"/>
  <c r="L85" i="9"/>
  <c r="K42" i="9"/>
  <c r="L47" i="9"/>
  <c r="L58" i="9"/>
  <c r="L73" i="9"/>
  <c r="H73" i="9"/>
  <c r="G42" i="9"/>
  <c r="G29" i="9"/>
  <c r="G25" i="9"/>
  <c r="G51" i="9"/>
  <c r="I58" i="9"/>
  <c r="M58" i="9"/>
  <c r="G73" i="9"/>
  <c r="K73" i="9"/>
  <c r="I136" i="9"/>
  <c r="D140" i="9" s="1"/>
  <c r="G47" i="9"/>
  <c r="G58" i="9"/>
  <c r="K136" i="9"/>
  <c r="M136" i="9"/>
  <c r="D142" i="9" s="1"/>
  <c r="I19" i="9"/>
  <c r="G19" i="9"/>
  <c r="L25" i="9"/>
  <c r="M29" i="9"/>
  <c r="H29" i="9"/>
  <c r="I42" i="9"/>
  <c r="I51" i="9"/>
  <c r="H58" i="9"/>
  <c r="G136" i="9"/>
  <c r="L136" i="9"/>
  <c r="D136" i="9"/>
  <c r="D141" i="8"/>
  <c r="J133" i="8"/>
  <c r="D140" i="8" s="1"/>
  <c r="M131" i="8"/>
  <c r="L131" i="8"/>
  <c r="K131" i="8"/>
  <c r="I131" i="8"/>
  <c r="H131" i="8"/>
  <c r="G131" i="8"/>
  <c r="M129" i="8"/>
  <c r="L129" i="8"/>
  <c r="K129" i="8"/>
  <c r="I129" i="8"/>
  <c r="H129" i="8"/>
  <c r="G129" i="8"/>
  <c r="M128" i="8"/>
  <c r="L128" i="8"/>
  <c r="K128" i="8"/>
  <c r="I128" i="8"/>
  <c r="H128" i="8"/>
  <c r="G128" i="8"/>
  <c r="M126" i="8"/>
  <c r="L126" i="8"/>
  <c r="K126" i="8"/>
  <c r="I126" i="8"/>
  <c r="H126" i="8"/>
  <c r="G126" i="8"/>
  <c r="M124" i="8"/>
  <c r="L124" i="8"/>
  <c r="K124" i="8"/>
  <c r="I124" i="8"/>
  <c r="H124" i="8"/>
  <c r="G124" i="8"/>
  <c r="M123" i="8"/>
  <c r="L123" i="8"/>
  <c r="K123" i="8"/>
  <c r="I123" i="8"/>
  <c r="H123" i="8"/>
  <c r="G123" i="8"/>
  <c r="D121" i="8"/>
  <c r="N121" i="8" s="1"/>
  <c r="M120" i="8"/>
  <c r="L120" i="8"/>
  <c r="K120" i="8"/>
  <c r="I120" i="8"/>
  <c r="H120" i="8"/>
  <c r="G120" i="8"/>
  <c r="M118" i="8"/>
  <c r="L118" i="8"/>
  <c r="K118" i="8"/>
  <c r="I118" i="8"/>
  <c r="H118" i="8"/>
  <c r="G118" i="8"/>
  <c r="M115" i="8"/>
  <c r="L115" i="8"/>
  <c r="K115" i="8"/>
  <c r="I115" i="8"/>
  <c r="H115" i="8"/>
  <c r="G115" i="8"/>
  <c r="M114" i="8"/>
  <c r="L114" i="8"/>
  <c r="K114" i="8"/>
  <c r="N114" i="8" s="1"/>
  <c r="I114" i="8"/>
  <c r="H114" i="8"/>
  <c r="G114" i="8"/>
  <c r="M111" i="8"/>
  <c r="L111" i="8"/>
  <c r="K111" i="8"/>
  <c r="I111" i="8"/>
  <c r="H111" i="8"/>
  <c r="G111" i="8"/>
  <c r="M110" i="8"/>
  <c r="L110" i="8"/>
  <c r="K110" i="8"/>
  <c r="I110" i="8"/>
  <c r="H110" i="8"/>
  <c r="G110" i="8"/>
  <c r="M109" i="8"/>
  <c r="L109" i="8"/>
  <c r="K109" i="8"/>
  <c r="I109" i="8"/>
  <c r="H109" i="8"/>
  <c r="G109" i="8"/>
  <c r="C104" i="8"/>
  <c r="J76" i="8"/>
  <c r="D76" i="8"/>
  <c r="M75" i="8"/>
  <c r="L75" i="8"/>
  <c r="K75" i="8"/>
  <c r="I75" i="8"/>
  <c r="H75" i="8"/>
  <c r="G75" i="8"/>
  <c r="M74" i="8"/>
  <c r="L74" i="8"/>
  <c r="K74" i="8"/>
  <c r="I74" i="8"/>
  <c r="H74" i="8"/>
  <c r="G74" i="8"/>
  <c r="M73" i="8"/>
  <c r="L73" i="8"/>
  <c r="K73" i="8"/>
  <c r="K76" i="8" s="1"/>
  <c r="I73" i="8"/>
  <c r="I76" i="8" s="1"/>
  <c r="H73" i="8"/>
  <c r="G73" i="8"/>
  <c r="D71" i="8"/>
  <c r="M70" i="8"/>
  <c r="L70" i="8"/>
  <c r="K70" i="8"/>
  <c r="I70" i="8"/>
  <c r="H70" i="8"/>
  <c r="G70" i="8"/>
  <c r="M69" i="8"/>
  <c r="L69" i="8"/>
  <c r="K69" i="8"/>
  <c r="I69" i="8"/>
  <c r="H69" i="8"/>
  <c r="G69" i="8"/>
  <c r="N69" i="8" s="1"/>
  <c r="M68" i="8"/>
  <c r="L68" i="8"/>
  <c r="K68" i="8"/>
  <c r="I68" i="8"/>
  <c r="H68" i="8"/>
  <c r="G68" i="8"/>
  <c r="B68" i="8"/>
  <c r="B69" i="8" s="1"/>
  <c r="B70" i="8" s="1"/>
  <c r="M67" i="8"/>
  <c r="L67" i="8"/>
  <c r="K67" i="8"/>
  <c r="I67" i="8"/>
  <c r="H67" i="8"/>
  <c r="G67" i="8"/>
  <c r="M66" i="8"/>
  <c r="L66" i="8"/>
  <c r="K66" i="8"/>
  <c r="I66" i="8"/>
  <c r="H66" i="8"/>
  <c r="G66" i="8"/>
  <c r="N66" i="8" s="1"/>
  <c r="M65" i="8"/>
  <c r="L65" i="8"/>
  <c r="K65" i="8"/>
  <c r="I65" i="8"/>
  <c r="H65" i="8"/>
  <c r="G65" i="8"/>
  <c r="M64" i="8"/>
  <c r="L64" i="8"/>
  <c r="K64" i="8"/>
  <c r="I64" i="8"/>
  <c r="H64" i="8"/>
  <c r="G64" i="8"/>
  <c r="N64" i="8" s="1"/>
  <c r="M63" i="8"/>
  <c r="L63" i="8"/>
  <c r="K63" i="8"/>
  <c r="I63" i="8"/>
  <c r="H63" i="8"/>
  <c r="G63" i="8"/>
  <c r="M62" i="8"/>
  <c r="L62" i="8"/>
  <c r="K62" i="8"/>
  <c r="I62" i="8"/>
  <c r="H62" i="8"/>
  <c r="N62" i="8" s="1"/>
  <c r="M61" i="8"/>
  <c r="L61" i="8"/>
  <c r="K61" i="8"/>
  <c r="I61" i="8"/>
  <c r="N61" i="8" s="1"/>
  <c r="H61" i="8"/>
  <c r="G61" i="8"/>
  <c r="M60" i="8"/>
  <c r="L60" i="8"/>
  <c r="K60" i="8"/>
  <c r="I60" i="8"/>
  <c r="H60" i="8"/>
  <c r="G60" i="8"/>
  <c r="M59" i="8"/>
  <c r="L59" i="8"/>
  <c r="K59" i="8"/>
  <c r="J59" i="8"/>
  <c r="I59" i="8"/>
  <c r="H59" i="8"/>
  <c r="G59" i="8"/>
  <c r="B59" i="8"/>
  <c r="B60" i="8" s="1"/>
  <c r="B61" i="8" s="1"/>
  <c r="B62" i="8" s="1"/>
  <c r="B63" i="8" s="1"/>
  <c r="B64" i="8" s="1"/>
  <c r="M58" i="8"/>
  <c r="L58" i="8"/>
  <c r="K58" i="8"/>
  <c r="J58" i="8"/>
  <c r="J71" i="8" s="1"/>
  <c r="I58" i="8"/>
  <c r="H58" i="8"/>
  <c r="G58" i="8"/>
  <c r="D56" i="8"/>
  <c r="M55" i="8"/>
  <c r="L55" i="8"/>
  <c r="K55" i="8"/>
  <c r="I55" i="8"/>
  <c r="H55" i="8"/>
  <c r="G55" i="8"/>
  <c r="M54" i="8"/>
  <c r="L54" i="8"/>
  <c r="K54" i="8"/>
  <c r="J54" i="8"/>
  <c r="I54" i="8"/>
  <c r="H54" i="8"/>
  <c r="G54" i="8"/>
  <c r="N54" i="8" s="1"/>
  <c r="M53" i="8"/>
  <c r="L53" i="8"/>
  <c r="K53" i="8"/>
  <c r="I53" i="8"/>
  <c r="H53" i="8"/>
  <c r="G53" i="8"/>
  <c r="A53" i="8"/>
  <c r="A54" i="8" s="1"/>
  <c r="A55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3" i="8" s="1"/>
  <c r="A74" i="8" s="1"/>
  <c r="A75" i="8" s="1"/>
  <c r="M52" i="8"/>
  <c r="L52" i="8"/>
  <c r="K52" i="8"/>
  <c r="J52" i="8"/>
  <c r="I52" i="8"/>
  <c r="H52" i="8"/>
  <c r="G52" i="8"/>
  <c r="M51" i="8"/>
  <c r="L51" i="8"/>
  <c r="L56" i="8" s="1"/>
  <c r="K51" i="8"/>
  <c r="K56" i="8" s="1"/>
  <c r="J51" i="8"/>
  <c r="J56" i="8" s="1"/>
  <c r="I51" i="8"/>
  <c r="H51" i="8"/>
  <c r="H56" i="8" s="1"/>
  <c r="G51" i="8"/>
  <c r="J49" i="8"/>
  <c r="D49" i="8"/>
  <c r="M48" i="8"/>
  <c r="L48" i="8"/>
  <c r="K48" i="8"/>
  <c r="J48" i="8"/>
  <c r="I48" i="8"/>
  <c r="H48" i="8"/>
  <c r="G48" i="8"/>
  <c r="B48" i="8"/>
  <c r="M47" i="8"/>
  <c r="L47" i="8"/>
  <c r="L49" i="8" s="1"/>
  <c r="K47" i="8"/>
  <c r="J47" i="8"/>
  <c r="I47" i="8"/>
  <c r="H47" i="8"/>
  <c r="H49" i="8" s="1"/>
  <c r="G47" i="8"/>
  <c r="D45" i="8"/>
  <c r="M44" i="8"/>
  <c r="L44" i="8"/>
  <c r="K44" i="8"/>
  <c r="J44" i="8"/>
  <c r="I44" i="8"/>
  <c r="H44" i="8"/>
  <c r="G44" i="8"/>
  <c r="M43" i="8"/>
  <c r="L43" i="8"/>
  <c r="K43" i="8"/>
  <c r="K45" i="8" s="1"/>
  <c r="J43" i="8"/>
  <c r="I43" i="8"/>
  <c r="H43" i="8"/>
  <c r="G43" i="8"/>
  <c r="M42" i="8"/>
  <c r="L42" i="8"/>
  <c r="L45" i="8" s="1"/>
  <c r="K42" i="8"/>
  <c r="J42" i="8"/>
  <c r="I42" i="8"/>
  <c r="H42" i="8"/>
  <c r="H45" i="8" s="1"/>
  <c r="G42" i="8"/>
  <c r="D40" i="8"/>
  <c r="M39" i="8"/>
  <c r="L39" i="8"/>
  <c r="K39" i="8"/>
  <c r="I39" i="8"/>
  <c r="H39" i="8"/>
  <c r="G39" i="8"/>
  <c r="B39" i="8"/>
  <c r="M38" i="8"/>
  <c r="L38" i="8"/>
  <c r="K38" i="8"/>
  <c r="I38" i="8"/>
  <c r="N38" i="8" s="1"/>
  <c r="H38" i="8"/>
  <c r="G38" i="8"/>
  <c r="M37" i="8"/>
  <c r="L37" i="8"/>
  <c r="K37" i="8"/>
  <c r="I37" i="8"/>
  <c r="H37" i="8"/>
  <c r="G37" i="8"/>
  <c r="M36" i="8"/>
  <c r="L36" i="8"/>
  <c r="K36" i="8"/>
  <c r="I36" i="8"/>
  <c r="N36" i="8" s="1"/>
  <c r="H36" i="8"/>
  <c r="G36" i="8"/>
  <c r="M35" i="8"/>
  <c r="L35" i="8"/>
  <c r="K35" i="8"/>
  <c r="I35" i="8"/>
  <c r="H35" i="8"/>
  <c r="G35" i="8"/>
  <c r="M34" i="8"/>
  <c r="L34" i="8"/>
  <c r="K34" i="8"/>
  <c r="I34" i="8"/>
  <c r="N34" i="8" s="1"/>
  <c r="H34" i="8"/>
  <c r="G34" i="8"/>
  <c r="M33" i="8"/>
  <c r="L33" i="8"/>
  <c r="L40" i="8" s="1"/>
  <c r="K33" i="8"/>
  <c r="K40" i="8" s="1"/>
  <c r="J33" i="8"/>
  <c r="J40" i="8" s="1"/>
  <c r="I33" i="8"/>
  <c r="H33" i="8"/>
  <c r="H40" i="8" s="1"/>
  <c r="G33" i="8"/>
  <c r="M31" i="8"/>
  <c r="L31" i="8"/>
  <c r="K31" i="8"/>
  <c r="I31" i="8"/>
  <c r="H31" i="8"/>
  <c r="E31" i="8"/>
  <c r="G31" i="8" s="1"/>
  <c r="L29" i="8"/>
  <c r="J29" i="8"/>
  <c r="D29" i="8"/>
  <c r="M28" i="8"/>
  <c r="L28" i="8"/>
  <c r="K28" i="8"/>
  <c r="I28" i="8"/>
  <c r="H28" i="8"/>
  <c r="G28" i="8"/>
  <c r="M27" i="8"/>
  <c r="L27" i="8"/>
  <c r="K27" i="8"/>
  <c r="K29" i="8" s="1"/>
  <c r="I27" i="8"/>
  <c r="H27" i="8"/>
  <c r="E27" i="8"/>
  <c r="G27" i="8" s="1"/>
  <c r="G29" i="8" s="1"/>
  <c r="J25" i="8"/>
  <c r="D25" i="8"/>
  <c r="M24" i="8"/>
  <c r="L24" i="8"/>
  <c r="K24" i="8"/>
  <c r="I24" i="8"/>
  <c r="H24" i="8"/>
  <c r="G24" i="8"/>
  <c r="M23" i="8"/>
  <c r="L23" i="8"/>
  <c r="K23" i="8"/>
  <c r="I23" i="8"/>
  <c r="H23" i="8"/>
  <c r="G23" i="8"/>
  <c r="B23" i="8"/>
  <c r="B24" i="8" s="1"/>
  <c r="M22" i="8"/>
  <c r="L22" i="8"/>
  <c r="K22" i="8"/>
  <c r="I22" i="8"/>
  <c r="H22" i="8"/>
  <c r="G22" i="8"/>
  <c r="B22" i="8"/>
  <c r="M21" i="8"/>
  <c r="M25" i="8" s="1"/>
  <c r="L21" i="8"/>
  <c r="K21" i="8"/>
  <c r="I21" i="8"/>
  <c r="H21" i="8"/>
  <c r="H25" i="8" s="1"/>
  <c r="G21" i="8"/>
  <c r="D18" i="8"/>
  <c r="K18" i="8" s="1"/>
  <c r="D17" i="8"/>
  <c r="M16" i="8"/>
  <c r="L16" i="8"/>
  <c r="K16" i="8"/>
  <c r="I16" i="8"/>
  <c r="H16" i="8"/>
  <c r="G16" i="8"/>
  <c r="M15" i="8"/>
  <c r="L15" i="8"/>
  <c r="K15" i="8"/>
  <c r="I15" i="8"/>
  <c r="H15" i="8"/>
  <c r="G15" i="8"/>
  <c r="M14" i="8"/>
  <c r="L14" i="8"/>
  <c r="K14" i="8"/>
  <c r="I14" i="8"/>
  <c r="H14" i="8"/>
  <c r="G14" i="8"/>
  <c r="B14" i="8"/>
  <c r="B15" i="8" s="1"/>
  <c r="B16" i="8" s="1"/>
  <c r="B17" i="8" s="1"/>
  <c r="B18" i="8" s="1"/>
  <c r="M13" i="8"/>
  <c r="L13" i="8"/>
  <c r="K13" i="8"/>
  <c r="I13" i="8"/>
  <c r="H13" i="8"/>
  <c r="G13" i="8"/>
  <c r="M12" i="8"/>
  <c r="L12" i="8"/>
  <c r="K12" i="8"/>
  <c r="J12" i="8"/>
  <c r="J19" i="8" s="1"/>
  <c r="I12" i="8"/>
  <c r="H12" i="8"/>
  <c r="G12" i="8"/>
  <c r="M11" i="8"/>
  <c r="L11" i="8"/>
  <c r="K11" i="8"/>
  <c r="I11" i="8"/>
  <c r="H11" i="8"/>
  <c r="G11" i="8"/>
  <c r="M10" i="8"/>
  <c r="L10" i="8"/>
  <c r="K10" i="8"/>
  <c r="I10" i="8"/>
  <c r="H10" i="8"/>
  <c r="G10" i="8"/>
  <c r="M9" i="8"/>
  <c r="L9" i="8"/>
  <c r="K9" i="8"/>
  <c r="I9" i="8"/>
  <c r="H9" i="8"/>
  <c r="G9" i="8"/>
  <c r="M8" i="8"/>
  <c r="L8" i="8"/>
  <c r="K8" i="8"/>
  <c r="I8" i="8"/>
  <c r="H8" i="8"/>
  <c r="G8" i="8"/>
  <c r="M7" i="8"/>
  <c r="L7" i="8"/>
  <c r="K7" i="8"/>
  <c r="I7" i="8"/>
  <c r="H7" i="8"/>
  <c r="G7" i="8"/>
  <c r="B7" i="8"/>
  <c r="B8" i="8" s="1"/>
  <c r="B9" i="8" s="1"/>
  <c r="B10" i="8" s="1"/>
  <c r="B11" i="8" s="1"/>
  <c r="A7" i="8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21" i="8" s="1"/>
  <c r="A22" i="8" s="1"/>
  <c r="A23" i="8" s="1"/>
  <c r="A24" i="8" s="1"/>
  <c r="A27" i="8" s="1"/>
  <c r="A28" i="8" s="1"/>
  <c r="A31" i="8" s="1"/>
  <c r="A33" i="8" s="1"/>
  <c r="A34" i="8" s="1"/>
  <c r="A35" i="8" s="1"/>
  <c r="A36" i="8" s="1"/>
  <c r="A37" i="8" s="1"/>
  <c r="A38" i="8" s="1"/>
  <c r="A39" i="8" s="1"/>
  <c r="A42" i="8" s="1"/>
  <c r="A43" i="8" s="1"/>
  <c r="A44" i="8" s="1"/>
  <c r="A45" i="8" s="1"/>
  <c r="A46" i="8" s="1"/>
  <c r="A47" i="8" s="1"/>
  <c r="A48" i="8" s="1"/>
  <c r="A51" i="8" s="1"/>
  <c r="M6" i="8"/>
  <c r="L6" i="8"/>
  <c r="K6" i="8"/>
  <c r="I6" i="8"/>
  <c r="H6" i="8"/>
  <c r="H19" i="8" s="1"/>
  <c r="G6" i="8"/>
  <c r="I1" i="8"/>
  <c r="O29" i="9" l="1"/>
  <c r="O85" i="9"/>
  <c r="I49" i="8"/>
  <c r="K71" i="8"/>
  <c r="N109" i="8"/>
  <c r="N115" i="8"/>
  <c r="M49" i="8"/>
  <c r="G71" i="8"/>
  <c r="I19" i="8"/>
  <c r="N10" i="8"/>
  <c r="N11" i="8"/>
  <c r="N15" i="8"/>
  <c r="N16" i="8"/>
  <c r="I25" i="8"/>
  <c r="N23" i="8"/>
  <c r="N31" i="8"/>
  <c r="M40" i="8"/>
  <c r="G40" i="8"/>
  <c r="I45" i="8"/>
  <c r="M45" i="8"/>
  <c r="N43" i="8"/>
  <c r="I56" i="8"/>
  <c r="M56" i="8"/>
  <c r="H71" i="8"/>
  <c r="L71" i="8"/>
  <c r="N73" i="8"/>
  <c r="L76" i="8"/>
  <c r="N75" i="8"/>
  <c r="I133" i="8"/>
  <c r="D137" i="8" s="1"/>
  <c r="N120" i="8"/>
  <c r="N126" i="8"/>
  <c r="N128" i="8"/>
  <c r="D139" i="9"/>
  <c r="N13" i="8"/>
  <c r="K25" i="8"/>
  <c r="N35" i="8"/>
  <c r="N37" i="8"/>
  <c r="K49" i="8"/>
  <c r="I71" i="8"/>
  <c r="M71" i="8"/>
  <c r="N60" i="8"/>
  <c r="N63" i="8"/>
  <c r="N65" i="8"/>
  <c r="N67" i="8"/>
  <c r="N70" i="8"/>
  <c r="H76" i="8"/>
  <c r="M76" i="8"/>
  <c r="K133" i="8"/>
  <c r="H133" i="8"/>
  <c r="N110" i="8"/>
  <c r="N118" i="8"/>
  <c r="N124" i="8"/>
  <c r="N131" i="8"/>
  <c r="N8" i="8"/>
  <c r="H29" i="8"/>
  <c r="J45" i="8"/>
  <c r="N44" i="8"/>
  <c r="N53" i="8"/>
  <c r="N7" i="8"/>
  <c r="N9" i="8"/>
  <c r="N12" i="8"/>
  <c r="N14" i="8"/>
  <c r="I29" i="8"/>
  <c r="N42" i="8"/>
  <c r="N52" i="8"/>
  <c r="N55" i="8"/>
  <c r="N68" i="8"/>
  <c r="N74" i="8"/>
  <c r="G133" i="8"/>
  <c r="L133" i="8"/>
  <c r="N123" i="8"/>
  <c r="N129" i="8"/>
  <c r="O136" i="9"/>
  <c r="O42" i="9"/>
  <c r="D19" i="9"/>
  <c r="D87" i="9" s="1"/>
  <c r="O18" i="9"/>
  <c r="O58" i="9"/>
  <c r="O25" i="9"/>
  <c r="O16" i="9"/>
  <c r="O73" i="9"/>
  <c r="L19" i="9"/>
  <c r="L87" i="9" s="1"/>
  <c r="J87" i="9"/>
  <c r="D95" i="9" s="1"/>
  <c r="O80" i="9"/>
  <c r="O47" i="9"/>
  <c r="D141" i="9"/>
  <c r="O51" i="9"/>
  <c r="I87" i="9"/>
  <c r="D92" i="9" s="1"/>
  <c r="G87" i="9"/>
  <c r="M19" i="9"/>
  <c r="M87" i="9" s="1"/>
  <c r="D94" i="9" s="1"/>
  <c r="K19" i="9"/>
  <c r="K87" i="9" s="1"/>
  <c r="H87" i="9"/>
  <c r="G19" i="8"/>
  <c r="G25" i="8"/>
  <c r="L25" i="8"/>
  <c r="N22" i="8"/>
  <c r="N24" i="8"/>
  <c r="M17" i="8"/>
  <c r="L17" i="8"/>
  <c r="L19" i="8" s="1"/>
  <c r="K17" i="8"/>
  <c r="K19" i="8" s="1"/>
  <c r="K78" i="8" s="1"/>
  <c r="D19" i="8"/>
  <c r="D78" i="8" s="1"/>
  <c r="M29" i="8"/>
  <c r="N48" i="8"/>
  <c r="G49" i="8"/>
  <c r="H78" i="8"/>
  <c r="N33" i="8"/>
  <c r="N6" i="8"/>
  <c r="N21" i="8"/>
  <c r="N28" i="8"/>
  <c r="I40" i="8"/>
  <c r="N45" i="8"/>
  <c r="G45" i="8"/>
  <c r="J78" i="8"/>
  <c r="D86" i="8" s="1"/>
  <c r="I78" i="8"/>
  <c r="D83" i="8" s="1"/>
  <c r="G76" i="8"/>
  <c r="N76" i="8" s="1"/>
  <c r="N111" i="8"/>
  <c r="N133" i="8" s="1"/>
  <c r="M133" i="8"/>
  <c r="D139" i="8" s="1"/>
  <c r="L18" i="8"/>
  <c r="N27" i="8"/>
  <c r="N39" i="8"/>
  <c r="N47" i="8"/>
  <c r="N49" i="8" s="1"/>
  <c r="N51" i="8"/>
  <c r="D133" i="8"/>
  <c r="D136" i="8" s="1"/>
  <c r="G56" i="8"/>
  <c r="N56" i="8" s="1"/>
  <c r="N58" i="8"/>
  <c r="N71" i="8" s="1"/>
  <c r="M18" i="8"/>
  <c r="M19" i="8" s="1"/>
  <c r="M78" i="8" s="1"/>
  <c r="D85" i="8" s="1"/>
  <c r="N59" i="8"/>
  <c r="D140" i="3"/>
  <c r="D91" i="3"/>
  <c r="O19" i="9" l="1"/>
  <c r="N18" i="8"/>
  <c r="L78" i="8"/>
  <c r="D138" i="8"/>
  <c r="D91" i="9"/>
  <c r="D93" i="9"/>
  <c r="O87" i="9"/>
  <c r="D148" i="9"/>
  <c r="D84" i="8"/>
  <c r="D143" i="8"/>
  <c r="N29" i="8"/>
  <c r="G78" i="8"/>
  <c r="D82" i="8" s="1"/>
  <c r="N25" i="8"/>
  <c r="N40" i="8"/>
  <c r="N17" i="8"/>
  <c r="N19" i="8"/>
  <c r="E43" i="3"/>
  <c r="G43" i="3" s="1"/>
  <c r="F44" i="3"/>
  <c r="E44" i="3"/>
  <c r="F42" i="3"/>
  <c r="E42" i="3"/>
  <c r="F43" i="3"/>
  <c r="H43" i="3" s="1"/>
  <c r="D96" i="8" l="1"/>
  <c r="D103" i="9"/>
  <c r="N78" i="8"/>
  <c r="J59" i="3"/>
  <c r="J71" i="3" s="1"/>
  <c r="J58" i="3"/>
  <c r="J54" i="3"/>
  <c r="J51" i="3"/>
  <c r="J44" i="3"/>
  <c r="J43" i="3"/>
  <c r="J48" i="3"/>
  <c r="J47" i="3"/>
  <c r="J49" i="3" s="1"/>
  <c r="J132" i="3"/>
  <c r="D139" i="3" s="1"/>
  <c r="M130" i="3"/>
  <c r="L130" i="3"/>
  <c r="K130" i="3"/>
  <c r="I130" i="3"/>
  <c r="H130" i="3"/>
  <c r="G130" i="3"/>
  <c r="M128" i="3"/>
  <c r="L128" i="3"/>
  <c r="K128" i="3"/>
  <c r="I128" i="3"/>
  <c r="H128" i="3"/>
  <c r="G128" i="3"/>
  <c r="M127" i="3"/>
  <c r="L127" i="3"/>
  <c r="K127" i="3"/>
  <c r="I127" i="3"/>
  <c r="H127" i="3"/>
  <c r="G127" i="3"/>
  <c r="M125" i="3"/>
  <c r="L125" i="3"/>
  <c r="K125" i="3"/>
  <c r="I125" i="3"/>
  <c r="H125" i="3"/>
  <c r="G125" i="3"/>
  <c r="M123" i="3"/>
  <c r="L123" i="3"/>
  <c r="K123" i="3"/>
  <c r="I123" i="3"/>
  <c r="H123" i="3"/>
  <c r="G123" i="3"/>
  <c r="M122" i="3"/>
  <c r="L122" i="3"/>
  <c r="K122" i="3"/>
  <c r="I122" i="3"/>
  <c r="H122" i="3"/>
  <c r="G122" i="3"/>
  <c r="D120" i="3"/>
  <c r="M119" i="3"/>
  <c r="L119" i="3"/>
  <c r="K119" i="3"/>
  <c r="I119" i="3"/>
  <c r="H119" i="3"/>
  <c r="G119" i="3"/>
  <c r="M117" i="3"/>
  <c r="L117" i="3"/>
  <c r="K117" i="3"/>
  <c r="I117" i="3"/>
  <c r="H117" i="3"/>
  <c r="G117" i="3"/>
  <c r="M114" i="3"/>
  <c r="L114" i="3"/>
  <c r="K114" i="3"/>
  <c r="I114" i="3"/>
  <c r="H114" i="3"/>
  <c r="G114" i="3"/>
  <c r="M113" i="3"/>
  <c r="L113" i="3"/>
  <c r="K113" i="3"/>
  <c r="I113" i="3"/>
  <c r="H113" i="3"/>
  <c r="G113" i="3"/>
  <c r="M110" i="3"/>
  <c r="L110" i="3"/>
  <c r="K110" i="3"/>
  <c r="I110" i="3"/>
  <c r="H110" i="3"/>
  <c r="G110" i="3"/>
  <c r="M109" i="3"/>
  <c r="L109" i="3"/>
  <c r="K109" i="3"/>
  <c r="I109" i="3"/>
  <c r="H109" i="3"/>
  <c r="G109" i="3"/>
  <c r="M108" i="3"/>
  <c r="L108" i="3"/>
  <c r="K108" i="3"/>
  <c r="I108" i="3"/>
  <c r="H108" i="3"/>
  <c r="G108" i="3"/>
  <c r="C103" i="3"/>
  <c r="J76" i="3"/>
  <c r="D76" i="3"/>
  <c r="M75" i="3"/>
  <c r="L75" i="3"/>
  <c r="K75" i="3"/>
  <c r="I75" i="3"/>
  <c r="H75" i="3"/>
  <c r="G75" i="3"/>
  <c r="M74" i="3"/>
  <c r="L74" i="3"/>
  <c r="K74" i="3"/>
  <c r="I74" i="3"/>
  <c r="H74" i="3"/>
  <c r="G74" i="3"/>
  <c r="M73" i="3"/>
  <c r="L73" i="3"/>
  <c r="K73" i="3"/>
  <c r="I73" i="3"/>
  <c r="H73" i="3"/>
  <c r="G73" i="3"/>
  <c r="D71" i="3"/>
  <c r="M70" i="3"/>
  <c r="L70" i="3"/>
  <c r="K70" i="3"/>
  <c r="I70" i="3"/>
  <c r="G70" i="3"/>
  <c r="H70" i="3"/>
  <c r="M69" i="3"/>
  <c r="L69" i="3"/>
  <c r="K69" i="3"/>
  <c r="I69" i="3"/>
  <c r="H69" i="3"/>
  <c r="G69" i="3"/>
  <c r="M68" i="3"/>
  <c r="L68" i="3"/>
  <c r="K68" i="3"/>
  <c r="I68" i="3"/>
  <c r="H68" i="3"/>
  <c r="G68" i="3"/>
  <c r="B68" i="3"/>
  <c r="B69" i="3" s="1"/>
  <c r="B70" i="3" s="1"/>
  <c r="M67" i="3"/>
  <c r="L67" i="3"/>
  <c r="K67" i="3"/>
  <c r="I67" i="3"/>
  <c r="G67" i="3"/>
  <c r="H67" i="3"/>
  <c r="M66" i="3"/>
  <c r="L66" i="3"/>
  <c r="K66" i="3"/>
  <c r="I66" i="3"/>
  <c r="H66" i="3"/>
  <c r="G66" i="3"/>
  <c r="M65" i="3"/>
  <c r="L65" i="3"/>
  <c r="K65" i="3"/>
  <c r="I65" i="3"/>
  <c r="H65" i="3"/>
  <c r="G65" i="3"/>
  <c r="M64" i="3"/>
  <c r="L64" i="3"/>
  <c r="K64" i="3"/>
  <c r="I64" i="3"/>
  <c r="H64" i="3"/>
  <c r="G64" i="3"/>
  <c r="M63" i="3"/>
  <c r="L63" i="3"/>
  <c r="K63" i="3"/>
  <c r="I63" i="3"/>
  <c r="H63" i="3"/>
  <c r="G63" i="3"/>
  <c r="M62" i="3"/>
  <c r="L62" i="3"/>
  <c r="K62" i="3"/>
  <c r="I62" i="3"/>
  <c r="H62" i="3"/>
  <c r="M61" i="3"/>
  <c r="L61" i="3"/>
  <c r="K61" i="3"/>
  <c r="I61" i="3"/>
  <c r="H61" i="3"/>
  <c r="G61" i="3"/>
  <c r="M60" i="3"/>
  <c r="L60" i="3"/>
  <c r="K60" i="3"/>
  <c r="I60" i="3"/>
  <c r="H60" i="3"/>
  <c r="G60" i="3"/>
  <c r="M59" i="3"/>
  <c r="L59" i="3"/>
  <c r="K59" i="3"/>
  <c r="I59" i="3"/>
  <c r="H59" i="3"/>
  <c r="G59" i="3"/>
  <c r="B59" i="3"/>
  <c r="B60" i="3" s="1"/>
  <c r="B61" i="3" s="1"/>
  <c r="B62" i="3" s="1"/>
  <c r="B63" i="3" s="1"/>
  <c r="B64" i="3" s="1"/>
  <c r="M58" i="3"/>
  <c r="L58" i="3"/>
  <c r="K58" i="3"/>
  <c r="I58" i="3"/>
  <c r="H58" i="3"/>
  <c r="G58" i="3"/>
  <c r="D56" i="3"/>
  <c r="M55" i="3"/>
  <c r="L55" i="3"/>
  <c r="K55" i="3"/>
  <c r="I55" i="3"/>
  <c r="H55" i="3"/>
  <c r="G55" i="3"/>
  <c r="M54" i="3"/>
  <c r="L54" i="3"/>
  <c r="K54" i="3"/>
  <c r="I54" i="3"/>
  <c r="H54" i="3"/>
  <c r="G54" i="3"/>
  <c r="M53" i="3"/>
  <c r="L53" i="3"/>
  <c r="K53" i="3"/>
  <c r="I53" i="3"/>
  <c r="H53" i="3"/>
  <c r="G53" i="3"/>
  <c r="A53" i="3"/>
  <c r="A54" i="3" s="1"/>
  <c r="A55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3" i="3" s="1"/>
  <c r="A74" i="3" s="1"/>
  <c r="A75" i="3" s="1"/>
  <c r="M52" i="3"/>
  <c r="L52" i="3"/>
  <c r="K52" i="3"/>
  <c r="J52" i="3"/>
  <c r="I52" i="3"/>
  <c r="H52" i="3"/>
  <c r="G52" i="3"/>
  <c r="M51" i="3"/>
  <c r="L51" i="3"/>
  <c r="K51" i="3"/>
  <c r="I51" i="3"/>
  <c r="H51" i="3"/>
  <c r="G51" i="3"/>
  <c r="D49" i="3"/>
  <c r="M48" i="3"/>
  <c r="L48" i="3"/>
  <c r="K48" i="3"/>
  <c r="I48" i="3"/>
  <c r="H48" i="3"/>
  <c r="G48" i="3"/>
  <c r="B48" i="3"/>
  <c r="M47" i="3"/>
  <c r="L47" i="3"/>
  <c r="K47" i="3"/>
  <c r="I47" i="3"/>
  <c r="H47" i="3"/>
  <c r="G47" i="3"/>
  <c r="D45" i="3"/>
  <c r="M44" i="3"/>
  <c r="L44" i="3"/>
  <c r="K44" i="3"/>
  <c r="I44" i="3"/>
  <c r="H44" i="3"/>
  <c r="G44" i="3"/>
  <c r="M43" i="3"/>
  <c r="L43" i="3"/>
  <c r="K43" i="3"/>
  <c r="I43" i="3"/>
  <c r="M42" i="3"/>
  <c r="L42" i="3"/>
  <c r="K42" i="3"/>
  <c r="J42" i="3"/>
  <c r="J45" i="3" s="1"/>
  <c r="I42" i="3"/>
  <c r="H42" i="3"/>
  <c r="G42" i="3"/>
  <c r="D40" i="3"/>
  <c r="M39" i="3"/>
  <c r="L39" i="3"/>
  <c r="K39" i="3"/>
  <c r="I39" i="3"/>
  <c r="H39" i="3"/>
  <c r="G39" i="3"/>
  <c r="B39" i="3"/>
  <c r="M38" i="3"/>
  <c r="L38" i="3"/>
  <c r="K38" i="3"/>
  <c r="I38" i="3"/>
  <c r="H38" i="3"/>
  <c r="G38" i="3"/>
  <c r="M37" i="3"/>
  <c r="L37" i="3"/>
  <c r="K37" i="3"/>
  <c r="I37" i="3"/>
  <c r="H37" i="3"/>
  <c r="G37" i="3"/>
  <c r="M36" i="3"/>
  <c r="L36" i="3"/>
  <c r="K36" i="3"/>
  <c r="I36" i="3"/>
  <c r="H36" i="3"/>
  <c r="G36" i="3"/>
  <c r="M35" i="3"/>
  <c r="L35" i="3"/>
  <c r="K35" i="3"/>
  <c r="I35" i="3"/>
  <c r="H35" i="3"/>
  <c r="G35" i="3"/>
  <c r="M34" i="3"/>
  <c r="L34" i="3"/>
  <c r="K34" i="3"/>
  <c r="I34" i="3"/>
  <c r="H34" i="3"/>
  <c r="G34" i="3"/>
  <c r="M33" i="3"/>
  <c r="L33" i="3"/>
  <c r="K33" i="3"/>
  <c r="J33" i="3"/>
  <c r="J40" i="3" s="1"/>
  <c r="I33" i="3"/>
  <c r="H33" i="3"/>
  <c r="G33" i="3"/>
  <c r="M31" i="3"/>
  <c r="L31" i="3"/>
  <c r="K31" i="3"/>
  <c r="I31" i="3"/>
  <c r="H31" i="3"/>
  <c r="G31" i="3"/>
  <c r="J29" i="3"/>
  <c r="D29" i="3"/>
  <c r="M28" i="3"/>
  <c r="L28" i="3"/>
  <c r="K28" i="3"/>
  <c r="I28" i="3"/>
  <c r="H28" i="3"/>
  <c r="G28" i="3"/>
  <c r="M27" i="3"/>
  <c r="L27" i="3"/>
  <c r="K27" i="3"/>
  <c r="I27" i="3"/>
  <c r="H27" i="3"/>
  <c r="G27" i="3"/>
  <c r="J25" i="3"/>
  <c r="D25" i="3"/>
  <c r="M24" i="3"/>
  <c r="L24" i="3"/>
  <c r="K24" i="3"/>
  <c r="I24" i="3"/>
  <c r="H24" i="3"/>
  <c r="G24" i="3"/>
  <c r="M23" i="3"/>
  <c r="L23" i="3"/>
  <c r="K23" i="3"/>
  <c r="I23" i="3"/>
  <c r="H23" i="3"/>
  <c r="G23" i="3"/>
  <c r="M22" i="3"/>
  <c r="L22" i="3"/>
  <c r="K22" i="3"/>
  <c r="I22" i="3"/>
  <c r="H22" i="3"/>
  <c r="G22" i="3"/>
  <c r="B22" i="3"/>
  <c r="B23" i="3" s="1"/>
  <c r="B24" i="3" s="1"/>
  <c r="M21" i="3"/>
  <c r="L21" i="3"/>
  <c r="K21" i="3"/>
  <c r="I21" i="3"/>
  <c r="H21" i="3"/>
  <c r="G21" i="3"/>
  <c r="D18" i="3"/>
  <c r="L18" i="3" s="1"/>
  <c r="D17" i="3"/>
  <c r="M17" i="3" s="1"/>
  <c r="M16" i="3"/>
  <c r="L16" i="3"/>
  <c r="K16" i="3"/>
  <c r="I16" i="3"/>
  <c r="H16" i="3"/>
  <c r="G16" i="3"/>
  <c r="M15" i="3"/>
  <c r="L15" i="3"/>
  <c r="K15" i="3"/>
  <c r="I15" i="3"/>
  <c r="H15" i="3"/>
  <c r="G15" i="3"/>
  <c r="M14" i="3"/>
  <c r="L14" i="3"/>
  <c r="K14" i="3"/>
  <c r="I14" i="3"/>
  <c r="H14" i="3"/>
  <c r="G14" i="3"/>
  <c r="B14" i="3"/>
  <c r="B15" i="3" s="1"/>
  <c r="B16" i="3" s="1"/>
  <c r="B17" i="3" s="1"/>
  <c r="B18" i="3" s="1"/>
  <c r="M13" i="3"/>
  <c r="L13" i="3"/>
  <c r="K13" i="3"/>
  <c r="I13" i="3"/>
  <c r="H13" i="3"/>
  <c r="G13" i="3"/>
  <c r="M12" i="3"/>
  <c r="L12" i="3"/>
  <c r="K12" i="3"/>
  <c r="J12" i="3"/>
  <c r="J19" i="3" s="1"/>
  <c r="I12" i="3"/>
  <c r="H12" i="3"/>
  <c r="G12" i="3"/>
  <c r="M11" i="3"/>
  <c r="L11" i="3"/>
  <c r="K11" i="3"/>
  <c r="I11" i="3"/>
  <c r="H11" i="3"/>
  <c r="G11" i="3"/>
  <c r="M10" i="3"/>
  <c r="L10" i="3"/>
  <c r="K10" i="3"/>
  <c r="I10" i="3"/>
  <c r="H10" i="3"/>
  <c r="G10" i="3"/>
  <c r="M9" i="3"/>
  <c r="L9" i="3"/>
  <c r="K9" i="3"/>
  <c r="I9" i="3"/>
  <c r="H9" i="3"/>
  <c r="G9" i="3"/>
  <c r="M8" i="3"/>
  <c r="L8" i="3"/>
  <c r="K8" i="3"/>
  <c r="I8" i="3"/>
  <c r="H8" i="3"/>
  <c r="G8" i="3"/>
  <c r="M7" i="3"/>
  <c r="L7" i="3"/>
  <c r="K7" i="3"/>
  <c r="I7" i="3"/>
  <c r="H7" i="3"/>
  <c r="G7" i="3"/>
  <c r="B7" i="3"/>
  <c r="B8" i="3" s="1"/>
  <c r="B9" i="3" s="1"/>
  <c r="B10" i="3" s="1"/>
  <c r="B11" i="3" s="1"/>
  <c r="A7" i="3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21" i="3" s="1"/>
  <c r="A22" i="3" s="1"/>
  <c r="A23" i="3" s="1"/>
  <c r="A24" i="3" s="1"/>
  <c r="A27" i="3" s="1"/>
  <c r="A28" i="3" s="1"/>
  <c r="A31" i="3" s="1"/>
  <c r="A33" i="3" s="1"/>
  <c r="A34" i="3" s="1"/>
  <c r="A35" i="3" s="1"/>
  <c r="A36" i="3" s="1"/>
  <c r="A37" i="3" s="1"/>
  <c r="A38" i="3" s="1"/>
  <c r="A39" i="3" s="1"/>
  <c r="A42" i="3" s="1"/>
  <c r="A43" i="3" s="1"/>
  <c r="A44" i="3" s="1"/>
  <c r="A45" i="3" s="1"/>
  <c r="A46" i="3" s="1"/>
  <c r="A47" i="3" s="1"/>
  <c r="A48" i="3" s="1"/>
  <c r="A51" i="3" s="1"/>
  <c r="M6" i="3"/>
  <c r="L6" i="3"/>
  <c r="K6" i="3"/>
  <c r="I6" i="3"/>
  <c r="H6" i="3"/>
  <c r="G6" i="3"/>
  <c r="I1" i="3"/>
  <c r="N128" i="3" l="1"/>
  <c r="L45" i="3"/>
  <c r="H56" i="3"/>
  <c r="I25" i="3"/>
  <c r="N36" i="3"/>
  <c r="N38" i="3"/>
  <c r="M45" i="3"/>
  <c r="K45" i="3"/>
  <c r="L56" i="3"/>
  <c r="L76" i="3"/>
  <c r="N23" i="3"/>
  <c r="J56" i="3"/>
  <c r="K25" i="3"/>
  <c r="G29" i="3"/>
  <c r="L29" i="3"/>
  <c r="H49" i="3"/>
  <c r="M49" i="3"/>
  <c r="I49" i="3"/>
  <c r="K71" i="3"/>
  <c r="M76" i="3"/>
  <c r="N12" i="3"/>
  <c r="N65" i="3"/>
  <c r="N68" i="3"/>
  <c r="N127" i="3"/>
  <c r="L25" i="3"/>
  <c r="I29" i="3"/>
  <c r="K49" i="3"/>
  <c r="G49" i="3"/>
  <c r="L49" i="3"/>
  <c r="K56" i="3"/>
  <c r="L71" i="3"/>
  <c r="I76" i="3"/>
  <c r="N61" i="3"/>
  <c r="L132" i="3"/>
  <c r="I19" i="3"/>
  <c r="N14" i="3"/>
  <c r="M25" i="3"/>
  <c r="K29" i="3"/>
  <c r="N28" i="3"/>
  <c r="I40" i="3"/>
  <c r="M40" i="3"/>
  <c r="K40" i="3"/>
  <c r="N39" i="3"/>
  <c r="G56" i="3"/>
  <c r="N54" i="3"/>
  <c r="K76" i="3"/>
  <c r="I132" i="3"/>
  <c r="D136" i="3" s="1"/>
  <c r="N11" i="3"/>
  <c r="G19" i="3"/>
  <c r="N75" i="3"/>
  <c r="G76" i="3"/>
  <c r="N74" i="3"/>
  <c r="H132" i="3"/>
  <c r="N123" i="3"/>
  <c r="N122" i="3"/>
  <c r="H45" i="3"/>
  <c r="G45" i="3"/>
  <c r="N44" i="3"/>
  <c r="N69" i="3"/>
  <c r="N117" i="3"/>
  <c r="N130" i="3"/>
  <c r="N58" i="3"/>
  <c r="N59" i="3"/>
  <c r="N60" i="3"/>
  <c r="N63" i="3"/>
  <c r="N43" i="3"/>
  <c r="N31" i="3"/>
  <c r="N24" i="3"/>
  <c r="G25" i="3"/>
  <c r="N15" i="3"/>
  <c r="D19" i="3"/>
  <c r="D78" i="3" s="1"/>
  <c r="N16" i="3"/>
  <c r="N9" i="3"/>
  <c r="N13" i="3"/>
  <c r="K17" i="3"/>
  <c r="G132" i="3"/>
  <c r="N6" i="3"/>
  <c r="H19" i="3"/>
  <c r="N7" i="3"/>
  <c r="N21" i="3"/>
  <c r="H25" i="3"/>
  <c r="I45" i="3"/>
  <c r="M71" i="3"/>
  <c r="M132" i="3"/>
  <c r="D138" i="3" s="1"/>
  <c r="N108" i="3"/>
  <c r="N48" i="3"/>
  <c r="N109" i="3"/>
  <c r="N120" i="3"/>
  <c r="D132" i="3"/>
  <c r="N35" i="3"/>
  <c r="G71" i="3"/>
  <c r="N22" i="3"/>
  <c r="N27" i="3"/>
  <c r="M29" i="3"/>
  <c r="N33" i="3"/>
  <c r="N34" i="3"/>
  <c r="N42" i="3"/>
  <c r="M56" i="3"/>
  <c r="H71" i="3"/>
  <c r="N62" i="3"/>
  <c r="N67" i="3"/>
  <c r="N73" i="3"/>
  <c r="J78" i="3"/>
  <c r="D86" i="3" s="1"/>
  <c r="N110" i="3"/>
  <c r="N114" i="3"/>
  <c r="N125" i="3"/>
  <c r="N8" i="3"/>
  <c r="N10" i="3"/>
  <c r="K18" i="3"/>
  <c r="M18" i="3"/>
  <c r="M19" i="3" s="1"/>
  <c r="H29" i="3"/>
  <c r="H40" i="3"/>
  <c r="L40" i="3"/>
  <c r="N37" i="3"/>
  <c r="G40" i="3"/>
  <c r="I56" i="3"/>
  <c r="N52" i="3"/>
  <c r="N53" i="3"/>
  <c r="N55" i="3"/>
  <c r="I71" i="3"/>
  <c r="N64" i="3"/>
  <c r="N66" i="3"/>
  <c r="N70" i="3"/>
  <c r="K132" i="3"/>
  <c r="N113" i="3"/>
  <c r="N119" i="3"/>
  <c r="L17" i="3"/>
  <c r="L19" i="3" s="1"/>
  <c r="L78" i="3" s="1"/>
  <c r="N51" i="3"/>
  <c r="H76" i="3"/>
  <c r="N47" i="3"/>
  <c r="D146" i="1"/>
  <c r="D140" i="1" s="1"/>
  <c r="D93" i="1"/>
  <c r="F67" i="1"/>
  <c r="F62" i="1"/>
  <c r="F60" i="1"/>
  <c r="G66" i="1"/>
  <c r="H66" i="1"/>
  <c r="I66" i="1"/>
  <c r="K66" i="1"/>
  <c r="L66" i="1"/>
  <c r="M66" i="1"/>
  <c r="G65" i="1"/>
  <c r="H65" i="1"/>
  <c r="I65" i="1"/>
  <c r="K65" i="1"/>
  <c r="L65" i="1"/>
  <c r="M65" i="1"/>
  <c r="G75" i="1"/>
  <c r="E29" i="2"/>
  <c r="D29" i="2"/>
  <c r="C27" i="2"/>
  <c r="K26" i="2"/>
  <c r="J26" i="2"/>
  <c r="I26" i="2"/>
  <c r="H26" i="2"/>
  <c r="G26" i="2"/>
  <c r="F26" i="2"/>
  <c r="K25" i="2"/>
  <c r="J25" i="2"/>
  <c r="I25" i="2"/>
  <c r="H25" i="2"/>
  <c r="G25" i="2"/>
  <c r="F25" i="2"/>
  <c r="K24" i="2"/>
  <c r="J24" i="2"/>
  <c r="I24" i="2"/>
  <c r="H24" i="2"/>
  <c r="G24" i="2"/>
  <c r="F24" i="2"/>
  <c r="K23" i="2"/>
  <c r="J23" i="2"/>
  <c r="I23" i="2"/>
  <c r="H23" i="2"/>
  <c r="G23" i="2"/>
  <c r="F23" i="2"/>
  <c r="K22" i="2"/>
  <c r="J22" i="2"/>
  <c r="I22" i="2"/>
  <c r="H22" i="2"/>
  <c r="G22" i="2"/>
  <c r="F22" i="2"/>
  <c r="K21" i="2"/>
  <c r="J21" i="2"/>
  <c r="I21" i="2"/>
  <c r="H21" i="2"/>
  <c r="G21" i="2"/>
  <c r="F21" i="2"/>
  <c r="K20" i="2"/>
  <c r="J20" i="2"/>
  <c r="I20" i="2"/>
  <c r="H20" i="2"/>
  <c r="G20" i="2"/>
  <c r="F20" i="2"/>
  <c r="K19" i="2"/>
  <c r="J19" i="2"/>
  <c r="I19" i="2"/>
  <c r="H19" i="2"/>
  <c r="G19" i="2"/>
  <c r="F19" i="2"/>
  <c r="K18" i="2"/>
  <c r="J18" i="2"/>
  <c r="I18" i="2"/>
  <c r="H18" i="2"/>
  <c r="G18" i="2"/>
  <c r="F18" i="2"/>
  <c r="K17" i="2"/>
  <c r="J17" i="2"/>
  <c r="I17" i="2"/>
  <c r="H17" i="2"/>
  <c r="G17" i="2"/>
  <c r="F17" i="2"/>
  <c r="K16" i="2"/>
  <c r="J16" i="2"/>
  <c r="I16" i="2"/>
  <c r="H16" i="2"/>
  <c r="G16" i="2"/>
  <c r="F16" i="2"/>
  <c r="K15" i="2"/>
  <c r="J15" i="2"/>
  <c r="I15" i="2"/>
  <c r="H15" i="2"/>
  <c r="G15" i="2"/>
  <c r="F15" i="2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K14" i="2"/>
  <c r="J14" i="2"/>
  <c r="I14" i="2"/>
  <c r="H14" i="2"/>
  <c r="G14" i="2"/>
  <c r="F14" i="2"/>
  <c r="C11" i="2"/>
  <c r="K10" i="2"/>
  <c r="J10" i="2"/>
  <c r="I10" i="2"/>
  <c r="H10" i="2"/>
  <c r="G10" i="2"/>
  <c r="F10" i="2"/>
  <c r="K9" i="2"/>
  <c r="J9" i="2"/>
  <c r="I9" i="2"/>
  <c r="H9" i="2"/>
  <c r="G9" i="2"/>
  <c r="F9" i="2"/>
  <c r="K8" i="2"/>
  <c r="J8" i="2"/>
  <c r="I8" i="2"/>
  <c r="H8" i="2"/>
  <c r="G8" i="2"/>
  <c r="F8" i="2"/>
  <c r="K7" i="2"/>
  <c r="J7" i="2"/>
  <c r="I7" i="2"/>
  <c r="H7" i="2"/>
  <c r="G7" i="2"/>
  <c r="F7" i="2"/>
  <c r="A7" i="2"/>
  <c r="L6" i="2"/>
  <c r="L11" i="2" s="1"/>
  <c r="L29" i="2" s="1"/>
  <c r="C36" i="2" s="1"/>
  <c r="K6" i="2"/>
  <c r="J6" i="2"/>
  <c r="I6" i="2"/>
  <c r="H6" i="2"/>
  <c r="G6" i="2"/>
  <c r="F6" i="2"/>
  <c r="M16" i="2" l="1"/>
  <c r="M18" i="2"/>
  <c r="M20" i="2"/>
  <c r="M24" i="2"/>
  <c r="M22" i="2"/>
  <c r="J11" i="2"/>
  <c r="K11" i="2"/>
  <c r="M15" i="2"/>
  <c r="M17" i="2"/>
  <c r="M19" i="2"/>
  <c r="M21" i="2"/>
  <c r="M23" i="2"/>
  <c r="M25" i="2"/>
  <c r="M14" i="2"/>
  <c r="M26" i="2"/>
  <c r="D137" i="3"/>
  <c r="I78" i="3"/>
  <c r="D83" i="3" s="1"/>
  <c r="N29" i="3"/>
  <c r="N17" i="3"/>
  <c r="M6" i="2"/>
  <c r="M7" i="2"/>
  <c r="M9" i="2"/>
  <c r="M8" i="2"/>
  <c r="M10" i="2"/>
  <c r="N45" i="3"/>
  <c r="G78" i="3"/>
  <c r="D135" i="3"/>
  <c r="D142" i="3" s="1"/>
  <c r="N49" i="3"/>
  <c r="N71" i="3"/>
  <c r="I27" i="2"/>
  <c r="C29" i="2"/>
  <c r="F27" i="2"/>
  <c r="J27" i="2"/>
  <c r="J29" i="2" s="1"/>
  <c r="K27" i="2"/>
  <c r="I11" i="2"/>
  <c r="H11" i="2"/>
  <c r="H27" i="2"/>
  <c r="M78" i="3"/>
  <c r="D85" i="3" s="1"/>
  <c r="H78" i="3"/>
  <c r="N76" i="3"/>
  <c r="N40" i="3"/>
  <c r="N18" i="3"/>
  <c r="N19" i="3" s="1"/>
  <c r="N25" i="3"/>
  <c r="K19" i="3"/>
  <c r="K78" i="3" s="1"/>
  <c r="D84" i="3" s="1"/>
  <c r="N132" i="3"/>
  <c r="N56" i="3"/>
  <c r="N65" i="1"/>
  <c r="N66" i="1"/>
  <c r="G11" i="2"/>
  <c r="F11" i="2"/>
  <c r="G27" i="2"/>
  <c r="I29" i="2" l="1"/>
  <c r="C34" i="2" s="1"/>
  <c r="F29" i="2"/>
  <c r="M27" i="2"/>
  <c r="H29" i="2"/>
  <c r="C33" i="2" s="1"/>
  <c r="K29" i="2"/>
  <c r="C35" i="2" s="1"/>
  <c r="N78" i="3"/>
  <c r="D82" i="3"/>
  <c r="D95" i="3" s="1"/>
  <c r="G29" i="2"/>
  <c r="C32" i="2" s="1"/>
  <c r="M11" i="2"/>
  <c r="M29" i="2" l="1"/>
  <c r="C38" i="2"/>
  <c r="J137" i="1"/>
  <c r="D144" i="1" s="1"/>
  <c r="M135" i="1"/>
  <c r="L135" i="1"/>
  <c r="K135" i="1"/>
  <c r="I135" i="1"/>
  <c r="H135" i="1"/>
  <c r="G135" i="1"/>
  <c r="M133" i="1"/>
  <c r="L133" i="1"/>
  <c r="K133" i="1"/>
  <c r="I133" i="1"/>
  <c r="H133" i="1"/>
  <c r="G133" i="1"/>
  <c r="M132" i="1"/>
  <c r="L132" i="1"/>
  <c r="K132" i="1"/>
  <c r="I132" i="1"/>
  <c r="H132" i="1"/>
  <c r="G132" i="1"/>
  <c r="M130" i="1"/>
  <c r="L130" i="1"/>
  <c r="K130" i="1"/>
  <c r="I130" i="1"/>
  <c r="H130" i="1"/>
  <c r="G130" i="1"/>
  <c r="M128" i="1"/>
  <c r="L128" i="1"/>
  <c r="K128" i="1"/>
  <c r="I128" i="1"/>
  <c r="H128" i="1"/>
  <c r="G128" i="1"/>
  <c r="M127" i="1"/>
  <c r="L127" i="1"/>
  <c r="K127" i="1"/>
  <c r="I127" i="1"/>
  <c r="H127" i="1"/>
  <c r="G127" i="1"/>
  <c r="D125" i="1"/>
  <c r="N125" i="1" s="1"/>
  <c r="M124" i="1"/>
  <c r="L124" i="1"/>
  <c r="K124" i="1"/>
  <c r="I124" i="1"/>
  <c r="H124" i="1"/>
  <c r="G124" i="1"/>
  <c r="M122" i="1"/>
  <c r="L122" i="1"/>
  <c r="K122" i="1"/>
  <c r="I122" i="1"/>
  <c r="H122" i="1"/>
  <c r="G122" i="1"/>
  <c r="M119" i="1"/>
  <c r="L119" i="1"/>
  <c r="K119" i="1"/>
  <c r="I119" i="1"/>
  <c r="H119" i="1"/>
  <c r="G119" i="1"/>
  <c r="M118" i="1"/>
  <c r="L118" i="1"/>
  <c r="K118" i="1"/>
  <c r="I118" i="1"/>
  <c r="H118" i="1"/>
  <c r="G118" i="1"/>
  <c r="M115" i="1"/>
  <c r="L115" i="1"/>
  <c r="K115" i="1"/>
  <c r="I115" i="1"/>
  <c r="H115" i="1"/>
  <c r="G115" i="1"/>
  <c r="M114" i="1"/>
  <c r="L114" i="1"/>
  <c r="K114" i="1"/>
  <c r="I114" i="1"/>
  <c r="H114" i="1"/>
  <c r="G114" i="1"/>
  <c r="M113" i="1"/>
  <c r="L113" i="1"/>
  <c r="K113" i="1"/>
  <c r="I113" i="1"/>
  <c r="H113" i="1"/>
  <c r="G113" i="1"/>
  <c r="C108" i="1"/>
  <c r="C104" i="1"/>
  <c r="J76" i="1"/>
  <c r="D76" i="1"/>
  <c r="M75" i="1"/>
  <c r="L75" i="1"/>
  <c r="K75" i="1"/>
  <c r="I75" i="1"/>
  <c r="H75" i="1"/>
  <c r="M74" i="1"/>
  <c r="L74" i="1"/>
  <c r="K74" i="1"/>
  <c r="I74" i="1"/>
  <c r="H74" i="1"/>
  <c r="G74" i="1"/>
  <c r="M73" i="1"/>
  <c r="L73" i="1"/>
  <c r="K73" i="1"/>
  <c r="I73" i="1"/>
  <c r="H73" i="1"/>
  <c r="G73" i="1"/>
  <c r="J71" i="1"/>
  <c r="D71" i="1"/>
  <c r="M70" i="1"/>
  <c r="L70" i="1"/>
  <c r="K70" i="1"/>
  <c r="I70" i="1"/>
  <c r="H70" i="1"/>
  <c r="G70" i="1"/>
  <c r="M69" i="1"/>
  <c r="L69" i="1"/>
  <c r="K69" i="1"/>
  <c r="I69" i="1"/>
  <c r="H69" i="1"/>
  <c r="G69" i="1"/>
  <c r="M68" i="1"/>
  <c r="L68" i="1"/>
  <c r="K68" i="1"/>
  <c r="I68" i="1"/>
  <c r="H68" i="1"/>
  <c r="G68" i="1"/>
  <c r="B68" i="1"/>
  <c r="B69" i="1" s="1"/>
  <c r="B70" i="1" s="1"/>
  <c r="M67" i="1"/>
  <c r="L67" i="1"/>
  <c r="K67" i="1"/>
  <c r="I67" i="1"/>
  <c r="H67" i="1"/>
  <c r="G67" i="1"/>
  <c r="M64" i="1"/>
  <c r="L64" i="1"/>
  <c r="K64" i="1"/>
  <c r="I64" i="1"/>
  <c r="H64" i="1"/>
  <c r="G64" i="1"/>
  <c r="M63" i="1"/>
  <c r="L63" i="1"/>
  <c r="K63" i="1"/>
  <c r="I63" i="1"/>
  <c r="H63" i="1"/>
  <c r="G63" i="1"/>
  <c r="M62" i="1"/>
  <c r="L62" i="1"/>
  <c r="K62" i="1"/>
  <c r="I62" i="1"/>
  <c r="H62" i="1"/>
  <c r="M61" i="1"/>
  <c r="L61" i="1"/>
  <c r="K61" i="1"/>
  <c r="I61" i="1"/>
  <c r="H61" i="1"/>
  <c r="G61" i="1"/>
  <c r="M60" i="1"/>
  <c r="L60" i="1"/>
  <c r="K60" i="1"/>
  <c r="I60" i="1"/>
  <c r="H60" i="1"/>
  <c r="G60" i="1"/>
  <c r="M59" i="1"/>
  <c r="L59" i="1"/>
  <c r="K59" i="1"/>
  <c r="I59" i="1"/>
  <c r="H59" i="1"/>
  <c r="G59" i="1"/>
  <c r="B59" i="1"/>
  <c r="B60" i="1" s="1"/>
  <c r="B61" i="1" s="1"/>
  <c r="B62" i="1" s="1"/>
  <c r="B63" i="1" s="1"/>
  <c r="B64" i="1" s="1"/>
  <c r="M58" i="1"/>
  <c r="L58" i="1"/>
  <c r="K58" i="1"/>
  <c r="I58" i="1"/>
  <c r="H58" i="1"/>
  <c r="G58" i="1"/>
  <c r="D56" i="1"/>
  <c r="M55" i="1"/>
  <c r="L55" i="1"/>
  <c r="K55" i="1"/>
  <c r="I55" i="1"/>
  <c r="H55" i="1"/>
  <c r="G55" i="1"/>
  <c r="M54" i="1"/>
  <c r="L54" i="1"/>
  <c r="K54" i="1"/>
  <c r="I54" i="1"/>
  <c r="H54" i="1"/>
  <c r="G54" i="1"/>
  <c r="M53" i="1"/>
  <c r="L53" i="1"/>
  <c r="K53" i="1"/>
  <c r="I53" i="1"/>
  <c r="H53" i="1"/>
  <c r="G53" i="1"/>
  <c r="A53" i="1"/>
  <c r="A54" i="1" s="1"/>
  <c r="A55" i="1" s="1"/>
  <c r="A58" i="1" s="1"/>
  <c r="A59" i="1" s="1"/>
  <c r="A60" i="1" s="1"/>
  <c r="A61" i="1" s="1"/>
  <c r="A62" i="1" s="1"/>
  <c r="A63" i="1" s="1"/>
  <c r="A64" i="1" s="1"/>
  <c r="M52" i="1"/>
  <c r="L52" i="1"/>
  <c r="K52" i="1"/>
  <c r="J52" i="1"/>
  <c r="J56" i="1" s="1"/>
  <c r="I52" i="1"/>
  <c r="H52" i="1"/>
  <c r="G52" i="1"/>
  <c r="M51" i="1"/>
  <c r="L51" i="1"/>
  <c r="K51" i="1"/>
  <c r="I51" i="1"/>
  <c r="H51" i="1"/>
  <c r="G51" i="1"/>
  <c r="J49" i="1"/>
  <c r="D49" i="1"/>
  <c r="M48" i="1"/>
  <c r="L48" i="1"/>
  <c r="K48" i="1"/>
  <c r="I48" i="1"/>
  <c r="H48" i="1"/>
  <c r="G48" i="1"/>
  <c r="B48" i="1"/>
  <c r="M47" i="1"/>
  <c r="L47" i="1"/>
  <c r="K47" i="1"/>
  <c r="I47" i="1"/>
  <c r="H47" i="1"/>
  <c r="G47" i="1"/>
  <c r="D45" i="1"/>
  <c r="M44" i="1"/>
  <c r="L44" i="1"/>
  <c r="K44" i="1"/>
  <c r="I44" i="1"/>
  <c r="H44" i="1"/>
  <c r="G44" i="1"/>
  <c r="M43" i="1"/>
  <c r="L43" i="1"/>
  <c r="K43" i="1"/>
  <c r="I43" i="1"/>
  <c r="H43" i="1"/>
  <c r="G43" i="1"/>
  <c r="M42" i="1"/>
  <c r="L42" i="1"/>
  <c r="K42" i="1"/>
  <c r="J42" i="1"/>
  <c r="J45" i="1" s="1"/>
  <c r="I42" i="1"/>
  <c r="H42" i="1"/>
  <c r="G42" i="1"/>
  <c r="D40" i="1"/>
  <c r="M39" i="1"/>
  <c r="L39" i="1"/>
  <c r="K39" i="1"/>
  <c r="I39" i="1"/>
  <c r="H39" i="1"/>
  <c r="G39" i="1"/>
  <c r="B39" i="1"/>
  <c r="M38" i="1"/>
  <c r="L38" i="1"/>
  <c r="K38" i="1"/>
  <c r="I38" i="1"/>
  <c r="H38" i="1"/>
  <c r="G38" i="1"/>
  <c r="M37" i="1"/>
  <c r="L37" i="1"/>
  <c r="K37" i="1"/>
  <c r="I37" i="1"/>
  <c r="H37" i="1"/>
  <c r="G37" i="1"/>
  <c r="M36" i="1"/>
  <c r="L36" i="1"/>
  <c r="K36" i="1"/>
  <c r="I36" i="1"/>
  <c r="H36" i="1"/>
  <c r="G36" i="1"/>
  <c r="M35" i="1"/>
  <c r="L35" i="1"/>
  <c r="K35" i="1"/>
  <c r="I35" i="1"/>
  <c r="H35" i="1"/>
  <c r="G35" i="1"/>
  <c r="M34" i="1"/>
  <c r="L34" i="1"/>
  <c r="K34" i="1"/>
  <c r="I34" i="1"/>
  <c r="H34" i="1"/>
  <c r="G34" i="1"/>
  <c r="M33" i="1"/>
  <c r="L33" i="1"/>
  <c r="K33" i="1"/>
  <c r="J33" i="1"/>
  <c r="J40" i="1" s="1"/>
  <c r="I33" i="1"/>
  <c r="H33" i="1"/>
  <c r="G33" i="1"/>
  <c r="M31" i="1"/>
  <c r="L31" i="1"/>
  <c r="K31" i="1"/>
  <c r="I31" i="1"/>
  <c r="H31" i="1"/>
  <c r="G31" i="1"/>
  <c r="J29" i="1"/>
  <c r="D29" i="1"/>
  <c r="M28" i="1"/>
  <c r="L28" i="1"/>
  <c r="K28" i="1"/>
  <c r="I28" i="1"/>
  <c r="H28" i="1"/>
  <c r="G28" i="1"/>
  <c r="M27" i="1"/>
  <c r="L27" i="1"/>
  <c r="K27" i="1"/>
  <c r="I27" i="1"/>
  <c r="H27" i="1"/>
  <c r="G27" i="1"/>
  <c r="J25" i="1"/>
  <c r="D25" i="1"/>
  <c r="M24" i="1"/>
  <c r="L24" i="1"/>
  <c r="K24" i="1"/>
  <c r="I24" i="1"/>
  <c r="H24" i="1"/>
  <c r="G24" i="1"/>
  <c r="M23" i="1"/>
  <c r="L23" i="1"/>
  <c r="K23" i="1"/>
  <c r="I23" i="1"/>
  <c r="H23" i="1"/>
  <c r="G23" i="1"/>
  <c r="M22" i="1"/>
  <c r="L22" i="1"/>
  <c r="K22" i="1"/>
  <c r="I22" i="1"/>
  <c r="H22" i="1"/>
  <c r="G22" i="1"/>
  <c r="B22" i="1"/>
  <c r="B23" i="1" s="1"/>
  <c r="B24" i="1" s="1"/>
  <c r="M21" i="1"/>
  <c r="L21" i="1"/>
  <c r="K21" i="1"/>
  <c r="I21" i="1"/>
  <c r="H21" i="1"/>
  <c r="G21" i="1"/>
  <c r="D18" i="1"/>
  <c r="L18" i="1" s="1"/>
  <c r="D17" i="1"/>
  <c r="L17" i="1" s="1"/>
  <c r="M16" i="1"/>
  <c r="L16" i="1"/>
  <c r="K16" i="1"/>
  <c r="I16" i="1"/>
  <c r="H16" i="1"/>
  <c r="G16" i="1"/>
  <c r="M15" i="1"/>
  <c r="L15" i="1"/>
  <c r="K15" i="1"/>
  <c r="I15" i="1"/>
  <c r="H15" i="1"/>
  <c r="G15" i="1"/>
  <c r="M14" i="1"/>
  <c r="L14" i="1"/>
  <c r="K14" i="1"/>
  <c r="I14" i="1"/>
  <c r="H14" i="1"/>
  <c r="G14" i="1"/>
  <c r="B14" i="1"/>
  <c r="B15" i="1" s="1"/>
  <c r="B16" i="1" s="1"/>
  <c r="B17" i="1" s="1"/>
  <c r="B18" i="1" s="1"/>
  <c r="M13" i="1"/>
  <c r="L13" i="1"/>
  <c r="K13" i="1"/>
  <c r="I13" i="1"/>
  <c r="H13" i="1"/>
  <c r="G13" i="1"/>
  <c r="M12" i="1"/>
  <c r="L12" i="1"/>
  <c r="K12" i="1"/>
  <c r="J12" i="1"/>
  <c r="J19" i="1" s="1"/>
  <c r="I12" i="1"/>
  <c r="H12" i="1"/>
  <c r="G12" i="1"/>
  <c r="M11" i="1"/>
  <c r="L11" i="1"/>
  <c r="K11" i="1"/>
  <c r="I11" i="1"/>
  <c r="H11" i="1"/>
  <c r="G11" i="1"/>
  <c r="M10" i="1"/>
  <c r="L10" i="1"/>
  <c r="K10" i="1"/>
  <c r="I10" i="1"/>
  <c r="H10" i="1"/>
  <c r="G10" i="1"/>
  <c r="M9" i="1"/>
  <c r="L9" i="1"/>
  <c r="K9" i="1"/>
  <c r="I9" i="1"/>
  <c r="H9" i="1"/>
  <c r="G9" i="1"/>
  <c r="M8" i="1"/>
  <c r="L8" i="1"/>
  <c r="K8" i="1"/>
  <c r="I8" i="1"/>
  <c r="H8" i="1"/>
  <c r="G8" i="1"/>
  <c r="M7" i="1"/>
  <c r="L7" i="1"/>
  <c r="K7" i="1"/>
  <c r="I7" i="1"/>
  <c r="H7" i="1"/>
  <c r="G7" i="1"/>
  <c r="B7" i="1"/>
  <c r="B8" i="1" s="1"/>
  <c r="B9" i="1" s="1"/>
  <c r="B10" i="1" s="1"/>
  <c r="B11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21" i="1" s="1"/>
  <c r="A22" i="1" s="1"/>
  <c r="A23" i="1" s="1"/>
  <c r="A24" i="1" s="1"/>
  <c r="A27" i="1" s="1"/>
  <c r="A28" i="1" s="1"/>
  <c r="A31" i="1" s="1"/>
  <c r="A33" i="1" s="1"/>
  <c r="A34" i="1" s="1"/>
  <c r="A35" i="1" s="1"/>
  <c r="A36" i="1" s="1"/>
  <c r="A37" i="1" s="1"/>
  <c r="A38" i="1" s="1"/>
  <c r="A39" i="1" s="1"/>
  <c r="A42" i="1" s="1"/>
  <c r="A43" i="1" s="1"/>
  <c r="A44" i="1" s="1"/>
  <c r="A45" i="1" s="1"/>
  <c r="A46" i="1" s="1"/>
  <c r="A47" i="1" s="1"/>
  <c r="A48" i="1" s="1"/>
  <c r="A51" i="1" s="1"/>
  <c r="M6" i="1"/>
  <c r="L6" i="1"/>
  <c r="K6" i="1"/>
  <c r="I6" i="1"/>
  <c r="H6" i="1"/>
  <c r="G6" i="1"/>
  <c r="I1" i="1"/>
  <c r="G29" i="1" l="1"/>
  <c r="G56" i="1"/>
  <c r="N133" i="1"/>
  <c r="I76" i="1"/>
  <c r="I49" i="1"/>
  <c r="I29" i="1"/>
  <c r="M49" i="1"/>
  <c r="H25" i="1"/>
  <c r="N75" i="1"/>
  <c r="M71" i="1"/>
  <c r="I25" i="1"/>
  <c r="M18" i="1"/>
  <c r="D19" i="1"/>
  <c r="D78" i="1" s="1"/>
  <c r="H29" i="1"/>
  <c r="M29" i="1"/>
  <c r="M76" i="1"/>
  <c r="L137" i="1"/>
  <c r="N114" i="1"/>
  <c r="N122" i="1"/>
  <c r="L76" i="1"/>
  <c r="H49" i="1"/>
  <c r="N31" i="1"/>
  <c r="L25" i="1"/>
  <c r="M45" i="1"/>
  <c r="N63" i="1"/>
  <c r="L45" i="1"/>
  <c r="K71" i="1"/>
  <c r="K40" i="1"/>
  <c r="K49" i="1"/>
  <c r="K56" i="1"/>
  <c r="L56" i="1"/>
  <c r="N53" i="1"/>
  <c r="N55" i="1"/>
  <c r="K25" i="1"/>
  <c r="A65" i="1"/>
  <c r="A66" i="1" s="1"/>
  <c r="A67" i="1" s="1"/>
  <c r="A68" i="1" s="1"/>
  <c r="A69" i="1" s="1"/>
  <c r="A70" i="1" s="1"/>
  <c r="A73" i="1" s="1"/>
  <c r="A74" i="1" s="1"/>
  <c r="A75" i="1" s="1"/>
  <c r="K29" i="1"/>
  <c r="N44" i="1"/>
  <c r="N51" i="1"/>
  <c r="N54" i="1"/>
  <c r="M25" i="1"/>
  <c r="M40" i="1"/>
  <c r="N35" i="1"/>
  <c r="N37" i="1"/>
  <c r="N39" i="1"/>
  <c r="L40" i="1"/>
  <c r="K45" i="1"/>
  <c r="N58" i="1"/>
  <c r="L71" i="1"/>
  <c r="N69" i="1"/>
  <c r="N24" i="1"/>
  <c r="L49" i="1"/>
  <c r="N52" i="1"/>
  <c r="N62" i="1"/>
  <c r="N128" i="1"/>
  <c r="N127" i="1"/>
  <c r="H45" i="1"/>
  <c r="G45" i="1"/>
  <c r="N43" i="1"/>
  <c r="N7" i="1"/>
  <c r="G40" i="1"/>
  <c r="N36" i="1"/>
  <c r="N38" i="1"/>
  <c r="N70" i="1"/>
  <c r="N68" i="1"/>
  <c r="N61" i="1"/>
  <c r="N60" i="1"/>
  <c r="H71" i="1"/>
  <c r="H137" i="1"/>
  <c r="G137" i="1"/>
  <c r="N118" i="1"/>
  <c r="N22" i="1"/>
  <c r="G25" i="1"/>
  <c r="H76" i="1"/>
  <c r="K18" i="1"/>
  <c r="N18" i="1" s="1"/>
  <c r="L19" i="1"/>
  <c r="K17" i="1"/>
  <c r="N12" i="1"/>
  <c r="N14" i="1"/>
  <c r="N6" i="1"/>
  <c r="N11" i="1"/>
  <c r="H19" i="1"/>
  <c r="N13" i="1"/>
  <c r="N16" i="1"/>
  <c r="N48" i="1"/>
  <c r="N23" i="1"/>
  <c r="N74" i="1"/>
  <c r="N132" i="1"/>
  <c r="I19" i="1"/>
  <c r="G19" i="1"/>
  <c r="N28" i="1"/>
  <c r="N42" i="1"/>
  <c r="N47" i="1"/>
  <c r="M56" i="1"/>
  <c r="H56" i="1"/>
  <c r="I71" i="1"/>
  <c r="N67" i="1"/>
  <c r="G71" i="1"/>
  <c r="N73" i="1"/>
  <c r="I137" i="1"/>
  <c r="D141" i="1" s="1"/>
  <c r="N115" i="1"/>
  <c r="N119" i="1"/>
  <c r="N135" i="1"/>
  <c r="N15" i="1"/>
  <c r="N33" i="1"/>
  <c r="I40" i="1"/>
  <c r="I45" i="1"/>
  <c r="K76" i="1"/>
  <c r="M137" i="1"/>
  <c r="D143" i="1" s="1"/>
  <c r="N113" i="1"/>
  <c r="K137" i="1"/>
  <c r="N8" i="1"/>
  <c r="N10" i="1"/>
  <c r="N9" i="1"/>
  <c r="N21" i="1"/>
  <c r="N27" i="1"/>
  <c r="L29" i="1"/>
  <c r="H40" i="1"/>
  <c r="N34" i="1"/>
  <c r="I56" i="1"/>
  <c r="N59" i="1"/>
  <c r="N64" i="1"/>
  <c r="J78" i="1"/>
  <c r="D86" i="1" s="1"/>
  <c r="N124" i="1"/>
  <c r="N130" i="1"/>
  <c r="D137" i="1"/>
  <c r="M17" i="1"/>
  <c r="G49" i="1"/>
  <c r="G78" i="1" s="1"/>
  <c r="G76" i="1"/>
  <c r="M19" i="1" l="1"/>
  <c r="D142" i="1"/>
  <c r="N137" i="1"/>
  <c r="N45" i="1"/>
  <c r="I78" i="1"/>
  <c r="D83" i="1" s="1"/>
  <c r="N29" i="1"/>
  <c r="K19" i="1"/>
  <c r="K78" i="1" s="1"/>
  <c r="H78" i="1"/>
  <c r="N71" i="1"/>
  <c r="D148" i="1"/>
  <c r="N25" i="1"/>
  <c r="N17" i="1"/>
  <c r="N19" i="1" s="1"/>
  <c r="L78" i="1"/>
  <c r="M78" i="1"/>
  <c r="D85" i="1" s="1"/>
  <c r="N40" i="1"/>
  <c r="N76" i="1"/>
  <c r="N56" i="1"/>
  <c r="N49" i="1"/>
  <c r="D82" i="1" l="1"/>
  <c r="D84" i="1"/>
  <c r="N78" i="1"/>
  <c r="D100" i="1" l="1"/>
</calcChain>
</file>

<file path=xl/sharedStrings.xml><?xml version="1.0" encoding="utf-8"?>
<sst xmlns="http://schemas.openxmlformats.org/spreadsheetml/2006/main" count="1376" uniqueCount="260">
  <si>
    <t>STATIONS MANAGEMENT SERVICES LIMITED</t>
  </si>
  <si>
    <t>PAYROLL FOR JANUARY.2021</t>
  </si>
  <si>
    <t xml:space="preserve">VAT ON </t>
  </si>
  <si>
    <t>STAFF</t>
  </si>
  <si>
    <t>BASIC</t>
  </si>
  <si>
    <t xml:space="preserve">OVERTIME </t>
  </si>
  <si>
    <t>OVERTIME</t>
  </si>
  <si>
    <t>AMOUNT</t>
  </si>
  <si>
    <t>PENSION COMPANY</t>
  </si>
  <si>
    <t>HEALTH</t>
  </si>
  <si>
    <t xml:space="preserve">ADMIN + BROKER </t>
  </si>
  <si>
    <t>G /LIFE</t>
  </si>
  <si>
    <t>ADMIN FEE</t>
  </si>
  <si>
    <t>GLOSS SALARY</t>
  </si>
  <si>
    <t>DEPOT</t>
  </si>
  <si>
    <t>SALARY</t>
  </si>
  <si>
    <t>NORMAL HRS</t>
  </si>
  <si>
    <t>PUBLIC HRS</t>
  </si>
  <si>
    <t>NORMAL</t>
  </si>
  <si>
    <t>PUBLIC</t>
  </si>
  <si>
    <t>MASM</t>
  </si>
  <si>
    <t>Davide Steward Eleven</t>
  </si>
  <si>
    <t>SUCOMA</t>
  </si>
  <si>
    <t>Davie Master</t>
  </si>
  <si>
    <t>Flora Mazika</t>
  </si>
  <si>
    <t>Grace Chilembwe</t>
  </si>
  <si>
    <t>Hassan Bonnex</t>
  </si>
  <si>
    <t>Moses Chimdzakadzi</t>
  </si>
  <si>
    <t>Mercy Jere</t>
  </si>
  <si>
    <t>Patricia Malibwana</t>
  </si>
  <si>
    <t xml:space="preserve">Peter Geofrey  </t>
  </si>
  <si>
    <t>Richard Yohani</t>
  </si>
  <si>
    <t>Robert Magoli</t>
  </si>
  <si>
    <t>TOTALS</t>
  </si>
  <si>
    <t>Billy Kulupanga</t>
  </si>
  <si>
    <t>Goodson Evans Matewere</t>
  </si>
  <si>
    <t>LIMBE DEPOT</t>
  </si>
  <si>
    <t>Kenneth Simonje</t>
  </si>
  <si>
    <t>Brave Nyalugwe</t>
  </si>
  <si>
    <t>Alifonsina Chibondo</t>
  </si>
  <si>
    <t>ZAGAF DEPOT</t>
  </si>
  <si>
    <t>Alick Ramsey January</t>
  </si>
  <si>
    <t>Janet Luhana</t>
  </si>
  <si>
    <t>TOTAL H/O</t>
  </si>
  <si>
    <t>Hodges Chikwera</t>
  </si>
  <si>
    <t>DWANGWA DEPOT</t>
  </si>
  <si>
    <t>Everyne Ngwira</t>
  </si>
  <si>
    <t>Angella Ndalamila</t>
  </si>
  <si>
    <t>Ackiford Chapeta</t>
  </si>
  <si>
    <t>Richard Nyirenda</t>
  </si>
  <si>
    <t>Willard N.W. Thomas</t>
  </si>
  <si>
    <t>Levison MShanga</t>
  </si>
  <si>
    <t>Mpindi Pearson</t>
  </si>
  <si>
    <t>KANENGO</t>
  </si>
  <si>
    <t>Mphatso Ngololombe</t>
  </si>
  <si>
    <t>Ganizani Kayiwala</t>
  </si>
  <si>
    <t>Blessing Mumba</t>
  </si>
  <si>
    <t>MZUZU DEPOT</t>
  </si>
  <si>
    <t>Mary Mwalija</t>
  </si>
  <si>
    <t>Beatrice MUSICHA</t>
  </si>
  <si>
    <t>MDs House</t>
  </si>
  <si>
    <t>Chisomo Thunyani</t>
  </si>
  <si>
    <t>Rodrick  Mtembangombe</t>
  </si>
  <si>
    <t>Simon Ngwira</t>
  </si>
  <si>
    <t xml:space="preserve">Benson Baruti </t>
  </si>
  <si>
    <t>Tiyamike Mpingo</t>
  </si>
  <si>
    <t>TSIRANANA FILLING STATION</t>
  </si>
  <si>
    <t>Amos Chapita</t>
  </si>
  <si>
    <t>Everson Donga</t>
  </si>
  <si>
    <t>Kettie Chirambo</t>
  </si>
  <si>
    <t>Joseph Chibwana</t>
  </si>
  <si>
    <t>Shuppikai Mboma</t>
  </si>
  <si>
    <t>Edga Kazombe</t>
  </si>
  <si>
    <t>NEW</t>
  </si>
  <si>
    <t>Chikondi Chaponda</t>
  </si>
  <si>
    <t>Victor Kumasala</t>
  </si>
  <si>
    <t>Rabbecca Gawani</t>
  </si>
  <si>
    <t>Keith Kaliati</t>
  </si>
  <si>
    <t>Chifundo  Ackford Moffat</t>
  </si>
  <si>
    <t>SALIMA</t>
  </si>
  <si>
    <t>Moreen Saka</t>
  </si>
  <si>
    <t>Jay Jeke</t>
  </si>
  <si>
    <t>GRAND TOTALS</t>
  </si>
  <si>
    <t>OK</t>
  </si>
  <si>
    <t>SALARY ( 1+2+3</t>
  </si>
  <si>
    <t>PENSIONS (4)</t>
  </si>
  <si>
    <t>GROUP LIFE (6 + 7)</t>
  </si>
  <si>
    <t>VAT ON ADMIN FEE ( 8 )</t>
  </si>
  <si>
    <t>MASM ( 5)</t>
  </si>
  <si>
    <t>Safety shoe Tsiranana</t>
  </si>
  <si>
    <t>see attachment</t>
  </si>
  <si>
    <t>Loan Mower services ar MD</t>
  </si>
  <si>
    <t>Tree prunnung</t>
  </si>
  <si>
    <t>see attachement</t>
  </si>
  <si>
    <t>.</t>
  </si>
  <si>
    <t>Disposal of all prunned branches</t>
  </si>
  <si>
    <t>Bank charges on salary processing</t>
  </si>
  <si>
    <t>Travel,statioaery,communication  etc</t>
  </si>
  <si>
    <t>Management fee</t>
  </si>
  <si>
    <t xml:space="preserve"> TOTAL PAYABLE</t>
  </si>
  <si>
    <t>CREVRAND KAONDO</t>
  </si>
  <si>
    <t>CLEANING SECTION</t>
  </si>
  <si>
    <t>VAT ON</t>
  </si>
  <si>
    <t xml:space="preserve">ADMIN  + BROKER </t>
  </si>
  <si>
    <t>SALARIES</t>
  </si>
  <si>
    <t>Mary Nchoma</t>
  </si>
  <si>
    <t>Chrissy Nyongolo</t>
  </si>
  <si>
    <t>William Mtambalika</t>
  </si>
  <si>
    <t>Tadala Sulumba</t>
  </si>
  <si>
    <t>Felix Polinyo</t>
  </si>
  <si>
    <t>A</t>
  </si>
  <si>
    <t>Shadreck Peterson</t>
  </si>
  <si>
    <t>Phyllis Manda</t>
  </si>
  <si>
    <t>Kambuku City Centre</t>
  </si>
  <si>
    <t>TEMPORARY CLEANER 8 DAYS</t>
  </si>
  <si>
    <t>Anderson Godfrey</t>
  </si>
  <si>
    <t>Robert Mcford</t>
  </si>
  <si>
    <t>Erick Bwanali</t>
  </si>
  <si>
    <t>DWANGWA</t>
  </si>
  <si>
    <t>Selina Ng'oma</t>
  </si>
  <si>
    <t>Gift Edwin</t>
  </si>
  <si>
    <t>Yamikani</t>
  </si>
  <si>
    <t>Tsiranana F/Stn.</t>
  </si>
  <si>
    <t>SUMMARY</t>
  </si>
  <si>
    <t>SALARY ( 1+2+3 + 1a</t>
  </si>
  <si>
    <t>CLEANING MATTERIALS</t>
  </si>
  <si>
    <t>ELIAS k Banda (relief)</t>
  </si>
  <si>
    <t>Wilson Mulichabe (relief)</t>
  </si>
  <si>
    <t xml:space="preserve">BROKER </t>
  </si>
  <si>
    <t>CARSTEL</t>
  </si>
  <si>
    <t>Berther Zimba</t>
  </si>
  <si>
    <t>Charity Kadzombe</t>
  </si>
  <si>
    <t>Priscilla Ngwira</t>
  </si>
  <si>
    <t>Chance Chawinga</t>
  </si>
  <si>
    <t>McDonald Dawala</t>
  </si>
  <si>
    <t>KARONGA MAIN STATION</t>
  </si>
  <si>
    <t>Aaron Mafaiti</t>
  </si>
  <si>
    <t>KARONGOF/STN</t>
  </si>
  <si>
    <t>Barnet Msiska</t>
  </si>
  <si>
    <t>Selaphine Mphepo</t>
  </si>
  <si>
    <t>Moliness Kuyokwa</t>
  </si>
  <si>
    <t>Happy Kumwenda</t>
  </si>
  <si>
    <t>Martha Nyasulu</t>
  </si>
  <si>
    <t>Benedicto Mauaboma</t>
  </si>
  <si>
    <t>Blessings Masanja</t>
  </si>
  <si>
    <t>Peter Kavala</t>
  </si>
  <si>
    <t>Aston Chuzumila</t>
  </si>
  <si>
    <t>TO BE AGREED</t>
  </si>
  <si>
    <t>PAYROLL FOR JAN.2022</t>
  </si>
  <si>
    <t>Mwai Mvula</t>
  </si>
  <si>
    <t>Brandina Kapachila</t>
  </si>
  <si>
    <t>Clement Innocent Matewere</t>
  </si>
  <si>
    <t>Gloves plus mops at MD</t>
  </si>
  <si>
    <t>Nchalo offloads plus grass cutting</t>
  </si>
  <si>
    <t>2566</t>
  </si>
  <si>
    <t>Bin disposal</t>
  </si>
  <si>
    <t>see attachments</t>
  </si>
  <si>
    <t>DATED 19/01/2022</t>
  </si>
  <si>
    <t>1</t>
  </si>
  <si>
    <t>SS DEBONAIR CLEANING</t>
  </si>
  <si>
    <t xml:space="preserve">                                           </t>
  </si>
  <si>
    <t>SEE</t>
  </si>
  <si>
    <t>565/521548</t>
  </si>
  <si>
    <t>SHUPI</t>
  </si>
  <si>
    <t>Lawn Mower fuel Md</t>
  </si>
  <si>
    <t>ELITA CHIYANI</t>
  </si>
  <si>
    <t>Temporary receptionist (8 days *7)</t>
  </si>
  <si>
    <t>Temporary receptionist (3 days*7)</t>
  </si>
  <si>
    <t>Davie Mtonga</t>
  </si>
  <si>
    <t>Silvester Kamanga</t>
  </si>
  <si>
    <t>IDENTIFY</t>
  </si>
  <si>
    <t>VALUE DATE</t>
  </si>
  <si>
    <t>REFERENCE</t>
  </si>
  <si>
    <t>DBT.ACCT</t>
  </si>
  <si>
    <t>JANUARY 2022 SAL</t>
  </si>
  <si>
    <t>TOTAL.AMOUNT</t>
  </si>
  <si>
    <t>BEN.NAME</t>
  </si>
  <si>
    <t>BEN.ACCT</t>
  </si>
  <si>
    <t>BEN.REFERENCE</t>
  </si>
  <si>
    <t>BEN.SORT CODE</t>
  </si>
  <si>
    <t>BEN.BANK</t>
  </si>
  <si>
    <t>SMS  JAN 2022 SAL</t>
  </si>
  <si>
    <t>05</t>
  </si>
  <si>
    <t>NBM</t>
  </si>
  <si>
    <t>01</t>
  </si>
  <si>
    <t>STD</t>
  </si>
  <si>
    <t>Albert Chimasula</t>
  </si>
  <si>
    <t>NBS</t>
  </si>
  <si>
    <t xml:space="preserve">5415000007211 </t>
  </si>
  <si>
    <t>04</t>
  </si>
  <si>
    <t>ECO</t>
  </si>
  <si>
    <t>Amos Damson Chapita</t>
  </si>
  <si>
    <t>Angella Ndalamira</t>
  </si>
  <si>
    <t>Annice Mwenda</t>
  </si>
  <si>
    <t>Aston  Petros Chizumila</t>
  </si>
  <si>
    <t>FDH</t>
  </si>
  <si>
    <t>Benedict Mauaboma</t>
  </si>
  <si>
    <t>Benson Baluti</t>
  </si>
  <si>
    <t>Brandina Kapichika</t>
  </si>
  <si>
    <t>Chifundo  Moffat</t>
  </si>
  <si>
    <t>Christopher Bicktone</t>
  </si>
  <si>
    <t>Clement Matewere</t>
  </si>
  <si>
    <t>03</t>
  </si>
  <si>
    <t>FCB</t>
  </si>
  <si>
    <t>Crevrand Kaondo</t>
  </si>
  <si>
    <t>David Steward</t>
  </si>
  <si>
    <t>Edgar Kazonde</t>
  </si>
  <si>
    <t>Elias K Banda</t>
  </si>
  <si>
    <t>Erick Bwanali    (Cleaner)</t>
  </si>
  <si>
    <t>Geofrey Kandiado</t>
  </si>
  <si>
    <t>Godfrey Anderson</t>
  </si>
  <si>
    <t>Kettie Linda Chirambo</t>
  </si>
  <si>
    <t>Mary  Nchona</t>
  </si>
  <si>
    <t>Patrick Chimwaza</t>
  </si>
  <si>
    <t>Paul Lion</t>
  </si>
  <si>
    <t>Peter Makiyi Gofrey</t>
  </si>
  <si>
    <t>Rabecca Chimombo Gawani</t>
  </si>
  <si>
    <t>Richard Maron</t>
  </si>
  <si>
    <t>Robert McFord</t>
  </si>
  <si>
    <t>Selina N'goma</t>
  </si>
  <si>
    <t>Shadreck Peterson (Office Assistant)</t>
  </si>
  <si>
    <t>Tikhale Sambani</t>
  </si>
  <si>
    <t>Tiyamike Saiti Mpingo</t>
  </si>
  <si>
    <t xml:space="preserve">William Mtambalika </t>
  </si>
  <si>
    <t>Wilson Mulichabe</t>
  </si>
  <si>
    <t>Yamikani Sports Makawa</t>
  </si>
  <si>
    <t xml:space="preserve">LifeCo Pension </t>
  </si>
  <si>
    <t>Stations Maagement Services Dec.21</t>
  </si>
  <si>
    <t xml:space="preserve">LifeCo GLA </t>
  </si>
  <si>
    <t>PAYROLL FOR FEBRUARY.2022</t>
  </si>
  <si>
    <t>Lawn Mower fuel &amp; spares Mds</t>
  </si>
  <si>
    <t>Travel,stationery,communication  etc</t>
  </si>
  <si>
    <t>Nchalo relief  approved</t>
  </si>
  <si>
    <t>relief transport   approved</t>
  </si>
  <si>
    <t>see attached</t>
  </si>
  <si>
    <t>Lubs offloading  Dwangwa approved</t>
  </si>
  <si>
    <t>Hodges  Lubs offlo.</t>
  </si>
  <si>
    <t>Moses Kambewa</t>
  </si>
  <si>
    <t>Dwangwa lubs offloading</t>
  </si>
  <si>
    <t>transport to relief sites</t>
  </si>
  <si>
    <t>relief cash to sited</t>
  </si>
  <si>
    <t>PAYROLL FOR MARCH.2022</t>
  </si>
  <si>
    <t>Temporary reception two days</t>
  </si>
  <si>
    <t>Excavation of debris/sand at Limbe depot caused by floods</t>
  </si>
  <si>
    <t>Gardening matterials plus Mzuzu depot two trousers replacement</t>
  </si>
  <si>
    <t>PAYROLL FOR APRIL.2022</t>
  </si>
  <si>
    <t>Emma Finias ( relief)</t>
  </si>
  <si>
    <t>Ruth Safari (relief)</t>
  </si>
  <si>
    <t>Janet Luhana (Terminal benefits)</t>
  </si>
  <si>
    <t>Bright Mbizi</t>
  </si>
  <si>
    <t>INCREASE</t>
  </si>
  <si>
    <t xml:space="preserve">REVISED </t>
  </si>
  <si>
    <t>totals</t>
  </si>
  <si>
    <t>Management fee + Arears</t>
  </si>
  <si>
    <t>AREARS</t>
  </si>
  <si>
    <t>SALARY ( 1+2+3+9</t>
  </si>
  <si>
    <t>Temporary reception 5days days</t>
  </si>
  <si>
    <t>Lawn mower fuel &amp; oil</t>
  </si>
  <si>
    <t>ARREARS</t>
  </si>
  <si>
    <t>Cleaners golf shirts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</si>
</sst>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#,##0.0"/>
    <numFmt numFmtId="165" formatCode="0.0"/>
    <numFmt numFmtId="166" formatCode="#,##0.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4"/>
      <color indexed="8"/>
      <name val="Calibri"/>
      <family val="2"/>
    </font>
    <font>
      <sz val="12"/>
      <color theme="1"/>
      <name val="Calibri"/>
      <family val="2"/>
      <scheme val="minor"/>
    </font>
    <font>
      <b/>
      <u/>
      <sz val="12"/>
      <name val="Calibri"/>
      <family val="2"/>
    </font>
    <font>
      <b/>
      <sz val="11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</font>
    <font>
      <b/>
      <sz val="12"/>
      <color indexed="8"/>
      <name val="Calibri"/>
      <family val="2"/>
    </font>
    <font>
      <b/>
      <sz val="12"/>
      <name val="Calibri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indexed="8"/>
      <name val="Calibri"/>
      <family val="2"/>
    </font>
    <font>
      <b/>
      <sz val="16"/>
      <color indexed="8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7">
    <xf numFmtId="0" fontId="0" fillId="0" borderId="0" xfId="0"/>
    <xf numFmtId="0" fontId="0" fillId="0" borderId="0" xfId="0" applyFill="1" applyProtection="1"/>
    <xf numFmtId="0" fontId="4" fillId="0" borderId="0" xfId="0" applyFont="1" applyFill="1" applyProtection="1"/>
    <xf numFmtId="3" fontId="5" fillId="0" borderId="0" xfId="0" applyNumberFormat="1" applyFont="1" applyFill="1" applyAlignment="1" applyProtection="1">
      <alignment horizontal="center"/>
    </xf>
    <xf numFmtId="0" fontId="5" fillId="0" borderId="0" xfId="0" applyFont="1" applyFill="1" applyProtection="1"/>
    <xf numFmtId="2" fontId="0" fillId="0" borderId="0" xfId="0" applyNumberFormat="1" applyFill="1" applyProtection="1"/>
    <xf numFmtId="0" fontId="6" fillId="0" borderId="0" xfId="0" applyFont="1" applyFill="1" applyProtection="1"/>
    <xf numFmtId="0" fontId="7" fillId="0" borderId="0" xfId="0" applyFont="1" applyFill="1" applyProtection="1"/>
    <xf numFmtId="3" fontId="6" fillId="0" borderId="0" xfId="0" applyNumberFormat="1" applyFont="1" applyFill="1" applyAlignment="1" applyProtection="1">
      <alignment horizontal="center"/>
    </xf>
    <xf numFmtId="2" fontId="6" fillId="0" borderId="0" xfId="0" applyNumberFormat="1" applyFont="1" applyFill="1" applyProtection="1"/>
    <xf numFmtId="0" fontId="8" fillId="0" borderId="0" xfId="0" applyFont="1" applyFill="1" applyAlignment="1" applyProtection="1">
      <alignment horizontal="center"/>
    </xf>
    <xf numFmtId="3" fontId="0" fillId="0" borderId="0" xfId="0" applyNumberFormat="1" applyFill="1" applyAlignment="1" applyProtection="1">
      <alignment horizontal="center"/>
    </xf>
    <xf numFmtId="0" fontId="9" fillId="0" borderId="0" xfId="0" applyFont="1" applyFill="1" applyProtection="1"/>
    <xf numFmtId="0" fontId="9" fillId="0" borderId="1" xfId="0" applyFont="1" applyFill="1" applyBorder="1" applyProtection="1"/>
    <xf numFmtId="0" fontId="8" fillId="0" borderId="2" xfId="0" applyFont="1" applyFill="1" applyBorder="1" applyAlignment="1" applyProtection="1">
      <alignment horizontal="center"/>
    </xf>
    <xf numFmtId="3" fontId="9" fillId="0" borderId="2" xfId="0" applyNumberFormat="1" applyFont="1" applyFill="1" applyBorder="1" applyAlignment="1" applyProtection="1">
      <alignment horizontal="center"/>
    </xf>
    <xf numFmtId="0" fontId="9" fillId="0" borderId="2" xfId="0" applyFont="1" applyFill="1" applyBorder="1" applyProtection="1"/>
    <xf numFmtId="2" fontId="9" fillId="0" borderId="2" xfId="0" applyNumberFormat="1" applyFont="1" applyFill="1" applyBorder="1" applyAlignment="1" applyProtection="1">
      <alignment horizontal="center"/>
    </xf>
    <xf numFmtId="0" fontId="9" fillId="0" borderId="2" xfId="0" applyFont="1" applyFill="1" applyBorder="1" applyAlignment="1" applyProtection="1">
      <alignment wrapText="1"/>
    </xf>
    <xf numFmtId="0" fontId="9" fillId="0" borderId="2" xfId="0" applyFont="1" applyFill="1" applyBorder="1" applyAlignment="1" applyProtection="1">
      <alignment horizontal="center"/>
    </xf>
    <xf numFmtId="0" fontId="9" fillId="0" borderId="3" xfId="0" applyFont="1" applyFill="1" applyBorder="1" applyProtection="1"/>
    <xf numFmtId="2" fontId="9" fillId="0" borderId="0" xfId="0" applyNumberFormat="1" applyFont="1" applyFill="1" applyProtection="1"/>
    <xf numFmtId="0" fontId="3" fillId="0" borderId="0" xfId="0" applyFont="1" applyFill="1" applyProtection="1"/>
    <xf numFmtId="0" fontId="3" fillId="0" borderId="4" xfId="0" applyFont="1" applyFill="1" applyBorder="1" applyProtection="1"/>
    <xf numFmtId="0" fontId="10" fillId="0" borderId="5" xfId="0" applyFont="1" applyFill="1" applyBorder="1" applyAlignment="1" applyProtection="1">
      <alignment horizontal="center"/>
    </xf>
    <xf numFmtId="3" fontId="3" fillId="0" borderId="5" xfId="0" applyNumberFormat="1" applyFont="1" applyFill="1" applyBorder="1" applyAlignment="1" applyProtection="1">
      <alignment horizontal="center"/>
    </xf>
    <xf numFmtId="4" fontId="3" fillId="0" borderId="5" xfId="0" applyNumberFormat="1" applyFont="1" applyFill="1" applyBorder="1" applyAlignment="1" applyProtection="1">
      <alignment horizontal="center"/>
    </xf>
    <xf numFmtId="9" fontId="3" fillId="0" borderId="5" xfId="0" applyNumberFormat="1" applyFont="1" applyFill="1" applyBorder="1" applyProtection="1"/>
    <xf numFmtId="2" fontId="3" fillId="0" borderId="5" xfId="0" applyNumberFormat="1" applyFont="1" applyFill="1" applyBorder="1" applyProtection="1"/>
    <xf numFmtId="10" fontId="3" fillId="0" borderId="0" xfId="0" applyNumberFormat="1" applyFont="1" applyFill="1" applyBorder="1" applyProtection="1"/>
    <xf numFmtId="4" fontId="3" fillId="0" borderId="5" xfId="0" applyNumberFormat="1" applyFont="1" applyFill="1" applyBorder="1" applyProtection="1"/>
    <xf numFmtId="0" fontId="3" fillId="0" borderId="6" xfId="0" applyFont="1" applyFill="1" applyBorder="1" applyProtection="1"/>
    <xf numFmtId="2" fontId="3" fillId="0" borderId="0" xfId="0" applyNumberFormat="1" applyFont="1" applyFill="1" applyProtection="1"/>
    <xf numFmtId="0" fontId="11" fillId="0" borderId="0" xfId="0" applyFont="1" applyFill="1" applyBorder="1" applyProtection="1"/>
    <xf numFmtId="4" fontId="12" fillId="0" borderId="0" xfId="0" applyNumberFormat="1" applyFont="1" applyFill="1" applyBorder="1" applyProtection="1"/>
    <xf numFmtId="3" fontId="0" fillId="0" borderId="0" xfId="0" applyNumberFormat="1" applyFill="1" applyBorder="1" applyAlignment="1" applyProtection="1">
      <alignment horizontal="center"/>
    </xf>
    <xf numFmtId="4" fontId="0" fillId="0" borderId="0" xfId="0" applyNumberFormat="1" applyFill="1" applyBorder="1" applyProtection="1"/>
    <xf numFmtId="2" fontId="0" fillId="0" borderId="0" xfId="0" applyNumberFormat="1" applyFill="1" applyBorder="1" applyProtection="1"/>
    <xf numFmtId="4" fontId="9" fillId="0" borderId="0" xfId="0" applyNumberFormat="1" applyFont="1" applyFill="1" applyBorder="1" applyProtection="1"/>
    <xf numFmtId="0" fontId="0" fillId="0" borderId="7" xfId="0" applyFill="1" applyBorder="1" applyProtection="1"/>
    <xf numFmtId="0" fontId="0" fillId="0" borderId="0" xfId="0" applyFill="1" applyBorder="1" applyProtection="1"/>
    <xf numFmtId="0" fontId="12" fillId="0" borderId="0" xfId="0" applyFont="1" applyFill="1" applyBorder="1" applyProtection="1"/>
    <xf numFmtId="0" fontId="13" fillId="0" borderId="0" xfId="0" applyFont="1" applyFill="1" applyBorder="1" applyProtection="1"/>
    <xf numFmtId="3" fontId="12" fillId="0" borderId="0" xfId="0" applyNumberFormat="1" applyFont="1" applyFill="1" applyBorder="1" applyAlignment="1" applyProtection="1">
      <alignment horizontal="center"/>
    </xf>
    <xf numFmtId="2" fontId="12" fillId="0" borderId="0" xfId="0" applyNumberFormat="1" applyFont="1" applyFill="1" applyBorder="1" applyProtection="1"/>
    <xf numFmtId="4" fontId="8" fillId="0" borderId="0" xfId="0" applyNumberFormat="1" applyFont="1" applyFill="1" applyBorder="1" applyProtection="1"/>
    <xf numFmtId="0" fontId="12" fillId="0" borderId="7" xfId="0" applyFont="1" applyFill="1" applyBorder="1" applyProtection="1"/>
    <xf numFmtId="0" fontId="12" fillId="0" borderId="0" xfId="0" applyFont="1" applyFill="1" applyProtection="1"/>
    <xf numFmtId="0" fontId="9" fillId="0" borderId="0" xfId="0" applyFont="1" applyFill="1" applyBorder="1" applyProtection="1"/>
    <xf numFmtId="4" fontId="8" fillId="0" borderId="0" xfId="0" applyNumberFormat="1" applyFont="1" applyFill="1" applyBorder="1" applyAlignment="1" applyProtection="1">
      <alignment horizontal="center"/>
    </xf>
    <xf numFmtId="0" fontId="9" fillId="0" borderId="7" xfId="0" applyFont="1" applyFill="1" applyBorder="1" applyProtection="1"/>
    <xf numFmtId="4" fontId="9" fillId="0" borderId="0" xfId="0" applyNumberFormat="1" applyFont="1" applyFill="1" applyProtection="1"/>
    <xf numFmtId="0" fontId="3" fillId="0" borderId="0" xfId="0" applyFont="1" applyFill="1" applyBorder="1" applyProtection="1"/>
    <xf numFmtId="4" fontId="10" fillId="0" borderId="0" xfId="0" applyNumberFormat="1" applyFont="1" applyFill="1" applyBorder="1" applyProtection="1"/>
    <xf numFmtId="3" fontId="8" fillId="0" borderId="0" xfId="0" applyNumberFormat="1" applyFont="1" applyFill="1" applyBorder="1" applyAlignment="1" applyProtection="1">
      <alignment horizontal="center"/>
    </xf>
    <xf numFmtId="3" fontId="9" fillId="0" borderId="0" xfId="0" applyNumberFormat="1" applyFont="1" applyFill="1" applyBorder="1" applyAlignment="1" applyProtection="1">
      <alignment horizontal="center"/>
    </xf>
    <xf numFmtId="2" fontId="9" fillId="0" borderId="0" xfId="0" applyNumberFormat="1" applyFont="1" applyFill="1" applyBorder="1" applyProtection="1"/>
    <xf numFmtId="2" fontId="12" fillId="0" borderId="0" xfId="0" applyNumberFormat="1" applyFont="1" applyFill="1" applyProtection="1"/>
    <xf numFmtId="4" fontId="10" fillId="0" borderId="0" xfId="0" applyNumberFormat="1" applyFont="1" applyFill="1" applyBorder="1" applyAlignment="1" applyProtection="1">
      <alignment horizontal="center"/>
    </xf>
    <xf numFmtId="0" fontId="3" fillId="0" borderId="7" xfId="0" applyFont="1" applyFill="1" applyBorder="1" applyProtection="1"/>
    <xf numFmtId="0" fontId="12" fillId="2" borderId="0" xfId="0" applyFont="1" applyFill="1" applyBorder="1" applyProtection="1"/>
    <xf numFmtId="4" fontId="12" fillId="2" borderId="0" xfId="0" applyNumberFormat="1" applyFont="1" applyFill="1" applyBorder="1" applyProtection="1"/>
    <xf numFmtId="3" fontId="12" fillId="2" borderId="0" xfId="0" applyNumberFormat="1" applyFont="1" applyFill="1" applyBorder="1" applyAlignment="1" applyProtection="1">
      <alignment horizontal="center"/>
    </xf>
    <xf numFmtId="2" fontId="12" fillId="2" borderId="0" xfId="0" applyNumberFormat="1" applyFont="1" applyFill="1" applyBorder="1" applyProtection="1"/>
    <xf numFmtId="4" fontId="8" fillId="2" borderId="0" xfId="0" applyNumberFormat="1" applyFont="1" applyFill="1" applyBorder="1" applyProtection="1"/>
    <xf numFmtId="0" fontId="12" fillId="2" borderId="0" xfId="0" applyFont="1" applyFill="1" applyProtection="1"/>
    <xf numFmtId="0" fontId="2" fillId="0" borderId="0" xfId="0" applyFont="1" applyFill="1" applyProtection="1"/>
    <xf numFmtId="0" fontId="2" fillId="0" borderId="0" xfId="0" applyFont="1" applyFill="1" applyBorder="1" applyProtection="1"/>
    <xf numFmtId="4" fontId="2" fillId="0" borderId="0" xfId="0" applyNumberFormat="1" applyFont="1" applyFill="1" applyBorder="1" applyProtection="1"/>
    <xf numFmtId="3" fontId="2" fillId="0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Protection="1"/>
    <xf numFmtId="4" fontId="14" fillId="0" borderId="0" xfId="0" applyNumberFormat="1" applyFont="1" applyFill="1" applyBorder="1" applyProtection="1"/>
    <xf numFmtId="0" fontId="2" fillId="0" borderId="7" xfId="0" applyFont="1" applyFill="1" applyBorder="1" applyProtection="1"/>
    <xf numFmtId="4" fontId="13" fillId="0" borderId="0" xfId="0" applyNumberFormat="1" applyFont="1" applyFill="1" applyBorder="1" applyProtection="1"/>
    <xf numFmtId="4" fontId="9" fillId="0" borderId="0" xfId="0" applyNumberFormat="1" applyFont="1" applyFill="1" applyBorder="1" applyAlignment="1" applyProtection="1">
      <alignment horizontal="center"/>
    </xf>
    <xf numFmtId="0" fontId="15" fillId="0" borderId="0" xfId="0" applyFont="1" applyFill="1" applyProtection="1"/>
    <xf numFmtId="0" fontId="15" fillId="0" borderId="8" xfId="0" applyFont="1" applyFill="1" applyBorder="1" applyProtection="1"/>
    <xf numFmtId="4" fontId="16" fillId="0" borderId="8" xfId="0" applyNumberFormat="1" applyFont="1" applyFill="1" applyBorder="1" applyProtection="1"/>
    <xf numFmtId="4" fontId="16" fillId="0" borderId="8" xfId="0" applyNumberFormat="1" applyFont="1" applyFill="1" applyBorder="1" applyAlignment="1" applyProtection="1">
      <alignment horizontal="center"/>
    </xf>
    <xf numFmtId="0" fontId="15" fillId="0" borderId="6" xfId="0" applyFont="1" applyFill="1" applyBorder="1" applyProtection="1"/>
    <xf numFmtId="3" fontId="10" fillId="0" borderId="0" xfId="0" applyNumberFormat="1" applyFont="1" applyFill="1" applyAlignment="1" applyProtection="1">
      <alignment horizontal="center"/>
    </xf>
    <xf numFmtId="3" fontId="3" fillId="0" borderId="0" xfId="0" applyNumberFormat="1" applyFont="1" applyFill="1" applyAlignment="1" applyProtection="1">
      <alignment horizontal="center"/>
    </xf>
    <xf numFmtId="1" fontId="3" fillId="0" borderId="0" xfId="0" applyNumberFormat="1" applyFont="1" applyFill="1" applyAlignment="1" applyProtection="1">
      <alignment horizontal="center"/>
    </xf>
    <xf numFmtId="0" fontId="8" fillId="0" borderId="0" xfId="0" applyFont="1" applyFill="1" applyProtection="1"/>
    <xf numFmtId="4" fontId="17" fillId="0" borderId="0" xfId="0" applyNumberFormat="1" applyFont="1" applyFill="1" applyProtection="1"/>
    <xf numFmtId="4" fontId="0" fillId="0" borderId="0" xfId="0" applyNumberFormat="1" applyFill="1" applyProtection="1"/>
    <xf numFmtId="43" fontId="17" fillId="0" borderId="0" xfId="1" applyFont="1" applyFill="1" applyProtection="1"/>
    <xf numFmtId="49" fontId="8" fillId="0" borderId="0" xfId="0" applyNumberFormat="1" applyFont="1" applyFill="1" applyAlignment="1" applyProtection="1">
      <alignment wrapText="1"/>
    </xf>
    <xf numFmtId="43" fontId="16" fillId="0" borderId="0" xfId="1" applyFont="1" applyFill="1" applyProtection="1"/>
    <xf numFmtId="3" fontId="11" fillId="0" borderId="0" xfId="0" applyNumberFormat="1" applyFont="1" applyFill="1" applyAlignment="1" applyProtection="1">
      <alignment horizontal="left"/>
    </xf>
    <xf numFmtId="3" fontId="11" fillId="0" borderId="0" xfId="0" applyNumberFormat="1" applyFont="1" applyFill="1" applyAlignment="1" applyProtection="1">
      <alignment horizontal="center"/>
    </xf>
    <xf numFmtId="1" fontId="11" fillId="0" borderId="0" xfId="0" applyNumberFormat="1" applyFont="1" applyFill="1" applyAlignment="1" applyProtection="1">
      <alignment horizontal="center"/>
    </xf>
    <xf numFmtId="2" fontId="11" fillId="0" borderId="0" xfId="0" applyNumberFormat="1" applyFont="1" applyFill="1" applyProtection="1"/>
    <xf numFmtId="49" fontId="11" fillId="0" borderId="0" xfId="0" applyNumberFormat="1" applyFont="1" applyFill="1" applyAlignment="1" applyProtection="1">
      <alignment horizontal="center"/>
    </xf>
    <xf numFmtId="0" fontId="8" fillId="0" borderId="0" xfId="0" applyFont="1" applyFill="1" applyAlignment="1" applyProtection="1">
      <alignment wrapText="1"/>
    </xf>
    <xf numFmtId="3" fontId="12" fillId="0" borderId="0" xfId="0" applyNumberFormat="1" applyFont="1" applyFill="1" applyAlignment="1" applyProtection="1">
      <alignment horizontal="left"/>
    </xf>
    <xf numFmtId="3" fontId="12" fillId="0" borderId="0" xfId="0" applyNumberFormat="1" applyFont="1" applyFill="1" applyAlignment="1" applyProtection="1">
      <alignment horizontal="center"/>
    </xf>
    <xf numFmtId="1" fontId="12" fillId="0" borderId="0" xfId="0" applyNumberFormat="1" applyFont="1" applyFill="1" applyAlignment="1" applyProtection="1">
      <alignment horizontal="center"/>
    </xf>
    <xf numFmtId="4" fontId="12" fillId="0" borderId="0" xfId="0" applyNumberFormat="1" applyFont="1" applyFill="1" applyProtection="1"/>
    <xf numFmtId="1" fontId="0" fillId="0" borderId="0" xfId="0" applyNumberFormat="1" applyFill="1" applyAlignment="1" applyProtection="1">
      <alignment horizontal="center"/>
    </xf>
    <xf numFmtId="3" fontId="0" fillId="0" borderId="0" xfId="0" applyNumberFormat="1" applyFill="1" applyAlignment="1" applyProtection="1">
      <alignment horizontal="left"/>
    </xf>
    <xf numFmtId="3" fontId="9" fillId="0" borderId="0" xfId="0" applyNumberFormat="1" applyFont="1" applyFill="1" applyAlignment="1" applyProtection="1">
      <alignment horizontal="center"/>
    </xf>
    <xf numFmtId="2" fontId="16" fillId="0" borderId="0" xfId="0" applyNumberFormat="1" applyFont="1" applyFill="1" applyProtection="1"/>
    <xf numFmtId="2" fontId="8" fillId="0" borderId="0" xfId="0" applyNumberFormat="1" applyFont="1" applyFill="1" applyProtection="1"/>
    <xf numFmtId="14" fontId="9" fillId="0" borderId="0" xfId="0" applyNumberFormat="1" applyFont="1" applyFill="1" applyProtection="1"/>
    <xf numFmtId="0" fontId="19" fillId="0" borderId="0" xfId="0" applyFont="1" applyFill="1" applyProtection="1"/>
    <xf numFmtId="3" fontId="20" fillId="0" borderId="0" xfId="0" applyNumberFormat="1" applyFont="1" applyFill="1" applyAlignment="1" applyProtection="1">
      <alignment horizontal="center"/>
    </xf>
    <xf numFmtId="2" fontId="9" fillId="0" borderId="0" xfId="0" applyNumberFormat="1" applyFont="1" applyFill="1" applyAlignment="1" applyProtection="1">
      <alignment horizontal="center"/>
    </xf>
    <xf numFmtId="0" fontId="9" fillId="0" borderId="0" xfId="0" applyFont="1" applyFill="1" applyAlignment="1" applyProtection="1">
      <alignment wrapText="1"/>
    </xf>
    <xf numFmtId="0" fontId="9" fillId="0" borderId="0" xfId="0" applyFont="1" applyFill="1" applyAlignment="1" applyProtection="1">
      <alignment horizontal="center"/>
    </xf>
    <xf numFmtId="4" fontId="9" fillId="0" borderId="0" xfId="0" applyNumberFormat="1" applyFont="1" applyFill="1" applyAlignment="1" applyProtection="1">
      <alignment horizontal="center"/>
    </xf>
    <xf numFmtId="4" fontId="10" fillId="0" borderId="0" xfId="0" applyNumberFormat="1" applyFont="1" applyFill="1" applyAlignment="1" applyProtection="1">
      <alignment horizontal="center"/>
    </xf>
    <xf numFmtId="4" fontId="3" fillId="0" borderId="0" xfId="0" applyNumberFormat="1" applyFont="1" applyFill="1" applyAlignment="1" applyProtection="1">
      <alignment horizontal="center"/>
    </xf>
    <xf numFmtId="9" fontId="3" fillId="0" borderId="0" xfId="0" applyNumberFormat="1" applyFont="1" applyFill="1" applyProtection="1"/>
    <xf numFmtId="10" fontId="3" fillId="0" borderId="0" xfId="0" applyNumberFormat="1" applyFont="1" applyFill="1" applyProtection="1"/>
    <xf numFmtId="0" fontId="11" fillId="0" borderId="0" xfId="0" applyFont="1" applyFill="1" applyProtection="1"/>
    <xf numFmtId="4" fontId="10" fillId="0" borderId="0" xfId="0" applyNumberFormat="1" applyFont="1" applyFill="1" applyProtection="1"/>
    <xf numFmtId="0" fontId="17" fillId="0" borderId="0" xfId="0" applyFont="1" applyFill="1" applyProtection="1"/>
    <xf numFmtId="0" fontId="17" fillId="0" borderId="9" xfId="0" applyFont="1" applyFill="1" applyBorder="1" applyProtection="1"/>
    <xf numFmtId="4" fontId="17" fillId="0" borderId="9" xfId="0" applyNumberFormat="1" applyFont="1" applyFill="1" applyBorder="1" applyProtection="1"/>
    <xf numFmtId="4" fontId="17" fillId="0" borderId="9" xfId="0" applyNumberFormat="1" applyFont="1" applyFill="1" applyBorder="1" applyAlignment="1" applyProtection="1">
      <alignment horizontal="center"/>
    </xf>
    <xf numFmtId="4" fontId="17" fillId="0" borderId="9" xfId="0" applyNumberFormat="1" applyFont="1" applyFill="1" applyBorder="1" applyAlignment="1" applyProtection="1">
      <alignment horizontal="left"/>
    </xf>
    <xf numFmtId="0" fontId="12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0" fontId="18" fillId="0" borderId="0" xfId="0" applyFont="1" applyFill="1" applyProtection="1"/>
    <xf numFmtId="14" fontId="9" fillId="0" borderId="0" xfId="0" applyNumberFormat="1" applyFont="1" applyFill="1" applyAlignment="1" applyProtection="1">
      <alignment horizontal="left"/>
    </xf>
    <xf numFmtId="1" fontId="0" fillId="0" borderId="0" xfId="0" applyNumberFormat="1" applyFill="1" applyProtection="1"/>
    <xf numFmtId="1" fontId="6" fillId="0" borderId="0" xfId="0" applyNumberFormat="1" applyFont="1" applyFill="1" applyProtection="1"/>
    <xf numFmtId="0" fontId="0" fillId="0" borderId="4" xfId="0" applyFill="1" applyBorder="1" applyProtection="1"/>
    <xf numFmtId="1" fontId="9" fillId="0" borderId="0" xfId="0" applyNumberFormat="1" applyFont="1" applyFill="1" applyBorder="1" applyProtection="1"/>
    <xf numFmtId="0" fontId="12" fillId="0" borderId="10" xfId="0" applyFont="1" applyFill="1" applyBorder="1" applyProtection="1"/>
    <xf numFmtId="4" fontId="12" fillId="0" borderId="10" xfId="0" applyNumberFormat="1" applyFont="1" applyFill="1" applyBorder="1" applyProtection="1"/>
    <xf numFmtId="43" fontId="12" fillId="0" borderId="10" xfId="1" applyFont="1" applyFill="1" applyBorder="1" applyProtection="1"/>
    <xf numFmtId="4" fontId="10" fillId="0" borderId="10" xfId="0" applyNumberFormat="1" applyFont="1" applyFill="1" applyBorder="1" applyProtection="1"/>
    <xf numFmtId="1" fontId="2" fillId="0" borderId="0" xfId="0" applyNumberFormat="1" applyFont="1" applyFill="1" applyProtection="1"/>
    <xf numFmtId="4" fontId="10" fillId="0" borderId="10" xfId="0" applyNumberFormat="1" applyFont="1" applyFill="1" applyBorder="1" applyAlignment="1" applyProtection="1">
      <alignment horizontal="center"/>
    </xf>
    <xf numFmtId="1" fontId="3" fillId="0" borderId="0" xfId="0" applyNumberFormat="1" applyFont="1" applyFill="1" applyProtection="1"/>
    <xf numFmtId="0" fontId="18" fillId="0" borderId="4" xfId="0" applyFont="1" applyFill="1" applyBorder="1" applyProtection="1"/>
    <xf numFmtId="4" fontId="17" fillId="0" borderId="10" xfId="0" applyNumberFormat="1" applyFont="1" applyFill="1" applyBorder="1" applyProtection="1"/>
    <xf numFmtId="4" fontId="17" fillId="0" borderId="0" xfId="0" applyNumberFormat="1" applyFont="1" applyFill="1" applyBorder="1" applyAlignment="1" applyProtection="1">
      <alignment horizontal="center"/>
    </xf>
    <xf numFmtId="4" fontId="17" fillId="0" borderId="0" xfId="0" applyNumberFormat="1" applyFont="1" applyFill="1" applyBorder="1" applyProtection="1"/>
    <xf numFmtId="0" fontId="18" fillId="0" borderId="7" xfId="0" applyFont="1" applyFill="1" applyBorder="1" applyProtection="1"/>
    <xf numFmtId="1" fontId="18" fillId="0" borderId="0" xfId="0" applyNumberFormat="1" applyFont="1" applyFill="1" applyProtection="1"/>
    <xf numFmtId="43" fontId="10" fillId="0" borderId="0" xfId="1" applyFont="1" applyFill="1" applyProtection="1"/>
    <xf numFmtId="43" fontId="8" fillId="0" borderId="0" xfId="1" applyFont="1" applyFill="1" applyProtection="1"/>
    <xf numFmtId="4" fontId="8" fillId="0" borderId="0" xfId="0" applyNumberFormat="1" applyFont="1" applyFill="1" applyProtection="1"/>
    <xf numFmtId="164" fontId="0" fillId="0" borderId="0" xfId="0" applyNumberFormat="1" applyFill="1" applyBorder="1" applyAlignment="1" applyProtection="1">
      <alignment horizontal="center"/>
    </xf>
    <xf numFmtId="49" fontId="0" fillId="0" borderId="0" xfId="0" applyNumberFormat="1" applyFill="1" applyAlignment="1" applyProtection="1">
      <alignment horizontal="center"/>
    </xf>
    <xf numFmtId="49" fontId="0" fillId="0" borderId="0" xfId="0" applyNumberFormat="1"/>
    <xf numFmtId="4" fontId="0" fillId="0" borderId="0" xfId="0" applyNumberFormat="1"/>
    <xf numFmtId="43" fontId="0" fillId="0" borderId="0" xfId="1" applyFont="1" applyFill="1" applyProtection="1"/>
    <xf numFmtId="43" fontId="0" fillId="0" borderId="0" xfId="1" applyFont="1"/>
    <xf numFmtId="49" fontId="0" fillId="0" borderId="0" xfId="0" applyNumberFormat="1" applyAlignment="1">
      <alignment horizontal="center"/>
    </xf>
    <xf numFmtId="1" fontId="0" fillId="0" borderId="0" xfId="0" applyNumberFormat="1"/>
    <xf numFmtId="43" fontId="0" fillId="0" borderId="0" xfId="0" applyNumberFormat="1"/>
    <xf numFmtId="0" fontId="9" fillId="0" borderId="11" xfId="0" applyFont="1" applyFill="1" applyBorder="1" applyProtection="1"/>
    <xf numFmtId="0" fontId="8" fillId="0" borderId="12" xfId="0" applyFont="1" applyFill="1" applyBorder="1" applyAlignment="1" applyProtection="1">
      <alignment horizontal="center"/>
    </xf>
    <xf numFmtId="3" fontId="9" fillId="0" borderId="13" xfId="0" applyNumberFormat="1" applyFont="1" applyFill="1" applyBorder="1" applyAlignment="1" applyProtection="1">
      <alignment horizontal="center"/>
    </xf>
    <xf numFmtId="0" fontId="9" fillId="0" borderId="13" xfId="0" applyFont="1" applyFill="1" applyBorder="1" applyProtection="1"/>
    <xf numFmtId="2" fontId="9" fillId="0" borderId="13" xfId="0" applyNumberFormat="1" applyFont="1" applyFill="1" applyBorder="1" applyAlignment="1" applyProtection="1">
      <alignment horizontal="center"/>
    </xf>
    <xf numFmtId="0" fontId="9" fillId="0" borderId="13" xfId="0" applyFont="1" applyFill="1" applyBorder="1" applyAlignment="1" applyProtection="1">
      <alignment wrapText="1"/>
    </xf>
    <xf numFmtId="0" fontId="9" fillId="0" borderId="13" xfId="0" applyFont="1" applyFill="1" applyBorder="1" applyAlignment="1" applyProtection="1">
      <alignment horizontal="center"/>
    </xf>
    <xf numFmtId="0" fontId="9" fillId="0" borderId="14" xfId="0" applyFont="1" applyFill="1" applyBorder="1" applyProtection="1"/>
    <xf numFmtId="0" fontId="3" fillId="0" borderId="15" xfId="0" applyFont="1" applyFill="1" applyBorder="1" applyProtection="1"/>
    <xf numFmtId="0" fontId="10" fillId="0" borderId="16" xfId="0" applyFont="1" applyFill="1" applyBorder="1" applyAlignment="1" applyProtection="1">
      <alignment horizontal="center"/>
    </xf>
    <xf numFmtId="3" fontId="3" fillId="0" borderId="17" xfId="0" applyNumberFormat="1" applyFont="1" applyFill="1" applyBorder="1" applyAlignment="1" applyProtection="1">
      <alignment horizontal="center"/>
    </xf>
    <xf numFmtId="4" fontId="3" fillId="0" borderId="17" xfId="0" applyNumberFormat="1" applyFont="1" applyFill="1" applyBorder="1" applyAlignment="1" applyProtection="1">
      <alignment horizontal="center"/>
    </xf>
    <xf numFmtId="9" fontId="3" fillId="0" borderId="17" xfId="0" applyNumberFormat="1" applyFont="1" applyFill="1" applyBorder="1" applyProtection="1"/>
    <xf numFmtId="2" fontId="3" fillId="0" borderId="17" xfId="0" applyNumberFormat="1" applyFont="1" applyFill="1" applyBorder="1" applyProtection="1"/>
    <xf numFmtId="10" fontId="3" fillId="0" borderId="17" xfId="0" applyNumberFormat="1" applyFont="1" applyFill="1" applyBorder="1" applyProtection="1"/>
    <xf numFmtId="4" fontId="3" fillId="0" borderId="18" xfId="0" applyNumberFormat="1" applyFont="1" applyFill="1" applyBorder="1" applyProtection="1"/>
    <xf numFmtId="3" fontId="14" fillId="0" borderId="0" xfId="0" applyNumberFormat="1" applyFont="1" applyFill="1" applyBorder="1" applyAlignment="1" applyProtection="1">
      <alignment horizontal="center"/>
    </xf>
    <xf numFmtId="165" fontId="12" fillId="0" borderId="0" xfId="0" applyNumberFormat="1" applyFont="1" applyFill="1" applyAlignment="1" applyProtection="1">
      <alignment horizontal="center"/>
    </xf>
    <xf numFmtId="2" fontId="14" fillId="0" borderId="0" xfId="0" applyNumberFormat="1" applyFont="1" applyFill="1" applyBorder="1" applyProtection="1"/>
    <xf numFmtId="0" fontId="13" fillId="2" borderId="0" xfId="0" applyFont="1" applyFill="1" applyBorder="1" applyProtection="1"/>
    <xf numFmtId="43" fontId="0" fillId="0" borderId="0" xfId="1" applyFont="1" applyFill="1" applyBorder="1" applyAlignment="1" applyProtection="1">
      <alignment horizontal="center"/>
    </xf>
    <xf numFmtId="43" fontId="12" fillId="0" borderId="0" xfId="1" applyFont="1" applyFill="1" applyBorder="1" applyAlignment="1" applyProtection="1">
      <alignment horizontal="center"/>
    </xf>
    <xf numFmtId="43" fontId="12" fillId="0" borderId="0" xfId="1" applyFont="1" applyFill="1" applyBorder="1" applyProtection="1"/>
    <xf numFmtId="4" fontId="3" fillId="0" borderId="0" xfId="0" applyNumberFormat="1" applyFont="1" applyFill="1" applyBorder="1" applyProtection="1"/>
    <xf numFmtId="2" fontId="3" fillId="0" borderId="0" xfId="0" applyNumberFormat="1" applyFont="1" applyFill="1" applyBorder="1" applyProtection="1"/>
    <xf numFmtId="43" fontId="12" fillId="0" borderId="0" xfId="1" applyFont="1" applyFill="1" applyAlignment="1" applyProtection="1">
      <alignment horizontal="center"/>
    </xf>
    <xf numFmtId="43" fontId="10" fillId="0" borderId="0" xfId="1" applyFont="1" applyFill="1" applyBorder="1" applyAlignment="1" applyProtection="1">
      <alignment horizontal="center"/>
    </xf>
    <xf numFmtId="43" fontId="0" fillId="0" borderId="0" xfId="1" applyFont="1" applyFill="1" applyAlignment="1" applyProtection="1">
      <alignment horizontal="left"/>
    </xf>
    <xf numFmtId="43" fontId="12" fillId="0" borderId="0" xfId="1" applyFont="1" applyFill="1" applyProtection="1"/>
    <xf numFmtId="43" fontId="9" fillId="0" borderId="0" xfId="1" applyFont="1" applyFill="1" applyProtection="1"/>
    <xf numFmtId="43" fontId="11" fillId="0" borderId="0" xfId="1" applyFont="1" applyFill="1" applyBorder="1" applyProtection="1"/>
    <xf numFmtId="43" fontId="0" fillId="0" borderId="0" xfId="1" applyFont="1" applyFill="1" applyBorder="1" applyProtection="1"/>
    <xf numFmtId="43" fontId="13" fillId="2" borderId="0" xfId="1" applyFont="1" applyFill="1" applyBorder="1" applyProtection="1"/>
    <xf numFmtId="43" fontId="12" fillId="2" borderId="0" xfId="1" applyFont="1" applyFill="1" applyBorder="1" applyProtection="1"/>
    <xf numFmtId="43" fontId="9" fillId="0" borderId="0" xfId="1" applyFont="1" applyFill="1" applyBorder="1" applyProtection="1"/>
    <xf numFmtId="2" fontId="3" fillId="0" borderId="17" xfId="0" applyNumberFormat="1" applyFont="1" applyFill="1" applyBorder="1" applyAlignment="1" applyProtection="1">
      <alignment horizontal="center"/>
    </xf>
    <xf numFmtId="43" fontId="6" fillId="0" borderId="0" xfId="1" applyFont="1" applyFill="1" applyProtection="1"/>
    <xf numFmtId="43" fontId="9" fillId="0" borderId="12" xfId="1" applyFont="1" applyFill="1" applyBorder="1" applyProtection="1"/>
    <xf numFmtId="43" fontId="3" fillId="0" borderId="16" xfId="1" applyFont="1" applyFill="1" applyBorder="1" applyProtection="1"/>
    <xf numFmtId="43" fontId="3" fillId="0" borderId="0" xfId="1" applyFont="1" applyFill="1" applyBorder="1" applyProtection="1"/>
    <xf numFmtId="43" fontId="2" fillId="0" borderId="0" xfId="1" applyFont="1" applyFill="1" applyBorder="1" applyProtection="1"/>
    <xf numFmtId="43" fontId="3" fillId="0" borderId="0" xfId="1" applyFont="1" applyFill="1" applyProtection="1"/>
    <xf numFmtId="43" fontId="8" fillId="0" borderId="0" xfId="1" applyFont="1" applyFill="1" applyAlignment="1" applyProtection="1">
      <alignment wrapText="1"/>
    </xf>
    <xf numFmtId="43" fontId="9" fillId="0" borderId="0" xfId="1" applyFont="1" applyFill="1" applyAlignment="1" applyProtection="1">
      <alignment horizontal="left"/>
    </xf>
    <xf numFmtId="43" fontId="5" fillId="0" borderId="0" xfId="1" applyFont="1" applyFill="1" applyProtection="1"/>
    <xf numFmtId="43" fontId="19" fillId="0" borderId="0" xfId="1" applyFont="1" applyFill="1" applyProtection="1"/>
    <xf numFmtId="43" fontId="11" fillId="0" borderId="0" xfId="1" applyFont="1" applyFill="1" applyProtection="1"/>
    <xf numFmtId="43" fontId="17" fillId="0" borderId="9" xfId="1" applyFont="1" applyFill="1" applyBorder="1" applyProtection="1"/>
    <xf numFmtId="43" fontId="18" fillId="0" borderId="0" xfId="1" applyFont="1" applyFill="1" applyProtection="1"/>
    <xf numFmtId="43" fontId="15" fillId="0" borderId="0" xfId="1" applyFont="1" applyFill="1" applyProtection="1"/>
    <xf numFmtId="43" fontId="15" fillId="0" borderId="8" xfId="0" applyNumberFormat="1" applyFont="1" applyFill="1" applyBorder="1" applyProtection="1"/>
    <xf numFmtId="0" fontId="3" fillId="0" borderId="5" xfId="0" applyFont="1" applyFill="1" applyBorder="1" applyAlignment="1" applyProtection="1">
      <alignment horizontal="center"/>
    </xf>
    <xf numFmtId="43" fontId="3" fillId="0" borderId="0" xfId="0" applyNumberFormat="1" applyFont="1" applyFill="1" applyProtection="1"/>
    <xf numFmtId="43" fontId="8" fillId="0" borderId="0" xfId="0" applyNumberFormat="1" applyFont="1" applyFill="1" applyProtection="1"/>
    <xf numFmtId="43" fontId="1" fillId="0" borderId="0" xfId="1" applyFont="1" applyFill="1" applyBorder="1" applyProtection="1"/>
    <xf numFmtId="43" fontId="3" fillId="0" borderId="0" xfId="0" applyNumberFormat="1" applyFont="1" applyFill="1" applyBorder="1" applyProtection="1"/>
    <xf numFmtId="164" fontId="9" fillId="0" borderId="0" xfId="0" applyNumberFormat="1" applyFont="1" applyFill="1" applyBorder="1" applyProtection="1"/>
    <xf numFmtId="166" fontId="9" fillId="0" borderId="0" xfId="0" applyNumberFormat="1" applyFont="1" applyFill="1" applyBorder="1" applyProtection="1"/>
    <xf numFmtId="4" fontId="3" fillId="0" borderId="19" xfId="0" applyNumberFormat="1" applyFont="1" applyFill="1" applyBorder="1" applyProtection="1"/>
    <xf numFmtId="4" fontId="0" fillId="0" borderId="5" xfId="0" applyNumberFormat="1" applyFill="1" applyBorder="1" applyProtection="1"/>
    <xf numFmtId="4" fontId="3" fillId="0" borderId="0" xfId="0" applyNumberFormat="1" applyFont="1" applyFill="1" applyBorder="1" applyAlignment="1" applyProtection="1">
      <alignment horizontal="center"/>
    </xf>
    <xf numFmtId="4" fontId="21" fillId="0" borderId="0" xfId="0" applyNumberFormat="1" applyFont="1" applyFill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E17" sqref="E17"/>
    </sheetView>
  </sheetViews>
  <sheetFormatPr defaultRowHeight="15" x14ac:dyDescent="0.25"/>
  <cols>
    <col min="2" max="2" width="14.42578125" customWidth="1"/>
    <col min="3" max="3" width="17.42578125" bestFit="1" customWidth="1"/>
    <col min="4" max="4" width="15.42578125" customWidth="1"/>
    <col min="5" max="5" width="24.5703125" customWidth="1"/>
    <col min="6" max="6" width="15.85546875" style="148" customWidth="1"/>
  </cols>
  <sheetData>
    <row r="1" spans="1:8" x14ac:dyDescent="0.25">
      <c r="A1" s="1">
        <v>12</v>
      </c>
      <c r="B1" s="1" t="s">
        <v>104</v>
      </c>
      <c r="C1" s="1"/>
      <c r="D1" s="1"/>
      <c r="E1" s="1"/>
      <c r="F1" s="147"/>
      <c r="G1" s="1"/>
      <c r="H1" s="1"/>
    </row>
    <row r="2" spans="1:8" x14ac:dyDescent="0.25">
      <c r="A2" s="1" t="s">
        <v>170</v>
      </c>
      <c r="B2" s="1" t="s">
        <v>171</v>
      </c>
      <c r="C2" s="1" t="s">
        <v>172</v>
      </c>
      <c r="D2" s="1" t="s">
        <v>173</v>
      </c>
      <c r="E2" s="1"/>
      <c r="F2" s="147"/>
      <c r="G2" s="1"/>
      <c r="H2" s="1"/>
    </row>
    <row r="3" spans="1:8" x14ac:dyDescent="0.25">
      <c r="A3" s="1">
        <v>1</v>
      </c>
      <c r="B3" s="1">
        <v>20220218</v>
      </c>
      <c r="C3" s="1" t="s">
        <v>174</v>
      </c>
      <c r="D3" s="1">
        <v>955728</v>
      </c>
      <c r="E3" s="1"/>
      <c r="F3" s="147"/>
      <c r="G3" s="1"/>
      <c r="H3" s="1"/>
    </row>
    <row r="4" spans="1:8" x14ac:dyDescent="0.25">
      <c r="A4" s="1" t="s">
        <v>170</v>
      </c>
      <c r="B4" s="1" t="s">
        <v>175</v>
      </c>
      <c r="C4" s="1">
        <v>142400</v>
      </c>
      <c r="D4" s="1"/>
      <c r="E4" s="1"/>
      <c r="F4" s="147"/>
      <c r="G4" s="1"/>
      <c r="H4" s="1"/>
    </row>
    <row r="5" spans="1:8" x14ac:dyDescent="0.25">
      <c r="A5" s="1">
        <v>11</v>
      </c>
      <c r="B5" s="1"/>
      <c r="C5" s="1"/>
      <c r="D5" s="1"/>
      <c r="E5" s="1"/>
      <c r="F5" s="147"/>
      <c r="G5" s="1"/>
      <c r="H5" s="1"/>
    </row>
    <row r="6" spans="1:8" x14ac:dyDescent="0.25">
      <c r="A6" s="1" t="s">
        <v>170</v>
      </c>
      <c r="B6" s="1" t="s">
        <v>7</v>
      </c>
      <c r="C6" s="1" t="s">
        <v>176</v>
      </c>
      <c r="D6" s="1" t="s">
        <v>177</v>
      </c>
      <c r="E6" s="1" t="s">
        <v>178</v>
      </c>
      <c r="F6" s="147" t="s">
        <v>179</v>
      </c>
      <c r="G6" s="1" t="s">
        <v>180</v>
      </c>
      <c r="H6" s="1"/>
    </row>
    <row r="7" spans="1:8" s="1" customFormat="1" x14ac:dyDescent="0.25">
      <c r="B7" s="149"/>
      <c r="D7"/>
      <c r="F7" s="93"/>
    </row>
    <row r="8" spans="1:8" s="1" customFormat="1" x14ac:dyDescent="0.25">
      <c r="B8" s="150"/>
      <c r="D8"/>
      <c r="F8" s="93"/>
    </row>
    <row r="9" spans="1:8" x14ac:dyDescent="0.25">
      <c r="A9" s="1">
        <v>10</v>
      </c>
      <c r="B9" s="151">
        <v>120400</v>
      </c>
      <c r="C9" t="s">
        <v>237</v>
      </c>
      <c r="D9" s="153">
        <v>438917</v>
      </c>
      <c r="E9" s="1" t="s">
        <v>240</v>
      </c>
      <c r="F9" s="152" t="s">
        <v>182</v>
      </c>
      <c r="G9" t="s">
        <v>183</v>
      </c>
    </row>
    <row r="10" spans="1:8" x14ac:dyDescent="0.25">
      <c r="A10" s="1">
        <v>10</v>
      </c>
      <c r="B10" s="151">
        <v>12000</v>
      </c>
      <c r="C10" t="s">
        <v>237</v>
      </c>
      <c r="D10" s="153">
        <v>438917</v>
      </c>
      <c r="E10" s="1" t="s">
        <v>239</v>
      </c>
      <c r="F10" s="152" t="s">
        <v>182</v>
      </c>
      <c r="G10" t="s">
        <v>183</v>
      </c>
    </row>
    <row r="11" spans="1:8" x14ac:dyDescent="0.25">
      <c r="A11" s="1">
        <v>10</v>
      </c>
      <c r="B11" s="151">
        <v>10000</v>
      </c>
      <c r="C11" t="s">
        <v>236</v>
      </c>
      <c r="D11" s="153">
        <v>1590000132646</v>
      </c>
      <c r="E11" s="1" t="s">
        <v>238</v>
      </c>
      <c r="F11" s="152" t="s">
        <v>202</v>
      </c>
      <c r="G11" t="s">
        <v>203</v>
      </c>
    </row>
    <row r="12" spans="1:8" x14ac:dyDescent="0.25">
      <c r="B12" s="154"/>
      <c r="D12" s="153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8"/>
  <sheetViews>
    <sheetView topLeftCell="B134" zoomScaleNormal="100" workbookViewId="0">
      <selection activeCell="F128" sqref="F128"/>
    </sheetView>
  </sheetViews>
  <sheetFormatPr defaultRowHeight="15" x14ac:dyDescent="0.25"/>
  <cols>
    <col min="1" max="1" width="5" style="1" customWidth="1"/>
    <col min="2" max="2" width="5.28515625" style="1" customWidth="1"/>
    <col min="3" max="3" width="33" style="1" customWidth="1"/>
    <col min="4" max="4" width="22.28515625" style="47" customWidth="1"/>
    <col min="5" max="5" width="11.85546875" style="11" customWidth="1"/>
    <col min="6" max="6" width="12.7109375" style="11" customWidth="1"/>
    <col min="7" max="8" width="11.7109375" style="1" customWidth="1"/>
    <col min="9" max="9" width="11.5703125" style="1" customWidth="1"/>
    <col min="10" max="10" width="11.42578125" style="5" customWidth="1"/>
    <col min="11" max="11" width="10.85546875" style="1" customWidth="1"/>
    <col min="12" max="12" width="13.140625" style="1" customWidth="1"/>
    <col min="13" max="13" width="9.85546875" style="1" customWidth="1"/>
    <col min="14" max="14" width="17.28515625" style="1" customWidth="1"/>
    <col min="15" max="15" width="12.5703125" style="1" customWidth="1"/>
    <col min="16" max="16" width="9.140625" style="1"/>
    <col min="17" max="17" width="18" style="1" customWidth="1"/>
    <col min="18" max="18" width="9.140625" style="1" customWidth="1"/>
    <col min="19" max="19" width="12.140625" style="1" customWidth="1"/>
    <col min="20" max="261" width="9.140625" style="1"/>
    <col min="262" max="262" width="27.140625" style="1" bestFit="1" customWidth="1"/>
    <col min="263" max="263" width="11.7109375" style="1" bestFit="1" customWidth="1"/>
    <col min="264" max="264" width="10" style="1" customWidth="1"/>
    <col min="265" max="265" width="10.5703125" style="1" bestFit="1" customWidth="1"/>
    <col min="266" max="266" width="10.5703125" style="1" customWidth="1"/>
    <col min="267" max="267" width="9.140625" style="1"/>
    <col min="268" max="268" width="10.7109375" style="1" customWidth="1"/>
    <col min="269" max="269" width="11.7109375" style="1" customWidth="1"/>
    <col min="270" max="270" width="13.28515625" style="1" customWidth="1"/>
    <col min="271" max="517" width="9.140625" style="1"/>
    <col min="518" max="518" width="27.140625" style="1" bestFit="1" customWidth="1"/>
    <col min="519" max="519" width="11.7109375" style="1" bestFit="1" customWidth="1"/>
    <col min="520" max="520" width="10" style="1" customWidth="1"/>
    <col min="521" max="521" width="10.5703125" style="1" bestFit="1" customWidth="1"/>
    <col min="522" max="522" width="10.5703125" style="1" customWidth="1"/>
    <col min="523" max="523" width="9.140625" style="1"/>
    <col min="524" max="524" width="10.7109375" style="1" customWidth="1"/>
    <col min="525" max="525" width="11.7109375" style="1" customWidth="1"/>
    <col min="526" max="526" width="13.28515625" style="1" customWidth="1"/>
    <col min="527" max="773" width="9.140625" style="1"/>
    <col min="774" max="774" width="27.140625" style="1" bestFit="1" customWidth="1"/>
    <col min="775" max="775" width="11.7109375" style="1" bestFit="1" customWidth="1"/>
    <col min="776" max="776" width="10" style="1" customWidth="1"/>
    <col min="777" max="777" width="10.5703125" style="1" bestFit="1" customWidth="1"/>
    <col min="778" max="778" width="10.5703125" style="1" customWidth="1"/>
    <col min="779" max="779" width="9.140625" style="1"/>
    <col min="780" max="780" width="10.7109375" style="1" customWidth="1"/>
    <col min="781" max="781" width="11.7109375" style="1" customWidth="1"/>
    <col min="782" max="782" width="13.28515625" style="1" customWidth="1"/>
    <col min="783" max="1029" width="9.140625" style="1"/>
    <col min="1030" max="1030" width="27.140625" style="1" bestFit="1" customWidth="1"/>
    <col min="1031" max="1031" width="11.7109375" style="1" bestFit="1" customWidth="1"/>
    <col min="1032" max="1032" width="10" style="1" customWidth="1"/>
    <col min="1033" max="1033" width="10.5703125" style="1" bestFit="1" customWidth="1"/>
    <col min="1034" max="1034" width="10.5703125" style="1" customWidth="1"/>
    <col min="1035" max="1035" width="9.140625" style="1"/>
    <col min="1036" max="1036" width="10.7109375" style="1" customWidth="1"/>
    <col min="1037" max="1037" width="11.7109375" style="1" customWidth="1"/>
    <col min="1038" max="1038" width="13.28515625" style="1" customWidth="1"/>
    <col min="1039" max="1285" width="9.140625" style="1"/>
    <col min="1286" max="1286" width="27.140625" style="1" bestFit="1" customWidth="1"/>
    <col min="1287" max="1287" width="11.7109375" style="1" bestFit="1" customWidth="1"/>
    <col min="1288" max="1288" width="10" style="1" customWidth="1"/>
    <col min="1289" max="1289" width="10.5703125" style="1" bestFit="1" customWidth="1"/>
    <col min="1290" max="1290" width="10.5703125" style="1" customWidth="1"/>
    <col min="1291" max="1291" width="9.140625" style="1"/>
    <col min="1292" max="1292" width="10.7109375" style="1" customWidth="1"/>
    <col min="1293" max="1293" width="11.7109375" style="1" customWidth="1"/>
    <col min="1294" max="1294" width="13.28515625" style="1" customWidth="1"/>
    <col min="1295" max="1541" width="9.140625" style="1"/>
    <col min="1542" max="1542" width="27.140625" style="1" bestFit="1" customWidth="1"/>
    <col min="1543" max="1543" width="11.7109375" style="1" bestFit="1" customWidth="1"/>
    <col min="1544" max="1544" width="10" style="1" customWidth="1"/>
    <col min="1545" max="1545" width="10.5703125" style="1" bestFit="1" customWidth="1"/>
    <col min="1546" max="1546" width="10.5703125" style="1" customWidth="1"/>
    <col min="1547" max="1547" width="9.140625" style="1"/>
    <col min="1548" max="1548" width="10.7109375" style="1" customWidth="1"/>
    <col min="1549" max="1549" width="11.7109375" style="1" customWidth="1"/>
    <col min="1550" max="1550" width="13.28515625" style="1" customWidth="1"/>
    <col min="1551" max="1797" width="9.140625" style="1"/>
    <col min="1798" max="1798" width="27.140625" style="1" bestFit="1" customWidth="1"/>
    <col min="1799" max="1799" width="11.7109375" style="1" bestFit="1" customWidth="1"/>
    <col min="1800" max="1800" width="10" style="1" customWidth="1"/>
    <col min="1801" max="1801" width="10.5703125" style="1" bestFit="1" customWidth="1"/>
    <col min="1802" max="1802" width="10.5703125" style="1" customWidth="1"/>
    <col min="1803" max="1803" width="9.140625" style="1"/>
    <col min="1804" max="1804" width="10.7109375" style="1" customWidth="1"/>
    <col min="1805" max="1805" width="11.7109375" style="1" customWidth="1"/>
    <col min="1806" max="1806" width="13.28515625" style="1" customWidth="1"/>
    <col min="1807" max="2053" width="9.140625" style="1"/>
    <col min="2054" max="2054" width="27.140625" style="1" bestFit="1" customWidth="1"/>
    <col min="2055" max="2055" width="11.7109375" style="1" bestFit="1" customWidth="1"/>
    <col min="2056" max="2056" width="10" style="1" customWidth="1"/>
    <col min="2057" max="2057" width="10.5703125" style="1" bestFit="1" customWidth="1"/>
    <col min="2058" max="2058" width="10.5703125" style="1" customWidth="1"/>
    <col min="2059" max="2059" width="9.140625" style="1"/>
    <col min="2060" max="2060" width="10.7109375" style="1" customWidth="1"/>
    <col min="2061" max="2061" width="11.7109375" style="1" customWidth="1"/>
    <col min="2062" max="2062" width="13.28515625" style="1" customWidth="1"/>
    <col min="2063" max="2309" width="9.140625" style="1"/>
    <col min="2310" max="2310" width="27.140625" style="1" bestFit="1" customWidth="1"/>
    <col min="2311" max="2311" width="11.7109375" style="1" bestFit="1" customWidth="1"/>
    <col min="2312" max="2312" width="10" style="1" customWidth="1"/>
    <col min="2313" max="2313" width="10.5703125" style="1" bestFit="1" customWidth="1"/>
    <col min="2314" max="2314" width="10.5703125" style="1" customWidth="1"/>
    <col min="2315" max="2315" width="9.140625" style="1"/>
    <col min="2316" max="2316" width="10.7109375" style="1" customWidth="1"/>
    <col min="2317" max="2317" width="11.7109375" style="1" customWidth="1"/>
    <col min="2318" max="2318" width="13.28515625" style="1" customWidth="1"/>
    <col min="2319" max="2565" width="9.140625" style="1"/>
    <col min="2566" max="2566" width="27.140625" style="1" bestFit="1" customWidth="1"/>
    <col min="2567" max="2567" width="11.7109375" style="1" bestFit="1" customWidth="1"/>
    <col min="2568" max="2568" width="10" style="1" customWidth="1"/>
    <col min="2569" max="2569" width="10.5703125" style="1" bestFit="1" customWidth="1"/>
    <col min="2570" max="2570" width="10.5703125" style="1" customWidth="1"/>
    <col min="2571" max="2571" width="9.140625" style="1"/>
    <col min="2572" max="2572" width="10.7109375" style="1" customWidth="1"/>
    <col min="2573" max="2573" width="11.7109375" style="1" customWidth="1"/>
    <col min="2574" max="2574" width="13.28515625" style="1" customWidth="1"/>
    <col min="2575" max="2821" width="9.140625" style="1"/>
    <col min="2822" max="2822" width="27.140625" style="1" bestFit="1" customWidth="1"/>
    <col min="2823" max="2823" width="11.7109375" style="1" bestFit="1" customWidth="1"/>
    <col min="2824" max="2824" width="10" style="1" customWidth="1"/>
    <col min="2825" max="2825" width="10.5703125" style="1" bestFit="1" customWidth="1"/>
    <col min="2826" max="2826" width="10.5703125" style="1" customWidth="1"/>
    <col min="2827" max="2827" width="9.140625" style="1"/>
    <col min="2828" max="2828" width="10.7109375" style="1" customWidth="1"/>
    <col min="2829" max="2829" width="11.7109375" style="1" customWidth="1"/>
    <col min="2830" max="2830" width="13.28515625" style="1" customWidth="1"/>
    <col min="2831" max="3077" width="9.140625" style="1"/>
    <col min="3078" max="3078" width="27.140625" style="1" bestFit="1" customWidth="1"/>
    <col min="3079" max="3079" width="11.7109375" style="1" bestFit="1" customWidth="1"/>
    <col min="3080" max="3080" width="10" style="1" customWidth="1"/>
    <col min="3081" max="3081" width="10.5703125" style="1" bestFit="1" customWidth="1"/>
    <col min="3082" max="3082" width="10.5703125" style="1" customWidth="1"/>
    <col min="3083" max="3083" width="9.140625" style="1"/>
    <col min="3084" max="3084" width="10.7109375" style="1" customWidth="1"/>
    <col min="3085" max="3085" width="11.7109375" style="1" customWidth="1"/>
    <col min="3086" max="3086" width="13.28515625" style="1" customWidth="1"/>
    <col min="3087" max="3333" width="9.140625" style="1"/>
    <col min="3334" max="3334" width="27.140625" style="1" bestFit="1" customWidth="1"/>
    <col min="3335" max="3335" width="11.7109375" style="1" bestFit="1" customWidth="1"/>
    <col min="3336" max="3336" width="10" style="1" customWidth="1"/>
    <col min="3337" max="3337" width="10.5703125" style="1" bestFit="1" customWidth="1"/>
    <col min="3338" max="3338" width="10.5703125" style="1" customWidth="1"/>
    <col min="3339" max="3339" width="9.140625" style="1"/>
    <col min="3340" max="3340" width="10.7109375" style="1" customWidth="1"/>
    <col min="3341" max="3341" width="11.7109375" style="1" customWidth="1"/>
    <col min="3342" max="3342" width="13.28515625" style="1" customWidth="1"/>
    <col min="3343" max="3589" width="9.140625" style="1"/>
    <col min="3590" max="3590" width="27.140625" style="1" bestFit="1" customWidth="1"/>
    <col min="3591" max="3591" width="11.7109375" style="1" bestFit="1" customWidth="1"/>
    <col min="3592" max="3592" width="10" style="1" customWidth="1"/>
    <col min="3593" max="3593" width="10.5703125" style="1" bestFit="1" customWidth="1"/>
    <col min="3594" max="3594" width="10.5703125" style="1" customWidth="1"/>
    <col min="3595" max="3595" width="9.140625" style="1"/>
    <col min="3596" max="3596" width="10.7109375" style="1" customWidth="1"/>
    <col min="3597" max="3597" width="11.7109375" style="1" customWidth="1"/>
    <col min="3598" max="3598" width="13.28515625" style="1" customWidth="1"/>
    <col min="3599" max="3845" width="9.140625" style="1"/>
    <col min="3846" max="3846" width="27.140625" style="1" bestFit="1" customWidth="1"/>
    <col min="3847" max="3847" width="11.7109375" style="1" bestFit="1" customWidth="1"/>
    <col min="3848" max="3848" width="10" style="1" customWidth="1"/>
    <col min="3849" max="3849" width="10.5703125" style="1" bestFit="1" customWidth="1"/>
    <col min="3850" max="3850" width="10.5703125" style="1" customWidth="1"/>
    <col min="3851" max="3851" width="9.140625" style="1"/>
    <col min="3852" max="3852" width="10.7109375" style="1" customWidth="1"/>
    <col min="3853" max="3853" width="11.7109375" style="1" customWidth="1"/>
    <col min="3854" max="3854" width="13.28515625" style="1" customWidth="1"/>
    <col min="3855" max="4101" width="9.140625" style="1"/>
    <col min="4102" max="4102" width="27.140625" style="1" bestFit="1" customWidth="1"/>
    <col min="4103" max="4103" width="11.7109375" style="1" bestFit="1" customWidth="1"/>
    <col min="4104" max="4104" width="10" style="1" customWidth="1"/>
    <col min="4105" max="4105" width="10.5703125" style="1" bestFit="1" customWidth="1"/>
    <col min="4106" max="4106" width="10.5703125" style="1" customWidth="1"/>
    <col min="4107" max="4107" width="9.140625" style="1"/>
    <col min="4108" max="4108" width="10.7109375" style="1" customWidth="1"/>
    <col min="4109" max="4109" width="11.7109375" style="1" customWidth="1"/>
    <col min="4110" max="4110" width="13.28515625" style="1" customWidth="1"/>
    <col min="4111" max="4357" width="9.140625" style="1"/>
    <col min="4358" max="4358" width="27.140625" style="1" bestFit="1" customWidth="1"/>
    <col min="4359" max="4359" width="11.7109375" style="1" bestFit="1" customWidth="1"/>
    <col min="4360" max="4360" width="10" style="1" customWidth="1"/>
    <col min="4361" max="4361" width="10.5703125" style="1" bestFit="1" customWidth="1"/>
    <col min="4362" max="4362" width="10.5703125" style="1" customWidth="1"/>
    <col min="4363" max="4363" width="9.140625" style="1"/>
    <col min="4364" max="4364" width="10.7109375" style="1" customWidth="1"/>
    <col min="4365" max="4365" width="11.7109375" style="1" customWidth="1"/>
    <col min="4366" max="4366" width="13.28515625" style="1" customWidth="1"/>
    <col min="4367" max="4613" width="9.140625" style="1"/>
    <col min="4614" max="4614" width="27.140625" style="1" bestFit="1" customWidth="1"/>
    <col min="4615" max="4615" width="11.7109375" style="1" bestFit="1" customWidth="1"/>
    <col min="4616" max="4616" width="10" style="1" customWidth="1"/>
    <col min="4617" max="4617" width="10.5703125" style="1" bestFit="1" customWidth="1"/>
    <col min="4618" max="4618" width="10.5703125" style="1" customWidth="1"/>
    <col min="4619" max="4619" width="9.140625" style="1"/>
    <col min="4620" max="4620" width="10.7109375" style="1" customWidth="1"/>
    <col min="4621" max="4621" width="11.7109375" style="1" customWidth="1"/>
    <col min="4622" max="4622" width="13.28515625" style="1" customWidth="1"/>
    <col min="4623" max="4869" width="9.140625" style="1"/>
    <col min="4870" max="4870" width="27.140625" style="1" bestFit="1" customWidth="1"/>
    <col min="4871" max="4871" width="11.7109375" style="1" bestFit="1" customWidth="1"/>
    <col min="4872" max="4872" width="10" style="1" customWidth="1"/>
    <col min="4873" max="4873" width="10.5703125" style="1" bestFit="1" customWidth="1"/>
    <col min="4874" max="4874" width="10.5703125" style="1" customWidth="1"/>
    <col min="4875" max="4875" width="9.140625" style="1"/>
    <col min="4876" max="4876" width="10.7109375" style="1" customWidth="1"/>
    <col min="4877" max="4877" width="11.7109375" style="1" customWidth="1"/>
    <col min="4878" max="4878" width="13.28515625" style="1" customWidth="1"/>
    <col min="4879" max="5125" width="9.140625" style="1"/>
    <col min="5126" max="5126" width="27.140625" style="1" bestFit="1" customWidth="1"/>
    <col min="5127" max="5127" width="11.7109375" style="1" bestFit="1" customWidth="1"/>
    <col min="5128" max="5128" width="10" style="1" customWidth="1"/>
    <col min="5129" max="5129" width="10.5703125" style="1" bestFit="1" customWidth="1"/>
    <col min="5130" max="5130" width="10.5703125" style="1" customWidth="1"/>
    <col min="5131" max="5131" width="9.140625" style="1"/>
    <col min="5132" max="5132" width="10.7109375" style="1" customWidth="1"/>
    <col min="5133" max="5133" width="11.7109375" style="1" customWidth="1"/>
    <col min="5134" max="5134" width="13.28515625" style="1" customWidth="1"/>
    <col min="5135" max="5381" width="9.140625" style="1"/>
    <col min="5382" max="5382" width="27.140625" style="1" bestFit="1" customWidth="1"/>
    <col min="5383" max="5383" width="11.7109375" style="1" bestFit="1" customWidth="1"/>
    <col min="5384" max="5384" width="10" style="1" customWidth="1"/>
    <col min="5385" max="5385" width="10.5703125" style="1" bestFit="1" customWidth="1"/>
    <col min="5386" max="5386" width="10.5703125" style="1" customWidth="1"/>
    <col min="5387" max="5387" width="9.140625" style="1"/>
    <col min="5388" max="5388" width="10.7109375" style="1" customWidth="1"/>
    <col min="5389" max="5389" width="11.7109375" style="1" customWidth="1"/>
    <col min="5390" max="5390" width="13.28515625" style="1" customWidth="1"/>
    <col min="5391" max="5637" width="9.140625" style="1"/>
    <col min="5638" max="5638" width="27.140625" style="1" bestFit="1" customWidth="1"/>
    <col min="5639" max="5639" width="11.7109375" style="1" bestFit="1" customWidth="1"/>
    <col min="5640" max="5640" width="10" style="1" customWidth="1"/>
    <col min="5641" max="5641" width="10.5703125" style="1" bestFit="1" customWidth="1"/>
    <col min="5642" max="5642" width="10.5703125" style="1" customWidth="1"/>
    <col min="5643" max="5643" width="9.140625" style="1"/>
    <col min="5644" max="5644" width="10.7109375" style="1" customWidth="1"/>
    <col min="5645" max="5645" width="11.7109375" style="1" customWidth="1"/>
    <col min="5646" max="5646" width="13.28515625" style="1" customWidth="1"/>
    <col min="5647" max="5893" width="9.140625" style="1"/>
    <col min="5894" max="5894" width="27.140625" style="1" bestFit="1" customWidth="1"/>
    <col min="5895" max="5895" width="11.7109375" style="1" bestFit="1" customWidth="1"/>
    <col min="5896" max="5896" width="10" style="1" customWidth="1"/>
    <col min="5897" max="5897" width="10.5703125" style="1" bestFit="1" customWidth="1"/>
    <col min="5898" max="5898" width="10.5703125" style="1" customWidth="1"/>
    <col min="5899" max="5899" width="9.140625" style="1"/>
    <col min="5900" max="5900" width="10.7109375" style="1" customWidth="1"/>
    <col min="5901" max="5901" width="11.7109375" style="1" customWidth="1"/>
    <col min="5902" max="5902" width="13.28515625" style="1" customWidth="1"/>
    <col min="5903" max="6149" width="9.140625" style="1"/>
    <col min="6150" max="6150" width="27.140625" style="1" bestFit="1" customWidth="1"/>
    <col min="6151" max="6151" width="11.7109375" style="1" bestFit="1" customWidth="1"/>
    <col min="6152" max="6152" width="10" style="1" customWidth="1"/>
    <col min="6153" max="6153" width="10.5703125" style="1" bestFit="1" customWidth="1"/>
    <col min="6154" max="6154" width="10.5703125" style="1" customWidth="1"/>
    <col min="6155" max="6155" width="9.140625" style="1"/>
    <col min="6156" max="6156" width="10.7109375" style="1" customWidth="1"/>
    <col min="6157" max="6157" width="11.7109375" style="1" customWidth="1"/>
    <col min="6158" max="6158" width="13.28515625" style="1" customWidth="1"/>
    <col min="6159" max="6405" width="9.140625" style="1"/>
    <col min="6406" max="6406" width="27.140625" style="1" bestFit="1" customWidth="1"/>
    <col min="6407" max="6407" width="11.7109375" style="1" bestFit="1" customWidth="1"/>
    <col min="6408" max="6408" width="10" style="1" customWidth="1"/>
    <col min="6409" max="6409" width="10.5703125" style="1" bestFit="1" customWidth="1"/>
    <col min="6410" max="6410" width="10.5703125" style="1" customWidth="1"/>
    <col min="6411" max="6411" width="9.140625" style="1"/>
    <col min="6412" max="6412" width="10.7109375" style="1" customWidth="1"/>
    <col min="6413" max="6413" width="11.7109375" style="1" customWidth="1"/>
    <col min="6414" max="6414" width="13.28515625" style="1" customWidth="1"/>
    <col min="6415" max="6661" width="9.140625" style="1"/>
    <col min="6662" max="6662" width="27.140625" style="1" bestFit="1" customWidth="1"/>
    <col min="6663" max="6663" width="11.7109375" style="1" bestFit="1" customWidth="1"/>
    <col min="6664" max="6664" width="10" style="1" customWidth="1"/>
    <col min="6665" max="6665" width="10.5703125" style="1" bestFit="1" customWidth="1"/>
    <col min="6666" max="6666" width="10.5703125" style="1" customWidth="1"/>
    <col min="6667" max="6667" width="9.140625" style="1"/>
    <col min="6668" max="6668" width="10.7109375" style="1" customWidth="1"/>
    <col min="6669" max="6669" width="11.7109375" style="1" customWidth="1"/>
    <col min="6670" max="6670" width="13.28515625" style="1" customWidth="1"/>
    <col min="6671" max="6917" width="9.140625" style="1"/>
    <col min="6918" max="6918" width="27.140625" style="1" bestFit="1" customWidth="1"/>
    <col min="6919" max="6919" width="11.7109375" style="1" bestFit="1" customWidth="1"/>
    <col min="6920" max="6920" width="10" style="1" customWidth="1"/>
    <col min="6921" max="6921" width="10.5703125" style="1" bestFit="1" customWidth="1"/>
    <col min="6922" max="6922" width="10.5703125" style="1" customWidth="1"/>
    <col min="6923" max="6923" width="9.140625" style="1"/>
    <col min="6924" max="6924" width="10.7109375" style="1" customWidth="1"/>
    <col min="6925" max="6925" width="11.7109375" style="1" customWidth="1"/>
    <col min="6926" max="6926" width="13.28515625" style="1" customWidth="1"/>
    <col min="6927" max="7173" width="9.140625" style="1"/>
    <col min="7174" max="7174" width="27.140625" style="1" bestFit="1" customWidth="1"/>
    <col min="7175" max="7175" width="11.7109375" style="1" bestFit="1" customWidth="1"/>
    <col min="7176" max="7176" width="10" style="1" customWidth="1"/>
    <col min="7177" max="7177" width="10.5703125" style="1" bestFit="1" customWidth="1"/>
    <col min="7178" max="7178" width="10.5703125" style="1" customWidth="1"/>
    <col min="7179" max="7179" width="9.140625" style="1"/>
    <col min="7180" max="7180" width="10.7109375" style="1" customWidth="1"/>
    <col min="7181" max="7181" width="11.7109375" style="1" customWidth="1"/>
    <col min="7182" max="7182" width="13.28515625" style="1" customWidth="1"/>
    <col min="7183" max="7429" width="9.140625" style="1"/>
    <col min="7430" max="7430" width="27.140625" style="1" bestFit="1" customWidth="1"/>
    <col min="7431" max="7431" width="11.7109375" style="1" bestFit="1" customWidth="1"/>
    <col min="7432" max="7432" width="10" style="1" customWidth="1"/>
    <col min="7433" max="7433" width="10.5703125" style="1" bestFit="1" customWidth="1"/>
    <col min="7434" max="7434" width="10.5703125" style="1" customWidth="1"/>
    <col min="7435" max="7435" width="9.140625" style="1"/>
    <col min="7436" max="7436" width="10.7109375" style="1" customWidth="1"/>
    <col min="7437" max="7437" width="11.7109375" style="1" customWidth="1"/>
    <col min="7438" max="7438" width="13.28515625" style="1" customWidth="1"/>
    <col min="7439" max="7685" width="9.140625" style="1"/>
    <col min="7686" max="7686" width="27.140625" style="1" bestFit="1" customWidth="1"/>
    <col min="7687" max="7687" width="11.7109375" style="1" bestFit="1" customWidth="1"/>
    <col min="7688" max="7688" width="10" style="1" customWidth="1"/>
    <col min="7689" max="7689" width="10.5703125" style="1" bestFit="1" customWidth="1"/>
    <col min="7690" max="7690" width="10.5703125" style="1" customWidth="1"/>
    <col min="7691" max="7691" width="9.140625" style="1"/>
    <col min="7692" max="7692" width="10.7109375" style="1" customWidth="1"/>
    <col min="7693" max="7693" width="11.7109375" style="1" customWidth="1"/>
    <col min="7694" max="7694" width="13.28515625" style="1" customWidth="1"/>
    <col min="7695" max="7941" width="9.140625" style="1"/>
    <col min="7942" max="7942" width="27.140625" style="1" bestFit="1" customWidth="1"/>
    <col min="7943" max="7943" width="11.7109375" style="1" bestFit="1" customWidth="1"/>
    <col min="7944" max="7944" width="10" style="1" customWidth="1"/>
    <col min="7945" max="7945" width="10.5703125" style="1" bestFit="1" customWidth="1"/>
    <col min="7946" max="7946" width="10.5703125" style="1" customWidth="1"/>
    <col min="7947" max="7947" width="9.140625" style="1"/>
    <col min="7948" max="7948" width="10.7109375" style="1" customWidth="1"/>
    <col min="7949" max="7949" width="11.7109375" style="1" customWidth="1"/>
    <col min="7950" max="7950" width="13.28515625" style="1" customWidth="1"/>
    <col min="7951" max="8197" width="9.140625" style="1"/>
    <col min="8198" max="8198" width="27.140625" style="1" bestFit="1" customWidth="1"/>
    <col min="8199" max="8199" width="11.7109375" style="1" bestFit="1" customWidth="1"/>
    <col min="8200" max="8200" width="10" style="1" customWidth="1"/>
    <col min="8201" max="8201" width="10.5703125" style="1" bestFit="1" customWidth="1"/>
    <col min="8202" max="8202" width="10.5703125" style="1" customWidth="1"/>
    <col min="8203" max="8203" width="9.140625" style="1"/>
    <col min="8204" max="8204" width="10.7109375" style="1" customWidth="1"/>
    <col min="8205" max="8205" width="11.7109375" style="1" customWidth="1"/>
    <col min="8206" max="8206" width="13.28515625" style="1" customWidth="1"/>
    <col min="8207" max="8453" width="9.140625" style="1"/>
    <col min="8454" max="8454" width="27.140625" style="1" bestFit="1" customWidth="1"/>
    <col min="8455" max="8455" width="11.7109375" style="1" bestFit="1" customWidth="1"/>
    <col min="8456" max="8456" width="10" style="1" customWidth="1"/>
    <col min="8457" max="8457" width="10.5703125" style="1" bestFit="1" customWidth="1"/>
    <col min="8458" max="8458" width="10.5703125" style="1" customWidth="1"/>
    <col min="8459" max="8459" width="9.140625" style="1"/>
    <col min="8460" max="8460" width="10.7109375" style="1" customWidth="1"/>
    <col min="8461" max="8461" width="11.7109375" style="1" customWidth="1"/>
    <col min="8462" max="8462" width="13.28515625" style="1" customWidth="1"/>
    <col min="8463" max="8709" width="9.140625" style="1"/>
    <col min="8710" max="8710" width="27.140625" style="1" bestFit="1" customWidth="1"/>
    <col min="8711" max="8711" width="11.7109375" style="1" bestFit="1" customWidth="1"/>
    <col min="8712" max="8712" width="10" style="1" customWidth="1"/>
    <col min="8713" max="8713" width="10.5703125" style="1" bestFit="1" customWidth="1"/>
    <col min="8714" max="8714" width="10.5703125" style="1" customWidth="1"/>
    <col min="8715" max="8715" width="9.140625" style="1"/>
    <col min="8716" max="8716" width="10.7109375" style="1" customWidth="1"/>
    <col min="8717" max="8717" width="11.7109375" style="1" customWidth="1"/>
    <col min="8718" max="8718" width="13.28515625" style="1" customWidth="1"/>
    <col min="8719" max="8965" width="9.140625" style="1"/>
    <col min="8966" max="8966" width="27.140625" style="1" bestFit="1" customWidth="1"/>
    <col min="8967" max="8967" width="11.7109375" style="1" bestFit="1" customWidth="1"/>
    <col min="8968" max="8968" width="10" style="1" customWidth="1"/>
    <col min="8969" max="8969" width="10.5703125" style="1" bestFit="1" customWidth="1"/>
    <col min="8970" max="8970" width="10.5703125" style="1" customWidth="1"/>
    <col min="8971" max="8971" width="9.140625" style="1"/>
    <col min="8972" max="8972" width="10.7109375" style="1" customWidth="1"/>
    <col min="8973" max="8973" width="11.7109375" style="1" customWidth="1"/>
    <col min="8974" max="8974" width="13.28515625" style="1" customWidth="1"/>
    <col min="8975" max="9221" width="9.140625" style="1"/>
    <col min="9222" max="9222" width="27.140625" style="1" bestFit="1" customWidth="1"/>
    <col min="9223" max="9223" width="11.7109375" style="1" bestFit="1" customWidth="1"/>
    <col min="9224" max="9224" width="10" style="1" customWidth="1"/>
    <col min="9225" max="9225" width="10.5703125" style="1" bestFit="1" customWidth="1"/>
    <col min="9226" max="9226" width="10.5703125" style="1" customWidth="1"/>
    <col min="9227" max="9227" width="9.140625" style="1"/>
    <col min="9228" max="9228" width="10.7109375" style="1" customWidth="1"/>
    <col min="9229" max="9229" width="11.7109375" style="1" customWidth="1"/>
    <col min="9230" max="9230" width="13.28515625" style="1" customWidth="1"/>
    <col min="9231" max="9477" width="9.140625" style="1"/>
    <col min="9478" max="9478" width="27.140625" style="1" bestFit="1" customWidth="1"/>
    <col min="9479" max="9479" width="11.7109375" style="1" bestFit="1" customWidth="1"/>
    <col min="9480" max="9480" width="10" style="1" customWidth="1"/>
    <col min="9481" max="9481" width="10.5703125" style="1" bestFit="1" customWidth="1"/>
    <col min="9482" max="9482" width="10.5703125" style="1" customWidth="1"/>
    <col min="9483" max="9483" width="9.140625" style="1"/>
    <col min="9484" max="9484" width="10.7109375" style="1" customWidth="1"/>
    <col min="9485" max="9485" width="11.7109375" style="1" customWidth="1"/>
    <col min="9486" max="9486" width="13.28515625" style="1" customWidth="1"/>
    <col min="9487" max="9733" width="9.140625" style="1"/>
    <col min="9734" max="9734" width="27.140625" style="1" bestFit="1" customWidth="1"/>
    <col min="9735" max="9735" width="11.7109375" style="1" bestFit="1" customWidth="1"/>
    <col min="9736" max="9736" width="10" style="1" customWidth="1"/>
    <col min="9737" max="9737" width="10.5703125" style="1" bestFit="1" customWidth="1"/>
    <col min="9738" max="9738" width="10.5703125" style="1" customWidth="1"/>
    <col min="9739" max="9739" width="9.140625" style="1"/>
    <col min="9740" max="9740" width="10.7109375" style="1" customWidth="1"/>
    <col min="9741" max="9741" width="11.7109375" style="1" customWidth="1"/>
    <col min="9742" max="9742" width="13.28515625" style="1" customWidth="1"/>
    <col min="9743" max="9989" width="9.140625" style="1"/>
    <col min="9990" max="9990" width="27.140625" style="1" bestFit="1" customWidth="1"/>
    <col min="9991" max="9991" width="11.7109375" style="1" bestFit="1" customWidth="1"/>
    <col min="9992" max="9992" width="10" style="1" customWidth="1"/>
    <col min="9993" max="9993" width="10.5703125" style="1" bestFit="1" customWidth="1"/>
    <col min="9994" max="9994" width="10.5703125" style="1" customWidth="1"/>
    <col min="9995" max="9995" width="9.140625" style="1"/>
    <col min="9996" max="9996" width="10.7109375" style="1" customWidth="1"/>
    <col min="9997" max="9997" width="11.7109375" style="1" customWidth="1"/>
    <col min="9998" max="9998" width="13.28515625" style="1" customWidth="1"/>
    <col min="9999" max="10245" width="9.140625" style="1"/>
    <col min="10246" max="10246" width="27.140625" style="1" bestFit="1" customWidth="1"/>
    <col min="10247" max="10247" width="11.7109375" style="1" bestFit="1" customWidth="1"/>
    <col min="10248" max="10248" width="10" style="1" customWidth="1"/>
    <col min="10249" max="10249" width="10.5703125" style="1" bestFit="1" customWidth="1"/>
    <col min="10250" max="10250" width="10.5703125" style="1" customWidth="1"/>
    <col min="10251" max="10251" width="9.140625" style="1"/>
    <col min="10252" max="10252" width="10.7109375" style="1" customWidth="1"/>
    <col min="10253" max="10253" width="11.7109375" style="1" customWidth="1"/>
    <col min="10254" max="10254" width="13.28515625" style="1" customWidth="1"/>
    <col min="10255" max="10501" width="9.140625" style="1"/>
    <col min="10502" max="10502" width="27.140625" style="1" bestFit="1" customWidth="1"/>
    <col min="10503" max="10503" width="11.7109375" style="1" bestFit="1" customWidth="1"/>
    <col min="10504" max="10504" width="10" style="1" customWidth="1"/>
    <col min="10505" max="10505" width="10.5703125" style="1" bestFit="1" customWidth="1"/>
    <col min="10506" max="10506" width="10.5703125" style="1" customWidth="1"/>
    <col min="10507" max="10507" width="9.140625" style="1"/>
    <col min="10508" max="10508" width="10.7109375" style="1" customWidth="1"/>
    <col min="10509" max="10509" width="11.7109375" style="1" customWidth="1"/>
    <col min="10510" max="10510" width="13.28515625" style="1" customWidth="1"/>
    <col min="10511" max="10757" width="9.140625" style="1"/>
    <col min="10758" max="10758" width="27.140625" style="1" bestFit="1" customWidth="1"/>
    <col min="10759" max="10759" width="11.7109375" style="1" bestFit="1" customWidth="1"/>
    <col min="10760" max="10760" width="10" style="1" customWidth="1"/>
    <col min="10761" max="10761" width="10.5703125" style="1" bestFit="1" customWidth="1"/>
    <col min="10762" max="10762" width="10.5703125" style="1" customWidth="1"/>
    <col min="10763" max="10763" width="9.140625" style="1"/>
    <col min="10764" max="10764" width="10.7109375" style="1" customWidth="1"/>
    <col min="10765" max="10765" width="11.7109375" style="1" customWidth="1"/>
    <col min="10766" max="10766" width="13.28515625" style="1" customWidth="1"/>
    <col min="10767" max="11013" width="9.140625" style="1"/>
    <col min="11014" max="11014" width="27.140625" style="1" bestFit="1" customWidth="1"/>
    <col min="11015" max="11015" width="11.7109375" style="1" bestFit="1" customWidth="1"/>
    <col min="11016" max="11016" width="10" style="1" customWidth="1"/>
    <col min="11017" max="11017" width="10.5703125" style="1" bestFit="1" customWidth="1"/>
    <col min="11018" max="11018" width="10.5703125" style="1" customWidth="1"/>
    <col min="11019" max="11019" width="9.140625" style="1"/>
    <col min="11020" max="11020" width="10.7109375" style="1" customWidth="1"/>
    <col min="11021" max="11021" width="11.7109375" style="1" customWidth="1"/>
    <col min="11022" max="11022" width="13.28515625" style="1" customWidth="1"/>
    <col min="11023" max="11269" width="9.140625" style="1"/>
    <col min="11270" max="11270" width="27.140625" style="1" bestFit="1" customWidth="1"/>
    <col min="11271" max="11271" width="11.7109375" style="1" bestFit="1" customWidth="1"/>
    <col min="11272" max="11272" width="10" style="1" customWidth="1"/>
    <col min="11273" max="11273" width="10.5703125" style="1" bestFit="1" customWidth="1"/>
    <col min="11274" max="11274" width="10.5703125" style="1" customWidth="1"/>
    <col min="11275" max="11275" width="9.140625" style="1"/>
    <col min="11276" max="11276" width="10.7109375" style="1" customWidth="1"/>
    <col min="11277" max="11277" width="11.7109375" style="1" customWidth="1"/>
    <col min="11278" max="11278" width="13.28515625" style="1" customWidth="1"/>
    <col min="11279" max="11525" width="9.140625" style="1"/>
    <col min="11526" max="11526" width="27.140625" style="1" bestFit="1" customWidth="1"/>
    <col min="11527" max="11527" width="11.7109375" style="1" bestFit="1" customWidth="1"/>
    <col min="11528" max="11528" width="10" style="1" customWidth="1"/>
    <col min="11529" max="11529" width="10.5703125" style="1" bestFit="1" customWidth="1"/>
    <col min="11530" max="11530" width="10.5703125" style="1" customWidth="1"/>
    <col min="11531" max="11531" width="9.140625" style="1"/>
    <col min="11532" max="11532" width="10.7109375" style="1" customWidth="1"/>
    <col min="11533" max="11533" width="11.7109375" style="1" customWidth="1"/>
    <col min="11534" max="11534" width="13.28515625" style="1" customWidth="1"/>
    <col min="11535" max="11781" width="9.140625" style="1"/>
    <col min="11782" max="11782" width="27.140625" style="1" bestFit="1" customWidth="1"/>
    <col min="11783" max="11783" width="11.7109375" style="1" bestFit="1" customWidth="1"/>
    <col min="11784" max="11784" width="10" style="1" customWidth="1"/>
    <col min="11785" max="11785" width="10.5703125" style="1" bestFit="1" customWidth="1"/>
    <col min="11786" max="11786" width="10.5703125" style="1" customWidth="1"/>
    <col min="11787" max="11787" width="9.140625" style="1"/>
    <col min="11788" max="11788" width="10.7109375" style="1" customWidth="1"/>
    <col min="11789" max="11789" width="11.7109375" style="1" customWidth="1"/>
    <col min="11790" max="11790" width="13.28515625" style="1" customWidth="1"/>
    <col min="11791" max="12037" width="9.140625" style="1"/>
    <col min="12038" max="12038" width="27.140625" style="1" bestFit="1" customWidth="1"/>
    <col min="12039" max="12039" width="11.7109375" style="1" bestFit="1" customWidth="1"/>
    <col min="12040" max="12040" width="10" style="1" customWidth="1"/>
    <col min="12041" max="12041" width="10.5703125" style="1" bestFit="1" customWidth="1"/>
    <col min="12042" max="12042" width="10.5703125" style="1" customWidth="1"/>
    <col min="12043" max="12043" width="9.140625" style="1"/>
    <col min="12044" max="12044" width="10.7109375" style="1" customWidth="1"/>
    <col min="12045" max="12045" width="11.7109375" style="1" customWidth="1"/>
    <col min="12046" max="12046" width="13.28515625" style="1" customWidth="1"/>
    <col min="12047" max="12293" width="9.140625" style="1"/>
    <col min="12294" max="12294" width="27.140625" style="1" bestFit="1" customWidth="1"/>
    <col min="12295" max="12295" width="11.7109375" style="1" bestFit="1" customWidth="1"/>
    <col min="12296" max="12296" width="10" style="1" customWidth="1"/>
    <col min="12297" max="12297" width="10.5703125" style="1" bestFit="1" customWidth="1"/>
    <col min="12298" max="12298" width="10.5703125" style="1" customWidth="1"/>
    <col min="12299" max="12299" width="9.140625" style="1"/>
    <col min="12300" max="12300" width="10.7109375" style="1" customWidth="1"/>
    <col min="12301" max="12301" width="11.7109375" style="1" customWidth="1"/>
    <col min="12302" max="12302" width="13.28515625" style="1" customWidth="1"/>
    <col min="12303" max="12549" width="9.140625" style="1"/>
    <col min="12550" max="12550" width="27.140625" style="1" bestFit="1" customWidth="1"/>
    <col min="12551" max="12551" width="11.7109375" style="1" bestFit="1" customWidth="1"/>
    <col min="12552" max="12552" width="10" style="1" customWidth="1"/>
    <col min="12553" max="12553" width="10.5703125" style="1" bestFit="1" customWidth="1"/>
    <col min="12554" max="12554" width="10.5703125" style="1" customWidth="1"/>
    <col min="12555" max="12555" width="9.140625" style="1"/>
    <col min="12556" max="12556" width="10.7109375" style="1" customWidth="1"/>
    <col min="12557" max="12557" width="11.7109375" style="1" customWidth="1"/>
    <col min="12558" max="12558" width="13.28515625" style="1" customWidth="1"/>
    <col min="12559" max="12805" width="9.140625" style="1"/>
    <col min="12806" max="12806" width="27.140625" style="1" bestFit="1" customWidth="1"/>
    <col min="12807" max="12807" width="11.7109375" style="1" bestFit="1" customWidth="1"/>
    <col min="12808" max="12808" width="10" style="1" customWidth="1"/>
    <col min="12809" max="12809" width="10.5703125" style="1" bestFit="1" customWidth="1"/>
    <col min="12810" max="12810" width="10.5703125" style="1" customWidth="1"/>
    <col min="12811" max="12811" width="9.140625" style="1"/>
    <col min="12812" max="12812" width="10.7109375" style="1" customWidth="1"/>
    <col min="12813" max="12813" width="11.7109375" style="1" customWidth="1"/>
    <col min="12814" max="12814" width="13.28515625" style="1" customWidth="1"/>
    <col min="12815" max="13061" width="9.140625" style="1"/>
    <col min="13062" max="13062" width="27.140625" style="1" bestFit="1" customWidth="1"/>
    <col min="13063" max="13063" width="11.7109375" style="1" bestFit="1" customWidth="1"/>
    <col min="13064" max="13064" width="10" style="1" customWidth="1"/>
    <col min="13065" max="13065" width="10.5703125" style="1" bestFit="1" customWidth="1"/>
    <col min="13066" max="13066" width="10.5703125" style="1" customWidth="1"/>
    <col min="13067" max="13067" width="9.140625" style="1"/>
    <col min="13068" max="13068" width="10.7109375" style="1" customWidth="1"/>
    <col min="13069" max="13069" width="11.7109375" style="1" customWidth="1"/>
    <col min="13070" max="13070" width="13.28515625" style="1" customWidth="1"/>
    <col min="13071" max="13317" width="9.140625" style="1"/>
    <col min="13318" max="13318" width="27.140625" style="1" bestFit="1" customWidth="1"/>
    <col min="13319" max="13319" width="11.7109375" style="1" bestFit="1" customWidth="1"/>
    <col min="13320" max="13320" width="10" style="1" customWidth="1"/>
    <col min="13321" max="13321" width="10.5703125" style="1" bestFit="1" customWidth="1"/>
    <col min="13322" max="13322" width="10.5703125" style="1" customWidth="1"/>
    <col min="13323" max="13323" width="9.140625" style="1"/>
    <col min="13324" max="13324" width="10.7109375" style="1" customWidth="1"/>
    <col min="13325" max="13325" width="11.7109375" style="1" customWidth="1"/>
    <col min="13326" max="13326" width="13.28515625" style="1" customWidth="1"/>
    <col min="13327" max="13573" width="9.140625" style="1"/>
    <col min="13574" max="13574" width="27.140625" style="1" bestFit="1" customWidth="1"/>
    <col min="13575" max="13575" width="11.7109375" style="1" bestFit="1" customWidth="1"/>
    <col min="13576" max="13576" width="10" style="1" customWidth="1"/>
    <col min="13577" max="13577" width="10.5703125" style="1" bestFit="1" customWidth="1"/>
    <col min="13578" max="13578" width="10.5703125" style="1" customWidth="1"/>
    <col min="13579" max="13579" width="9.140625" style="1"/>
    <col min="13580" max="13580" width="10.7109375" style="1" customWidth="1"/>
    <col min="13581" max="13581" width="11.7109375" style="1" customWidth="1"/>
    <col min="13582" max="13582" width="13.28515625" style="1" customWidth="1"/>
    <col min="13583" max="13829" width="9.140625" style="1"/>
    <col min="13830" max="13830" width="27.140625" style="1" bestFit="1" customWidth="1"/>
    <col min="13831" max="13831" width="11.7109375" style="1" bestFit="1" customWidth="1"/>
    <col min="13832" max="13832" width="10" style="1" customWidth="1"/>
    <col min="13833" max="13833" width="10.5703125" style="1" bestFit="1" customWidth="1"/>
    <col min="13834" max="13834" width="10.5703125" style="1" customWidth="1"/>
    <col min="13835" max="13835" width="9.140625" style="1"/>
    <col min="13836" max="13836" width="10.7109375" style="1" customWidth="1"/>
    <col min="13837" max="13837" width="11.7109375" style="1" customWidth="1"/>
    <col min="13838" max="13838" width="13.28515625" style="1" customWidth="1"/>
    <col min="13839" max="14085" width="9.140625" style="1"/>
    <col min="14086" max="14086" width="27.140625" style="1" bestFit="1" customWidth="1"/>
    <col min="14087" max="14087" width="11.7109375" style="1" bestFit="1" customWidth="1"/>
    <col min="14088" max="14088" width="10" style="1" customWidth="1"/>
    <col min="14089" max="14089" width="10.5703125" style="1" bestFit="1" customWidth="1"/>
    <col min="14090" max="14090" width="10.5703125" style="1" customWidth="1"/>
    <col min="14091" max="14091" width="9.140625" style="1"/>
    <col min="14092" max="14092" width="10.7109375" style="1" customWidth="1"/>
    <col min="14093" max="14093" width="11.7109375" style="1" customWidth="1"/>
    <col min="14094" max="14094" width="13.28515625" style="1" customWidth="1"/>
    <col min="14095" max="14341" width="9.140625" style="1"/>
    <col min="14342" max="14342" width="27.140625" style="1" bestFit="1" customWidth="1"/>
    <col min="14343" max="14343" width="11.7109375" style="1" bestFit="1" customWidth="1"/>
    <col min="14344" max="14344" width="10" style="1" customWidth="1"/>
    <col min="14345" max="14345" width="10.5703125" style="1" bestFit="1" customWidth="1"/>
    <col min="14346" max="14346" width="10.5703125" style="1" customWidth="1"/>
    <col min="14347" max="14347" width="9.140625" style="1"/>
    <col min="14348" max="14348" width="10.7109375" style="1" customWidth="1"/>
    <col min="14349" max="14349" width="11.7109375" style="1" customWidth="1"/>
    <col min="14350" max="14350" width="13.28515625" style="1" customWidth="1"/>
    <col min="14351" max="14597" width="9.140625" style="1"/>
    <col min="14598" max="14598" width="27.140625" style="1" bestFit="1" customWidth="1"/>
    <col min="14599" max="14599" width="11.7109375" style="1" bestFit="1" customWidth="1"/>
    <col min="14600" max="14600" width="10" style="1" customWidth="1"/>
    <col min="14601" max="14601" width="10.5703125" style="1" bestFit="1" customWidth="1"/>
    <col min="14602" max="14602" width="10.5703125" style="1" customWidth="1"/>
    <col min="14603" max="14603" width="9.140625" style="1"/>
    <col min="14604" max="14604" width="10.7109375" style="1" customWidth="1"/>
    <col min="14605" max="14605" width="11.7109375" style="1" customWidth="1"/>
    <col min="14606" max="14606" width="13.28515625" style="1" customWidth="1"/>
    <col min="14607" max="14853" width="9.140625" style="1"/>
    <col min="14854" max="14854" width="27.140625" style="1" bestFit="1" customWidth="1"/>
    <col min="14855" max="14855" width="11.7109375" style="1" bestFit="1" customWidth="1"/>
    <col min="14856" max="14856" width="10" style="1" customWidth="1"/>
    <col min="14857" max="14857" width="10.5703125" style="1" bestFit="1" customWidth="1"/>
    <col min="14858" max="14858" width="10.5703125" style="1" customWidth="1"/>
    <col min="14859" max="14859" width="9.140625" style="1"/>
    <col min="14860" max="14860" width="10.7109375" style="1" customWidth="1"/>
    <col min="14861" max="14861" width="11.7109375" style="1" customWidth="1"/>
    <col min="14862" max="14862" width="13.28515625" style="1" customWidth="1"/>
    <col min="14863" max="15109" width="9.140625" style="1"/>
    <col min="15110" max="15110" width="27.140625" style="1" bestFit="1" customWidth="1"/>
    <col min="15111" max="15111" width="11.7109375" style="1" bestFit="1" customWidth="1"/>
    <col min="15112" max="15112" width="10" style="1" customWidth="1"/>
    <col min="15113" max="15113" width="10.5703125" style="1" bestFit="1" customWidth="1"/>
    <col min="15114" max="15114" width="10.5703125" style="1" customWidth="1"/>
    <col min="15115" max="15115" width="9.140625" style="1"/>
    <col min="15116" max="15116" width="10.7109375" style="1" customWidth="1"/>
    <col min="15117" max="15117" width="11.7109375" style="1" customWidth="1"/>
    <col min="15118" max="15118" width="13.28515625" style="1" customWidth="1"/>
    <col min="15119" max="15365" width="9.140625" style="1"/>
    <col min="15366" max="15366" width="27.140625" style="1" bestFit="1" customWidth="1"/>
    <col min="15367" max="15367" width="11.7109375" style="1" bestFit="1" customWidth="1"/>
    <col min="15368" max="15368" width="10" style="1" customWidth="1"/>
    <col min="15369" max="15369" width="10.5703125" style="1" bestFit="1" customWidth="1"/>
    <col min="15370" max="15370" width="10.5703125" style="1" customWidth="1"/>
    <col min="15371" max="15371" width="9.140625" style="1"/>
    <col min="15372" max="15372" width="10.7109375" style="1" customWidth="1"/>
    <col min="15373" max="15373" width="11.7109375" style="1" customWidth="1"/>
    <col min="15374" max="15374" width="13.28515625" style="1" customWidth="1"/>
    <col min="15375" max="15621" width="9.140625" style="1"/>
    <col min="15622" max="15622" width="27.140625" style="1" bestFit="1" customWidth="1"/>
    <col min="15623" max="15623" width="11.7109375" style="1" bestFit="1" customWidth="1"/>
    <col min="15624" max="15624" width="10" style="1" customWidth="1"/>
    <col min="15625" max="15625" width="10.5703125" style="1" bestFit="1" customWidth="1"/>
    <col min="15626" max="15626" width="10.5703125" style="1" customWidth="1"/>
    <col min="15627" max="15627" width="9.140625" style="1"/>
    <col min="15628" max="15628" width="10.7109375" style="1" customWidth="1"/>
    <col min="15629" max="15629" width="11.7109375" style="1" customWidth="1"/>
    <col min="15630" max="15630" width="13.28515625" style="1" customWidth="1"/>
    <col min="15631" max="15877" width="9.140625" style="1"/>
    <col min="15878" max="15878" width="27.140625" style="1" bestFit="1" customWidth="1"/>
    <col min="15879" max="15879" width="11.7109375" style="1" bestFit="1" customWidth="1"/>
    <col min="15880" max="15880" width="10" style="1" customWidth="1"/>
    <col min="15881" max="15881" width="10.5703125" style="1" bestFit="1" customWidth="1"/>
    <col min="15882" max="15882" width="10.5703125" style="1" customWidth="1"/>
    <col min="15883" max="15883" width="9.140625" style="1"/>
    <col min="15884" max="15884" width="10.7109375" style="1" customWidth="1"/>
    <col min="15885" max="15885" width="11.7109375" style="1" customWidth="1"/>
    <col min="15886" max="15886" width="13.28515625" style="1" customWidth="1"/>
    <col min="15887" max="16133" width="9.140625" style="1"/>
    <col min="16134" max="16134" width="27.140625" style="1" bestFit="1" customWidth="1"/>
    <col min="16135" max="16135" width="11.7109375" style="1" bestFit="1" customWidth="1"/>
    <col min="16136" max="16136" width="10" style="1" customWidth="1"/>
    <col min="16137" max="16137" width="10.5703125" style="1" bestFit="1" customWidth="1"/>
    <col min="16138" max="16138" width="10.5703125" style="1" customWidth="1"/>
    <col min="16139" max="16139" width="9.140625" style="1"/>
    <col min="16140" max="16140" width="10.7109375" style="1" customWidth="1"/>
    <col min="16141" max="16141" width="11.7109375" style="1" customWidth="1"/>
    <col min="16142" max="16142" width="13.28515625" style="1" customWidth="1"/>
    <col min="16143" max="16384" width="9.140625" style="1"/>
  </cols>
  <sheetData>
    <row r="1" spans="1:19" ht="18.75" x14ac:dyDescent="0.3">
      <c r="D1" s="2" t="s">
        <v>0</v>
      </c>
      <c r="E1" s="3"/>
      <c r="F1" s="3"/>
      <c r="G1" s="4"/>
      <c r="H1" s="4"/>
      <c r="I1" s="1">
        <f>8*6*4</f>
        <v>192</v>
      </c>
    </row>
    <row r="2" spans="1:19" s="6" customFormat="1" ht="15.75" x14ac:dyDescent="0.25">
      <c r="D2" s="7" t="s">
        <v>1</v>
      </c>
      <c r="E2" s="8"/>
      <c r="F2" s="8"/>
      <c r="J2" s="9"/>
    </row>
    <row r="3" spans="1:19" x14ac:dyDescent="0.25">
      <c r="D3" s="10"/>
      <c r="M3" s="12" t="s">
        <v>2</v>
      </c>
    </row>
    <row r="4" spans="1:19" s="12" customFormat="1" ht="30" x14ac:dyDescent="0.25">
      <c r="C4" s="13" t="s">
        <v>3</v>
      </c>
      <c r="D4" s="14" t="s">
        <v>4</v>
      </c>
      <c r="E4" s="15" t="s">
        <v>5</v>
      </c>
      <c r="F4" s="15" t="s">
        <v>6</v>
      </c>
      <c r="G4" s="16" t="s">
        <v>7</v>
      </c>
      <c r="H4" s="16" t="s">
        <v>7</v>
      </c>
      <c r="I4" s="16" t="s">
        <v>8</v>
      </c>
      <c r="J4" s="17" t="s">
        <v>9</v>
      </c>
      <c r="K4" s="18" t="s">
        <v>10</v>
      </c>
      <c r="L4" s="19" t="s">
        <v>11</v>
      </c>
      <c r="M4" s="16" t="s">
        <v>12</v>
      </c>
      <c r="N4" s="16" t="s">
        <v>13</v>
      </c>
      <c r="O4" s="20" t="s">
        <v>14</v>
      </c>
      <c r="S4" s="21"/>
    </row>
    <row r="5" spans="1:19" s="22" customFormat="1" x14ac:dyDescent="0.25">
      <c r="C5" s="23"/>
      <c r="D5" s="24" t="s">
        <v>15</v>
      </c>
      <c r="E5" s="25" t="s">
        <v>16</v>
      </c>
      <c r="F5" s="25" t="s">
        <v>17</v>
      </c>
      <c r="G5" s="26" t="s">
        <v>18</v>
      </c>
      <c r="H5" s="26" t="s">
        <v>19</v>
      </c>
      <c r="I5" s="27">
        <v>0.1</v>
      </c>
      <c r="J5" s="28" t="s">
        <v>20</v>
      </c>
      <c r="K5" s="29">
        <v>1.2E-2</v>
      </c>
      <c r="L5" s="29">
        <v>1.6E-2</v>
      </c>
      <c r="M5" s="29">
        <v>0.16500000000000001</v>
      </c>
      <c r="N5" s="30"/>
      <c r="O5" s="31"/>
      <c r="S5" s="32"/>
    </row>
    <row r="6" spans="1:19" x14ac:dyDescent="0.25">
      <c r="A6" s="1">
        <v>1</v>
      </c>
      <c r="B6" s="1">
        <v>1</v>
      </c>
      <c r="C6" s="33" t="s">
        <v>21</v>
      </c>
      <c r="D6" s="34">
        <v>50000</v>
      </c>
      <c r="E6" s="35">
        <v>34</v>
      </c>
      <c r="F6" s="35">
        <v>36</v>
      </c>
      <c r="G6" s="34">
        <f t="shared" ref="G6:G16" si="0">D6/192*1.5*E6</f>
        <v>13281.25</v>
      </c>
      <c r="H6" s="34">
        <f>D6/192*2*F6</f>
        <v>18750</v>
      </c>
      <c r="I6" s="36">
        <f t="shared" ref="I6:I16" si="1">D6*$I$5</f>
        <v>5000</v>
      </c>
      <c r="J6" s="37">
        <v>10000</v>
      </c>
      <c r="K6" s="37">
        <f t="shared" ref="K6:K18" si="2">D6*$K$5</f>
        <v>600</v>
      </c>
      <c r="L6" s="36">
        <f t="shared" ref="L6:L18" si="3">D6*$L$5</f>
        <v>800</v>
      </c>
      <c r="M6" s="36">
        <f>(D6*0.5%)*16.5%</f>
        <v>41.25</v>
      </c>
      <c r="N6" s="38">
        <f t="shared" ref="N6:N18" si="4">+D6+G6+H6+I6+J6+K6+L6+M6</f>
        <v>98472.5</v>
      </c>
      <c r="O6" s="39" t="s">
        <v>22</v>
      </c>
      <c r="S6" s="5"/>
    </row>
    <row r="7" spans="1:19" x14ac:dyDescent="0.25">
      <c r="A7" s="1">
        <f>1+A6</f>
        <v>2</v>
      </c>
      <c r="B7" s="1">
        <f t="shared" ref="B7:B18" si="5">1+B6</f>
        <v>2</v>
      </c>
      <c r="C7" s="40" t="s">
        <v>23</v>
      </c>
      <c r="D7" s="34">
        <v>50000</v>
      </c>
      <c r="E7" s="35">
        <v>17</v>
      </c>
      <c r="F7" s="35">
        <v>30</v>
      </c>
      <c r="G7" s="34">
        <f t="shared" si="0"/>
        <v>6640.625</v>
      </c>
      <c r="H7" s="34">
        <f t="shared" ref="H7:H16" si="6">D7/192*2*F7</f>
        <v>15625.000000000002</v>
      </c>
      <c r="I7" s="36">
        <f t="shared" si="1"/>
        <v>5000</v>
      </c>
      <c r="J7" s="37">
        <v>10000</v>
      </c>
      <c r="K7" s="37">
        <f t="shared" si="2"/>
        <v>600</v>
      </c>
      <c r="L7" s="36">
        <f t="shared" si="3"/>
        <v>800</v>
      </c>
      <c r="M7" s="36">
        <f t="shared" ref="M7:M18" si="7">(D7*0.5%)*16.5%</f>
        <v>41.25</v>
      </c>
      <c r="N7" s="38">
        <f t="shared" si="4"/>
        <v>88706.875</v>
      </c>
      <c r="O7" s="39" t="s">
        <v>22</v>
      </c>
      <c r="S7" s="5"/>
    </row>
    <row r="8" spans="1:19" x14ac:dyDescent="0.25">
      <c r="A8" s="1">
        <f t="shared" ref="A8:A39" si="8">1+A7</f>
        <v>3</v>
      </c>
      <c r="B8" s="1">
        <f t="shared" si="5"/>
        <v>3</v>
      </c>
      <c r="C8" s="40" t="s">
        <v>24</v>
      </c>
      <c r="D8" s="34">
        <v>55650</v>
      </c>
      <c r="E8" s="35">
        <v>12</v>
      </c>
      <c r="F8" s="35">
        <v>20</v>
      </c>
      <c r="G8" s="34">
        <f t="shared" si="0"/>
        <v>5217.1875</v>
      </c>
      <c r="H8" s="34">
        <f t="shared" si="6"/>
        <v>11593.75</v>
      </c>
      <c r="I8" s="36">
        <f t="shared" si="1"/>
        <v>5565</v>
      </c>
      <c r="J8" s="37">
        <v>10000</v>
      </c>
      <c r="K8" s="37">
        <f t="shared" si="2"/>
        <v>667.80000000000007</v>
      </c>
      <c r="L8" s="36">
        <f t="shared" si="3"/>
        <v>890.4</v>
      </c>
      <c r="M8" s="36">
        <f t="shared" si="7"/>
        <v>45.911250000000003</v>
      </c>
      <c r="N8" s="38">
        <f t="shared" si="4"/>
        <v>89630.048750000002</v>
      </c>
      <c r="O8" s="39" t="s">
        <v>22</v>
      </c>
      <c r="S8" s="5"/>
    </row>
    <row r="9" spans="1:19" x14ac:dyDescent="0.25">
      <c r="A9" s="1">
        <f t="shared" si="8"/>
        <v>4</v>
      </c>
      <c r="B9" s="1">
        <f t="shared" si="5"/>
        <v>4</v>
      </c>
      <c r="C9" s="40" t="s">
        <v>25</v>
      </c>
      <c r="D9" s="34">
        <v>50000</v>
      </c>
      <c r="E9" s="35"/>
      <c r="F9" s="35">
        <v>12</v>
      </c>
      <c r="G9" s="34">
        <f t="shared" si="0"/>
        <v>0</v>
      </c>
      <c r="H9" s="34">
        <f t="shared" si="6"/>
        <v>6250</v>
      </c>
      <c r="I9" s="36">
        <f t="shared" si="1"/>
        <v>5000</v>
      </c>
      <c r="J9" s="37">
        <v>10000</v>
      </c>
      <c r="K9" s="37">
        <f t="shared" si="2"/>
        <v>600</v>
      </c>
      <c r="L9" s="36">
        <f t="shared" si="3"/>
        <v>800</v>
      </c>
      <c r="M9" s="36">
        <f t="shared" si="7"/>
        <v>41.25</v>
      </c>
      <c r="N9" s="38">
        <f t="shared" si="4"/>
        <v>72691.25</v>
      </c>
      <c r="O9" s="39" t="s">
        <v>22</v>
      </c>
      <c r="S9" s="5"/>
    </row>
    <row r="10" spans="1:19" x14ac:dyDescent="0.25">
      <c r="A10" s="1">
        <f t="shared" si="8"/>
        <v>5</v>
      </c>
      <c r="B10" s="1">
        <f t="shared" si="5"/>
        <v>5</v>
      </c>
      <c r="C10" s="40" t="s">
        <v>26</v>
      </c>
      <c r="D10" s="34">
        <v>50000</v>
      </c>
      <c r="E10" s="35">
        <v>8</v>
      </c>
      <c r="F10" s="35">
        <v>6</v>
      </c>
      <c r="G10" s="34">
        <f t="shared" si="0"/>
        <v>3125</v>
      </c>
      <c r="H10" s="34">
        <f t="shared" si="6"/>
        <v>3125</v>
      </c>
      <c r="I10" s="36">
        <f t="shared" si="1"/>
        <v>5000</v>
      </c>
      <c r="J10" s="37">
        <v>10000</v>
      </c>
      <c r="K10" s="37">
        <f t="shared" si="2"/>
        <v>600</v>
      </c>
      <c r="L10" s="36">
        <f t="shared" si="3"/>
        <v>800</v>
      </c>
      <c r="M10" s="36">
        <f t="shared" si="7"/>
        <v>41.25</v>
      </c>
      <c r="N10" s="38">
        <f t="shared" si="4"/>
        <v>72691.25</v>
      </c>
      <c r="O10" s="39" t="s">
        <v>22</v>
      </c>
      <c r="S10" s="5"/>
    </row>
    <row r="11" spans="1:19" x14ac:dyDescent="0.25">
      <c r="A11" s="1">
        <f t="shared" si="8"/>
        <v>6</v>
      </c>
      <c r="B11" s="1">
        <f t="shared" si="5"/>
        <v>6</v>
      </c>
      <c r="C11" s="40" t="s">
        <v>27</v>
      </c>
      <c r="D11" s="34">
        <v>77910</v>
      </c>
      <c r="E11" s="35">
        <v>12</v>
      </c>
      <c r="F11" s="35">
        <v>6</v>
      </c>
      <c r="G11" s="34">
        <f t="shared" si="0"/>
        <v>7304.0625</v>
      </c>
      <c r="H11" s="34">
        <f t="shared" si="6"/>
        <v>4869.375</v>
      </c>
      <c r="I11" s="36">
        <f t="shared" si="1"/>
        <v>7791</v>
      </c>
      <c r="J11" s="37">
        <v>10000</v>
      </c>
      <c r="K11" s="37">
        <f t="shared" si="2"/>
        <v>934.92000000000007</v>
      </c>
      <c r="L11" s="36">
        <f t="shared" si="3"/>
        <v>1246.56</v>
      </c>
      <c r="M11" s="36">
        <f t="shared" si="7"/>
        <v>64.275750000000002</v>
      </c>
      <c r="N11" s="38">
        <f t="shared" si="4"/>
        <v>110120.19325</v>
      </c>
      <c r="O11" s="39" t="s">
        <v>22</v>
      </c>
      <c r="S11" s="5"/>
    </row>
    <row r="12" spans="1:19" x14ac:dyDescent="0.25">
      <c r="A12" s="1">
        <f t="shared" si="8"/>
        <v>7</v>
      </c>
      <c r="B12" s="1">
        <v>7</v>
      </c>
      <c r="C12" s="41" t="s">
        <v>28</v>
      </c>
      <c r="D12" s="34">
        <v>50000</v>
      </c>
      <c r="E12" s="35">
        <v>20</v>
      </c>
      <c r="F12" s="35">
        <v>27.5</v>
      </c>
      <c r="G12" s="34">
        <f t="shared" si="0"/>
        <v>7812.5</v>
      </c>
      <c r="H12" s="34">
        <f t="shared" si="6"/>
        <v>14322.916666666668</v>
      </c>
      <c r="I12" s="36">
        <f t="shared" si="1"/>
        <v>5000</v>
      </c>
      <c r="J12" s="37">
        <f>5000+5000</f>
        <v>10000</v>
      </c>
      <c r="K12" s="37">
        <f t="shared" si="2"/>
        <v>600</v>
      </c>
      <c r="L12" s="36">
        <f t="shared" si="3"/>
        <v>800</v>
      </c>
      <c r="M12" s="36">
        <f t="shared" si="7"/>
        <v>41.25</v>
      </c>
      <c r="N12" s="38">
        <f t="shared" si="4"/>
        <v>88576.666666666672</v>
      </c>
      <c r="O12" s="39" t="s">
        <v>22</v>
      </c>
      <c r="S12" s="5"/>
    </row>
    <row r="13" spans="1:19" x14ac:dyDescent="0.25">
      <c r="A13" s="1">
        <f t="shared" si="8"/>
        <v>8</v>
      </c>
      <c r="B13" s="1">
        <v>8</v>
      </c>
      <c r="C13" s="41" t="s">
        <v>29</v>
      </c>
      <c r="D13" s="34">
        <v>56763</v>
      </c>
      <c r="E13" s="35"/>
      <c r="F13" s="35">
        <v>14</v>
      </c>
      <c r="G13" s="34">
        <f t="shared" si="0"/>
        <v>0</v>
      </c>
      <c r="H13" s="34">
        <f t="shared" si="6"/>
        <v>8277.9375</v>
      </c>
      <c r="I13" s="36">
        <f t="shared" si="1"/>
        <v>5676.3</v>
      </c>
      <c r="J13" s="37">
        <v>10000</v>
      </c>
      <c r="K13" s="37">
        <f t="shared" si="2"/>
        <v>681.15600000000006</v>
      </c>
      <c r="L13" s="36">
        <f t="shared" si="3"/>
        <v>908.20799999999997</v>
      </c>
      <c r="M13" s="36">
        <f t="shared" si="7"/>
        <v>46.829475000000002</v>
      </c>
      <c r="N13" s="38">
        <f t="shared" si="4"/>
        <v>82353.43097500001</v>
      </c>
      <c r="O13" s="39" t="s">
        <v>22</v>
      </c>
    </row>
    <row r="14" spans="1:19" x14ac:dyDescent="0.25">
      <c r="A14" s="1">
        <f t="shared" si="8"/>
        <v>9</v>
      </c>
      <c r="B14" s="1">
        <f t="shared" si="5"/>
        <v>9</v>
      </c>
      <c r="C14" s="41" t="s">
        <v>30</v>
      </c>
      <c r="D14" s="34">
        <v>50000</v>
      </c>
      <c r="E14" s="35"/>
      <c r="F14" s="35">
        <v>8</v>
      </c>
      <c r="G14" s="34">
        <f t="shared" si="0"/>
        <v>0</v>
      </c>
      <c r="H14" s="34">
        <f t="shared" si="6"/>
        <v>4166.666666666667</v>
      </c>
      <c r="I14" s="36">
        <f t="shared" si="1"/>
        <v>5000</v>
      </c>
      <c r="J14" s="37">
        <v>10000</v>
      </c>
      <c r="K14" s="37">
        <f t="shared" si="2"/>
        <v>600</v>
      </c>
      <c r="L14" s="36">
        <f t="shared" si="3"/>
        <v>800</v>
      </c>
      <c r="M14" s="36">
        <f t="shared" si="7"/>
        <v>41.25</v>
      </c>
      <c r="N14" s="38">
        <f t="shared" si="4"/>
        <v>70607.916666666657</v>
      </c>
      <c r="O14" s="39" t="s">
        <v>22</v>
      </c>
    </row>
    <row r="15" spans="1:19" x14ac:dyDescent="0.25">
      <c r="A15" s="1">
        <f t="shared" si="8"/>
        <v>10</v>
      </c>
      <c r="B15" s="1">
        <f t="shared" si="5"/>
        <v>10</v>
      </c>
      <c r="C15" s="41" t="s">
        <v>31</v>
      </c>
      <c r="D15" s="34">
        <v>50000</v>
      </c>
      <c r="E15" s="35">
        <v>34</v>
      </c>
      <c r="F15" s="35">
        <v>36</v>
      </c>
      <c r="G15" s="34">
        <f t="shared" si="0"/>
        <v>13281.25</v>
      </c>
      <c r="H15" s="34">
        <f t="shared" si="6"/>
        <v>18750</v>
      </c>
      <c r="I15" s="36">
        <f t="shared" si="1"/>
        <v>5000</v>
      </c>
      <c r="J15" s="37">
        <v>10000</v>
      </c>
      <c r="K15" s="37">
        <f t="shared" si="2"/>
        <v>600</v>
      </c>
      <c r="L15" s="36">
        <f t="shared" si="3"/>
        <v>800</v>
      </c>
      <c r="M15" s="36">
        <f t="shared" si="7"/>
        <v>41.25</v>
      </c>
      <c r="N15" s="38">
        <f t="shared" si="4"/>
        <v>98472.5</v>
      </c>
      <c r="O15" s="39" t="s">
        <v>22</v>
      </c>
    </row>
    <row r="16" spans="1:19" x14ac:dyDescent="0.25">
      <c r="A16" s="1">
        <f t="shared" si="8"/>
        <v>11</v>
      </c>
      <c r="B16" s="1">
        <f t="shared" si="5"/>
        <v>11</v>
      </c>
      <c r="C16" s="41" t="s">
        <v>32</v>
      </c>
      <c r="D16" s="34">
        <v>62328</v>
      </c>
      <c r="E16" s="35">
        <v>19</v>
      </c>
      <c r="F16" s="35">
        <v>21</v>
      </c>
      <c r="G16" s="34">
        <f t="shared" si="0"/>
        <v>9251.8125</v>
      </c>
      <c r="H16" s="34">
        <f t="shared" si="6"/>
        <v>13634.25</v>
      </c>
      <c r="I16" s="36">
        <f t="shared" si="1"/>
        <v>6232.8</v>
      </c>
      <c r="J16" s="37">
        <v>10000</v>
      </c>
      <c r="K16" s="37">
        <f t="shared" si="2"/>
        <v>747.93600000000004</v>
      </c>
      <c r="L16" s="36">
        <f t="shared" si="3"/>
        <v>997.24800000000005</v>
      </c>
      <c r="M16" s="36">
        <f t="shared" si="7"/>
        <v>51.4206</v>
      </c>
      <c r="N16" s="38">
        <f t="shared" si="4"/>
        <v>103243.46710000001</v>
      </c>
      <c r="O16" s="39" t="s">
        <v>22</v>
      </c>
    </row>
    <row r="17" spans="1:19" s="47" customFormat="1" x14ac:dyDescent="0.25">
      <c r="A17" s="1">
        <f t="shared" si="8"/>
        <v>12</v>
      </c>
      <c r="B17" s="1">
        <f t="shared" si="5"/>
        <v>12</v>
      </c>
      <c r="C17" s="42" t="s">
        <v>127</v>
      </c>
      <c r="D17" s="34">
        <f>((50000/192)*E17)+(50000/192)*2*F17</f>
        <v>46354.166666666664</v>
      </c>
      <c r="E17" s="43">
        <v>156</v>
      </c>
      <c r="F17" s="43">
        <v>11</v>
      </c>
      <c r="G17" s="34"/>
      <c r="H17" s="34"/>
      <c r="I17" s="34"/>
      <c r="J17" s="44"/>
      <c r="K17" s="37">
        <f t="shared" si="2"/>
        <v>556.25</v>
      </c>
      <c r="L17" s="36">
        <f t="shared" si="3"/>
        <v>741.66666666666663</v>
      </c>
      <c r="M17" s="36">
        <f t="shared" si="7"/>
        <v>38.2421875</v>
      </c>
      <c r="N17" s="45">
        <f t="shared" si="4"/>
        <v>47690.325520833328</v>
      </c>
      <c r="O17" s="46" t="s">
        <v>22</v>
      </c>
    </row>
    <row r="18" spans="1:19" x14ac:dyDescent="0.25">
      <c r="A18" s="1">
        <f t="shared" si="8"/>
        <v>13</v>
      </c>
      <c r="B18" s="1">
        <f t="shared" si="5"/>
        <v>13</v>
      </c>
      <c r="C18" s="41" t="s">
        <v>126</v>
      </c>
      <c r="D18" s="34">
        <f>((50000/192)*E18)+(50000/192)*2*F18</f>
        <v>34765.625</v>
      </c>
      <c r="E18" s="35">
        <v>123.5</v>
      </c>
      <c r="F18" s="35">
        <v>5</v>
      </c>
      <c r="G18" s="36"/>
      <c r="H18" s="36"/>
      <c r="I18" s="36"/>
      <c r="J18" s="37"/>
      <c r="K18" s="37">
        <f t="shared" si="2"/>
        <v>417.1875</v>
      </c>
      <c r="L18" s="36">
        <f t="shared" si="3"/>
        <v>556.25</v>
      </c>
      <c r="M18" s="36">
        <f t="shared" si="7"/>
        <v>28.681640625</v>
      </c>
      <c r="N18" s="38">
        <f t="shared" si="4"/>
        <v>35767.744140625</v>
      </c>
      <c r="O18" s="39" t="s">
        <v>22</v>
      </c>
    </row>
    <row r="19" spans="1:19" s="12" customFormat="1" x14ac:dyDescent="0.25">
      <c r="A19" s="1"/>
      <c r="C19" s="48" t="s">
        <v>33</v>
      </c>
      <c r="D19" s="45">
        <f>SUM(D6:D18)</f>
        <v>683770.79166666663</v>
      </c>
      <c r="E19" s="49"/>
      <c r="F19" s="45"/>
      <c r="G19" s="45">
        <f t="shared" ref="G19:N19" si="9">SUM(G6:G18)</f>
        <v>65913.6875</v>
      </c>
      <c r="H19" s="45">
        <f t="shared" si="9"/>
        <v>119364.89583333334</v>
      </c>
      <c r="I19" s="45">
        <f t="shared" si="9"/>
        <v>60265.100000000006</v>
      </c>
      <c r="J19" s="45">
        <f t="shared" si="9"/>
        <v>110000</v>
      </c>
      <c r="K19" s="45">
        <f t="shared" si="9"/>
        <v>8205.2494999999999</v>
      </c>
      <c r="L19" s="45">
        <f t="shared" si="9"/>
        <v>10940.332666666665</v>
      </c>
      <c r="M19" s="45">
        <f t="shared" si="9"/>
        <v>564.11090312500005</v>
      </c>
      <c r="N19" s="45">
        <f t="shared" si="9"/>
        <v>1059024.1680697915</v>
      </c>
      <c r="O19" s="50"/>
      <c r="Q19" s="51"/>
    </row>
    <row r="20" spans="1:19" x14ac:dyDescent="0.25">
      <c r="C20" s="40"/>
      <c r="D20" s="34"/>
      <c r="E20" s="35"/>
      <c r="F20" s="35"/>
      <c r="G20" s="36"/>
      <c r="H20" s="36"/>
      <c r="I20" s="40"/>
      <c r="J20" s="37"/>
      <c r="K20" s="40"/>
      <c r="L20" s="40"/>
      <c r="M20" s="36"/>
      <c r="N20" s="38"/>
      <c r="O20" s="40"/>
    </row>
    <row r="21" spans="1:19" x14ac:dyDescent="0.25">
      <c r="A21" s="1">
        <f>1+A18</f>
        <v>14</v>
      </c>
      <c r="B21" s="1">
        <v>1</v>
      </c>
      <c r="C21" s="40" t="s">
        <v>34</v>
      </c>
      <c r="D21" s="34">
        <v>50000</v>
      </c>
      <c r="E21" s="35">
        <v>25</v>
      </c>
      <c r="F21" s="35">
        <v>29</v>
      </c>
      <c r="G21" s="36">
        <f>D21/192*1.5*E21</f>
        <v>9765.625</v>
      </c>
      <c r="H21" s="36">
        <f>D21/192*2*F21</f>
        <v>15104.166666666668</v>
      </c>
      <c r="I21" s="36">
        <f>D21*$I$5</f>
        <v>5000</v>
      </c>
      <c r="J21" s="37">
        <v>18000</v>
      </c>
      <c r="K21" s="37">
        <f t="shared" ref="K21:K24" si="10">D21*$K$5</f>
        <v>600</v>
      </c>
      <c r="L21" s="36">
        <f t="shared" ref="L21:L24" si="11">D21*$L$5</f>
        <v>800</v>
      </c>
      <c r="M21" s="36">
        <f t="shared" ref="M21:M24" si="12">(D21*0.5%)*16.5%</f>
        <v>41.25</v>
      </c>
      <c r="N21" s="38">
        <f>+D21+G21+H21+I21+J21+K21+L21+M21</f>
        <v>99311.041666666672</v>
      </c>
      <c r="O21" s="39" t="s">
        <v>22</v>
      </c>
      <c r="S21" s="5"/>
    </row>
    <row r="22" spans="1:19" x14ac:dyDescent="0.25">
      <c r="A22" s="1">
        <f t="shared" si="8"/>
        <v>15</v>
      </c>
      <c r="B22" s="1">
        <f>1+B21</f>
        <v>2</v>
      </c>
      <c r="C22" s="40" t="s">
        <v>35</v>
      </c>
      <c r="D22" s="34">
        <v>66780</v>
      </c>
      <c r="E22" s="35">
        <v>31</v>
      </c>
      <c r="F22" s="35">
        <v>29</v>
      </c>
      <c r="G22" s="34">
        <f>D22/192*1.5*E22</f>
        <v>16173.28125</v>
      </c>
      <c r="H22" s="36">
        <f>D22/192*2*F22</f>
        <v>20173.125</v>
      </c>
      <c r="I22" s="36">
        <f>D22*$I$5</f>
        <v>6678</v>
      </c>
      <c r="J22" s="37">
        <v>18000</v>
      </c>
      <c r="K22" s="37">
        <f t="shared" si="10"/>
        <v>801.36</v>
      </c>
      <c r="L22" s="36">
        <f t="shared" si="11"/>
        <v>1068.48</v>
      </c>
      <c r="M22" s="36">
        <f t="shared" si="12"/>
        <v>55.093500000000006</v>
      </c>
      <c r="N22" s="38">
        <f t="shared" ref="N22:N28" si="13">+D22+G22+H22+I22+J22+K22+L22+M22</f>
        <v>129729.33975</v>
      </c>
      <c r="O22" s="39" t="s">
        <v>36</v>
      </c>
    </row>
    <row r="23" spans="1:19" x14ac:dyDescent="0.25">
      <c r="A23" s="1">
        <f t="shared" si="8"/>
        <v>16</v>
      </c>
      <c r="B23" s="1">
        <f>1+B22</f>
        <v>3</v>
      </c>
      <c r="C23" s="40" t="s">
        <v>37</v>
      </c>
      <c r="D23" s="34">
        <v>50000</v>
      </c>
      <c r="E23" s="35">
        <v>18</v>
      </c>
      <c r="F23" s="35">
        <v>25</v>
      </c>
      <c r="G23" s="34">
        <f>D23/192*1.5*E23</f>
        <v>7031.25</v>
      </c>
      <c r="H23" s="36">
        <f>D23/192*2*F23</f>
        <v>13020.833333333334</v>
      </c>
      <c r="I23" s="36">
        <f>D23*$I$5</f>
        <v>5000</v>
      </c>
      <c r="J23" s="37">
        <v>18000</v>
      </c>
      <c r="K23" s="37">
        <f t="shared" si="10"/>
        <v>600</v>
      </c>
      <c r="L23" s="36">
        <f t="shared" si="11"/>
        <v>800</v>
      </c>
      <c r="M23" s="36">
        <f t="shared" si="12"/>
        <v>41.25</v>
      </c>
      <c r="N23" s="38">
        <f t="shared" si="13"/>
        <v>94493.333333333328</v>
      </c>
      <c r="O23" s="39" t="s">
        <v>36</v>
      </c>
    </row>
    <row r="24" spans="1:19" x14ac:dyDescent="0.25">
      <c r="A24" s="1">
        <f t="shared" si="8"/>
        <v>17</v>
      </c>
      <c r="B24" s="1">
        <f>1+B23</f>
        <v>4</v>
      </c>
      <c r="C24" s="40" t="s">
        <v>38</v>
      </c>
      <c r="D24" s="34">
        <v>50000</v>
      </c>
      <c r="E24" s="35">
        <v>22</v>
      </c>
      <c r="F24" s="35">
        <v>29</v>
      </c>
      <c r="G24" s="34">
        <f>D24/192*1.5*E24</f>
        <v>8593.75</v>
      </c>
      <c r="H24" s="36">
        <f>D24/192*2*F24</f>
        <v>15104.166666666668</v>
      </c>
      <c r="I24" s="36">
        <f>D24*$I$5</f>
        <v>5000</v>
      </c>
      <c r="J24" s="37">
        <v>18000</v>
      </c>
      <c r="K24" s="37">
        <f t="shared" si="10"/>
        <v>600</v>
      </c>
      <c r="L24" s="36">
        <f t="shared" si="11"/>
        <v>800</v>
      </c>
      <c r="M24" s="36">
        <f t="shared" si="12"/>
        <v>41.25</v>
      </c>
      <c r="N24" s="38">
        <f t="shared" si="13"/>
        <v>98139.166666666672</v>
      </c>
      <c r="O24" s="39" t="s">
        <v>36</v>
      </c>
    </row>
    <row r="25" spans="1:19" x14ac:dyDescent="0.25">
      <c r="C25" s="52" t="s">
        <v>33</v>
      </c>
      <c r="D25" s="45">
        <f>SUM(D21:D24)</f>
        <v>216780</v>
      </c>
      <c r="E25" s="49"/>
      <c r="F25" s="45"/>
      <c r="G25" s="45">
        <f>SUM(G21:G24)</f>
        <v>41563.90625</v>
      </c>
      <c r="H25" s="45">
        <f t="shared" ref="H25:N25" si="14">SUM(H21:H24)</f>
        <v>63402.291666666672</v>
      </c>
      <c r="I25" s="45">
        <f t="shared" si="14"/>
        <v>21678</v>
      </c>
      <c r="J25" s="45">
        <f t="shared" si="14"/>
        <v>72000</v>
      </c>
      <c r="K25" s="45">
        <f t="shared" si="14"/>
        <v>2601.36</v>
      </c>
      <c r="L25" s="45">
        <f t="shared" si="14"/>
        <v>3468.48</v>
      </c>
      <c r="M25" s="45">
        <f t="shared" si="14"/>
        <v>178.84350000000001</v>
      </c>
      <c r="N25" s="45">
        <f t="shared" si="14"/>
        <v>421672.88141666667</v>
      </c>
      <c r="O25" s="39"/>
    </row>
    <row r="26" spans="1:19" x14ac:dyDescent="0.25">
      <c r="C26" s="40"/>
      <c r="D26" s="34"/>
      <c r="E26" s="35"/>
      <c r="F26" s="35"/>
      <c r="G26" s="36"/>
      <c r="H26" s="36"/>
      <c r="I26" s="36"/>
      <c r="J26" s="37"/>
      <c r="K26" s="40"/>
      <c r="L26" s="36"/>
      <c r="M26" s="36"/>
      <c r="N26" s="38"/>
      <c r="O26" s="39"/>
    </row>
    <row r="27" spans="1:19" x14ac:dyDescent="0.25">
      <c r="A27" s="1">
        <f>1+A24</f>
        <v>18</v>
      </c>
      <c r="B27" s="1">
        <v>1</v>
      </c>
      <c r="C27" s="40" t="s">
        <v>39</v>
      </c>
      <c r="D27" s="34">
        <v>50000</v>
      </c>
      <c r="E27" s="35"/>
      <c r="F27" s="35">
        <v>10</v>
      </c>
      <c r="G27" s="34">
        <f>D27/192*1.5*E27</f>
        <v>0</v>
      </c>
      <c r="H27" s="34">
        <f>D27/192*2*F27</f>
        <v>5208.3333333333339</v>
      </c>
      <c r="I27" s="36">
        <f>D27*$I$5</f>
        <v>5000</v>
      </c>
      <c r="J27" s="37">
        <v>10000</v>
      </c>
      <c r="K27" s="37">
        <f t="shared" ref="K27:K28" si="15">D27*$K$5</f>
        <v>600</v>
      </c>
      <c r="L27" s="36">
        <f t="shared" ref="L27:L28" si="16">D27*$L$5</f>
        <v>800</v>
      </c>
      <c r="M27" s="36">
        <f t="shared" ref="M27:M28" si="17">(D27*0.5%)*16.5%</f>
        <v>41.25</v>
      </c>
      <c r="N27" s="38">
        <f t="shared" si="13"/>
        <v>71649.583333333343</v>
      </c>
      <c r="O27" s="39" t="s">
        <v>40</v>
      </c>
    </row>
    <row r="28" spans="1:19" x14ac:dyDescent="0.25">
      <c r="A28" s="1">
        <f t="shared" si="8"/>
        <v>19</v>
      </c>
      <c r="B28" s="1">
        <v>2</v>
      </c>
      <c r="C28" s="40" t="s">
        <v>41</v>
      </c>
      <c r="D28" s="34">
        <v>50000</v>
      </c>
      <c r="E28" s="35">
        <v>67</v>
      </c>
      <c r="F28" s="35"/>
      <c r="G28" s="34">
        <f>D28/192*1.5*E28</f>
        <v>26171.875</v>
      </c>
      <c r="H28" s="34">
        <f>D28/192*2*F28</f>
        <v>0</v>
      </c>
      <c r="I28" s="36">
        <f>D28*$I$5</f>
        <v>5000</v>
      </c>
      <c r="J28" s="37">
        <v>10000</v>
      </c>
      <c r="K28" s="37">
        <f t="shared" si="15"/>
        <v>600</v>
      </c>
      <c r="L28" s="36">
        <f t="shared" si="16"/>
        <v>800</v>
      </c>
      <c r="M28" s="36">
        <f t="shared" si="17"/>
        <v>41.25</v>
      </c>
      <c r="N28" s="38">
        <f t="shared" si="13"/>
        <v>92613.125</v>
      </c>
      <c r="O28" s="39" t="s">
        <v>40</v>
      </c>
    </row>
    <row r="29" spans="1:19" x14ac:dyDescent="0.25">
      <c r="C29" s="52" t="s">
        <v>33</v>
      </c>
      <c r="D29" s="45">
        <f>SUM(D27:D28)</f>
        <v>100000</v>
      </c>
      <c r="E29" s="49"/>
      <c r="F29" s="45"/>
      <c r="G29" s="45">
        <f t="shared" ref="G29:N29" si="18">SUM(G27:G28)</f>
        <v>26171.875</v>
      </c>
      <c r="H29" s="45">
        <f t="shared" si="18"/>
        <v>5208.3333333333339</v>
      </c>
      <c r="I29" s="45">
        <f t="shared" si="18"/>
        <v>10000</v>
      </c>
      <c r="J29" s="45">
        <f t="shared" si="18"/>
        <v>20000</v>
      </c>
      <c r="K29" s="45">
        <f t="shared" si="18"/>
        <v>1200</v>
      </c>
      <c r="L29" s="45">
        <f t="shared" si="18"/>
        <v>1600</v>
      </c>
      <c r="M29" s="45">
        <f t="shared" si="18"/>
        <v>82.5</v>
      </c>
      <c r="N29" s="45">
        <f t="shared" si="18"/>
        <v>164262.70833333334</v>
      </c>
      <c r="O29" s="39"/>
    </row>
    <row r="30" spans="1:19" x14ac:dyDescent="0.25">
      <c r="C30" s="40"/>
      <c r="D30" s="34"/>
      <c r="E30" s="35"/>
      <c r="F30" s="35"/>
      <c r="G30" s="36"/>
      <c r="H30" s="36"/>
      <c r="I30" s="40"/>
      <c r="J30" s="37"/>
      <c r="K30" s="40"/>
      <c r="L30" s="40"/>
      <c r="M30" s="36"/>
      <c r="N30" s="38"/>
      <c r="O30" s="39"/>
    </row>
    <row r="31" spans="1:19" x14ac:dyDescent="0.25">
      <c r="A31" s="1">
        <f>1+A28</f>
        <v>20</v>
      </c>
      <c r="B31" s="1">
        <v>1</v>
      </c>
      <c r="C31" s="40" t="s">
        <v>42</v>
      </c>
      <c r="D31" s="53">
        <v>210000</v>
      </c>
      <c r="E31" s="54">
        <v>48</v>
      </c>
      <c r="F31" s="55"/>
      <c r="G31" s="34">
        <f>D31/192*1.5*E31</f>
        <v>78750</v>
      </c>
      <c r="H31" s="34">
        <f>D31/192*2*F31</f>
        <v>0</v>
      </c>
      <c r="I31" s="36">
        <f>D31*$I$5</f>
        <v>21000</v>
      </c>
      <c r="J31" s="56">
        <v>35000</v>
      </c>
      <c r="K31" s="37">
        <f t="shared" ref="K31" si="19">D31*$K$5</f>
        <v>2520</v>
      </c>
      <c r="L31" s="36">
        <f t="shared" ref="L31" si="20">D31*$L$5</f>
        <v>3360</v>
      </c>
      <c r="M31" s="36">
        <f t="shared" ref="M31" si="21">(D31*0.5%)*16.5%</f>
        <v>173.25</v>
      </c>
      <c r="N31" s="38">
        <f>+D31+G31+H31+I31+J31+K31+L31+M31</f>
        <v>350803.25</v>
      </c>
      <c r="O31" s="39" t="s">
        <v>43</v>
      </c>
    </row>
    <row r="32" spans="1:19" x14ac:dyDescent="0.25">
      <c r="C32" s="40"/>
      <c r="D32" s="34"/>
      <c r="E32" s="35"/>
      <c r="F32" s="35"/>
      <c r="G32" s="36"/>
      <c r="H32" s="36"/>
      <c r="I32" s="36"/>
      <c r="J32" s="37"/>
      <c r="K32" s="36"/>
      <c r="L32" s="36"/>
      <c r="M32" s="36"/>
      <c r="N32" s="38"/>
      <c r="O32" s="39"/>
    </row>
    <row r="33" spans="1:19" x14ac:dyDescent="0.25">
      <c r="A33" s="1">
        <f>1+A31</f>
        <v>21</v>
      </c>
      <c r="B33" s="1">
        <v>1</v>
      </c>
      <c r="C33" s="40" t="s">
        <v>44</v>
      </c>
      <c r="D33" s="34">
        <v>77910</v>
      </c>
      <c r="E33" s="35">
        <v>82</v>
      </c>
      <c r="F33" s="35">
        <v>18</v>
      </c>
      <c r="G33" s="34">
        <f t="shared" ref="G33:G39" si="22">D33/192*1.5*E33</f>
        <v>49911.09375</v>
      </c>
      <c r="H33" s="34">
        <f>D33/192*2*F33</f>
        <v>14608.125</v>
      </c>
      <c r="I33" s="36">
        <f t="shared" ref="I33:I39" si="23">D33*$I$5</f>
        <v>7791</v>
      </c>
      <c r="J33" s="37">
        <f>18000+5000</f>
        <v>23000</v>
      </c>
      <c r="K33" s="37">
        <f t="shared" ref="K33:K39" si="24">D33*$K$5</f>
        <v>934.92000000000007</v>
      </c>
      <c r="L33" s="36">
        <f t="shared" ref="L33:L39" si="25">D33*$L$5</f>
        <v>1246.56</v>
      </c>
      <c r="M33" s="36">
        <f t="shared" ref="M33:M39" si="26">(D33*0.5%)*16.5%</f>
        <v>64.275750000000002</v>
      </c>
      <c r="N33" s="38">
        <f t="shared" ref="N33:N44" si="27">+D33+G33+H33+I33+J33+K33+L33+M33</f>
        <v>175465.97450000001</v>
      </c>
      <c r="O33" s="39" t="s">
        <v>45</v>
      </c>
    </row>
    <row r="34" spans="1:19" x14ac:dyDescent="0.25">
      <c r="A34" s="1">
        <f t="shared" si="8"/>
        <v>22</v>
      </c>
      <c r="B34" s="1">
        <v>2</v>
      </c>
      <c r="C34" s="40" t="s">
        <v>46</v>
      </c>
      <c r="D34" s="34">
        <v>50000</v>
      </c>
      <c r="E34" s="35">
        <v>48</v>
      </c>
      <c r="F34" s="35">
        <v>18</v>
      </c>
      <c r="G34" s="34">
        <f t="shared" si="22"/>
        <v>18750</v>
      </c>
      <c r="H34" s="34">
        <f t="shared" ref="H34:H39" si="28">D34/192*2*F34</f>
        <v>9375</v>
      </c>
      <c r="I34" s="36">
        <f>D34*$I$5</f>
        <v>5000</v>
      </c>
      <c r="J34" s="37">
        <v>10000</v>
      </c>
      <c r="K34" s="37">
        <f t="shared" si="24"/>
        <v>600</v>
      </c>
      <c r="L34" s="36">
        <f t="shared" si="25"/>
        <v>800</v>
      </c>
      <c r="M34" s="36">
        <f t="shared" si="26"/>
        <v>41.25</v>
      </c>
      <c r="N34" s="38">
        <f>+D34+G34+H34+I34+J34+K34+L34+M34</f>
        <v>94566.25</v>
      </c>
      <c r="O34" s="39" t="s">
        <v>45</v>
      </c>
    </row>
    <row r="35" spans="1:19" x14ac:dyDescent="0.25">
      <c r="A35" s="1">
        <f t="shared" si="8"/>
        <v>23</v>
      </c>
      <c r="B35" s="1">
        <v>3</v>
      </c>
      <c r="C35" s="40" t="s">
        <v>47</v>
      </c>
      <c r="D35" s="34">
        <v>50000</v>
      </c>
      <c r="E35" s="35">
        <v>48</v>
      </c>
      <c r="F35" s="35">
        <v>6</v>
      </c>
      <c r="G35" s="34">
        <f t="shared" si="22"/>
        <v>18750</v>
      </c>
      <c r="H35" s="34">
        <f t="shared" si="28"/>
        <v>3125</v>
      </c>
      <c r="I35" s="36">
        <f>D35*$I$5</f>
        <v>5000</v>
      </c>
      <c r="J35" s="37">
        <v>10000</v>
      </c>
      <c r="K35" s="37">
        <f t="shared" si="24"/>
        <v>600</v>
      </c>
      <c r="L35" s="36">
        <f t="shared" si="25"/>
        <v>800</v>
      </c>
      <c r="M35" s="36">
        <f t="shared" si="26"/>
        <v>41.25</v>
      </c>
      <c r="N35" s="38">
        <f>+D35+G35+H35+I35+J35+K35+L35+M35</f>
        <v>88316.25</v>
      </c>
      <c r="O35" s="39" t="s">
        <v>45</v>
      </c>
    </row>
    <row r="36" spans="1:19" x14ac:dyDescent="0.25">
      <c r="A36" s="1">
        <f t="shared" si="8"/>
        <v>24</v>
      </c>
      <c r="B36" s="1">
        <v>4</v>
      </c>
      <c r="C36" s="40" t="s">
        <v>48</v>
      </c>
      <c r="D36" s="34">
        <v>50000</v>
      </c>
      <c r="E36" s="35">
        <v>48</v>
      </c>
      <c r="F36" s="35">
        <v>6</v>
      </c>
      <c r="G36" s="34">
        <f t="shared" si="22"/>
        <v>18750</v>
      </c>
      <c r="H36" s="34">
        <f t="shared" si="28"/>
        <v>3125</v>
      </c>
      <c r="I36" s="36">
        <f>D36*$I$5</f>
        <v>5000</v>
      </c>
      <c r="J36" s="37">
        <v>10000</v>
      </c>
      <c r="K36" s="37">
        <f t="shared" si="24"/>
        <v>600</v>
      </c>
      <c r="L36" s="36">
        <f t="shared" si="25"/>
        <v>800</v>
      </c>
      <c r="M36" s="36">
        <f t="shared" si="26"/>
        <v>41.25</v>
      </c>
      <c r="N36" s="38">
        <f>+D36+G36+H36+I36+J36+K36+L36+M36</f>
        <v>88316.25</v>
      </c>
      <c r="O36" s="39" t="s">
        <v>45</v>
      </c>
    </row>
    <row r="37" spans="1:19" x14ac:dyDescent="0.25">
      <c r="A37" s="1">
        <f t="shared" si="8"/>
        <v>25</v>
      </c>
      <c r="B37" s="1">
        <v>5</v>
      </c>
      <c r="C37" s="40" t="s">
        <v>49</v>
      </c>
      <c r="D37" s="34">
        <v>50000</v>
      </c>
      <c r="E37" s="35">
        <v>48</v>
      </c>
      <c r="F37" s="35">
        <v>18</v>
      </c>
      <c r="G37" s="34">
        <f t="shared" si="22"/>
        <v>18750</v>
      </c>
      <c r="H37" s="34">
        <f t="shared" si="28"/>
        <v>9375</v>
      </c>
      <c r="I37" s="36">
        <f t="shared" si="23"/>
        <v>5000</v>
      </c>
      <c r="J37" s="37">
        <v>10000</v>
      </c>
      <c r="K37" s="37">
        <f t="shared" si="24"/>
        <v>600</v>
      </c>
      <c r="L37" s="36">
        <f t="shared" si="25"/>
        <v>800</v>
      </c>
      <c r="M37" s="36">
        <f t="shared" si="26"/>
        <v>41.25</v>
      </c>
      <c r="N37" s="38">
        <f t="shared" si="27"/>
        <v>94566.25</v>
      </c>
      <c r="O37" s="39" t="s">
        <v>45</v>
      </c>
    </row>
    <row r="38" spans="1:19" x14ac:dyDescent="0.25">
      <c r="A38" s="1">
        <f t="shared" si="8"/>
        <v>26</v>
      </c>
      <c r="B38" s="1">
        <v>6</v>
      </c>
      <c r="C38" s="40" t="s">
        <v>50</v>
      </c>
      <c r="D38" s="34">
        <v>50000</v>
      </c>
      <c r="E38" s="35">
        <v>48</v>
      </c>
      <c r="F38" s="35">
        <v>6</v>
      </c>
      <c r="G38" s="34">
        <f t="shared" si="22"/>
        <v>18750</v>
      </c>
      <c r="H38" s="34">
        <f t="shared" si="28"/>
        <v>3125</v>
      </c>
      <c r="I38" s="36">
        <f t="shared" si="23"/>
        <v>5000</v>
      </c>
      <c r="J38" s="37">
        <v>10000</v>
      </c>
      <c r="K38" s="37">
        <f t="shared" si="24"/>
        <v>600</v>
      </c>
      <c r="L38" s="36">
        <f t="shared" si="25"/>
        <v>800</v>
      </c>
      <c r="M38" s="36">
        <f t="shared" si="26"/>
        <v>41.25</v>
      </c>
      <c r="N38" s="38">
        <f t="shared" si="27"/>
        <v>88316.25</v>
      </c>
      <c r="O38" s="39" t="s">
        <v>45</v>
      </c>
    </row>
    <row r="39" spans="1:19" x14ac:dyDescent="0.25">
      <c r="A39" s="1">
        <f t="shared" si="8"/>
        <v>27</v>
      </c>
      <c r="B39" s="1">
        <f>1+B38</f>
        <v>7</v>
      </c>
      <c r="C39" s="40" t="s">
        <v>51</v>
      </c>
      <c r="D39" s="34">
        <v>50000</v>
      </c>
      <c r="E39" s="35">
        <v>48</v>
      </c>
      <c r="F39" s="35">
        <v>18</v>
      </c>
      <c r="G39" s="34">
        <f t="shared" si="22"/>
        <v>18750</v>
      </c>
      <c r="H39" s="34">
        <f t="shared" si="28"/>
        <v>9375</v>
      </c>
      <c r="I39" s="36">
        <f t="shared" si="23"/>
        <v>5000</v>
      </c>
      <c r="J39" s="37">
        <v>10000</v>
      </c>
      <c r="K39" s="37">
        <f t="shared" si="24"/>
        <v>600</v>
      </c>
      <c r="L39" s="36">
        <f t="shared" si="25"/>
        <v>800</v>
      </c>
      <c r="M39" s="36">
        <f t="shared" si="26"/>
        <v>41.25</v>
      </c>
      <c r="N39" s="38">
        <f t="shared" si="27"/>
        <v>94566.25</v>
      </c>
      <c r="O39" s="39" t="s">
        <v>45</v>
      </c>
    </row>
    <row r="40" spans="1:19" x14ac:dyDescent="0.25">
      <c r="C40" s="52" t="s">
        <v>33</v>
      </c>
      <c r="D40" s="45">
        <f>SUM(D33:D39)</f>
        <v>377910</v>
      </c>
      <c r="E40" s="49"/>
      <c r="F40" s="45"/>
      <c r="G40" s="45">
        <f t="shared" ref="G40:L40" si="29">SUM(G33:G39)</f>
        <v>162411.09375</v>
      </c>
      <c r="H40" s="45">
        <f t="shared" si="29"/>
        <v>52108.125</v>
      </c>
      <c r="I40" s="45">
        <f t="shared" si="29"/>
        <v>37791</v>
      </c>
      <c r="J40" s="45">
        <f t="shared" si="29"/>
        <v>83000</v>
      </c>
      <c r="K40" s="45">
        <f t="shared" si="29"/>
        <v>4534.92</v>
      </c>
      <c r="L40" s="45">
        <f t="shared" si="29"/>
        <v>6046.5599999999995</v>
      </c>
      <c r="M40" s="45">
        <f>SUM(M33:M39)</f>
        <v>311.77575000000002</v>
      </c>
      <c r="N40" s="45">
        <f>SUM(N33:N39)</f>
        <v>724113.47450000001</v>
      </c>
      <c r="O40" s="39"/>
    </row>
    <row r="41" spans="1:19" x14ac:dyDescent="0.25">
      <c r="C41" s="40"/>
      <c r="D41" s="34"/>
      <c r="E41" s="35"/>
      <c r="F41" s="35"/>
      <c r="G41" s="36"/>
      <c r="H41" s="36"/>
      <c r="I41" s="36"/>
      <c r="J41" s="37"/>
      <c r="K41" s="40"/>
      <c r="L41" s="36"/>
      <c r="M41" s="36"/>
      <c r="N41" s="38"/>
      <c r="O41" s="39"/>
    </row>
    <row r="42" spans="1:19" s="47" customFormat="1" x14ac:dyDescent="0.25">
      <c r="A42" s="1">
        <f>1+A39</f>
        <v>28</v>
      </c>
      <c r="B42" s="47">
        <v>1</v>
      </c>
      <c r="C42" s="41" t="s">
        <v>52</v>
      </c>
      <c r="D42" s="34">
        <v>50000</v>
      </c>
      <c r="E42" s="35">
        <v>9</v>
      </c>
      <c r="F42" s="35">
        <v>0</v>
      </c>
      <c r="G42" s="34">
        <f>D42/192*1.5*E42</f>
        <v>3515.625</v>
      </c>
      <c r="H42" s="34">
        <f>D42/192*2*F42</f>
        <v>0</v>
      </c>
      <c r="I42" s="36">
        <f>D42*$I$5</f>
        <v>5000</v>
      </c>
      <c r="J42" s="44">
        <f>18000+5000</f>
        <v>23000</v>
      </c>
      <c r="K42" s="37">
        <f t="shared" ref="K42:K44" si="30">D42*$K$5</f>
        <v>600</v>
      </c>
      <c r="L42" s="36">
        <f t="shared" ref="L42:L44" si="31">D42*$L$5</f>
        <v>800</v>
      </c>
      <c r="M42" s="36">
        <f t="shared" ref="M42:M44" si="32">(D42*0.5%)*16.5%</f>
        <v>41.25</v>
      </c>
      <c r="N42" s="38">
        <f t="shared" si="27"/>
        <v>82956.875</v>
      </c>
      <c r="O42" s="46" t="s">
        <v>53</v>
      </c>
      <c r="S42" s="57"/>
    </row>
    <row r="43" spans="1:19" s="47" customFormat="1" x14ac:dyDescent="0.25">
      <c r="A43" s="1">
        <f t="shared" ref="A43:A55" si="33">1+A42</f>
        <v>29</v>
      </c>
      <c r="B43" s="47">
        <v>2</v>
      </c>
      <c r="C43" s="41" t="s">
        <v>54</v>
      </c>
      <c r="D43" s="34">
        <v>50000</v>
      </c>
      <c r="E43" s="35">
        <v>9</v>
      </c>
      <c r="F43" s="35">
        <v>0</v>
      </c>
      <c r="G43" s="34">
        <f>D43/192*1.5*E43</f>
        <v>3515.625</v>
      </c>
      <c r="H43" s="34">
        <f>D43/192*2*F43</f>
        <v>0</v>
      </c>
      <c r="I43" s="36">
        <f>D43*$I$5</f>
        <v>5000</v>
      </c>
      <c r="J43" s="44">
        <v>18000</v>
      </c>
      <c r="K43" s="37">
        <f t="shared" si="30"/>
        <v>600</v>
      </c>
      <c r="L43" s="36">
        <f t="shared" si="31"/>
        <v>800</v>
      </c>
      <c r="M43" s="36">
        <f t="shared" si="32"/>
        <v>41.25</v>
      </c>
      <c r="N43" s="38">
        <f t="shared" si="27"/>
        <v>77956.875</v>
      </c>
      <c r="O43" s="46" t="s">
        <v>53</v>
      </c>
    </row>
    <row r="44" spans="1:19" s="47" customFormat="1" x14ac:dyDescent="0.25">
      <c r="A44" s="1">
        <f t="shared" si="33"/>
        <v>30</v>
      </c>
      <c r="B44" s="47">
        <v>3</v>
      </c>
      <c r="C44" s="41" t="s">
        <v>55</v>
      </c>
      <c r="D44" s="34">
        <v>56317.8</v>
      </c>
      <c r="E44" s="35">
        <v>9</v>
      </c>
      <c r="F44" s="35">
        <v>4</v>
      </c>
      <c r="G44" s="34">
        <f>D44/192*1.5*E44</f>
        <v>3959.8453125000001</v>
      </c>
      <c r="H44" s="34">
        <f>D44/192*2*F44</f>
        <v>2346.5750000000003</v>
      </c>
      <c r="I44" s="36">
        <f>D44*$I$5</f>
        <v>5631.7800000000007</v>
      </c>
      <c r="J44" s="44">
        <v>18000</v>
      </c>
      <c r="K44" s="37">
        <f t="shared" si="30"/>
        <v>675.81360000000006</v>
      </c>
      <c r="L44" s="36">
        <f t="shared" si="31"/>
        <v>901.08480000000009</v>
      </c>
      <c r="M44" s="36">
        <f t="shared" si="32"/>
        <v>46.462185000000005</v>
      </c>
      <c r="N44" s="38">
        <f t="shared" si="27"/>
        <v>87879.360897499995</v>
      </c>
      <c r="O44" s="46" t="s">
        <v>53</v>
      </c>
    </row>
    <row r="45" spans="1:19" s="22" customFormat="1" x14ac:dyDescent="0.25">
      <c r="A45" s="1">
        <f t="shared" si="33"/>
        <v>31</v>
      </c>
      <c r="C45" s="52"/>
      <c r="D45" s="53">
        <f>SUM(D42:D44)</f>
        <v>156317.79999999999</v>
      </c>
      <c r="E45" s="58"/>
      <c r="F45" s="53"/>
      <c r="G45" s="53">
        <f t="shared" ref="G45:N45" si="34">SUM(G42:G44)</f>
        <v>10991.0953125</v>
      </c>
      <c r="H45" s="53">
        <f t="shared" si="34"/>
        <v>2346.5750000000003</v>
      </c>
      <c r="I45" s="53">
        <f t="shared" si="34"/>
        <v>15631.78</v>
      </c>
      <c r="J45" s="53">
        <f t="shared" si="34"/>
        <v>59000</v>
      </c>
      <c r="K45" s="53">
        <f t="shared" si="34"/>
        <v>1875.8136</v>
      </c>
      <c r="L45" s="53">
        <f t="shared" si="34"/>
        <v>2501.0848000000001</v>
      </c>
      <c r="M45" s="53">
        <f t="shared" si="34"/>
        <v>128.96218500000001</v>
      </c>
      <c r="N45" s="53">
        <f t="shared" si="34"/>
        <v>248793.11089750001</v>
      </c>
      <c r="O45" s="59"/>
    </row>
    <row r="46" spans="1:19" x14ac:dyDescent="0.25">
      <c r="A46" s="1">
        <f t="shared" si="33"/>
        <v>32</v>
      </c>
      <c r="C46" s="40"/>
      <c r="D46" s="34"/>
      <c r="E46" s="35"/>
      <c r="F46" s="35"/>
      <c r="G46" s="36"/>
      <c r="H46" s="36"/>
      <c r="I46" s="36"/>
      <c r="J46" s="37"/>
      <c r="K46" s="40"/>
      <c r="L46" s="36"/>
      <c r="M46" s="36"/>
      <c r="N46" s="38"/>
      <c r="O46" s="39"/>
    </row>
    <row r="47" spans="1:19" x14ac:dyDescent="0.25">
      <c r="A47" s="1">
        <f t="shared" si="33"/>
        <v>33</v>
      </c>
      <c r="B47" s="1">
        <v>1</v>
      </c>
      <c r="C47" s="40" t="s">
        <v>56</v>
      </c>
      <c r="D47" s="34">
        <v>50000</v>
      </c>
      <c r="E47" s="35"/>
      <c r="F47" s="35">
        <v>36</v>
      </c>
      <c r="G47" s="34">
        <f>D47/192*1.5*E47</f>
        <v>0</v>
      </c>
      <c r="H47" s="34">
        <f>D47/192*2*F47</f>
        <v>18750</v>
      </c>
      <c r="I47" s="36">
        <f>D47*$I$5</f>
        <v>5000</v>
      </c>
      <c r="J47" s="37">
        <v>10000</v>
      </c>
      <c r="K47" s="37">
        <f t="shared" ref="K47:K48" si="35">D47*$K$5</f>
        <v>600</v>
      </c>
      <c r="L47" s="36">
        <f t="shared" ref="L47:L48" si="36">D47*$L$5</f>
        <v>800</v>
      </c>
      <c r="M47" s="36">
        <f t="shared" ref="M47:M48" si="37">(D47*0.5%)*16.5%</f>
        <v>41.25</v>
      </c>
      <c r="N47" s="38">
        <f>+D47+G47+H47+I47+J47+K47+L47+M47</f>
        <v>85191.25</v>
      </c>
      <c r="O47" s="39" t="s">
        <v>57</v>
      </c>
    </row>
    <row r="48" spans="1:19" x14ac:dyDescent="0.25">
      <c r="A48" s="1">
        <f t="shared" si="33"/>
        <v>34</v>
      </c>
      <c r="B48" s="1">
        <f>1+B33</f>
        <v>2</v>
      </c>
      <c r="C48" s="40" t="s">
        <v>58</v>
      </c>
      <c r="D48" s="34">
        <v>50000</v>
      </c>
      <c r="E48" s="35">
        <v>9</v>
      </c>
      <c r="F48" s="35">
        <v>45</v>
      </c>
      <c r="G48" s="34">
        <f>D48/192*1.5*E48</f>
        <v>3515.625</v>
      </c>
      <c r="H48" s="34">
        <f>D48/192*2*F48</f>
        <v>23437.5</v>
      </c>
      <c r="I48" s="36">
        <f>D48*$I$5</f>
        <v>5000</v>
      </c>
      <c r="J48" s="37">
        <v>10000</v>
      </c>
      <c r="K48" s="37">
        <f t="shared" si="35"/>
        <v>600</v>
      </c>
      <c r="L48" s="36">
        <f t="shared" si="36"/>
        <v>800</v>
      </c>
      <c r="M48" s="36">
        <f t="shared" si="37"/>
        <v>41.25</v>
      </c>
      <c r="N48" s="38">
        <f>+D48+G48+H48+I48+J48+K48+L48+M48</f>
        <v>93394.375</v>
      </c>
      <c r="O48" s="39" t="s">
        <v>57</v>
      </c>
    </row>
    <row r="49" spans="1:15" x14ac:dyDescent="0.25">
      <c r="C49" s="52" t="s">
        <v>33</v>
      </c>
      <c r="D49" s="45">
        <f t="shared" ref="D49:N49" si="38">SUM(D47:D48)</f>
        <v>100000</v>
      </c>
      <c r="E49" s="49"/>
      <c r="F49" s="45"/>
      <c r="G49" s="45">
        <f t="shared" si="38"/>
        <v>3515.625</v>
      </c>
      <c r="H49" s="45">
        <f t="shared" si="38"/>
        <v>42187.5</v>
      </c>
      <c r="I49" s="45">
        <f t="shared" si="38"/>
        <v>10000</v>
      </c>
      <c r="J49" s="45">
        <f t="shared" si="38"/>
        <v>20000</v>
      </c>
      <c r="K49" s="45">
        <f t="shared" si="38"/>
        <v>1200</v>
      </c>
      <c r="L49" s="45">
        <f t="shared" si="38"/>
        <v>1600</v>
      </c>
      <c r="M49" s="45">
        <f t="shared" si="38"/>
        <v>82.5</v>
      </c>
      <c r="N49" s="38">
        <f t="shared" si="38"/>
        <v>178585.625</v>
      </c>
      <c r="O49" s="39"/>
    </row>
    <row r="50" spans="1:15" x14ac:dyDescent="0.25">
      <c r="A50" s="40">
        <v>36</v>
      </c>
      <c r="B50" s="40"/>
      <c r="C50" s="40"/>
      <c r="D50" s="41"/>
      <c r="E50" s="35"/>
      <c r="F50" s="35"/>
      <c r="G50" s="40"/>
      <c r="H50" s="34"/>
      <c r="I50" s="40"/>
      <c r="J50" s="37"/>
      <c r="K50" s="40"/>
      <c r="L50" s="40"/>
      <c r="M50" s="36"/>
      <c r="N50" s="38"/>
      <c r="O50" s="39"/>
    </row>
    <row r="51" spans="1:15" x14ac:dyDescent="0.25">
      <c r="A51" s="40">
        <f>1+A48</f>
        <v>35</v>
      </c>
      <c r="B51" s="40">
        <v>1</v>
      </c>
      <c r="C51" s="40" t="s">
        <v>59</v>
      </c>
      <c r="D51" s="34">
        <v>115500</v>
      </c>
      <c r="E51" s="35"/>
      <c r="F51" s="35"/>
      <c r="G51" s="34">
        <f>D51/192*1.5*E51</f>
        <v>0</v>
      </c>
      <c r="H51" s="34">
        <f>D51/192*2*F51</f>
        <v>0</v>
      </c>
      <c r="I51" s="36">
        <f>D51*$I$5</f>
        <v>11550</v>
      </c>
      <c r="J51" s="37">
        <v>18000</v>
      </c>
      <c r="K51" s="37">
        <f t="shared" ref="K51:K55" si="39">D51*$K$5</f>
        <v>1386</v>
      </c>
      <c r="L51" s="36">
        <f t="shared" ref="L51:L55" si="40">D51*$L$5</f>
        <v>1848</v>
      </c>
      <c r="M51" s="36">
        <f t="shared" ref="M51:M55" si="41">(D51*0.5%)*16.5%</f>
        <v>95.287500000000009</v>
      </c>
      <c r="N51" s="38">
        <f t="shared" ref="N51:N56" si="42">+D51+G51+H51+I51+J51+K51+L51+M51</f>
        <v>148379.28750000001</v>
      </c>
      <c r="O51" s="39" t="s">
        <v>60</v>
      </c>
    </row>
    <row r="52" spans="1:15" s="65" customFormat="1" x14ac:dyDescent="0.25">
      <c r="A52" s="60">
        <v>36</v>
      </c>
      <c r="B52" s="60">
        <v>2</v>
      </c>
      <c r="C52" s="60" t="s">
        <v>61</v>
      </c>
      <c r="D52" s="61">
        <v>210000</v>
      </c>
      <c r="E52" s="62"/>
      <c r="F52" s="62"/>
      <c r="G52" s="61">
        <f>D52/192*1.5*E52</f>
        <v>0</v>
      </c>
      <c r="H52" s="61">
        <f>D52/192*2*F52</f>
        <v>0</v>
      </c>
      <c r="I52" s="61">
        <f>D52*$I$5</f>
        <v>21000</v>
      </c>
      <c r="J52" s="63">
        <f>36000+18000</f>
        <v>54000</v>
      </c>
      <c r="K52" s="37">
        <f t="shared" si="39"/>
        <v>2520</v>
      </c>
      <c r="L52" s="36">
        <f t="shared" si="40"/>
        <v>3360</v>
      </c>
      <c r="M52" s="36">
        <f t="shared" si="41"/>
        <v>173.25</v>
      </c>
      <c r="N52" s="64">
        <f t="shared" si="42"/>
        <v>291053.25</v>
      </c>
      <c r="O52" s="39" t="s">
        <v>60</v>
      </c>
    </row>
    <row r="53" spans="1:15" x14ac:dyDescent="0.25">
      <c r="A53" s="40">
        <f>1+A52</f>
        <v>37</v>
      </c>
      <c r="B53" s="40">
        <v>3</v>
      </c>
      <c r="C53" s="40" t="s">
        <v>62</v>
      </c>
      <c r="D53" s="34">
        <v>50000</v>
      </c>
      <c r="E53" s="35"/>
      <c r="F53" s="35"/>
      <c r="G53" s="34">
        <f>D53/192*1.5*E53</f>
        <v>0</v>
      </c>
      <c r="H53" s="34">
        <f>D53/192*2*F53</f>
        <v>0</v>
      </c>
      <c r="I53" s="36">
        <f>D53*$I$5</f>
        <v>5000</v>
      </c>
      <c r="J53" s="37">
        <v>0</v>
      </c>
      <c r="K53" s="37">
        <f t="shared" si="39"/>
        <v>600</v>
      </c>
      <c r="L53" s="36">
        <f t="shared" si="40"/>
        <v>800</v>
      </c>
      <c r="M53" s="36">
        <f t="shared" si="41"/>
        <v>41.25</v>
      </c>
      <c r="N53" s="38">
        <f t="shared" si="42"/>
        <v>56441.25</v>
      </c>
      <c r="O53" s="39" t="s">
        <v>60</v>
      </c>
    </row>
    <row r="54" spans="1:15" x14ac:dyDescent="0.25">
      <c r="A54" s="40">
        <f t="shared" si="33"/>
        <v>38</v>
      </c>
      <c r="B54" s="40">
        <v>4</v>
      </c>
      <c r="C54" s="40" t="s">
        <v>63</v>
      </c>
      <c r="D54" s="34">
        <v>55093.5</v>
      </c>
      <c r="E54" s="35"/>
      <c r="F54" s="35"/>
      <c r="G54" s="34">
        <f>D54/192*1.5*E54</f>
        <v>0</v>
      </c>
      <c r="H54" s="34">
        <f>D54/192*2*F54</f>
        <v>0</v>
      </c>
      <c r="I54" s="36">
        <f>D54*$I$5</f>
        <v>5509.35</v>
      </c>
      <c r="J54" s="37">
        <v>18000</v>
      </c>
      <c r="K54" s="37">
        <f t="shared" si="39"/>
        <v>661.12199999999996</v>
      </c>
      <c r="L54" s="36">
        <f t="shared" si="40"/>
        <v>881.49599999999998</v>
      </c>
      <c r="M54" s="36">
        <f t="shared" si="41"/>
        <v>45.452137500000006</v>
      </c>
      <c r="N54" s="38">
        <f t="shared" si="42"/>
        <v>80190.920137500012</v>
      </c>
      <c r="O54" s="39" t="s">
        <v>60</v>
      </c>
    </row>
    <row r="55" spans="1:15" x14ac:dyDescent="0.25">
      <c r="A55" s="40">
        <f t="shared" si="33"/>
        <v>39</v>
      </c>
      <c r="B55" s="40">
        <v>5</v>
      </c>
      <c r="C55" s="40" t="s">
        <v>64</v>
      </c>
      <c r="D55" s="34">
        <v>50000</v>
      </c>
      <c r="E55" s="35"/>
      <c r="F55" s="35"/>
      <c r="G55" s="34">
        <f>D55/192*1.5*E55</f>
        <v>0</v>
      </c>
      <c r="H55" s="34">
        <f>D55/192*2*F55</f>
        <v>0</v>
      </c>
      <c r="I55" s="36">
        <f>D55*$I$5</f>
        <v>5000</v>
      </c>
      <c r="J55" s="37">
        <v>18000</v>
      </c>
      <c r="K55" s="37">
        <f t="shared" si="39"/>
        <v>600</v>
      </c>
      <c r="L55" s="36">
        <f t="shared" si="40"/>
        <v>800</v>
      </c>
      <c r="M55" s="36">
        <f t="shared" si="41"/>
        <v>41.25</v>
      </c>
      <c r="N55" s="38">
        <f t="shared" si="42"/>
        <v>74441.25</v>
      </c>
      <c r="O55" s="39" t="s">
        <v>60</v>
      </c>
    </row>
    <row r="56" spans="1:15" x14ac:dyDescent="0.25">
      <c r="C56" s="52" t="s">
        <v>33</v>
      </c>
      <c r="D56" s="45">
        <f>SUM(D51:D55)</f>
        <v>480593.5</v>
      </c>
      <c r="E56" s="49"/>
      <c r="F56" s="45"/>
      <c r="G56" s="45">
        <f t="shared" ref="G56:M56" si="43">SUM(G51:G55)</f>
        <v>0</v>
      </c>
      <c r="H56" s="45">
        <f t="shared" si="43"/>
        <v>0</v>
      </c>
      <c r="I56" s="45">
        <f t="shared" si="43"/>
        <v>48059.35</v>
      </c>
      <c r="J56" s="45">
        <f t="shared" si="43"/>
        <v>108000</v>
      </c>
      <c r="K56" s="45">
        <f t="shared" si="43"/>
        <v>5767.1220000000003</v>
      </c>
      <c r="L56" s="45">
        <f t="shared" si="43"/>
        <v>7689.4960000000001</v>
      </c>
      <c r="M56" s="45">
        <f t="shared" si="43"/>
        <v>396.48963750000001</v>
      </c>
      <c r="N56" s="38">
        <f t="shared" si="42"/>
        <v>650505.95763750002</v>
      </c>
      <c r="O56" s="39"/>
    </row>
    <row r="57" spans="1:15" s="66" customFormat="1" x14ac:dyDescent="0.25">
      <c r="A57" s="1"/>
      <c r="C57" s="67"/>
      <c r="D57" s="68"/>
      <c r="E57" s="69"/>
      <c r="F57" s="69"/>
      <c r="G57" s="68"/>
      <c r="H57" s="68"/>
      <c r="I57" s="68"/>
      <c r="J57" s="70"/>
      <c r="K57" s="67"/>
      <c r="L57" s="68"/>
      <c r="M57" s="68"/>
      <c r="N57" s="71"/>
      <c r="O57" s="72"/>
    </row>
    <row r="58" spans="1:15" x14ac:dyDescent="0.25">
      <c r="A58" s="1">
        <f>1+A55</f>
        <v>40</v>
      </c>
      <c r="B58" s="1">
        <v>1</v>
      </c>
      <c r="C58" s="33" t="s">
        <v>65</v>
      </c>
      <c r="D58" s="34">
        <v>160000</v>
      </c>
      <c r="E58" s="35"/>
      <c r="F58" s="35">
        <v>24</v>
      </c>
      <c r="G58" s="34">
        <f t="shared" ref="G58:G70" si="44">D58/192*1.5*E58</f>
        <v>0</v>
      </c>
      <c r="H58" s="34">
        <f>D58/192*2*F58</f>
        <v>40000</v>
      </c>
      <c r="I58" s="36">
        <f t="shared" ref="I58:I70" si="45">D58*$I$5</f>
        <v>16000</v>
      </c>
      <c r="J58" s="37">
        <v>51000</v>
      </c>
      <c r="K58" s="37">
        <f t="shared" ref="K58:K70" si="46">D58*$K$5</f>
        <v>1920</v>
      </c>
      <c r="L58" s="36">
        <f t="shared" ref="L58:L70" si="47">D58*$L$5</f>
        <v>2560</v>
      </c>
      <c r="M58" s="36">
        <f t="shared" ref="M58:M70" si="48">(D58*0.5%)*16.5%</f>
        <v>132</v>
      </c>
      <c r="N58" s="38">
        <f t="shared" ref="N58:N76" si="49">+D58+G58+H58+I58+J58+K58+L58+M58</f>
        <v>271612</v>
      </c>
      <c r="O58" s="39" t="s">
        <v>66</v>
      </c>
    </row>
    <row r="59" spans="1:15" x14ac:dyDescent="0.25">
      <c r="A59" s="1">
        <f t="shared" ref="A59:B70" si="50">1+A58</f>
        <v>41</v>
      </c>
      <c r="B59" s="1">
        <f>1+B58</f>
        <v>2</v>
      </c>
      <c r="C59" s="40" t="s">
        <v>67</v>
      </c>
      <c r="D59" s="34">
        <v>120000</v>
      </c>
      <c r="E59" s="35">
        <v>4</v>
      </c>
      <c r="F59" s="35">
        <v>37</v>
      </c>
      <c r="G59" s="34">
        <f t="shared" si="44"/>
        <v>3750</v>
      </c>
      <c r="H59" s="34">
        <f t="shared" ref="H59:H70" si="51">D59/192*2*F59</f>
        <v>46250</v>
      </c>
      <c r="I59" s="36">
        <f t="shared" si="45"/>
        <v>12000</v>
      </c>
      <c r="J59" s="37">
        <v>20000</v>
      </c>
      <c r="K59" s="37">
        <f t="shared" si="46"/>
        <v>1440</v>
      </c>
      <c r="L59" s="36">
        <f t="shared" si="47"/>
        <v>1920</v>
      </c>
      <c r="M59" s="36">
        <f t="shared" si="48"/>
        <v>99</v>
      </c>
      <c r="N59" s="38">
        <f t="shared" si="49"/>
        <v>205459</v>
      </c>
      <c r="O59" s="39" t="s">
        <v>66</v>
      </c>
    </row>
    <row r="60" spans="1:15" x14ac:dyDescent="0.25">
      <c r="A60" s="1">
        <f t="shared" si="50"/>
        <v>42</v>
      </c>
      <c r="B60" s="1">
        <f t="shared" si="50"/>
        <v>3</v>
      </c>
      <c r="C60" s="40" t="s">
        <v>68</v>
      </c>
      <c r="D60" s="34">
        <v>70000</v>
      </c>
      <c r="E60" s="35"/>
      <c r="F60" s="35">
        <f>16+35</f>
        <v>51</v>
      </c>
      <c r="G60" s="34">
        <f t="shared" si="44"/>
        <v>0</v>
      </c>
      <c r="H60" s="34">
        <f t="shared" si="51"/>
        <v>37187.5</v>
      </c>
      <c r="I60" s="36">
        <f t="shared" si="45"/>
        <v>7000</v>
      </c>
      <c r="J60" s="37">
        <v>10000</v>
      </c>
      <c r="K60" s="37">
        <f t="shared" si="46"/>
        <v>840</v>
      </c>
      <c r="L60" s="36">
        <f t="shared" si="47"/>
        <v>1120</v>
      </c>
      <c r="M60" s="36">
        <f t="shared" si="48"/>
        <v>57.75</v>
      </c>
      <c r="N60" s="38">
        <f t="shared" si="49"/>
        <v>126205.25</v>
      </c>
      <c r="O60" s="39" t="s">
        <v>66</v>
      </c>
    </row>
    <row r="61" spans="1:15" x14ac:dyDescent="0.25">
      <c r="A61" s="1">
        <f t="shared" si="50"/>
        <v>43</v>
      </c>
      <c r="B61" s="1">
        <f t="shared" si="50"/>
        <v>4</v>
      </c>
      <c r="C61" s="40" t="s">
        <v>69</v>
      </c>
      <c r="D61" s="34">
        <v>70000</v>
      </c>
      <c r="E61" s="35">
        <v>9</v>
      </c>
      <c r="F61" s="35">
        <v>51</v>
      </c>
      <c r="G61" s="34">
        <f t="shared" si="44"/>
        <v>4921.875</v>
      </c>
      <c r="H61" s="34">
        <f t="shared" si="51"/>
        <v>37187.5</v>
      </c>
      <c r="I61" s="36">
        <f t="shared" si="45"/>
        <v>7000</v>
      </c>
      <c r="J61" s="37">
        <v>10000</v>
      </c>
      <c r="K61" s="37">
        <f t="shared" si="46"/>
        <v>840</v>
      </c>
      <c r="L61" s="36">
        <f t="shared" si="47"/>
        <v>1120</v>
      </c>
      <c r="M61" s="36">
        <f t="shared" si="48"/>
        <v>57.75</v>
      </c>
      <c r="N61" s="38">
        <f t="shared" si="49"/>
        <v>131127.125</v>
      </c>
      <c r="O61" s="39" t="s">
        <v>66</v>
      </c>
    </row>
    <row r="62" spans="1:15" x14ac:dyDescent="0.25">
      <c r="A62" s="1">
        <f t="shared" si="50"/>
        <v>44</v>
      </c>
      <c r="B62" s="1">
        <f t="shared" si="50"/>
        <v>5</v>
      </c>
      <c r="C62" s="40" t="s">
        <v>70</v>
      </c>
      <c r="D62" s="34">
        <v>70000</v>
      </c>
      <c r="E62" s="35"/>
      <c r="F62" s="35">
        <f>10+12</f>
        <v>22</v>
      </c>
      <c r="G62" s="34">
        <v>0</v>
      </c>
      <c r="H62" s="34">
        <f t="shared" si="51"/>
        <v>16041.666666666666</v>
      </c>
      <c r="I62" s="36">
        <f t="shared" si="45"/>
        <v>7000</v>
      </c>
      <c r="J62" s="37">
        <v>5000</v>
      </c>
      <c r="K62" s="37">
        <f t="shared" si="46"/>
        <v>840</v>
      </c>
      <c r="L62" s="36">
        <f t="shared" si="47"/>
        <v>1120</v>
      </c>
      <c r="M62" s="36">
        <f t="shared" si="48"/>
        <v>57.75</v>
      </c>
      <c r="N62" s="38">
        <f t="shared" si="49"/>
        <v>100059.41666666667</v>
      </c>
      <c r="O62" s="39" t="s">
        <v>66</v>
      </c>
    </row>
    <row r="63" spans="1:15" x14ac:dyDescent="0.25">
      <c r="A63" s="1">
        <f t="shared" si="50"/>
        <v>45</v>
      </c>
      <c r="B63" s="1">
        <f t="shared" si="50"/>
        <v>6</v>
      </c>
      <c r="C63" s="40" t="s">
        <v>71</v>
      </c>
      <c r="D63" s="34">
        <v>70000</v>
      </c>
      <c r="E63" s="35"/>
      <c r="F63" s="35">
        <v>51</v>
      </c>
      <c r="G63" s="34">
        <f t="shared" si="44"/>
        <v>0</v>
      </c>
      <c r="H63" s="34">
        <f t="shared" si="51"/>
        <v>37187.5</v>
      </c>
      <c r="I63" s="36">
        <f t="shared" si="45"/>
        <v>7000</v>
      </c>
      <c r="J63" s="37">
        <v>10000</v>
      </c>
      <c r="K63" s="37">
        <f t="shared" si="46"/>
        <v>840</v>
      </c>
      <c r="L63" s="36">
        <f t="shared" si="47"/>
        <v>1120</v>
      </c>
      <c r="M63" s="36">
        <f t="shared" si="48"/>
        <v>57.75</v>
      </c>
      <c r="N63" s="38">
        <f t="shared" si="49"/>
        <v>126205.25</v>
      </c>
      <c r="O63" s="39" t="s">
        <v>66</v>
      </c>
    </row>
    <row r="64" spans="1:15" x14ac:dyDescent="0.25">
      <c r="A64" s="1">
        <f t="shared" si="50"/>
        <v>46</v>
      </c>
      <c r="B64" s="1">
        <f t="shared" si="50"/>
        <v>7</v>
      </c>
      <c r="C64" s="40" t="s">
        <v>72</v>
      </c>
      <c r="D64" s="34">
        <v>70000</v>
      </c>
      <c r="E64" s="35">
        <v>7</v>
      </c>
      <c r="F64" s="35">
        <v>10</v>
      </c>
      <c r="G64" s="34">
        <f t="shared" si="44"/>
        <v>3828.125</v>
      </c>
      <c r="H64" s="34">
        <f t="shared" si="51"/>
        <v>7291.6666666666661</v>
      </c>
      <c r="I64" s="36">
        <f t="shared" si="45"/>
        <v>7000</v>
      </c>
      <c r="J64" s="37">
        <v>10000</v>
      </c>
      <c r="K64" s="37">
        <f t="shared" si="46"/>
        <v>840</v>
      </c>
      <c r="L64" s="36">
        <f t="shared" si="47"/>
        <v>1120</v>
      </c>
      <c r="M64" s="36">
        <f t="shared" si="48"/>
        <v>57.75</v>
      </c>
      <c r="N64" s="38">
        <f t="shared" si="49"/>
        <v>100137.54166666667</v>
      </c>
      <c r="O64" s="39" t="s">
        <v>66</v>
      </c>
    </row>
    <row r="65" spans="1:24" x14ac:dyDescent="0.25">
      <c r="A65" s="1">
        <f t="shared" ref="A65" si="52">1+A64</f>
        <v>47</v>
      </c>
      <c r="B65" s="1">
        <v>8</v>
      </c>
      <c r="C65" s="40" t="s">
        <v>151</v>
      </c>
      <c r="D65" s="34">
        <v>70000</v>
      </c>
      <c r="E65" s="35"/>
      <c r="F65" s="35">
        <v>10</v>
      </c>
      <c r="G65" s="34">
        <f t="shared" si="44"/>
        <v>0</v>
      </c>
      <c r="H65" s="34">
        <f t="shared" si="51"/>
        <v>7291.6666666666661</v>
      </c>
      <c r="I65" s="36">
        <f t="shared" si="45"/>
        <v>7000</v>
      </c>
      <c r="J65" s="37">
        <v>5000</v>
      </c>
      <c r="K65" s="37">
        <f t="shared" si="46"/>
        <v>840</v>
      </c>
      <c r="L65" s="36">
        <f t="shared" si="47"/>
        <v>1120</v>
      </c>
      <c r="M65" s="36">
        <f t="shared" si="48"/>
        <v>57.75</v>
      </c>
      <c r="N65" s="38">
        <f t="shared" si="49"/>
        <v>91309.416666666672</v>
      </c>
      <c r="O65" s="39" t="s">
        <v>66</v>
      </c>
    </row>
    <row r="66" spans="1:24" x14ac:dyDescent="0.25">
      <c r="A66" s="1">
        <f t="shared" ref="A66" si="53">1+A65</f>
        <v>48</v>
      </c>
      <c r="B66" s="1">
        <v>9</v>
      </c>
      <c r="C66" s="40" t="s">
        <v>150</v>
      </c>
      <c r="D66" s="34">
        <v>70000</v>
      </c>
      <c r="E66" s="35"/>
      <c r="F66" s="35">
        <v>10</v>
      </c>
      <c r="G66" s="34">
        <f t="shared" si="44"/>
        <v>0</v>
      </c>
      <c r="H66" s="34">
        <f t="shared" si="51"/>
        <v>7291.6666666666661</v>
      </c>
      <c r="I66" s="36">
        <f t="shared" si="45"/>
        <v>7000</v>
      </c>
      <c r="J66" s="37">
        <v>5000</v>
      </c>
      <c r="K66" s="37">
        <f t="shared" si="46"/>
        <v>840</v>
      </c>
      <c r="L66" s="36">
        <f t="shared" si="47"/>
        <v>1120</v>
      </c>
      <c r="M66" s="36">
        <f t="shared" si="48"/>
        <v>57.75</v>
      </c>
      <c r="N66" s="38">
        <f t="shared" si="49"/>
        <v>91309.416666666672</v>
      </c>
      <c r="O66" s="39" t="s">
        <v>66</v>
      </c>
    </row>
    <row r="67" spans="1:24" x14ac:dyDescent="0.25">
      <c r="A67" s="1">
        <f t="shared" ref="A67" si="54">1+A66</f>
        <v>49</v>
      </c>
      <c r="B67" s="1">
        <v>10</v>
      </c>
      <c r="C67" s="40" t="s">
        <v>74</v>
      </c>
      <c r="D67" s="34">
        <v>70000</v>
      </c>
      <c r="E67" s="35">
        <v>9</v>
      </c>
      <c r="F67" s="35">
        <f>35+16</f>
        <v>51</v>
      </c>
      <c r="G67" s="34">
        <f t="shared" si="44"/>
        <v>4921.875</v>
      </c>
      <c r="H67" s="34">
        <f t="shared" si="51"/>
        <v>37187.5</v>
      </c>
      <c r="I67" s="36">
        <f t="shared" si="45"/>
        <v>7000</v>
      </c>
      <c r="J67" s="37">
        <v>10000</v>
      </c>
      <c r="K67" s="37">
        <f t="shared" si="46"/>
        <v>840</v>
      </c>
      <c r="L67" s="36">
        <f t="shared" si="47"/>
        <v>1120</v>
      </c>
      <c r="M67" s="36">
        <f t="shared" si="48"/>
        <v>57.75</v>
      </c>
      <c r="N67" s="38">
        <f t="shared" si="49"/>
        <v>131127.125</v>
      </c>
      <c r="O67" s="39" t="s">
        <v>66</v>
      </c>
    </row>
    <row r="68" spans="1:24" x14ac:dyDescent="0.25">
      <c r="A68" s="1">
        <f t="shared" si="50"/>
        <v>50</v>
      </c>
      <c r="B68" s="1">
        <f t="shared" si="50"/>
        <v>11</v>
      </c>
      <c r="C68" s="40" t="s">
        <v>75</v>
      </c>
      <c r="D68" s="34">
        <v>70000</v>
      </c>
      <c r="E68" s="35"/>
      <c r="F68" s="35">
        <v>50</v>
      </c>
      <c r="G68" s="34">
        <f t="shared" si="44"/>
        <v>0</v>
      </c>
      <c r="H68" s="34">
        <f t="shared" si="51"/>
        <v>36458.333333333328</v>
      </c>
      <c r="I68" s="36">
        <f t="shared" si="45"/>
        <v>7000</v>
      </c>
      <c r="J68" s="37">
        <v>10000</v>
      </c>
      <c r="K68" s="37">
        <f t="shared" si="46"/>
        <v>840</v>
      </c>
      <c r="L68" s="36">
        <f t="shared" si="47"/>
        <v>1120</v>
      </c>
      <c r="M68" s="36">
        <f t="shared" si="48"/>
        <v>57.75</v>
      </c>
      <c r="N68" s="38">
        <f t="shared" si="49"/>
        <v>125476.08333333333</v>
      </c>
      <c r="O68" s="39" t="s">
        <v>66</v>
      </c>
    </row>
    <row r="69" spans="1:24" x14ac:dyDescent="0.25">
      <c r="A69" s="1">
        <f t="shared" si="50"/>
        <v>51</v>
      </c>
      <c r="B69" s="1">
        <f t="shared" si="50"/>
        <v>12</v>
      </c>
      <c r="C69" s="42" t="s">
        <v>76</v>
      </c>
      <c r="D69" s="34">
        <v>70000</v>
      </c>
      <c r="E69" s="35"/>
      <c r="F69" s="35"/>
      <c r="G69" s="34">
        <f t="shared" si="44"/>
        <v>0</v>
      </c>
      <c r="H69" s="34">
        <f t="shared" si="51"/>
        <v>0</v>
      </c>
      <c r="I69" s="36">
        <f t="shared" si="45"/>
        <v>7000</v>
      </c>
      <c r="J69" s="37">
        <v>10000</v>
      </c>
      <c r="K69" s="37">
        <f t="shared" si="46"/>
        <v>840</v>
      </c>
      <c r="L69" s="36">
        <f t="shared" si="47"/>
        <v>1120</v>
      </c>
      <c r="M69" s="36">
        <f t="shared" si="48"/>
        <v>57.75</v>
      </c>
      <c r="N69" s="38">
        <f t="shared" si="49"/>
        <v>89017.75</v>
      </c>
      <c r="O69" s="39" t="s">
        <v>66</v>
      </c>
    </row>
    <row r="70" spans="1:24" x14ac:dyDescent="0.25">
      <c r="A70" s="1">
        <f t="shared" si="50"/>
        <v>52</v>
      </c>
      <c r="B70" s="1">
        <f t="shared" si="50"/>
        <v>13</v>
      </c>
      <c r="C70" s="40" t="s">
        <v>77</v>
      </c>
      <c r="D70" s="73">
        <v>70000</v>
      </c>
      <c r="E70" s="54">
        <v>9</v>
      </c>
      <c r="F70" s="146">
        <v>40.5</v>
      </c>
      <c r="G70" s="34">
        <f t="shared" si="44"/>
        <v>4921.875</v>
      </c>
      <c r="H70" s="34">
        <f t="shared" si="51"/>
        <v>29531.25</v>
      </c>
      <c r="I70" s="36">
        <f t="shared" si="45"/>
        <v>7000</v>
      </c>
      <c r="J70" s="73">
        <v>10000</v>
      </c>
      <c r="K70" s="37">
        <f t="shared" si="46"/>
        <v>840</v>
      </c>
      <c r="L70" s="36">
        <f t="shared" si="47"/>
        <v>1120</v>
      </c>
      <c r="M70" s="36">
        <f t="shared" si="48"/>
        <v>57.75</v>
      </c>
      <c r="N70" s="38">
        <f t="shared" si="49"/>
        <v>123470.875</v>
      </c>
      <c r="O70" s="39" t="s">
        <v>66</v>
      </c>
    </row>
    <row r="71" spans="1:24" x14ac:dyDescent="0.25">
      <c r="C71" s="67"/>
      <c r="D71" s="45">
        <f>SUM(D58:D70)</f>
        <v>1050000</v>
      </c>
      <c r="E71" s="49"/>
      <c r="F71" s="45"/>
      <c r="G71" s="45">
        <f t="shared" ref="G71:N71" si="55">SUM(G58:G70)</f>
        <v>22343.75</v>
      </c>
      <c r="H71" s="45">
        <f t="shared" si="55"/>
        <v>338906.24999999994</v>
      </c>
      <c r="I71" s="45">
        <f t="shared" si="55"/>
        <v>105000</v>
      </c>
      <c r="J71" s="45">
        <f t="shared" si="55"/>
        <v>166000</v>
      </c>
      <c r="K71" s="45">
        <f t="shared" si="55"/>
        <v>12600</v>
      </c>
      <c r="L71" s="45">
        <f t="shared" si="55"/>
        <v>16800</v>
      </c>
      <c r="M71" s="45">
        <f t="shared" si="55"/>
        <v>866.25</v>
      </c>
      <c r="N71" s="38">
        <f t="shared" si="55"/>
        <v>1712516.25</v>
      </c>
      <c r="O71" s="39"/>
    </row>
    <row r="72" spans="1:24" x14ac:dyDescent="0.25">
      <c r="C72" s="40"/>
      <c r="D72" s="34"/>
      <c r="E72" s="35"/>
      <c r="F72" s="35"/>
      <c r="G72" s="36"/>
      <c r="H72" s="36"/>
      <c r="I72" s="40"/>
      <c r="J72" s="37"/>
      <c r="K72" s="40"/>
      <c r="L72" s="40"/>
      <c r="M72" s="40"/>
      <c r="N72" s="38"/>
      <c r="O72" s="39"/>
    </row>
    <row r="73" spans="1:24" x14ac:dyDescent="0.25">
      <c r="A73" s="1">
        <f>1+A70</f>
        <v>53</v>
      </c>
      <c r="B73" s="1">
        <v>1</v>
      </c>
      <c r="C73" s="40" t="s">
        <v>78</v>
      </c>
      <c r="D73" s="34">
        <v>50000</v>
      </c>
      <c r="E73" s="35">
        <v>96</v>
      </c>
      <c r="F73" s="35">
        <v>36</v>
      </c>
      <c r="G73" s="34">
        <f>D73/192*1.5*E73</f>
        <v>37500</v>
      </c>
      <c r="H73" s="34">
        <f>D73/192*2*F73</f>
        <v>18750</v>
      </c>
      <c r="I73" s="36">
        <f>D73*$I$5</f>
        <v>5000</v>
      </c>
      <c r="J73" s="37">
        <v>5000</v>
      </c>
      <c r="K73" s="37">
        <f t="shared" ref="K73:K75" si="56">D73*$K$5</f>
        <v>600</v>
      </c>
      <c r="L73" s="36">
        <f t="shared" ref="L73:L75" si="57">D73*$L$5</f>
        <v>800</v>
      </c>
      <c r="M73" s="36">
        <f t="shared" ref="M73:M75" si="58">(D73*0.5%)*16.5%</f>
        <v>41.25</v>
      </c>
      <c r="N73" s="38">
        <f t="shared" si="49"/>
        <v>117691.25</v>
      </c>
      <c r="O73" s="39" t="s">
        <v>79</v>
      </c>
    </row>
    <row r="74" spans="1:24" x14ac:dyDescent="0.25">
      <c r="A74" s="1">
        <f t="shared" ref="A74:A75" si="59">1+A73</f>
        <v>54</v>
      </c>
      <c r="C74" s="40" t="s">
        <v>80</v>
      </c>
      <c r="D74" s="34">
        <v>50000</v>
      </c>
      <c r="E74" s="35">
        <v>64</v>
      </c>
      <c r="F74" s="35">
        <v>12</v>
      </c>
      <c r="G74" s="34">
        <f>D74/192*1.5*E74</f>
        <v>25000</v>
      </c>
      <c r="H74" s="34">
        <f>D74/192*2*F74</f>
        <v>6250</v>
      </c>
      <c r="I74" s="36">
        <f>D74*$I$5</f>
        <v>5000</v>
      </c>
      <c r="J74" s="37">
        <v>5000</v>
      </c>
      <c r="K74" s="37">
        <f t="shared" si="56"/>
        <v>600</v>
      </c>
      <c r="L74" s="36">
        <f t="shared" si="57"/>
        <v>800</v>
      </c>
      <c r="M74" s="36">
        <f t="shared" si="58"/>
        <v>41.25</v>
      </c>
      <c r="N74" s="38">
        <f t="shared" si="49"/>
        <v>92691.25</v>
      </c>
      <c r="O74" s="39" t="s">
        <v>79</v>
      </c>
    </row>
    <row r="75" spans="1:24" x14ac:dyDescent="0.25">
      <c r="A75" s="1">
        <f t="shared" si="59"/>
        <v>55</v>
      </c>
      <c r="B75" s="1">
        <v>3</v>
      </c>
      <c r="C75" s="40" t="s">
        <v>81</v>
      </c>
      <c r="D75" s="34">
        <v>50000</v>
      </c>
      <c r="E75" s="35">
        <v>44</v>
      </c>
      <c r="F75" s="35">
        <v>24</v>
      </c>
      <c r="G75" s="34">
        <f>D75/192*1.5*E75</f>
        <v>17187.5</v>
      </c>
      <c r="H75" s="34">
        <f>D75/192*2*F75</f>
        <v>12500</v>
      </c>
      <c r="I75" s="36">
        <f>D75*$I$5</f>
        <v>5000</v>
      </c>
      <c r="J75" s="37">
        <v>10000</v>
      </c>
      <c r="K75" s="37">
        <f t="shared" si="56"/>
        <v>600</v>
      </c>
      <c r="L75" s="36">
        <f t="shared" si="57"/>
        <v>800</v>
      </c>
      <c r="M75" s="36">
        <f t="shared" si="58"/>
        <v>41.25</v>
      </c>
      <c r="N75" s="38">
        <f t="shared" si="49"/>
        <v>96128.75</v>
      </c>
      <c r="O75" s="39" t="s">
        <v>79</v>
      </c>
    </row>
    <row r="76" spans="1:24" x14ac:dyDescent="0.25">
      <c r="C76" s="40" t="s">
        <v>33</v>
      </c>
      <c r="D76" s="45">
        <f>SUM(D73:D75)</f>
        <v>150000</v>
      </c>
      <c r="E76" s="49"/>
      <c r="F76" s="45"/>
      <c r="G76" s="45">
        <f t="shared" ref="G76:M76" si="60">SUM(G73:G75)</f>
        <v>79687.5</v>
      </c>
      <c r="H76" s="45">
        <f t="shared" si="60"/>
        <v>37500</v>
      </c>
      <c r="I76" s="45">
        <f t="shared" si="60"/>
        <v>15000</v>
      </c>
      <c r="J76" s="45">
        <f t="shared" si="60"/>
        <v>20000</v>
      </c>
      <c r="K76" s="45">
        <f t="shared" si="60"/>
        <v>1800</v>
      </c>
      <c r="L76" s="45">
        <f t="shared" si="60"/>
        <v>2400</v>
      </c>
      <c r="M76" s="45">
        <f t="shared" si="60"/>
        <v>123.75</v>
      </c>
      <c r="N76" s="38">
        <f t="shared" si="49"/>
        <v>306511.25</v>
      </c>
      <c r="O76" s="39"/>
    </row>
    <row r="77" spans="1:24" x14ac:dyDescent="0.25">
      <c r="C77" s="40"/>
      <c r="D77" s="45"/>
      <c r="E77" s="35"/>
      <c r="F77" s="74"/>
      <c r="G77" s="38"/>
      <c r="H77" s="38"/>
      <c r="I77" s="38"/>
      <c r="J77" s="56"/>
      <c r="K77" s="38"/>
      <c r="L77" s="38"/>
      <c r="M77" s="38"/>
      <c r="N77" s="38"/>
      <c r="O77" s="39"/>
      <c r="X77" s="1" t="s">
        <v>160</v>
      </c>
    </row>
    <row r="78" spans="1:24" s="75" customFormat="1" ht="15.75" x14ac:dyDescent="0.25">
      <c r="C78" s="76" t="s">
        <v>82</v>
      </c>
      <c r="D78" s="77">
        <f>+D76+D71+D56+D49+D45+D40+D31+D29+D25+D19</f>
        <v>3525372.0916666663</v>
      </c>
      <c r="E78" s="78"/>
      <c r="F78" s="77"/>
      <c r="G78" s="77">
        <f>+G76+G70+G56+G49+G45+G40+G31+G29+G25+G19</f>
        <v>473926.65781250002</v>
      </c>
      <c r="H78" s="77">
        <f>+H76+H70+H56+H49+H45+H40+H31+H29+H25+H19</f>
        <v>351648.97083333333</v>
      </c>
      <c r="I78" s="77">
        <f>+I76+I70+I56+I49+I45+I40+I31+I29+I25+I19</f>
        <v>246425.23</v>
      </c>
      <c r="J78" s="77">
        <f>+J76+J71+J56+J49+J45+J40+J31+J29+J25+J19</f>
        <v>693000</v>
      </c>
      <c r="K78" s="77">
        <f>+K76+K71+K56+K49+K45+K40+K31+K29+K25+K19</f>
        <v>42304.465100000001</v>
      </c>
      <c r="L78" s="77">
        <f>+L76+L71+L56+L49+L45+L40+L31+L29+L25+L19</f>
        <v>56405.953466666673</v>
      </c>
      <c r="M78" s="77">
        <f>+M76+M71+M56+M49+M45+M40+M31+M29+M25+M19</f>
        <v>2908.4319756249997</v>
      </c>
      <c r="N78" s="77">
        <f>SUM(D78:M78)</f>
        <v>5391991.8008547919</v>
      </c>
      <c r="O78" s="79" t="s">
        <v>83</v>
      </c>
    </row>
    <row r="79" spans="1:24" x14ac:dyDescent="0.25">
      <c r="N79" s="51"/>
      <c r="Q79" s="51"/>
    </row>
    <row r="80" spans="1:24" s="22" customFormat="1" x14ac:dyDescent="0.25">
      <c r="D80" s="80">
        <v>1</v>
      </c>
      <c r="E80" s="81"/>
      <c r="F80" s="81"/>
      <c r="G80" s="81">
        <v>2</v>
      </c>
      <c r="H80" s="81">
        <v>3</v>
      </c>
      <c r="I80" s="81">
        <v>4</v>
      </c>
      <c r="J80" s="82">
        <v>5</v>
      </c>
      <c r="K80" s="81">
        <v>6</v>
      </c>
      <c r="L80" s="81">
        <v>7</v>
      </c>
      <c r="M80" s="81">
        <v>8</v>
      </c>
      <c r="N80" s="51"/>
    </row>
    <row r="81" spans="3:14" x14ac:dyDescent="0.25">
      <c r="N81" s="51"/>
    </row>
    <row r="82" spans="3:14" ht="15.75" x14ac:dyDescent="0.25">
      <c r="C82" s="83" t="s">
        <v>84</v>
      </c>
      <c r="D82" s="84">
        <f>+D78+G78+H78</f>
        <v>4350947.7203124994</v>
      </c>
      <c r="G82" s="85"/>
      <c r="H82" s="85"/>
      <c r="N82" s="51"/>
    </row>
    <row r="83" spans="3:14" ht="15.75" x14ac:dyDescent="0.25">
      <c r="C83" s="83" t="s">
        <v>85</v>
      </c>
      <c r="D83" s="84">
        <f>+I78</f>
        <v>246425.23</v>
      </c>
      <c r="E83" s="11">
        <v>10</v>
      </c>
      <c r="G83" s="85"/>
      <c r="H83" s="85"/>
      <c r="N83" s="51"/>
    </row>
    <row r="84" spans="3:14" ht="15.75" x14ac:dyDescent="0.25">
      <c r="C84" s="83" t="s">
        <v>86</v>
      </c>
      <c r="D84" s="84">
        <f>+K78+L78</f>
        <v>98710.418566666674</v>
      </c>
      <c r="G84" s="85"/>
      <c r="H84" s="85"/>
      <c r="N84" s="51"/>
    </row>
    <row r="85" spans="3:14" ht="15.75" x14ac:dyDescent="0.25">
      <c r="C85" s="83" t="s">
        <v>87</v>
      </c>
      <c r="D85" s="84">
        <f>+M78</f>
        <v>2908.4319756249997</v>
      </c>
      <c r="G85" s="85"/>
      <c r="H85" s="85"/>
      <c r="N85" s="51"/>
    </row>
    <row r="86" spans="3:14" ht="15.75" x14ac:dyDescent="0.25">
      <c r="C86" s="83" t="s">
        <v>88</v>
      </c>
      <c r="D86" s="86">
        <f>+J78</f>
        <v>693000</v>
      </c>
      <c r="G86" s="85"/>
      <c r="H86" s="85"/>
      <c r="N86" s="51"/>
    </row>
    <row r="87" spans="3:14" ht="15.75" x14ac:dyDescent="0.25">
      <c r="C87" s="87" t="s">
        <v>89</v>
      </c>
      <c r="D87" s="88">
        <v>30000</v>
      </c>
      <c r="E87" s="89" t="s">
        <v>90</v>
      </c>
      <c r="F87" s="90"/>
      <c r="G87" s="91">
        <v>492</v>
      </c>
      <c r="H87" s="92"/>
      <c r="N87" s="51"/>
    </row>
    <row r="88" spans="3:14" ht="15.75" x14ac:dyDescent="0.25">
      <c r="C88" s="87" t="s">
        <v>91</v>
      </c>
      <c r="D88" s="88">
        <v>25000</v>
      </c>
      <c r="E88" s="89" t="s">
        <v>90</v>
      </c>
      <c r="F88" s="90"/>
      <c r="G88" s="93" t="s">
        <v>154</v>
      </c>
      <c r="H88" s="92"/>
      <c r="N88" s="51"/>
    </row>
    <row r="89" spans="3:14" ht="15.75" x14ac:dyDescent="0.25">
      <c r="C89" s="87" t="s">
        <v>92</v>
      </c>
      <c r="D89" s="88">
        <v>70000</v>
      </c>
      <c r="E89" s="89" t="s">
        <v>93</v>
      </c>
      <c r="F89" s="90" t="s">
        <v>94</v>
      </c>
      <c r="G89" s="93" t="s">
        <v>158</v>
      </c>
      <c r="H89" s="92"/>
      <c r="N89" s="51"/>
    </row>
    <row r="90" spans="3:14" s="47" customFormat="1" ht="15.75" x14ac:dyDescent="0.25">
      <c r="C90" s="94" t="s">
        <v>95</v>
      </c>
      <c r="D90" s="88">
        <v>45000</v>
      </c>
      <c r="E90" s="95" t="s">
        <v>90</v>
      </c>
      <c r="F90" s="96"/>
      <c r="G90" s="97">
        <v>255</v>
      </c>
      <c r="H90" s="98"/>
      <c r="J90" s="57"/>
      <c r="N90" s="145"/>
    </row>
    <row r="91" spans="3:14" ht="15.75" x14ac:dyDescent="0.25">
      <c r="C91" s="94" t="s">
        <v>152</v>
      </c>
      <c r="D91" s="88">
        <v>13200</v>
      </c>
      <c r="E91" s="95" t="s">
        <v>90</v>
      </c>
      <c r="F91" s="96"/>
      <c r="G91" s="97">
        <v>236</v>
      </c>
      <c r="H91" s="98"/>
      <c r="N91" s="51"/>
    </row>
    <row r="92" spans="3:14" ht="15.75" x14ac:dyDescent="0.25">
      <c r="C92" s="94" t="s">
        <v>155</v>
      </c>
      <c r="D92" s="88">
        <v>44000</v>
      </c>
      <c r="E92" s="95" t="s">
        <v>90</v>
      </c>
      <c r="F92" s="96"/>
      <c r="G92" s="97">
        <v>6</v>
      </c>
      <c r="H92" s="98"/>
      <c r="N92" s="51"/>
    </row>
    <row r="93" spans="3:14" ht="15.75" x14ac:dyDescent="0.25">
      <c r="C93" s="94" t="s">
        <v>96</v>
      </c>
      <c r="D93" s="88">
        <f>3990+2280+1140+1140+10830+35340+1140+34200</f>
        <v>90060</v>
      </c>
      <c r="E93" s="95" t="s">
        <v>156</v>
      </c>
      <c r="F93" s="96"/>
      <c r="G93" s="97">
        <v>3</v>
      </c>
      <c r="H93" s="98"/>
      <c r="N93" s="51"/>
    </row>
    <row r="94" spans="3:14" ht="15.75" x14ac:dyDescent="0.25">
      <c r="C94" s="94" t="s">
        <v>153</v>
      </c>
      <c r="D94" s="88">
        <v>41700</v>
      </c>
      <c r="E94" s="95" t="s">
        <v>90</v>
      </c>
      <c r="F94" s="96"/>
      <c r="G94" s="97">
        <v>4</v>
      </c>
      <c r="H94" s="98"/>
      <c r="N94" s="51"/>
    </row>
    <row r="95" spans="3:14" ht="15.75" x14ac:dyDescent="0.25">
      <c r="C95" s="94" t="s">
        <v>164</v>
      </c>
      <c r="D95" s="88">
        <v>10000</v>
      </c>
      <c r="E95" s="95" t="s">
        <v>90</v>
      </c>
      <c r="F95" s="96"/>
      <c r="G95" s="97"/>
      <c r="H95" s="98"/>
      <c r="N95" s="51"/>
    </row>
    <row r="96" spans="3:14" ht="15.75" x14ac:dyDescent="0.25">
      <c r="C96" s="94" t="s">
        <v>166</v>
      </c>
      <c r="D96" s="88">
        <v>56000</v>
      </c>
      <c r="E96" s="95" t="s">
        <v>90</v>
      </c>
      <c r="F96" s="96"/>
      <c r="G96" s="97">
        <v>6</v>
      </c>
      <c r="H96" s="98" t="s">
        <v>165</v>
      </c>
      <c r="N96" s="51"/>
    </row>
    <row r="97" spans="3:19" ht="15.75" x14ac:dyDescent="0.25">
      <c r="C97" s="94" t="s">
        <v>167</v>
      </c>
      <c r="D97" s="88">
        <v>21000</v>
      </c>
      <c r="E97" s="95" t="s">
        <v>156</v>
      </c>
      <c r="F97" s="96"/>
      <c r="G97" s="97">
        <v>5</v>
      </c>
      <c r="H97" s="98" t="s">
        <v>163</v>
      </c>
      <c r="N97" s="51"/>
    </row>
    <row r="98" spans="3:19" s="5" customFormat="1" ht="15.75" x14ac:dyDescent="0.25">
      <c r="C98" s="83" t="s">
        <v>97</v>
      </c>
      <c r="D98" s="86">
        <v>90000</v>
      </c>
      <c r="E98" s="95" t="s">
        <v>90</v>
      </c>
      <c r="F98" s="11"/>
      <c r="G98" s="99">
        <v>1461</v>
      </c>
      <c r="I98" s="1"/>
      <c r="K98" s="1"/>
      <c r="L98" s="1"/>
      <c r="M98" s="1"/>
      <c r="N98" s="51"/>
      <c r="O98" s="1"/>
      <c r="P98" s="1"/>
      <c r="Q98" s="1"/>
      <c r="R98" s="1"/>
      <c r="S98" s="1"/>
    </row>
    <row r="99" spans="3:19" s="5" customFormat="1" ht="15.75" x14ac:dyDescent="0.25">
      <c r="C99" s="83" t="s">
        <v>98</v>
      </c>
      <c r="D99" s="86">
        <v>1050000</v>
      </c>
      <c r="E99" s="11"/>
      <c r="F99" s="11"/>
      <c r="I99" s="1"/>
      <c r="K99" s="1"/>
      <c r="L99" s="1"/>
      <c r="M99" s="1"/>
      <c r="N99" s="51"/>
      <c r="O99" s="1"/>
      <c r="P99" s="1"/>
      <c r="Q99" s="1"/>
      <c r="R99" s="1"/>
      <c r="S99" s="1"/>
    </row>
    <row r="100" spans="3:19" ht="15.75" x14ac:dyDescent="0.25">
      <c r="C100" s="83" t="s">
        <v>99</v>
      </c>
      <c r="D100" s="88">
        <f>SUM(D82:D99)</f>
        <v>6977951.8008547919</v>
      </c>
      <c r="E100" s="101"/>
      <c r="F100" s="101"/>
      <c r="G100" s="21"/>
      <c r="H100" s="21"/>
      <c r="N100" s="51"/>
    </row>
    <row r="101" spans="3:19" ht="15.75" x14ac:dyDescent="0.25">
      <c r="C101" s="12"/>
      <c r="D101" s="102"/>
      <c r="E101" s="101"/>
      <c r="F101" s="101"/>
      <c r="G101" s="21"/>
      <c r="H101" s="21"/>
      <c r="N101" s="51"/>
    </row>
    <row r="102" spans="3:19" ht="15.75" x14ac:dyDescent="0.25">
      <c r="C102" s="12"/>
      <c r="D102" s="102"/>
      <c r="E102" s="101"/>
      <c r="F102" s="101"/>
      <c r="G102" s="21"/>
      <c r="H102" s="21"/>
      <c r="N102" s="51"/>
    </row>
    <row r="103" spans="3:19" x14ac:dyDescent="0.25">
      <c r="C103" s="12" t="s">
        <v>100</v>
      </c>
      <c r="D103" s="103"/>
      <c r="E103" s="101"/>
      <c r="F103" s="101"/>
      <c r="G103" s="21"/>
      <c r="H103" s="21"/>
      <c r="N103" s="51"/>
    </row>
    <row r="104" spans="3:19" x14ac:dyDescent="0.25">
      <c r="C104" s="104">
        <f>+C152</f>
        <v>44580</v>
      </c>
      <c r="D104" s="103"/>
      <c r="E104" s="101"/>
      <c r="F104" s="101"/>
      <c r="G104" s="21"/>
      <c r="H104" s="21"/>
    </row>
    <row r="105" spans="3:19" x14ac:dyDescent="0.25">
      <c r="C105" s="12"/>
      <c r="D105" s="103"/>
      <c r="E105" s="101"/>
      <c r="F105" s="101"/>
      <c r="G105" s="21"/>
      <c r="H105" s="21"/>
    </row>
    <row r="106" spans="3:19" x14ac:dyDescent="0.25">
      <c r="C106" s="12"/>
      <c r="D106" s="103"/>
      <c r="E106" s="101"/>
      <c r="F106" s="101"/>
      <c r="G106" s="21"/>
      <c r="H106" s="21"/>
    </row>
    <row r="107" spans="3:19" ht="18.75" x14ac:dyDescent="0.3">
      <c r="C107" s="4" t="s">
        <v>0</v>
      </c>
      <c r="D107" s="103"/>
      <c r="E107" s="101"/>
      <c r="F107" s="101"/>
      <c r="G107" s="21"/>
      <c r="H107" s="21"/>
      <c r="P107" s="12"/>
    </row>
    <row r="108" spans="3:19" ht="21" x14ac:dyDescent="0.35">
      <c r="C108" s="105" t="str">
        <f>+D2</f>
        <v>PAYROLL FOR JANUARY.2021</v>
      </c>
      <c r="D108" s="103"/>
      <c r="E108" s="101"/>
      <c r="F108" s="106" t="s">
        <v>101</v>
      </c>
      <c r="G108" s="21"/>
      <c r="H108" s="21"/>
      <c r="P108" s="22"/>
    </row>
    <row r="109" spans="3:19" x14ac:dyDescent="0.25">
      <c r="C109" s="12"/>
      <c r="D109" s="103"/>
      <c r="E109" s="101"/>
      <c r="F109" s="101"/>
      <c r="G109" s="21"/>
      <c r="H109" s="21"/>
    </row>
    <row r="110" spans="3:19" x14ac:dyDescent="0.25">
      <c r="D110" s="103"/>
      <c r="E110" s="101"/>
      <c r="F110" s="101"/>
      <c r="G110" s="21"/>
      <c r="H110" s="21"/>
      <c r="M110" s="22" t="s">
        <v>102</v>
      </c>
      <c r="N110" s="51"/>
    </row>
    <row r="111" spans="3:19" ht="30" x14ac:dyDescent="0.25">
      <c r="C111" s="12" t="s">
        <v>3</v>
      </c>
      <c r="D111" s="10" t="s">
        <v>73</v>
      </c>
      <c r="E111" s="101" t="s">
        <v>5</v>
      </c>
      <c r="F111" s="101" t="s">
        <v>6</v>
      </c>
      <c r="G111" s="12" t="s">
        <v>7</v>
      </c>
      <c r="H111" s="12" t="s">
        <v>7</v>
      </c>
      <c r="I111" s="12" t="s">
        <v>8</v>
      </c>
      <c r="J111" s="107" t="s">
        <v>9</v>
      </c>
      <c r="K111" s="108" t="s">
        <v>103</v>
      </c>
      <c r="L111" s="109" t="s">
        <v>11</v>
      </c>
      <c r="M111" s="12" t="s">
        <v>12</v>
      </c>
      <c r="N111" s="110" t="s">
        <v>33</v>
      </c>
      <c r="O111" s="12" t="s">
        <v>14</v>
      </c>
    </row>
    <row r="112" spans="3:19" x14ac:dyDescent="0.25">
      <c r="C112" s="22"/>
      <c r="D112" s="111" t="s">
        <v>104</v>
      </c>
      <c r="E112" s="81" t="s">
        <v>16</v>
      </c>
      <c r="F112" s="81" t="s">
        <v>17</v>
      </c>
      <c r="G112" s="112" t="s">
        <v>18</v>
      </c>
      <c r="H112" s="112" t="s">
        <v>19</v>
      </c>
      <c r="I112" s="113">
        <v>0.1</v>
      </c>
      <c r="J112" s="32"/>
      <c r="K112" s="114">
        <v>1.2E-2</v>
      </c>
      <c r="L112" s="114">
        <v>1.6E-2</v>
      </c>
      <c r="M112" s="114">
        <v>0.16500000000000001</v>
      </c>
      <c r="N112" s="51"/>
      <c r="O112" s="22"/>
    </row>
    <row r="113" spans="2:15" x14ac:dyDescent="0.25">
      <c r="B113" s="1">
        <v>1</v>
      </c>
      <c r="C113" s="1" t="s">
        <v>105</v>
      </c>
      <c r="D113" s="98">
        <v>73500</v>
      </c>
      <c r="F113" s="100"/>
      <c r="G113" s="85">
        <f>D113/192*1.5*E113</f>
        <v>0</v>
      </c>
      <c r="H113" s="85">
        <f>D113/192*2*F113</f>
        <v>0</v>
      </c>
      <c r="I113" s="85">
        <f>D113*$I$5</f>
        <v>7350</v>
      </c>
      <c r="J113" s="5">
        <v>5000</v>
      </c>
      <c r="K113" s="5">
        <f>D113*$K$5</f>
        <v>882</v>
      </c>
      <c r="L113" s="85">
        <f>D113*$L$112</f>
        <v>1176</v>
      </c>
      <c r="M113" s="85">
        <f>(D113*0.5%)*16.5%</f>
        <v>60.637500000000003</v>
      </c>
      <c r="N113" s="51">
        <f>+M113+L113+K113+J113+I113+H113+G113+D113</f>
        <v>87968.637499999997</v>
      </c>
      <c r="O113" s="1" t="s">
        <v>43</v>
      </c>
    </row>
    <row r="114" spans="2:15" x14ac:dyDescent="0.25">
      <c r="B114" s="1">
        <v>2</v>
      </c>
      <c r="C114" s="1" t="s">
        <v>106</v>
      </c>
      <c r="D114" s="98">
        <v>73500</v>
      </c>
      <c r="F114" s="100"/>
      <c r="G114" s="85">
        <f>D114/192*1.5*E114</f>
        <v>0</v>
      </c>
      <c r="H114" s="85">
        <f>D114/192*2*F114</f>
        <v>0</v>
      </c>
      <c r="I114" s="85">
        <f>D114*$I$5</f>
        <v>7350</v>
      </c>
      <c r="J114" s="5">
        <v>5000</v>
      </c>
      <c r="K114" s="5">
        <f>D114*$K$5</f>
        <v>882</v>
      </c>
      <c r="L114" s="85">
        <f t="shared" ref="L114:L115" si="61">D114*$L$112</f>
        <v>1176</v>
      </c>
      <c r="M114" s="85">
        <f t="shared" ref="M114:M115" si="62">(D114*0.5%)*16.5%</f>
        <v>60.637500000000003</v>
      </c>
      <c r="N114" s="51">
        <f t="shared" ref="N114:N135" si="63">+M114+L114+K114+J114+I114+H114+G114+D114</f>
        <v>87968.637499999997</v>
      </c>
      <c r="O114" s="1" t="s">
        <v>43</v>
      </c>
    </row>
    <row r="115" spans="2:15" x14ac:dyDescent="0.25">
      <c r="B115" s="1">
        <v>3</v>
      </c>
      <c r="C115" s="1" t="s">
        <v>107</v>
      </c>
      <c r="D115" s="98">
        <v>73500</v>
      </c>
      <c r="E115" s="11">
        <v>8</v>
      </c>
      <c r="F115" s="100"/>
      <c r="G115" s="85">
        <f>D115/192*1.5*E115</f>
        <v>4593.75</v>
      </c>
      <c r="H115" s="85">
        <f>D115/192*2*F115</f>
        <v>0</v>
      </c>
      <c r="I115" s="85">
        <f>D115*$I$5</f>
        <v>7350</v>
      </c>
      <c r="J115" s="5">
        <v>5000</v>
      </c>
      <c r="K115" s="5">
        <f>D115*$K$5</f>
        <v>882</v>
      </c>
      <c r="L115" s="85">
        <f t="shared" si="61"/>
        <v>1176</v>
      </c>
      <c r="M115" s="85">
        <f t="shared" si="62"/>
        <v>60.637500000000003</v>
      </c>
      <c r="N115" s="51">
        <f t="shared" si="63"/>
        <v>92562.387499999997</v>
      </c>
      <c r="O115" s="1" t="s">
        <v>43</v>
      </c>
    </row>
    <row r="116" spans="2:15" x14ac:dyDescent="0.25">
      <c r="D116" s="98"/>
      <c r="F116" s="100"/>
      <c r="G116" s="85"/>
      <c r="H116" s="85"/>
      <c r="I116" s="85"/>
      <c r="K116" s="5"/>
      <c r="L116" s="85"/>
      <c r="M116" s="85"/>
      <c r="N116" s="51"/>
    </row>
    <row r="117" spans="2:15" x14ac:dyDescent="0.25">
      <c r="D117" s="98"/>
      <c r="F117" s="100"/>
      <c r="G117" s="85"/>
      <c r="H117" s="85"/>
      <c r="I117" s="85"/>
      <c r="K117" s="5"/>
      <c r="L117" s="85"/>
      <c r="M117" s="85"/>
      <c r="N117" s="51"/>
    </row>
    <row r="118" spans="2:15" x14ac:dyDescent="0.25">
      <c r="B118" s="1">
        <v>1</v>
      </c>
      <c r="C118" s="115" t="s">
        <v>108</v>
      </c>
      <c r="D118" s="98">
        <v>50000</v>
      </c>
      <c r="E118" s="11">
        <v>14</v>
      </c>
      <c r="F118" s="100">
        <v>29</v>
      </c>
      <c r="G118" s="85">
        <f>D118/192*1.5*E118</f>
        <v>5468.75</v>
      </c>
      <c r="H118" s="85">
        <f>D118/192*2*F118</f>
        <v>15104.166666666668</v>
      </c>
      <c r="I118" s="85">
        <f>D118*$I$5</f>
        <v>5000</v>
      </c>
      <c r="J118" s="5">
        <v>5000</v>
      </c>
      <c r="K118" s="5">
        <f>D118*$K$5</f>
        <v>600</v>
      </c>
      <c r="L118" s="85">
        <f t="shared" ref="L118:L119" si="64">D118*$L$112</f>
        <v>800</v>
      </c>
      <c r="M118" s="85">
        <f t="shared" ref="M118:M119" si="65">(D118*0.5%)*16.5%</f>
        <v>41.25</v>
      </c>
      <c r="N118" s="51">
        <f t="shared" si="63"/>
        <v>82014.166666666672</v>
      </c>
      <c r="O118" s="1" t="s">
        <v>36</v>
      </c>
    </row>
    <row r="119" spans="2:15" x14ac:dyDescent="0.25">
      <c r="B119" s="1">
        <v>2</v>
      </c>
      <c r="C119" s="1" t="s">
        <v>109</v>
      </c>
      <c r="D119" s="98">
        <v>50000</v>
      </c>
      <c r="E119" s="11">
        <v>17</v>
      </c>
      <c r="F119" s="100">
        <v>20</v>
      </c>
      <c r="G119" s="85">
        <f>D119/192*1.5*E119</f>
        <v>6640.625</v>
      </c>
      <c r="H119" s="85">
        <f>D119/192*2*F119</f>
        <v>10416.666666666668</v>
      </c>
      <c r="I119" s="85">
        <f>D119*$I$5</f>
        <v>5000</v>
      </c>
      <c r="J119" s="5">
        <v>5000</v>
      </c>
      <c r="K119" s="5">
        <f>D119*$K$5</f>
        <v>600</v>
      </c>
      <c r="L119" s="85">
        <f t="shared" si="64"/>
        <v>800</v>
      </c>
      <c r="M119" s="85">
        <f t="shared" si="65"/>
        <v>41.25</v>
      </c>
      <c r="N119" s="51">
        <f t="shared" si="63"/>
        <v>78498.541666666672</v>
      </c>
      <c r="O119" s="1" t="s">
        <v>36</v>
      </c>
    </row>
    <row r="120" spans="2:15" x14ac:dyDescent="0.25">
      <c r="B120" s="1" t="s">
        <v>110</v>
      </c>
      <c r="D120" s="98"/>
      <c r="F120" s="100"/>
      <c r="G120" s="85"/>
      <c r="H120" s="85"/>
      <c r="I120" s="85"/>
      <c r="K120" s="5"/>
      <c r="L120" s="85"/>
      <c r="M120" s="85"/>
      <c r="N120" s="51"/>
    </row>
    <row r="121" spans="2:15" x14ac:dyDescent="0.25">
      <c r="D121" s="116"/>
      <c r="F121" s="100"/>
      <c r="G121" s="85"/>
      <c r="H121" s="85"/>
      <c r="I121" s="85"/>
      <c r="K121" s="5"/>
      <c r="L121" s="85"/>
      <c r="M121" s="85"/>
      <c r="N121" s="51"/>
    </row>
    <row r="122" spans="2:15" x14ac:dyDescent="0.25">
      <c r="B122" s="1">
        <v>1</v>
      </c>
      <c r="C122" s="1" t="s">
        <v>111</v>
      </c>
      <c r="D122" s="98">
        <v>50000</v>
      </c>
      <c r="F122" s="100"/>
      <c r="G122" s="85">
        <f>D122/192*1.5*E122</f>
        <v>0</v>
      </c>
      <c r="H122" s="85">
        <f>D122/192*2*F122</f>
        <v>0</v>
      </c>
      <c r="I122" s="85">
        <f>D122*$I$5</f>
        <v>5000</v>
      </c>
      <c r="J122" s="5">
        <v>5000</v>
      </c>
      <c r="K122" s="5">
        <f>D122*$K$5</f>
        <v>600</v>
      </c>
      <c r="L122" s="85">
        <f t="shared" ref="L122" si="66">D122*$L$112</f>
        <v>800</v>
      </c>
      <c r="M122" s="85">
        <f t="shared" ref="M122" si="67">(D122*0.5%)*16.5%</f>
        <v>41.25</v>
      </c>
      <c r="N122" s="51">
        <f t="shared" si="63"/>
        <v>61441.25</v>
      </c>
      <c r="O122" s="1" t="s">
        <v>22</v>
      </c>
    </row>
    <row r="123" spans="2:15" x14ac:dyDescent="0.25">
      <c r="D123" s="116"/>
      <c r="F123" s="100"/>
      <c r="G123" s="85"/>
      <c r="H123" s="85"/>
      <c r="I123" s="85"/>
      <c r="L123" s="85"/>
      <c r="M123" s="85"/>
      <c r="N123" s="51"/>
    </row>
    <row r="124" spans="2:15" x14ac:dyDescent="0.25">
      <c r="B124" s="1">
        <v>1</v>
      </c>
      <c r="C124" s="1" t="s">
        <v>112</v>
      </c>
      <c r="D124" s="98">
        <v>68250</v>
      </c>
      <c r="F124" s="100"/>
      <c r="G124" s="85">
        <f>D124/192*1.5*E124</f>
        <v>0</v>
      </c>
      <c r="H124" s="85">
        <f>D124/192*2*F124</f>
        <v>0</v>
      </c>
      <c r="I124" s="85">
        <f>D124*$I$5</f>
        <v>6825</v>
      </c>
      <c r="J124" s="5">
        <v>5000</v>
      </c>
      <c r="K124" s="5">
        <f>D124*$K$5</f>
        <v>819</v>
      </c>
      <c r="L124" s="85">
        <f t="shared" ref="L124" si="68">D124*$L$112</f>
        <v>1092</v>
      </c>
      <c r="M124" s="85">
        <f t="shared" ref="M124" si="69">(D124*0.5%)*16.5%</f>
        <v>56.306250000000006</v>
      </c>
      <c r="N124" s="51">
        <f t="shared" si="63"/>
        <v>82042.306249999994</v>
      </c>
      <c r="O124" s="1" t="s">
        <v>113</v>
      </c>
    </row>
    <row r="125" spans="2:15" x14ac:dyDescent="0.25">
      <c r="C125" s="1" t="s">
        <v>114</v>
      </c>
      <c r="D125" s="98">
        <f>50000/22*8</f>
        <v>18181.81818181818</v>
      </c>
      <c r="F125" s="100"/>
      <c r="G125" s="85"/>
      <c r="H125" s="85"/>
      <c r="I125" s="85"/>
      <c r="K125" s="5"/>
      <c r="L125" s="85"/>
      <c r="M125" s="85"/>
      <c r="N125" s="51">
        <f>+D125</f>
        <v>18181.81818181818</v>
      </c>
    </row>
    <row r="126" spans="2:15" x14ac:dyDescent="0.25">
      <c r="D126" s="116"/>
      <c r="F126" s="100"/>
      <c r="G126" s="85"/>
      <c r="H126" s="85"/>
      <c r="I126" s="85"/>
      <c r="N126" s="51"/>
    </row>
    <row r="127" spans="2:15" x14ac:dyDescent="0.25">
      <c r="B127" s="1">
        <v>1</v>
      </c>
      <c r="C127" s="1" t="s">
        <v>115</v>
      </c>
      <c r="D127" s="98">
        <v>50000</v>
      </c>
      <c r="E127" s="11">
        <v>5</v>
      </c>
      <c r="F127" s="100"/>
      <c r="G127" s="85">
        <f>D127/192*1.5*E127</f>
        <v>1953.125</v>
      </c>
      <c r="H127" s="85">
        <f>D127/192*2*F127</f>
        <v>0</v>
      </c>
      <c r="I127" s="85">
        <f>D127*$I$5</f>
        <v>5000</v>
      </c>
      <c r="J127" s="5">
        <v>5000</v>
      </c>
      <c r="K127" s="5">
        <f>D127*$K$5</f>
        <v>600</v>
      </c>
      <c r="L127" s="85">
        <f t="shared" ref="L127:L128" si="70">D127*$L$112</f>
        <v>800</v>
      </c>
      <c r="M127" s="85">
        <f t="shared" ref="M127:M128" si="71">(D127*0.5%)*16.5%</f>
        <v>41.25</v>
      </c>
      <c r="N127" s="51">
        <f t="shared" si="63"/>
        <v>63394.375</v>
      </c>
      <c r="O127" s="1" t="s">
        <v>53</v>
      </c>
    </row>
    <row r="128" spans="2:15" x14ac:dyDescent="0.25">
      <c r="B128" s="1">
        <v>2</v>
      </c>
      <c r="C128" s="1" t="s">
        <v>116</v>
      </c>
      <c r="D128" s="98">
        <v>50000</v>
      </c>
      <c r="E128" s="11">
        <v>5</v>
      </c>
      <c r="F128" s="100"/>
      <c r="G128" s="85">
        <f>D128/192*1.5*E128</f>
        <v>1953.125</v>
      </c>
      <c r="H128" s="85">
        <f>D128/192*2*F128</f>
        <v>0</v>
      </c>
      <c r="I128" s="85">
        <f>D128*$I$5</f>
        <v>5000</v>
      </c>
      <c r="J128" s="5">
        <v>5000</v>
      </c>
      <c r="K128" s="5">
        <f>D128*$K$5</f>
        <v>600</v>
      </c>
      <c r="L128" s="85">
        <f t="shared" si="70"/>
        <v>800</v>
      </c>
      <c r="M128" s="85">
        <f t="shared" si="71"/>
        <v>41.25</v>
      </c>
      <c r="N128" s="51">
        <f t="shared" si="63"/>
        <v>63394.375</v>
      </c>
      <c r="O128" s="1" t="s">
        <v>53</v>
      </c>
    </row>
    <row r="129" spans="2:16" x14ac:dyDescent="0.25">
      <c r="D129" s="98"/>
      <c r="F129" s="100"/>
      <c r="G129" s="85"/>
      <c r="H129" s="85"/>
      <c r="I129" s="85"/>
      <c r="K129" s="5"/>
      <c r="L129" s="85"/>
      <c r="M129" s="85"/>
      <c r="N129" s="51"/>
    </row>
    <row r="130" spans="2:16" x14ac:dyDescent="0.25">
      <c r="B130" s="1">
        <v>1</v>
      </c>
      <c r="C130" s="1" t="s">
        <v>117</v>
      </c>
      <c r="D130" s="98">
        <v>50000</v>
      </c>
      <c r="F130" s="100"/>
      <c r="G130" s="85">
        <f>D130/192*1.5*E130</f>
        <v>0</v>
      </c>
      <c r="H130" s="85">
        <f>D130/192*2*F130</f>
        <v>0</v>
      </c>
      <c r="I130" s="85">
        <f>D130*$I$5</f>
        <v>5000</v>
      </c>
      <c r="J130" s="5">
        <v>5000</v>
      </c>
      <c r="K130" s="5">
        <f>D130*$K$5</f>
        <v>600</v>
      </c>
      <c r="L130" s="85">
        <f t="shared" ref="L130" si="72">D130*$L$112</f>
        <v>800</v>
      </c>
      <c r="M130" s="85">
        <f t="shared" ref="M130" si="73">(D130*0.5%)*16.5%</f>
        <v>41.25</v>
      </c>
      <c r="N130" s="51">
        <f t="shared" si="63"/>
        <v>61441.25</v>
      </c>
      <c r="O130" s="1" t="s">
        <v>118</v>
      </c>
    </row>
    <row r="131" spans="2:16" x14ac:dyDescent="0.25">
      <c r="D131" s="98"/>
      <c r="F131" s="100"/>
      <c r="G131" s="85"/>
      <c r="H131" s="85"/>
      <c r="I131" s="85"/>
      <c r="K131" s="5"/>
      <c r="L131" s="85"/>
      <c r="M131" s="85"/>
      <c r="N131" s="51"/>
    </row>
    <row r="132" spans="2:16" x14ac:dyDescent="0.25">
      <c r="B132" s="1">
        <v>1</v>
      </c>
      <c r="C132" s="1" t="s">
        <v>119</v>
      </c>
      <c r="D132" s="98">
        <v>52500</v>
      </c>
      <c r="F132" s="100"/>
      <c r="G132" s="85">
        <f>D132/192*1.5*E132</f>
        <v>0</v>
      </c>
      <c r="H132" s="85">
        <f>D132/192*2*F132</f>
        <v>0</v>
      </c>
      <c r="I132" s="85">
        <f>D132*$I$5</f>
        <v>5250</v>
      </c>
      <c r="J132" s="5">
        <v>5000</v>
      </c>
      <c r="K132" s="5">
        <f>D132*$K$5</f>
        <v>630</v>
      </c>
      <c r="L132" s="85">
        <f t="shared" ref="L132:L133" si="74">D132*$L$112</f>
        <v>840</v>
      </c>
      <c r="M132" s="85">
        <f t="shared" ref="M132:M133" si="75">(D132*0.5%)*16.5%</f>
        <v>43.3125</v>
      </c>
      <c r="N132" s="51">
        <f t="shared" si="63"/>
        <v>64263.3125</v>
      </c>
      <c r="O132" s="1" t="s">
        <v>57</v>
      </c>
    </row>
    <row r="133" spans="2:16" s="117" customFormat="1" ht="15.75" x14ac:dyDescent="0.25">
      <c r="B133" s="1">
        <v>2</v>
      </c>
      <c r="C133" s="1" t="s">
        <v>120</v>
      </c>
      <c r="D133" s="98">
        <v>50000</v>
      </c>
      <c r="E133" s="11"/>
      <c r="F133" s="100"/>
      <c r="G133" s="85">
        <f>D133/192*1.5*E133</f>
        <v>0</v>
      </c>
      <c r="H133" s="85">
        <f>D133/192*2*F133</f>
        <v>0</v>
      </c>
      <c r="I133" s="85">
        <f>D133*$I$5</f>
        <v>5000</v>
      </c>
      <c r="J133" s="5">
        <v>5000</v>
      </c>
      <c r="K133" s="5">
        <f>D133*$K$5</f>
        <v>600</v>
      </c>
      <c r="L133" s="85">
        <f t="shared" si="74"/>
        <v>800</v>
      </c>
      <c r="M133" s="85">
        <f t="shared" si="75"/>
        <v>41.25</v>
      </c>
      <c r="N133" s="51">
        <f t="shared" si="63"/>
        <v>61441.25</v>
      </c>
      <c r="O133" s="1" t="s">
        <v>57</v>
      </c>
      <c r="P133" s="1"/>
    </row>
    <row r="134" spans="2:16" x14ac:dyDescent="0.25">
      <c r="D134" s="98"/>
      <c r="F134" s="100"/>
      <c r="G134" s="85"/>
      <c r="H134" s="85"/>
      <c r="I134" s="85"/>
      <c r="K134" s="5"/>
      <c r="L134" s="85"/>
      <c r="M134" s="85"/>
      <c r="N134" s="51"/>
    </row>
    <row r="135" spans="2:16" x14ac:dyDescent="0.25">
      <c r="B135" s="1">
        <v>1</v>
      </c>
      <c r="C135" s="1" t="s">
        <v>121</v>
      </c>
      <c r="D135" s="98">
        <v>50000</v>
      </c>
      <c r="F135" s="100">
        <v>33.200000000000003</v>
      </c>
      <c r="G135" s="85">
        <f>D135/192*1.5*E135</f>
        <v>0</v>
      </c>
      <c r="H135" s="85">
        <f>D135/192*2*F135</f>
        <v>17291.666666666668</v>
      </c>
      <c r="I135" s="85">
        <f>D135*$I$5</f>
        <v>5000</v>
      </c>
      <c r="J135" s="5">
        <v>5000</v>
      </c>
      <c r="K135" s="5">
        <f>D135*$K$5</f>
        <v>600</v>
      </c>
      <c r="L135" s="85">
        <f t="shared" ref="L135" si="76">D135*$L$112</f>
        <v>800</v>
      </c>
      <c r="M135" s="85">
        <f t="shared" ref="M135" si="77">(D135*0.5%)*16.5%</f>
        <v>41.25</v>
      </c>
      <c r="N135" s="51">
        <f t="shared" si="63"/>
        <v>78732.916666666672</v>
      </c>
      <c r="O135" s="1" t="s">
        <v>122</v>
      </c>
    </row>
    <row r="136" spans="2:16" x14ac:dyDescent="0.25">
      <c r="D136" s="116"/>
      <c r="F136" s="100"/>
      <c r="G136" s="85"/>
      <c r="H136" s="85"/>
      <c r="I136" s="85"/>
      <c r="K136" s="5"/>
      <c r="L136" s="85"/>
      <c r="M136" s="85"/>
      <c r="N136" s="51"/>
    </row>
    <row r="137" spans="2:16" ht="16.5" thickBot="1" x14ac:dyDescent="0.3">
      <c r="B137" s="117"/>
      <c r="C137" s="118" t="s">
        <v>33</v>
      </c>
      <c r="D137" s="119">
        <f>SUM(D113:D136)</f>
        <v>759431.81818181812</v>
      </c>
      <c r="E137" s="120"/>
      <c r="F137" s="121"/>
      <c r="G137" s="119">
        <f t="shared" ref="G137:N137" si="78">SUM(G113:G136)</f>
        <v>20609.375</v>
      </c>
      <c r="H137" s="119">
        <f t="shared" si="78"/>
        <v>42812.5</v>
      </c>
      <c r="I137" s="119">
        <f t="shared" si="78"/>
        <v>74125</v>
      </c>
      <c r="J137" s="119">
        <f t="shared" si="78"/>
        <v>65000</v>
      </c>
      <c r="K137" s="119">
        <f t="shared" si="78"/>
        <v>8895</v>
      </c>
      <c r="L137" s="119">
        <f t="shared" si="78"/>
        <v>11860</v>
      </c>
      <c r="M137" s="119">
        <f t="shared" si="78"/>
        <v>611.53125</v>
      </c>
      <c r="N137" s="119">
        <f t="shared" si="78"/>
        <v>983345.22443181823</v>
      </c>
      <c r="O137" s="118"/>
      <c r="P137" s="117"/>
    </row>
    <row r="138" spans="2:16" ht="15.75" thickTop="1" x14ac:dyDescent="0.25">
      <c r="D138" s="122">
        <v>1</v>
      </c>
      <c r="F138" s="100"/>
      <c r="G138" s="123">
        <v>2</v>
      </c>
      <c r="H138" s="123">
        <v>3</v>
      </c>
      <c r="I138" s="123">
        <v>4</v>
      </c>
      <c r="J138" s="99">
        <v>5</v>
      </c>
      <c r="K138" s="123">
        <v>6</v>
      </c>
      <c r="L138" s="123">
        <v>7</v>
      </c>
      <c r="M138" s="123">
        <v>8</v>
      </c>
      <c r="N138" s="51"/>
    </row>
    <row r="139" spans="2:16" ht="15.75" x14ac:dyDescent="0.25">
      <c r="C139" s="124" t="s">
        <v>123</v>
      </c>
      <c r="D139" s="117"/>
      <c r="N139" s="51"/>
    </row>
    <row r="140" spans="2:16" ht="15.75" x14ac:dyDescent="0.25">
      <c r="C140" s="75" t="s">
        <v>124</v>
      </c>
      <c r="D140" s="84">
        <f>43974.96+53840+'Jan 22 depots cleaners'!D146</f>
        <v>345514.65</v>
      </c>
      <c r="G140" s="85"/>
      <c r="H140" s="85"/>
      <c r="L140" s="85"/>
      <c r="M140" s="85"/>
      <c r="N140" s="51"/>
    </row>
    <row r="141" spans="2:16" ht="15.75" x14ac:dyDescent="0.25">
      <c r="C141" s="75" t="s">
        <v>85</v>
      </c>
      <c r="D141" s="84">
        <f>+I137</f>
        <v>74125</v>
      </c>
      <c r="G141" s="85"/>
      <c r="H141" s="85"/>
      <c r="N141" s="51"/>
    </row>
    <row r="142" spans="2:16" ht="15.75" x14ac:dyDescent="0.25">
      <c r="C142" s="75" t="s">
        <v>86</v>
      </c>
      <c r="D142" s="84">
        <f>+K137+L137</f>
        <v>20755</v>
      </c>
      <c r="G142" s="85"/>
      <c r="H142" s="85"/>
      <c r="N142" s="51"/>
    </row>
    <row r="143" spans="2:16" ht="15.75" x14ac:dyDescent="0.25">
      <c r="C143" s="75" t="s">
        <v>87</v>
      </c>
      <c r="D143" s="84">
        <f>+M137</f>
        <v>611.53125</v>
      </c>
      <c r="G143" s="85"/>
      <c r="H143" s="85"/>
      <c r="N143" s="51"/>
    </row>
    <row r="144" spans="2:16" ht="15.75" x14ac:dyDescent="0.25">
      <c r="C144" s="75" t="s">
        <v>88</v>
      </c>
      <c r="D144" s="84">
        <f>+J137</f>
        <v>65000</v>
      </c>
      <c r="G144" s="85"/>
      <c r="H144" s="85"/>
      <c r="N144" s="51"/>
    </row>
    <row r="145" spans="3:14" ht="15.75" x14ac:dyDescent="0.25">
      <c r="C145" s="75" t="s">
        <v>159</v>
      </c>
      <c r="D145" s="84">
        <v>25000</v>
      </c>
      <c r="E145" s="11" t="s">
        <v>161</v>
      </c>
      <c r="F145" s="11">
        <v>1454</v>
      </c>
      <c r="G145" s="85"/>
      <c r="H145" s="85"/>
      <c r="N145" s="51"/>
    </row>
    <row r="146" spans="3:14" ht="15.75" x14ac:dyDescent="0.25">
      <c r="C146" s="75" t="s">
        <v>125</v>
      </c>
      <c r="D146" s="84">
        <f>62699.69+185000</f>
        <v>247699.69</v>
      </c>
      <c r="E146" s="11" t="s">
        <v>161</v>
      </c>
      <c r="F146" s="11" t="s">
        <v>162</v>
      </c>
      <c r="G146" s="85"/>
      <c r="H146" s="85"/>
      <c r="N146" s="51"/>
    </row>
    <row r="147" spans="3:14" ht="15.75" x14ac:dyDescent="0.25">
      <c r="C147" s="75" t="s">
        <v>98</v>
      </c>
      <c r="D147" s="84">
        <v>531300</v>
      </c>
      <c r="E147" s="123"/>
      <c r="G147" s="5"/>
      <c r="H147" s="5"/>
      <c r="N147" s="51"/>
    </row>
    <row r="148" spans="3:14" ht="15.75" x14ac:dyDescent="0.25">
      <c r="C148" s="12" t="s">
        <v>99</v>
      </c>
      <c r="D148" s="88">
        <f>SUM(D140:E147)</f>
        <v>1310005.8712500001</v>
      </c>
      <c r="E148" s="101"/>
      <c r="F148" s="101"/>
      <c r="G148" s="21"/>
      <c r="H148" s="21"/>
      <c r="N148" s="51"/>
    </row>
    <row r="149" spans="3:14" x14ac:dyDescent="0.25">
      <c r="C149" s="12"/>
      <c r="D149" s="103"/>
      <c r="E149" s="101"/>
      <c r="F149" s="101"/>
      <c r="G149" s="21"/>
      <c r="H149" s="21"/>
      <c r="N149" s="51"/>
    </row>
    <row r="150" spans="3:14" x14ac:dyDescent="0.25">
      <c r="C150" s="12"/>
      <c r="D150" s="103"/>
      <c r="E150" s="101"/>
      <c r="F150" s="101"/>
      <c r="G150" s="21"/>
      <c r="H150" s="21"/>
      <c r="N150" s="51"/>
    </row>
    <row r="151" spans="3:14" x14ac:dyDescent="0.25">
      <c r="C151" s="12" t="s">
        <v>100</v>
      </c>
      <c r="D151" s="103"/>
      <c r="E151" s="101"/>
      <c r="F151" s="101"/>
      <c r="G151" s="21"/>
      <c r="H151" s="21"/>
      <c r="N151" s="51"/>
    </row>
    <row r="152" spans="3:14" x14ac:dyDescent="0.25">
      <c r="C152" s="125">
        <v>44580</v>
      </c>
      <c r="D152" s="103"/>
      <c r="E152" s="101"/>
      <c r="F152" s="101"/>
      <c r="G152" s="21"/>
      <c r="H152" s="21"/>
      <c r="N152" s="51"/>
    </row>
    <row r="153" spans="3:14" x14ac:dyDescent="0.25">
      <c r="N153" s="51"/>
    </row>
    <row r="154" spans="3:14" x14ac:dyDescent="0.25">
      <c r="N154" s="51"/>
    </row>
    <row r="155" spans="3:14" x14ac:dyDescent="0.25">
      <c r="N155" s="51"/>
    </row>
    <row r="156" spans="3:14" x14ac:dyDescent="0.25">
      <c r="N156" s="51"/>
    </row>
    <row r="157" spans="3:14" x14ac:dyDescent="0.25">
      <c r="N157" s="51"/>
    </row>
    <row r="158" spans="3:14" x14ac:dyDescent="0.25">
      <c r="N158" s="51"/>
    </row>
  </sheetData>
  <pageMargins left="0.70866141732283472" right="0.70866141732283472" top="0.74803149606299213" bottom="0.74803149606299213" header="0.31496062992125984" footer="0.31496062992125984"/>
  <pageSetup paperSize="9" scale="57" orientation="landscape" verticalDpi="0" r:id="rId1"/>
  <rowBreaks count="1" manualBreakCount="1">
    <brk id="105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opLeftCell="A47" workbookViewId="0">
      <selection activeCell="C81" sqref="C81"/>
    </sheetView>
  </sheetViews>
  <sheetFormatPr defaultRowHeight="15" x14ac:dyDescent="0.25"/>
  <cols>
    <col min="1" max="1" width="9.140625" style="1"/>
    <col min="2" max="2" width="15.42578125" style="1" bestFit="1" customWidth="1"/>
    <col min="3" max="3" width="34" style="1" bestFit="1" customWidth="1"/>
    <col min="4" max="4" width="18.28515625" style="1" customWidth="1"/>
    <col min="5" max="5" width="17.28515625" style="1" bestFit="1" customWidth="1"/>
    <col min="6" max="6" width="9.140625" style="147"/>
    <col min="7" max="257" width="9.140625" style="1"/>
    <col min="258" max="258" width="15.42578125" style="1" bestFit="1" customWidth="1"/>
    <col min="259" max="259" width="34" style="1" bestFit="1" customWidth="1"/>
    <col min="260" max="260" width="18.28515625" style="1" customWidth="1"/>
    <col min="261" max="261" width="17.28515625" style="1" bestFit="1" customWidth="1"/>
    <col min="262" max="513" width="9.140625" style="1"/>
    <col min="514" max="514" width="15.42578125" style="1" bestFit="1" customWidth="1"/>
    <col min="515" max="515" width="34" style="1" bestFit="1" customWidth="1"/>
    <col min="516" max="516" width="18.28515625" style="1" customWidth="1"/>
    <col min="517" max="517" width="17.28515625" style="1" bestFit="1" customWidth="1"/>
    <col min="518" max="769" width="9.140625" style="1"/>
    <col min="770" max="770" width="15.42578125" style="1" bestFit="1" customWidth="1"/>
    <col min="771" max="771" width="34" style="1" bestFit="1" customWidth="1"/>
    <col min="772" max="772" width="18.28515625" style="1" customWidth="1"/>
    <col min="773" max="773" width="17.28515625" style="1" bestFit="1" customWidth="1"/>
    <col min="774" max="1025" width="9.140625" style="1"/>
    <col min="1026" max="1026" width="15.42578125" style="1" bestFit="1" customWidth="1"/>
    <col min="1027" max="1027" width="34" style="1" bestFit="1" customWidth="1"/>
    <col min="1028" max="1028" width="18.28515625" style="1" customWidth="1"/>
    <col min="1029" max="1029" width="17.28515625" style="1" bestFit="1" customWidth="1"/>
    <col min="1030" max="1281" width="9.140625" style="1"/>
    <col min="1282" max="1282" width="15.42578125" style="1" bestFit="1" customWidth="1"/>
    <col min="1283" max="1283" width="34" style="1" bestFit="1" customWidth="1"/>
    <col min="1284" max="1284" width="18.28515625" style="1" customWidth="1"/>
    <col min="1285" max="1285" width="17.28515625" style="1" bestFit="1" customWidth="1"/>
    <col min="1286" max="1537" width="9.140625" style="1"/>
    <col min="1538" max="1538" width="15.42578125" style="1" bestFit="1" customWidth="1"/>
    <col min="1539" max="1539" width="34" style="1" bestFit="1" customWidth="1"/>
    <col min="1540" max="1540" width="18.28515625" style="1" customWidth="1"/>
    <col min="1541" max="1541" width="17.28515625" style="1" bestFit="1" customWidth="1"/>
    <col min="1542" max="1793" width="9.140625" style="1"/>
    <col min="1794" max="1794" width="15.42578125" style="1" bestFit="1" customWidth="1"/>
    <col min="1795" max="1795" width="34" style="1" bestFit="1" customWidth="1"/>
    <col min="1796" max="1796" width="18.28515625" style="1" customWidth="1"/>
    <col min="1797" max="1797" width="17.28515625" style="1" bestFit="1" customWidth="1"/>
    <col min="1798" max="2049" width="9.140625" style="1"/>
    <col min="2050" max="2050" width="15.42578125" style="1" bestFit="1" customWidth="1"/>
    <col min="2051" max="2051" width="34" style="1" bestFit="1" customWidth="1"/>
    <col min="2052" max="2052" width="18.28515625" style="1" customWidth="1"/>
    <col min="2053" max="2053" width="17.28515625" style="1" bestFit="1" customWidth="1"/>
    <col min="2054" max="2305" width="9.140625" style="1"/>
    <col min="2306" max="2306" width="15.42578125" style="1" bestFit="1" customWidth="1"/>
    <col min="2307" max="2307" width="34" style="1" bestFit="1" customWidth="1"/>
    <col min="2308" max="2308" width="18.28515625" style="1" customWidth="1"/>
    <col min="2309" max="2309" width="17.28515625" style="1" bestFit="1" customWidth="1"/>
    <col min="2310" max="2561" width="9.140625" style="1"/>
    <col min="2562" max="2562" width="15.42578125" style="1" bestFit="1" customWidth="1"/>
    <col min="2563" max="2563" width="34" style="1" bestFit="1" customWidth="1"/>
    <col min="2564" max="2564" width="18.28515625" style="1" customWidth="1"/>
    <col min="2565" max="2565" width="17.28515625" style="1" bestFit="1" customWidth="1"/>
    <col min="2566" max="2817" width="9.140625" style="1"/>
    <col min="2818" max="2818" width="15.42578125" style="1" bestFit="1" customWidth="1"/>
    <col min="2819" max="2819" width="34" style="1" bestFit="1" customWidth="1"/>
    <col min="2820" max="2820" width="18.28515625" style="1" customWidth="1"/>
    <col min="2821" max="2821" width="17.28515625" style="1" bestFit="1" customWidth="1"/>
    <col min="2822" max="3073" width="9.140625" style="1"/>
    <col min="3074" max="3074" width="15.42578125" style="1" bestFit="1" customWidth="1"/>
    <col min="3075" max="3075" width="34" style="1" bestFit="1" customWidth="1"/>
    <col min="3076" max="3076" width="18.28515625" style="1" customWidth="1"/>
    <col min="3077" max="3077" width="17.28515625" style="1" bestFit="1" customWidth="1"/>
    <col min="3078" max="3329" width="9.140625" style="1"/>
    <col min="3330" max="3330" width="15.42578125" style="1" bestFit="1" customWidth="1"/>
    <col min="3331" max="3331" width="34" style="1" bestFit="1" customWidth="1"/>
    <col min="3332" max="3332" width="18.28515625" style="1" customWidth="1"/>
    <col min="3333" max="3333" width="17.28515625" style="1" bestFit="1" customWidth="1"/>
    <col min="3334" max="3585" width="9.140625" style="1"/>
    <col min="3586" max="3586" width="15.42578125" style="1" bestFit="1" customWidth="1"/>
    <col min="3587" max="3587" width="34" style="1" bestFit="1" customWidth="1"/>
    <col min="3588" max="3588" width="18.28515625" style="1" customWidth="1"/>
    <col min="3589" max="3589" width="17.28515625" style="1" bestFit="1" customWidth="1"/>
    <col min="3590" max="3841" width="9.140625" style="1"/>
    <col min="3842" max="3842" width="15.42578125" style="1" bestFit="1" customWidth="1"/>
    <col min="3843" max="3843" width="34" style="1" bestFit="1" customWidth="1"/>
    <col min="3844" max="3844" width="18.28515625" style="1" customWidth="1"/>
    <col min="3845" max="3845" width="17.28515625" style="1" bestFit="1" customWidth="1"/>
    <col min="3846" max="4097" width="9.140625" style="1"/>
    <col min="4098" max="4098" width="15.42578125" style="1" bestFit="1" customWidth="1"/>
    <col min="4099" max="4099" width="34" style="1" bestFit="1" customWidth="1"/>
    <col min="4100" max="4100" width="18.28515625" style="1" customWidth="1"/>
    <col min="4101" max="4101" width="17.28515625" style="1" bestFit="1" customWidth="1"/>
    <col min="4102" max="4353" width="9.140625" style="1"/>
    <col min="4354" max="4354" width="15.42578125" style="1" bestFit="1" customWidth="1"/>
    <col min="4355" max="4355" width="34" style="1" bestFit="1" customWidth="1"/>
    <col min="4356" max="4356" width="18.28515625" style="1" customWidth="1"/>
    <col min="4357" max="4357" width="17.28515625" style="1" bestFit="1" customWidth="1"/>
    <col min="4358" max="4609" width="9.140625" style="1"/>
    <col min="4610" max="4610" width="15.42578125" style="1" bestFit="1" customWidth="1"/>
    <col min="4611" max="4611" width="34" style="1" bestFit="1" customWidth="1"/>
    <col min="4612" max="4612" width="18.28515625" style="1" customWidth="1"/>
    <col min="4613" max="4613" width="17.28515625" style="1" bestFit="1" customWidth="1"/>
    <col min="4614" max="4865" width="9.140625" style="1"/>
    <col min="4866" max="4866" width="15.42578125" style="1" bestFit="1" customWidth="1"/>
    <col min="4867" max="4867" width="34" style="1" bestFit="1" customWidth="1"/>
    <col min="4868" max="4868" width="18.28515625" style="1" customWidth="1"/>
    <col min="4869" max="4869" width="17.28515625" style="1" bestFit="1" customWidth="1"/>
    <col min="4870" max="5121" width="9.140625" style="1"/>
    <col min="5122" max="5122" width="15.42578125" style="1" bestFit="1" customWidth="1"/>
    <col min="5123" max="5123" width="34" style="1" bestFit="1" customWidth="1"/>
    <col min="5124" max="5124" width="18.28515625" style="1" customWidth="1"/>
    <col min="5125" max="5125" width="17.28515625" style="1" bestFit="1" customWidth="1"/>
    <col min="5126" max="5377" width="9.140625" style="1"/>
    <col min="5378" max="5378" width="15.42578125" style="1" bestFit="1" customWidth="1"/>
    <col min="5379" max="5379" width="34" style="1" bestFit="1" customWidth="1"/>
    <col min="5380" max="5380" width="18.28515625" style="1" customWidth="1"/>
    <col min="5381" max="5381" width="17.28515625" style="1" bestFit="1" customWidth="1"/>
    <col min="5382" max="5633" width="9.140625" style="1"/>
    <col min="5634" max="5634" width="15.42578125" style="1" bestFit="1" customWidth="1"/>
    <col min="5635" max="5635" width="34" style="1" bestFit="1" customWidth="1"/>
    <col min="5636" max="5636" width="18.28515625" style="1" customWidth="1"/>
    <col min="5637" max="5637" width="17.28515625" style="1" bestFit="1" customWidth="1"/>
    <col min="5638" max="5889" width="9.140625" style="1"/>
    <col min="5890" max="5890" width="15.42578125" style="1" bestFit="1" customWidth="1"/>
    <col min="5891" max="5891" width="34" style="1" bestFit="1" customWidth="1"/>
    <col min="5892" max="5892" width="18.28515625" style="1" customWidth="1"/>
    <col min="5893" max="5893" width="17.28515625" style="1" bestFit="1" customWidth="1"/>
    <col min="5894" max="6145" width="9.140625" style="1"/>
    <col min="6146" max="6146" width="15.42578125" style="1" bestFit="1" customWidth="1"/>
    <col min="6147" max="6147" width="34" style="1" bestFit="1" customWidth="1"/>
    <col min="6148" max="6148" width="18.28515625" style="1" customWidth="1"/>
    <col min="6149" max="6149" width="17.28515625" style="1" bestFit="1" customWidth="1"/>
    <col min="6150" max="6401" width="9.140625" style="1"/>
    <col min="6402" max="6402" width="15.42578125" style="1" bestFit="1" customWidth="1"/>
    <col min="6403" max="6403" width="34" style="1" bestFit="1" customWidth="1"/>
    <col min="6404" max="6404" width="18.28515625" style="1" customWidth="1"/>
    <col min="6405" max="6405" width="17.28515625" style="1" bestFit="1" customWidth="1"/>
    <col min="6406" max="6657" width="9.140625" style="1"/>
    <col min="6658" max="6658" width="15.42578125" style="1" bestFit="1" customWidth="1"/>
    <col min="6659" max="6659" width="34" style="1" bestFit="1" customWidth="1"/>
    <col min="6660" max="6660" width="18.28515625" style="1" customWidth="1"/>
    <col min="6661" max="6661" width="17.28515625" style="1" bestFit="1" customWidth="1"/>
    <col min="6662" max="6913" width="9.140625" style="1"/>
    <col min="6914" max="6914" width="15.42578125" style="1" bestFit="1" customWidth="1"/>
    <col min="6915" max="6915" width="34" style="1" bestFit="1" customWidth="1"/>
    <col min="6916" max="6916" width="18.28515625" style="1" customWidth="1"/>
    <col min="6917" max="6917" width="17.28515625" style="1" bestFit="1" customWidth="1"/>
    <col min="6918" max="7169" width="9.140625" style="1"/>
    <col min="7170" max="7170" width="15.42578125" style="1" bestFit="1" customWidth="1"/>
    <col min="7171" max="7171" width="34" style="1" bestFit="1" customWidth="1"/>
    <col min="7172" max="7172" width="18.28515625" style="1" customWidth="1"/>
    <col min="7173" max="7173" width="17.28515625" style="1" bestFit="1" customWidth="1"/>
    <col min="7174" max="7425" width="9.140625" style="1"/>
    <col min="7426" max="7426" width="15.42578125" style="1" bestFit="1" customWidth="1"/>
    <col min="7427" max="7427" width="34" style="1" bestFit="1" customWidth="1"/>
    <col min="7428" max="7428" width="18.28515625" style="1" customWidth="1"/>
    <col min="7429" max="7429" width="17.28515625" style="1" bestFit="1" customWidth="1"/>
    <col min="7430" max="7681" width="9.140625" style="1"/>
    <col min="7682" max="7682" width="15.42578125" style="1" bestFit="1" customWidth="1"/>
    <col min="7683" max="7683" width="34" style="1" bestFit="1" customWidth="1"/>
    <col min="7684" max="7684" width="18.28515625" style="1" customWidth="1"/>
    <col min="7685" max="7685" width="17.28515625" style="1" bestFit="1" customWidth="1"/>
    <col min="7686" max="7937" width="9.140625" style="1"/>
    <col min="7938" max="7938" width="15.42578125" style="1" bestFit="1" customWidth="1"/>
    <col min="7939" max="7939" width="34" style="1" bestFit="1" customWidth="1"/>
    <col min="7940" max="7940" width="18.28515625" style="1" customWidth="1"/>
    <col min="7941" max="7941" width="17.28515625" style="1" bestFit="1" customWidth="1"/>
    <col min="7942" max="8193" width="9.140625" style="1"/>
    <col min="8194" max="8194" width="15.42578125" style="1" bestFit="1" customWidth="1"/>
    <col min="8195" max="8195" width="34" style="1" bestFit="1" customWidth="1"/>
    <col min="8196" max="8196" width="18.28515625" style="1" customWidth="1"/>
    <col min="8197" max="8197" width="17.28515625" style="1" bestFit="1" customWidth="1"/>
    <col min="8198" max="8449" width="9.140625" style="1"/>
    <col min="8450" max="8450" width="15.42578125" style="1" bestFit="1" customWidth="1"/>
    <col min="8451" max="8451" width="34" style="1" bestFit="1" customWidth="1"/>
    <col min="8452" max="8452" width="18.28515625" style="1" customWidth="1"/>
    <col min="8453" max="8453" width="17.28515625" style="1" bestFit="1" customWidth="1"/>
    <col min="8454" max="8705" width="9.140625" style="1"/>
    <col min="8706" max="8706" width="15.42578125" style="1" bestFit="1" customWidth="1"/>
    <col min="8707" max="8707" width="34" style="1" bestFit="1" customWidth="1"/>
    <col min="8708" max="8708" width="18.28515625" style="1" customWidth="1"/>
    <col min="8709" max="8709" width="17.28515625" style="1" bestFit="1" customWidth="1"/>
    <col min="8710" max="8961" width="9.140625" style="1"/>
    <col min="8962" max="8962" width="15.42578125" style="1" bestFit="1" customWidth="1"/>
    <col min="8963" max="8963" width="34" style="1" bestFit="1" customWidth="1"/>
    <col min="8964" max="8964" width="18.28515625" style="1" customWidth="1"/>
    <col min="8965" max="8965" width="17.28515625" style="1" bestFit="1" customWidth="1"/>
    <col min="8966" max="9217" width="9.140625" style="1"/>
    <col min="9218" max="9218" width="15.42578125" style="1" bestFit="1" customWidth="1"/>
    <col min="9219" max="9219" width="34" style="1" bestFit="1" customWidth="1"/>
    <col min="9220" max="9220" width="18.28515625" style="1" customWidth="1"/>
    <col min="9221" max="9221" width="17.28515625" style="1" bestFit="1" customWidth="1"/>
    <col min="9222" max="9473" width="9.140625" style="1"/>
    <col min="9474" max="9474" width="15.42578125" style="1" bestFit="1" customWidth="1"/>
    <col min="9475" max="9475" width="34" style="1" bestFit="1" customWidth="1"/>
    <col min="9476" max="9476" width="18.28515625" style="1" customWidth="1"/>
    <col min="9477" max="9477" width="17.28515625" style="1" bestFit="1" customWidth="1"/>
    <col min="9478" max="9729" width="9.140625" style="1"/>
    <col min="9730" max="9730" width="15.42578125" style="1" bestFit="1" customWidth="1"/>
    <col min="9731" max="9731" width="34" style="1" bestFit="1" customWidth="1"/>
    <col min="9732" max="9732" width="18.28515625" style="1" customWidth="1"/>
    <col min="9733" max="9733" width="17.28515625" style="1" bestFit="1" customWidth="1"/>
    <col min="9734" max="9985" width="9.140625" style="1"/>
    <col min="9986" max="9986" width="15.42578125" style="1" bestFit="1" customWidth="1"/>
    <col min="9987" max="9987" width="34" style="1" bestFit="1" customWidth="1"/>
    <col min="9988" max="9988" width="18.28515625" style="1" customWidth="1"/>
    <col min="9989" max="9989" width="17.28515625" style="1" bestFit="1" customWidth="1"/>
    <col min="9990" max="10241" width="9.140625" style="1"/>
    <col min="10242" max="10242" width="15.42578125" style="1" bestFit="1" customWidth="1"/>
    <col min="10243" max="10243" width="34" style="1" bestFit="1" customWidth="1"/>
    <col min="10244" max="10244" width="18.28515625" style="1" customWidth="1"/>
    <col min="10245" max="10245" width="17.28515625" style="1" bestFit="1" customWidth="1"/>
    <col min="10246" max="10497" width="9.140625" style="1"/>
    <col min="10498" max="10498" width="15.42578125" style="1" bestFit="1" customWidth="1"/>
    <col min="10499" max="10499" width="34" style="1" bestFit="1" customWidth="1"/>
    <col min="10500" max="10500" width="18.28515625" style="1" customWidth="1"/>
    <col min="10501" max="10501" width="17.28515625" style="1" bestFit="1" customWidth="1"/>
    <col min="10502" max="10753" width="9.140625" style="1"/>
    <col min="10754" max="10754" width="15.42578125" style="1" bestFit="1" customWidth="1"/>
    <col min="10755" max="10755" width="34" style="1" bestFit="1" customWidth="1"/>
    <col min="10756" max="10756" width="18.28515625" style="1" customWidth="1"/>
    <col min="10757" max="10757" width="17.28515625" style="1" bestFit="1" customWidth="1"/>
    <col min="10758" max="11009" width="9.140625" style="1"/>
    <col min="11010" max="11010" width="15.42578125" style="1" bestFit="1" customWidth="1"/>
    <col min="11011" max="11011" width="34" style="1" bestFit="1" customWidth="1"/>
    <col min="11012" max="11012" width="18.28515625" style="1" customWidth="1"/>
    <col min="11013" max="11013" width="17.28515625" style="1" bestFit="1" customWidth="1"/>
    <col min="11014" max="11265" width="9.140625" style="1"/>
    <col min="11266" max="11266" width="15.42578125" style="1" bestFit="1" customWidth="1"/>
    <col min="11267" max="11267" width="34" style="1" bestFit="1" customWidth="1"/>
    <col min="11268" max="11268" width="18.28515625" style="1" customWidth="1"/>
    <col min="11269" max="11269" width="17.28515625" style="1" bestFit="1" customWidth="1"/>
    <col min="11270" max="11521" width="9.140625" style="1"/>
    <col min="11522" max="11522" width="15.42578125" style="1" bestFit="1" customWidth="1"/>
    <col min="11523" max="11523" width="34" style="1" bestFit="1" customWidth="1"/>
    <col min="11524" max="11524" width="18.28515625" style="1" customWidth="1"/>
    <col min="11525" max="11525" width="17.28515625" style="1" bestFit="1" customWidth="1"/>
    <col min="11526" max="11777" width="9.140625" style="1"/>
    <col min="11778" max="11778" width="15.42578125" style="1" bestFit="1" customWidth="1"/>
    <col min="11779" max="11779" width="34" style="1" bestFit="1" customWidth="1"/>
    <col min="11780" max="11780" width="18.28515625" style="1" customWidth="1"/>
    <col min="11781" max="11781" width="17.28515625" style="1" bestFit="1" customWidth="1"/>
    <col min="11782" max="12033" width="9.140625" style="1"/>
    <col min="12034" max="12034" width="15.42578125" style="1" bestFit="1" customWidth="1"/>
    <col min="12035" max="12035" width="34" style="1" bestFit="1" customWidth="1"/>
    <col min="12036" max="12036" width="18.28515625" style="1" customWidth="1"/>
    <col min="12037" max="12037" width="17.28515625" style="1" bestFit="1" customWidth="1"/>
    <col min="12038" max="12289" width="9.140625" style="1"/>
    <col min="12290" max="12290" width="15.42578125" style="1" bestFit="1" customWidth="1"/>
    <col min="12291" max="12291" width="34" style="1" bestFit="1" customWidth="1"/>
    <col min="12292" max="12292" width="18.28515625" style="1" customWidth="1"/>
    <col min="12293" max="12293" width="17.28515625" style="1" bestFit="1" customWidth="1"/>
    <col min="12294" max="12545" width="9.140625" style="1"/>
    <col min="12546" max="12546" width="15.42578125" style="1" bestFit="1" customWidth="1"/>
    <col min="12547" max="12547" width="34" style="1" bestFit="1" customWidth="1"/>
    <col min="12548" max="12548" width="18.28515625" style="1" customWidth="1"/>
    <col min="12549" max="12549" width="17.28515625" style="1" bestFit="1" customWidth="1"/>
    <col min="12550" max="12801" width="9.140625" style="1"/>
    <col min="12802" max="12802" width="15.42578125" style="1" bestFit="1" customWidth="1"/>
    <col min="12803" max="12803" width="34" style="1" bestFit="1" customWidth="1"/>
    <col min="12804" max="12804" width="18.28515625" style="1" customWidth="1"/>
    <col min="12805" max="12805" width="17.28515625" style="1" bestFit="1" customWidth="1"/>
    <col min="12806" max="13057" width="9.140625" style="1"/>
    <col min="13058" max="13058" width="15.42578125" style="1" bestFit="1" customWidth="1"/>
    <col min="13059" max="13059" width="34" style="1" bestFit="1" customWidth="1"/>
    <col min="13060" max="13060" width="18.28515625" style="1" customWidth="1"/>
    <col min="13061" max="13061" width="17.28515625" style="1" bestFit="1" customWidth="1"/>
    <col min="13062" max="13313" width="9.140625" style="1"/>
    <col min="13314" max="13314" width="15.42578125" style="1" bestFit="1" customWidth="1"/>
    <col min="13315" max="13315" width="34" style="1" bestFit="1" customWidth="1"/>
    <col min="13316" max="13316" width="18.28515625" style="1" customWidth="1"/>
    <col min="13317" max="13317" width="17.28515625" style="1" bestFit="1" customWidth="1"/>
    <col min="13318" max="13569" width="9.140625" style="1"/>
    <col min="13570" max="13570" width="15.42578125" style="1" bestFit="1" customWidth="1"/>
    <col min="13571" max="13571" width="34" style="1" bestFit="1" customWidth="1"/>
    <col min="13572" max="13572" width="18.28515625" style="1" customWidth="1"/>
    <col min="13573" max="13573" width="17.28515625" style="1" bestFit="1" customWidth="1"/>
    <col min="13574" max="13825" width="9.140625" style="1"/>
    <col min="13826" max="13826" width="15.42578125" style="1" bestFit="1" customWidth="1"/>
    <col min="13827" max="13827" width="34" style="1" bestFit="1" customWidth="1"/>
    <col min="13828" max="13828" width="18.28515625" style="1" customWidth="1"/>
    <col min="13829" max="13829" width="17.28515625" style="1" bestFit="1" customWidth="1"/>
    <col min="13830" max="14081" width="9.140625" style="1"/>
    <col min="14082" max="14082" width="15.42578125" style="1" bestFit="1" customWidth="1"/>
    <col min="14083" max="14083" width="34" style="1" bestFit="1" customWidth="1"/>
    <col min="14084" max="14084" width="18.28515625" style="1" customWidth="1"/>
    <col min="14085" max="14085" width="17.28515625" style="1" bestFit="1" customWidth="1"/>
    <col min="14086" max="14337" width="9.140625" style="1"/>
    <col min="14338" max="14338" width="15.42578125" style="1" bestFit="1" customWidth="1"/>
    <col min="14339" max="14339" width="34" style="1" bestFit="1" customWidth="1"/>
    <col min="14340" max="14340" width="18.28515625" style="1" customWidth="1"/>
    <col min="14341" max="14341" width="17.28515625" style="1" bestFit="1" customWidth="1"/>
    <col min="14342" max="14593" width="9.140625" style="1"/>
    <col min="14594" max="14594" width="15.42578125" style="1" bestFit="1" customWidth="1"/>
    <col min="14595" max="14595" width="34" style="1" bestFit="1" customWidth="1"/>
    <col min="14596" max="14596" width="18.28515625" style="1" customWidth="1"/>
    <col min="14597" max="14597" width="17.28515625" style="1" bestFit="1" customWidth="1"/>
    <col min="14598" max="14849" width="9.140625" style="1"/>
    <col min="14850" max="14850" width="15.42578125" style="1" bestFit="1" customWidth="1"/>
    <col min="14851" max="14851" width="34" style="1" bestFit="1" customWidth="1"/>
    <col min="14852" max="14852" width="18.28515625" style="1" customWidth="1"/>
    <col min="14853" max="14853" width="17.28515625" style="1" bestFit="1" customWidth="1"/>
    <col min="14854" max="15105" width="9.140625" style="1"/>
    <col min="15106" max="15106" width="15.42578125" style="1" bestFit="1" customWidth="1"/>
    <col min="15107" max="15107" width="34" style="1" bestFit="1" customWidth="1"/>
    <col min="15108" max="15108" width="18.28515625" style="1" customWidth="1"/>
    <col min="15109" max="15109" width="17.28515625" style="1" bestFit="1" customWidth="1"/>
    <col min="15110" max="15361" width="9.140625" style="1"/>
    <col min="15362" max="15362" width="15.42578125" style="1" bestFit="1" customWidth="1"/>
    <col min="15363" max="15363" width="34" style="1" bestFit="1" customWidth="1"/>
    <col min="15364" max="15364" width="18.28515625" style="1" customWidth="1"/>
    <col min="15365" max="15365" width="17.28515625" style="1" bestFit="1" customWidth="1"/>
    <col min="15366" max="15617" width="9.140625" style="1"/>
    <col min="15618" max="15618" width="15.42578125" style="1" bestFit="1" customWidth="1"/>
    <col min="15619" max="15619" width="34" style="1" bestFit="1" customWidth="1"/>
    <col min="15620" max="15620" width="18.28515625" style="1" customWidth="1"/>
    <col min="15621" max="15621" width="17.28515625" style="1" bestFit="1" customWidth="1"/>
    <col min="15622" max="15873" width="9.140625" style="1"/>
    <col min="15874" max="15874" width="15.42578125" style="1" bestFit="1" customWidth="1"/>
    <col min="15875" max="15875" width="34" style="1" bestFit="1" customWidth="1"/>
    <col min="15876" max="15876" width="18.28515625" style="1" customWidth="1"/>
    <col min="15877" max="15877" width="17.28515625" style="1" bestFit="1" customWidth="1"/>
    <col min="15878" max="16129" width="9.140625" style="1"/>
    <col min="16130" max="16130" width="15.42578125" style="1" bestFit="1" customWidth="1"/>
    <col min="16131" max="16131" width="34" style="1" bestFit="1" customWidth="1"/>
    <col min="16132" max="16132" width="18.28515625" style="1" customWidth="1"/>
    <col min="16133" max="16133" width="17.28515625" style="1" bestFit="1" customWidth="1"/>
    <col min="16134" max="16384" width="9.140625" style="1"/>
  </cols>
  <sheetData>
    <row r="1" spans="1:7" x14ac:dyDescent="0.25">
      <c r="A1" s="1">
        <v>12</v>
      </c>
      <c r="B1" s="1" t="s">
        <v>104</v>
      </c>
    </row>
    <row r="2" spans="1:7" x14ac:dyDescent="0.25">
      <c r="A2" s="1" t="s">
        <v>170</v>
      </c>
      <c r="B2" s="1" t="s">
        <v>171</v>
      </c>
      <c r="C2" s="1" t="s">
        <v>172</v>
      </c>
      <c r="D2" s="1" t="s">
        <v>173</v>
      </c>
    </row>
    <row r="3" spans="1:7" x14ac:dyDescent="0.25">
      <c r="A3" s="1">
        <v>1</v>
      </c>
      <c r="B3" s="1">
        <v>20220125</v>
      </c>
      <c r="C3" s="1" t="s">
        <v>174</v>
      </c>
      <c r="D3" s="1">
        <v>955728</v>
      </c>
    </row>
    <row r="4" spans="1:7" x14ac:dyDescent="0.25">
      <c r="A4" s="1" t="s">
        <v>170</v>
      </c>
      <c r="B4" s="1" t="s">
        <v>175</v>
      </c>
      <c r="C4" s="1">
        <v>7508861.0999999996</v>
      </c>
    </row>
    <row r="5" spans="1:7" x14ac:dyDescent="0.25">
      <c r="A5" s="1">
        <v>11</v>
      </c>
    </row>
    <row r="6" spans="1:7" x14ac:dyDescent="0.25">
      <c r="A6" s="1" t="s">
        <v>170</v>
      </c>
      <c r="B6" s="1" t="s">
        <v>7</v>
      </c>
      <c r="C6" s="1" t="s">
        <v>176</v>
      </c>
      <c r="D6" s="1" t="s">
        <v>177</v>
      </c>
      <c r="E6" s="1" t="s">
        <v>178</v>
      </c>
      <c r="F6" s="147" t="s">
        <v>179</v>
      </c>
      <c r="G6" s="1" t="s">
        <v>180</v>
      </c>
    </row>
    <row r="7" spans="1:7" x14ac:dyDescent="0.25">
      <c r="A7" s="1">
        <v>10</v>
      </c>
      <c r="B7" s="85">
        <v>270000</v>
      </c>
      <c r="C7" s="1" t="s">
        <v>136</v>
      </c>
      <c r="D7" s="126">
        <v>1002063197</v>
      </c>
      <c r="E7" s="1" t="s">
        <v>181</v>
      </c>
      <c r="F7" s="93" t="s">
        <v>182</v>
      </c>
      <c r="G7" s="1" t="s">
        <v>183</v>
      </c>
    </row>
    <row r="8" spans="1:7" x14ac:dyDescent="0.25">
      <c r="A8" s="1">
        <v>10</v>
      </c>
      <c r="B8" s="85">
        <v>69375</v>
      </c>
      <c r="C8" s="1" t="s">
        <v>48</v>
      </c>
      <c r="D8" s="126">
        <v>9100005436378</v>
      </c>
      <c r="E8" s="1" t="s">
        <v>181</v>
      </c>
      <c r="F8" s="93" t="s">
        <v>184</v>
      </c>
      <c r="G8" s="1" t="s">
        <v>185</v>
      </c>
    </row>
    <row r="9" spans="1:7" x14ac:dyDescent="0.25">
      <c r="A9" s="1">
        <v>10</v>
      </c>
      <c r="B9" s="85">
        <v>47500</v>
      </c>
      <c r="C9" s="1" t="s">
        <v>186</v>
      </c>
      <c r="D9" s="126">
        <v>18238373</v>
      </c>
      <c r="E9" s="1" t="s">
        <v>181</v>
      </c>
      <c r="F9" s="147">
        <v>10</v>
      </c>
      <c r="G9" s="1" t="s">
        <v>187</v>
      </c>
    </row>
    <row r="10" spans="1:7" x14ac:dyDescent="0.25">
      <c r="A10" s="1">
        <v>10</v>
      </c>
      <c r="B10" s="85">
        <v>73671.899999999994</v>
      </c>
      <c r="C10" s="1" t="s">
        <v>41</v>
      </c>
      <c r="D10" s="126" t="s">
        <v>188</v>
      </c>
      <c r="E10" s="1" t="s">
        <v>181</v>
      </c>
      <c r="F10" s="93" t="s">
        <v>189</v>
      </c>
      <c r="G10" s="1" t="s">
        <v>190</v>
      </c>
    </row>
    <row r="11" spans="1:7" x14ac:dyDescent="0.25">
      <c r="A11" s="1">
        <v>10</v>
      </c>
      <c r="B11" s="85">
        <v>52708.3</v>
      </c>
      <c r="C11" s="1" t="s">
        <v>39</v>
      </c>
      <c r="D11" s="126">
        <v>10919851</v>
      </c>
      <c r="E11" s="1" t="s">
        <v>181</v>
      </c>
      <c r="F11" s="147">
        <v>10</v>
      </c>
      <c r="G11" s="1" t="s">
        <v>187</v>
      </c>
    </row>
    <row r="12" spans="1:7" x14ac:dyDescent="0.25">
      <c r="A12" s="1">
        <v>10</v>
      </c>
      <c r="B12" s="85">
        <v>146500</v>
      </c>
      <c r="C12" s="1" t="s">
        <v>191</v>
      </c>
      <c r="D12" s="126">
        <v>1007673864</v>
      </c>
      <c r="E12" s="1" t="s">
        <v>181</v>
      </c>
      <c r="F12" s="93" t="s">
        <v>182</v>
      </c>
      <c r="G12" s="1" t="s">
        <v>183</v>
      </c>
    </row>
    <row r="13" spans="1:7" x14ac:dyDescent="0.25">
      <c r="A13" s="1">
        <v>10</v>
      </c>
      <c r="B13" s="85">
        <v>69375</v>
      </c>
      <c r="C13" s="1" t="s">
        <v>192</v>
      </c>
      <c r="D13" s="126">
        <v>1007610625</v>
      </c>
      <c r="E13" s="1" t="s">
        <v>181</v>
      </c>
      <c r="F13" s="93" t="s">
        <v>182</v>
      </c>
      <c r="G13" s="1" t="s">
        <v>183</v>
      </c>
    </row>
    <row r="14" spans="1:7" x14ac:dyDescent="0.25">
      <c r="A14" s="1">
        <v>10</v>
      </c>
      <c r="B14" s="85">
        <v>70000</v>
      </c>
      <c r="C14" s="1" t="s">
        <v>193</v>
      </c>
      <c r="D14" s="126">
        <v>1000243414</v>
      </c>
      <c r="E14" s="1" t="s">
        <v>181</v>
      </c>
      <c r="F14" s="93" t="s">
        <v>182</v>
      </c>
      <c r="G14" s="1" t="s">
        <v>183</v>
      </c>
    </row>
    <row r="15" spans="1:7" x14ac:dyDescent="0.25">
      <c r="A15" s="1">
        <v>10</v>
      </c>
      <c r="B15" s="85">
        <v>53750</v>
      </c>
      <c r="C15" s="1" t="s">
        <v>194</v>
      </c>
      <c r="D15" s="126">
        <v>1550000242927</v>
      </c>
      <c r="E15" s="1" t="s">
        <v>181</v>
      </c>
      <c r="F15" s="147">
        <v>11</v>
      </c>
      <c r="G15" s="1" t="s">
        <v>195</v>
      </c>
    </row>
    <row r="16" spans="1:7" x14ac:dyDescent="0.25">
      <c r="A16" s="1">
        <v>10</v>
      </c>
      <c r="B16" s="85">
        <v>104375</v>
      </c>
      <c r="C16" s="1" t="s">
        <v>138</v>
      </c>
      <c r="D16" s="126">
        <v>1550000124994</v>
      </c>
      <c r="E16" s="1" t="s">
        <v>181</v>
      </c>
      <c r="F16" s="147">
        <v>11</v>
      </c>
      <c r="G16" s="1" t="s">
        <v>195</v>
      </c>
    </row>
    <row r="17" spans="1:7" x14ac:dyDescent="0.25">
      <c r="A17" s="1">
        <v>10</v>
      </c>
      <c r="B17" s="85">
        <v>105850</v>
      </c>
      <c r="C17" s="1" t="s">
        <v>59</v>
      </c>
      <c r="D17" s="126">
        <v>884421510</v>
      </c>
      <c r="E17" s="1" t="s">
        <v>181</v>
      </c>
      <c r="F17" s="147">
        <v>11</v>
      </c>
      <c r="G17" s="1" t="s">
        <v>195</v>
      </c>
    </row>
    <row r="18" spans="1:7" x14ac:dyDescent="0.25">
      <c r="A18" s="1">
        <v>10</v>
      </c>
      <c r="B18" s="85">
        <v>75250</v>
      </c>
      <c r="C18" s="1" t="s">
        <v>196</v>
      </c>
      <c r="D18" s="126">
        <v>1550000205129</v>
      </c>
      <c r="E18" s="1" t="s">
        <v>181</v>
      </c>
      <c r="F18" s="147">
        <v>11</v>
      </c>
      <c r="G18" s="1" t="s">
        <v>195</v>
      </c>
    </row>
    <row r="19" spans="1:7" x14ac:dyDescent="0.25">
      <c r="A19" s="1">
        <v>10</v>
      </c>
      <c r="B19" s="85">
        <v>47500</v>
      </c>
      <c r="C19" s="1" t="s">
        <v>197</v>
      </c>
      <c r="D19" s="126">
        <v>1040000532741</v>
      </c>
      <c r="E19" s="1" t="s">
        <v>181</v>
      </c>
      <c r="F19" s="147">
        <v>11</v>
      </c>
      <c r="G19" s="1" t="s">
        <v>195</v>
      </c>
    </row>
    <row r="20" spans="1:7" x14ac:dyDescent="0.25">
      <c r="A20" s="1">
        <v>10</v>
      </c>
      <c r="B20" s="85">
        <v>102667</v>
      </c>
      <c r="C20" s="1" t="s">
        <v>130</v>
      </c>
      <c r="D20" s="126">
        <v>11678904</v>
      </c>
      <c r="E20" s="1" t="s">
        <v>181</v>
      </c>
      <c r="F20" s="147">
        <v>10</v>
      </c>
      <c r="G20" s="1" t="s">
        <v>187</v>
      </c>
    </row>
    <row r="21" spans="1:7" x14ac:dyDescent="0.25">
      <c r="A21" s="1">
        <v>10</v>
      </c>
      <c r="B21" s="85">
        <v>72369.8</v>
      </c>
      <c r="C21" s="1" t="s">
        <v>34</v>
      </c>
      <c r="D21" s="126">
        <v>1120000068674</v>
      </c>
      <c r="E21" s="1" t="s">
        <v>181</v>
      </c>
      <c r="F21" s="147">
        <v>11</v>
      </c>
      <c r="G21" s="1" t="s">
        <v>195</v>
      </c>
    </row>
    <row r="22" spans="1:7" x14ac:dyDescent="0.25">
      <c r="A22" s="1">
        <v>10</v>
      </c>
      <c r="B22" s="85">
        <v>66250</v>
      </c>
      <c r="C22" s="1" t="s">
        <v>56</v>
      </c>
      <c r="D22" s="126">
        <v>20270257</v>
      </c>
      <c r="E22" s="1" t="s">
        <v>181</v>
      </c>
      <c r="F22" s="147">
        <v>10</v>
      </c>
      <c r="G22" s="1" t="s">
        <v>187</v>
      </c>
    </row>
    <row r="23" spans="1:7" x14ac:dyDescent="0.25">
      <c r="A23" s="1">
        <v>10</v>
      </c>
      <c r="B23" s="85">
        <v>75250</v>
      </c>
      <c r="C23" s="1" t="s">
        <v>144</v>
      </c>
      <c r="D23" s="126">
        <v>1003547686</v>
      </c>
      <c r="E23" s="1" t="s">
        <v>181</v>
      </c>
      <c r="F23" s="93" t="s">
        <v>182</v>
      </c>
      <c r="G23" s="1" t="s">
        <v>183</v>
      </c>
    </row>
    <row r="24" spans="1:7" x14ac:dyDescent="0.25">
      <c r="A24" s="1">
        <v>10</v>
      </c>
      <c r="B24" s="85">
        <v>73791.7</v>
      </c>
      <c r="C24" s="1" t="s">
        <v>198</v>
      </c>
      <c r="D24" s="126">
        <v>11821367</v>
      </c>
      <c r="E24" s="1" t="s">
        <v>181</v>
      </c>
      <c r="F24" s="147">
        <v>10</v>
      </c>
      <c r="G24" s="1" t="s">
        <v>187</v>
      </c>
    </row>
    <row r="25" spans="1:7" x14ac:dyDescent="0.25">
      <c r="A25" s="1">
        <v>10</v>
      </c>
      <c r="B25" s="85">
        <v>71197.899999999994</v>
      </c>
      <c r="C25" s="1" t="s">
        <v>38</v>
      </c>
      <c r="D25" s="126">
        <v>9100002139518</v>
      </c>
      <c r="E25" s="1" t="s">
        <v>181</v>
      </c>
      <c r="F25" s="93" t="s">
        <v>184</v>
      </c>
      <c r="G25" s="1" t="s">
        <v>185</v>
      </c>
    </row>
    <row r="26" spans="1:7" x14ac:dyDescent="0.25">
      <c r="A26" s="1">
        <v>10</v>
      </c>
      <c r="B26" s="85">
        <v>94375</v>
      </c>
      <c r="C26" s="1" t="s">
        <v>133</v>
      </c>
      <c r="D26" s="126">
        <v>5422500002467</v>
      </c>
      <c r="E26" s="1" t="s">
        <v>181</v>
      </c>
      <c r="F26" s="93" t="s">
        <v>189</v>
      </c>
      <c r="G26" s="1" t="s">
        <v>190</v>
      </c>
    </row>
    <row r="27" spans="1:7" x14ac:dyDescent="0.25">
      <c r="A27" s="1">
        <v>10</v>
      </c>
      <c r="B27" s="85">
        <v>108920</v>
      </c>
      <c r="C27" s="1" t="s">
        <v>131</v>
      </c>
      <c r="D27" s="126">
        <v>10982065</v>
      </c>
      <c r="E27" s="1" t="s">
        <v>181</v>
      </c>
      <c r="F27" s="147">
        <v>10</v>
      </c>
      <c r="G27" s="1" t="s">
        <v>187</v>
      </c>
    </row>
    <row r="28" spans="1:7" x14ac:dyDescent="0.25">
      <c r="A28" s="1">
        <v>10</v>
      </c>
      <c r="B28" s="85">
        <v>102188</v>
      </c>
      <c r="C28" s="1" t="s">
        <v>199</v>
      </c>
      <c r="D28" s="126">
        <v>16924148</v>
      </c>
      <c r="E28" s="1" t="s">
        <v>181</v>
      </c>
      <c r="F28" s="147">
        <v>10</v>
      </c>
      <c r="G28" s="1" t="s">
        <v>187</v>
      </c>
    </row>
    <row r="29" spans="1:7" x14ac:dyDescent="0.25">
      <c r="A29" s="1">
        <v>10</v>
      </c>
      <c r="B29" s="85">
        <v>105582</v>
      </c>
      <c r="C29" s="1" t="s">
        <v>74</v>
      </c>
      <c r="D29" s="126">
        <v>1007736459</v>
      </c>
      <c r="E29" s="1" t="s">
        <v>181</v>
      </c>
      <c r="F29" s="93" t="s">
        <v>182</v>
      </c>
      <c r="G29" s="1" t="s">
        <v>183</v>
      </c>
    </row>
    <row r="30" spans="1:7" x14ac:dyDescent="0.25">
      <c r="A30" s="1">
        <v>10</v>
      </c>
      <c r="B30" s="85">
        <v>188000</v>
      </c>
      <c r="C30" s="1" t="s">
        <v>61</v>
      </c>
      <c r="D30" s="126">
        <v>1850000038827</v>
      </c>
      <c r="E30" s="1" t="s">
        <v>181</v>
      </c>
      <c r="F30" s="147">
        <v>11</v>
      </c>
      <c r="G30" s="1" t="s">
        <v>195</v>
      </c>
    </row>
    <row r="31" spans="1:7" x14ac:dyDescent="0.25">
      <c r="A31" s="1">
        <v>10</v>
      </c>
      <c r="B31" s="85">
        <v>69825</v>
      </c>
      <c r="C31" s="1" t="s">
        <v>106</v>
      </c>
      <c r="D31" s="126">
        <v>12726098</v>
      </c>
      <c r="E31" s="1" t="s">
        <v>181</v>
      </c>
      <c r="F31" s="147">
        <v>10</v>
      </c>
      <c r="G31" s="1" t="s">
        <v>187</v>
      </c>
    </row>
    <row r="32" spans="1:7" x14ac:dyDescent="0.25">
      <c r="A32" s="1">
        <v>10</v>
      </c>
      <c r="B32" s="85">
        <v>52250</v>
      </c>
      <c r="C32" s="1" t="s">
        <v>200</v>
      </c>
      <c r="D32" s="126">
        <v>1005572758</v>
      </c>
      <c r="E32" s="1" t="s">
        <v>181</v>
      </c>
      <c r="F32" s="93" t="s">
        <v>182</v>
      </c>
      <c r="G32" s="1" t="s">
        <v>183</v>
      </c>
    </row>
    <row r="33" spans="1:7" x14ac:dyDescent="0.25">
      <c r="A33" s="1">
        <v>10</v>
      </c>
      <c r="B33" s="85">
        <v>73791.7</v>
      </c>
      <c r="C33" s="1" t="s">
        <v>201</v>
      </c>
      <c r="D33" s="126">
        <v>1036009776212</v>
      </c>
      <c r="E33" s="1" t="s">
        <v>181</v>
      </c>
      <c r="F33" s="93" t="s">
        <v>202</v>
      </c>
      <c r="G33" s="1" t="s">
        <v>203</v>
      </c>
    </row>
    <row r="34" spans="1:7" x14ac:dyDescent="0.25">
      <c r="A34" s="1">
        <v>10</v>
      </c>
      <c r="B34" s="85">
        <v>250000</v>
      </c>
      <c r="C34" s="1" t="s">
        <v>204</v>
      </c>
      <c r="D34" s="126">
        <v>10925298</v>
      </c>
      <c r="E34" s="1" t="s">
        <v>181</v>
      </c>
      <c r="F34" s="147">
        <v>10</v>
      </c>
      <c r="G34" s="1" t="s">
        <v>187</v>
      </c>
    </row>
    <row r="35" spans="1:7" x14ac:dyDescent="0.25">
      <c r="A35" s="1">
        <v>10</v>
      </c>
      <c r="B35" s="85">
        <v>79531.199999999997</v>
      </c>
      <c r="C35" s="1" t="s">
        <v>205</v>
      </c>
      <c r="D35" s="126">
        <v>1590000132549</v>
      </c>
      <c r="E35" s="1" t="s">
        <v>181</v>
      </c>
      <c r="F35" s="147">
        <v>11</v>
      </c>
      <c r="G35" s="1" t="s">
        <v>195</v>
      </c>
    </row>
    <row r="36" spans="1:7" x14ac:dyDescent="0.25">
      <c r="A36" s="1">
        <v>10</v>
      </c>
      <c r="B36" s="85">
        <v>69765.600000000006</v>
      </c>
      <c r="C36" s="1" t="s">
        <v>23</v>
      </c>
      <c r="D36" s="126">
        <v>1590000152477</v>
      </c>
      <c r="E36" s="1" t="s">
        <v>181</v>
      </c>
      <c r="F36" s="147">
        <v>11</v>
      </c>
      <c r="G36" s="1" t="s">
        <v>195</v>
      </c>
    </row>
    <row r="37" spans="1:7" x14ac:dyDescent="0.25">
      <c r="A37" s="1">
        <v>10</v>
      </c>
      <c r="B37" s="85">
        <v>75250</v>
      </c>
      <c r="C37" s="1" t="s">
        <v>168</v>
      </c>
      <c r="D37" s="126">
        <v>1550000241637</v>
      </c>
      <c r="E37" s="1" t="s">
        <v>181</v>
      </c>
      <c r="F37" s="147">
        <v>11</v>
      </c>
      <c r="G37" s="1" t="s">
        <v>195</v>
      </c>
    </row>
    <row r="38" spans="1:7" x14ac:dyDescent="0.25">
      <c r="A38" s="1">
        <v>10</v>
      </c>
      <c r="B38" s="85">
        <v>77619.8</v>
      </c>
      <c r="C38" s="1" t="s">
        <v>206</v>
      </c>
      <c r="D38" s="126">
        <v>1007680534</v>
      </c>
      <c r="E38" s="1" t="s">
        <v>181</v>
      </c>
      <c r="F38" s="93" t="s">
        <v>182</v>
      </c>
      <c r="G38" s="1" t="s">
        <v>183</v>
      </c>
    </row>
    <row r="39" spans="1:7" x14ac:dyDescent="0.25">
      <c r="A39" s="1">
        <v>10</v>
      </c>
      <c r="B39" s="1">
        <v>34765.629999999997</v>
      </c>
      <c r="C39" s="1" t="s">
        <v>207</v>
      </c>
      <c r="D39" s="126">
        <v>9100004379672</v>
      </c>
      <c r="E39" s="1" t="s">
        <v>181</v>
      </c>
      <c r="F39" s="93" t="s">
        <v>184</v>
      </c>
      <c r="G39" s="1" t="s">
        <v>185</v>
      </c>
    </row>
    <row r="40" spans="1:7" x14ac:dyDescent="0.25">
      <c r="A40" s="1">
        <v>10</v>
      </c>
      <c r="B40" s="85">
        <v>69375</v>
      </c>
      <c r="C40" s="1" t="s">
        <v>208</v>
      </c>
      <c r="D40" s="126">
        <v>20012749</v>
      </c>
      <c r="E40" s="1" t="s">
        <v>181</v>
      </c>
      <c r="F40" s="147">
        <v>10</v>
      </c>
      <c r="G40" s="1" t="s">
        <v>187</v>
      </c>
    </row>
    <row r="41" spans="1:7" x14ac:dyDescent="0.25">
      <c r="A41" s="1">
        <v>10</v>
      </c>
      <c r="B41" s="85">
        <v>101891</v>
      </c>
      <c r="C41" s="1" t="s">
        <v>68</v>
      </c>
      <c r="D41" s="126">
        <v>1007706557</v>
      </c>
      <c r="E41" s="1" t="s">
        <v>181</v>
      </c>
      <c r="F41" s="93" t="s">
        <v>182</v>
      </c>
      <c r="G41" s="1" t="s">
        <v>183</v>
      </c>
    </row>
    <row r="42" spans="1:7" x14ac:dyDescent="0.25">
      <c r="A42" s="1">
        <v>10</v>
      </c>
      <c r="B42" s="85">
        <v>75625</v>
      </c>
      <c r="C42" s="1" t="s">
        <v>46</v>
      </c>
      <c r="D42" s="126">
        <v>980723975</v>
      </c>
      <c r="E42" s="1" t="s">
        <v>181</v>
      </c>
      <c r="F42" s="147">
        <v>11</v>
      </c>
      <c r="G42" s="1" t="s">
        <v>195</v>
      </c>
    </row>
    <row r="43" spans="1:7" x14ac:dyDescent="0.25">
      <c r="A43" s="1">
        <v>10</v>
      </c>
      <c r="B43" s="85">
        <v>64557.3</v>
      </c>
      <c r="C43" s="1" t="s">
        <v>109</v>
      </c>
      <c r="D43" s="126">
        <v>8500000243328</v>
      </c>
      <c r="E43" s="1" t="s">
        <v>181</v>
      </c>
      <c r="F43" s="147">
        <v>11</v>
      </c>
      <c r="G43" s="1" t="s">
        <v>195</v>
      </c>
    </row>
    <row r="44" spans="1:7" x14ac:dyDescent="0.25">
      <c r="A44" s="1">
        <v>10</v>
      </c>
      <c r="B44" s="85">
        <v>69678.399999999994</v>
      </c>
      <c r="C44" s="1" t="s">
        <v>24</v>
      </c>
      <c r="D44" s="126">
        <v>1002029665</v>
      </c>
      <c r="E44" s="1" t="s">
        <v>181</v>
      </c>
      <c r="F44" s="93" t="s">
        <v>182</v>
      </c>
      <c r="G44" s="1" t="s">
        <v>183</v>
      </c>
    </row>
    <row r="45" spans="1:7" x14ac:dyDescent="0.25">
      <c r="A45" s="1">
        <v>10</v>
      </c>
      <c r="B45" s="85">
        <v>59808.3</v>
      </c>
      <c r="C45" s="1" t="s">
        <v>55</v>
      </c>
      <c r="D45" s="126">
        <v>16852837</v>
      </c>
      <c r="E45" s="1" t="s">
        <v>181</v>
      </c>
      <c r="F45" s="147">
        <v>10</v>
      </c>
      <c r="G45" s="1" t="s">
        <v>187</v>
      </c>
    </row>
    <row r="46" spans="1:7" x14ac:dyDescent="0.25">
      <c r="A46" s="1">
        <v>10</v>
      </c>
      <c r="B46" s="85">
        <v>51666</v>
      </c>
      <c r="C46" s="1" t="s">
        <v>209</v>
      </c>
      <c r="D46" s="126">
        <v>1290000168477</v>
      </c>
      <c r="E46" s="1" t="s">
        <v>181</v>
      </c>
      <c r="F46" s="147">
        <v>11</v>
      </c>
      <c r="G46" s="1" t="s">
        <v>195</v>
      </c>
    </row>
    <row r="47" spans="1:7" x14ac:dyDescent="0.25">
      <c r="A47" s="1">
        <v>10</v>
      </c>
      <c r="B47" s="85">
        <v>47500</v>
      </c>
      <c r="C47" s="1" t="s">
        <v>120</v>
      </c>
      <c r="D47" s="126">
        <v>1016332806219</v>
      </c>
      <c r="E47" s="1" t="s">
        <v>181</v>
      </c>
      <c r="F47" s="93" t="s">
        <v>202</v>
      </c>
      <c r="G47" s="1" t="s">
        <v>203</v>
      </c>
    </row>
    <row r="48" spans="1:7" x14ac:dyDescent="0.25">
      <c r="A48" s="1">
        <v>10</v>
      </c>
      <c r="B48" s="85">
        <v>60911.5</v>
      </c>
      <c r="C48" s="1" t="s">
        <v>210</v>
      </c>
      <c r="D48" s="126">
        <v>1005942051</v>
      </c>
      <c r="E48" s="1" t="s">
        <v>181</v>
      </c>
      <c r="F48" s="93" t="s">
        <v>182</v>
      </c>
      <c r="G48" s="1" t="s">
        <v>183</v>
      </c>
    </row>
    <row r="49" spans="1:7" x14ac:dyDescent="0.25">
      <c r="A49" s="1">
        <v>10</v>
      </c>
      <c r="B49" s="85">
        <v>99005.8</v>
      </c>
      <c r="C49" s="1" t="s">
        <v>35</v>
      </c>
      <c r="D49" s="126">
        <v>1750000002278</v>
      </c>
      <c r="E49" s="1" t="s">
        <v>181</v>
      </c>
      <c r="F49" s="147">
        <v>11</v>
      </c>
      <c r="G49" s="1" t="s">
        <v>195</v>
      </c>
    </row>
    <row r="50" spans="1:7" x14ac:dyDescent="0.25">
      <c r="A50" s="1">
        <v>10</v>
      </c>
      <c r="B50" s="85">
        <v>53750</v>
      </c>
      <c r="C50" s="1" t="s">
        <v>25</v>
      </c>
      <c r="D50" s="126">
        <v>1590000131585</v>
      </c>
      <c r="E50" s="1" t="s">
        <v>181</v>
      </c>
      <c r="F50" s="147">
        <v>11</v>
      </c>
      <c r="G50" s="1" t="s">
        <v>195</v>
      </c>
    </row>
    <row r="51" spans="1:7" x14ac:dyDescent="0.25">
      <c r="A51" s="1">
        <v>10</v>
      </c>
      <c r="B51" s="85">
        <v>85250</v>
      </c>
      <c r="C51" s="1" t="s">
        <v>141</v>
      </c>
      <c r="D51" s="126">
        <v>1550000254952</v>
      </c>
      <c r="E51" s="1" t="s">
        <v>181</v>
      </c>
      <c r="F51" s="147">
        <v>11</v>
      </c>
      <c r="G51" s="1" t="s">
        <v>195</v>
      </c>
    </row>
    <row r="52" spans="1:7" x14ac:dyDescent="0.25">
      <c r="A52" s="1">
        <v>10</v>
      </c>
      <c r="B52" s="85">
        <v>53750</v>
      </c>
      <c r="C52" s="1" t="s">
        <v>26</v>
      </c>
      <c r="D52" s="126">
        <v>1590000132646</v>
      </c>
      <c r="E52" s="1" t="s">
        <v>181</v>
      </c>
      <c r="F52" s="147">
        <v>11</v>
      </c>
      <c r="G52" s="1" t="s">
        <v>195</v>
      </c>
    </row>
    <row r="53" spans="1:7" x14ac:dyDescent="0.25">
      <c r="A53" s="1">
        <v>10</v>
      </c>
      <c r="B53" s="85">
        <v>127926</v>
      </c>
      <c r="C53" s="1" t="s">
        <v>44</v>
      </c>
      <c r="D53" s="126">
        <v>1036722466312</v>
      </c>
      <c r="E53" s="1" t="s">
        <v>181</v>
      </c>
      <c r="F53" s="93" t="s">
        <v>202</v>
      </c>
      <c r="G53" s="1" t="s">
        <v>203</v>
      </c>
    </row>
    <row r="54" spans="1:7" x14ac:dyDescent="0.25">
      <c r="A54" s="1">
        <v>10</v>
      </c>
      <c r="B54" s="85">
        <v>231062</v>
      </c>
      <c r="C54" s="1" t="s">
        <v>42</v>
      </c>
      <c r="D54" s="126">
        <v>10891728</v>
      </c>
      <c r="E54" s="1" t="s">
        <v>181</v>
      </c>
      <c r="F54" s="147">
        <v>10</v>
      </c>
      <c r="G54" s="1" t="s">
        <v>187</v>
      </c>
    </row>
    <row r="55" spans="1:7" x14ac:dyDescent="0.25">
      <c r="A55" s="1">
        <v>10</v>
      </c>
      <c r="B55" s="85">
        <v>77187.5</v>
      </c>
      <c r="C55" s="1" t="s">
        <v>81</v>
      </c>
      <c r="D55" s="126">
        <v>13906718</v>
      </c>
      <c r="E55" s="1" t="s">
        <v>181</v>
      </c>
      <c r="F55" s="147">
        <v>10</v>
      </c>
      <c r="G55" s="1" t="s">
        <v>187</v>
      </c>
    </row>
    <row r="56" spans="1:7" x14ac:dyDescent="0.25">
      <c r="A56" s="1">
        <v>10</v>
      </c>
      <c r="B56" s="85">
        <v>82541.7</v>
      </c>
      <c r="C56" s="1" t="s">
        <v>70</v>
      </c>
      <c r="D56" s="126">
        <v>1007894925</v>
      </c>
      <c r="E56" s="1" t="s">
        <v>181</v>
      </c>
      <c r="F56" s="93" t="s">
        <v>182</v>
      </c>
      <c r="G56" s="1" t="s">
        <v>183</v>
      </c>
    </row>
    <row r="57" spans="1:7" x14ac:dyDescent="0.25">
      <c r="A57" s="1">
        <v>10</v>
      </c>
      <c r="B57" s="85">
        <v>100113</v>
      </c>
      <c r="C57" s="1" t="s">
        <v>77</v>
      </c>
      <c r="D57" s="126">
        <v>1007778496</v>
      </c>
      <c r="E57" s="1" t="s">
        <v>181</v>
      </c>
      <c r="F57" s="93" t="s">
        <v>182</v>
      </c>
      <c r="G57" s="1" t="s">
        <v>183</v>
      </c>
    </row>
    <row r="58" spans="1:7" x14ac:dyDescent="0.25">
      <c r="A58" s="1">
        <v>10</v>
      </c>
      <c r="B58" s="85">
        <v>67552.100000000006</v>
      </c>
      <c r="C58" s="1" t="s">
        <v>37</v>
      </c>
      <c r="D58" s="126">
        <v>17626299</v>
      </c>
      <c r="E58" s="1" t="s">
        <v>181</v>
      </c>
      <c r="F58" s="147">
        <v>10</v>
      </c>
      <c r="G58" s="1" t="s">
        <v>187</v>
      </c>
    </row>
    <row r="59" spans="1:7" x14ac:dyDescent="0.25">
      <c r="A59" s="1">
        <v>10</v>
      </c>
      <c r="B59" s="85">
        <v>105582</v>
      </c>
      <c r="C59" s="1" t="s">
        <v>211</v>
      </c>
      <c r="D59" s="126">
        <v>1001201251</v>
      </c>
      <c r="E59" s="1" t="s">
        <v>181</v>
      </c>
      <c r="F59" s="93" t="s">
        <v>182</v>
      </c>
      <c r="G59" s="1" t="s">
        <v>183</v>
      </c>
    </row>
    <row r="60" spans="1:7" x14ac:dyDescent="0.25">
      <c r="A60" s="1">
        <v>10</v>
      </c>
      <c r="B60" s="85">
        <v>75625</v>
      </c>
      <c r="C60" s="1" t="s">
        <v>51</v>
      </c>
      <c r="D60" s="126">
        <v>1590000109229</v>
      </c>
      <c r="E60" s="1" t="s">
        <v>181</v>
      </c>
      <c r="F60" s="147">
        <v>11</v>
      </c>
      <c r="G60" s="1" t="s">
        <v>195</v>
      </c>
    </row>
    <row r="61" spans="1:7" x14ac:dyDescent="0.25">
      <c r="A61" s="1">
        <v>10</v>
      </c>
      <c r="B61" s="85">
        <v>75250</v>
      </c>
      <c r="C61" s="1" t="s">
        <v>142</v>
      </c>
      <c r="D61" s="126">
        <v>1550000071335</v>
      </c>
      <c r="E61" s="1" t="s">
        <v>181</v>
      </c>
      <c r="F61" s="147">
        <v>11</v>
      </c>
      <c r="G61" s="1" t="s">
        <v>195</v>
      </c>
    </row>
    <row r="62" spans="1:7" x14ac:dyDescent="0.25">
      <c r="A62" s="1">
        <v>10</v>
      </c>
      <c r="B62" s="85">
        <v>69825</v>
      </c>
      <c r="C62" s="1" t="s">
        <v>212</v>
      </c>
      <c r="D62" s="126">
        <v>1036009776212</v>
      </c>
      <c r="E62" s="1" t="s">
        <v>181</v>
      </c>
      <c r="F62" s="93" t="s">
        <v>202</v>
      </c>
      <c r="G62" s="1" t="s">
        <v>203</v>
      </c>
    </row>
    <row r="63" spans="1:7" x14ac:dyDescent="0.25">
      <c r="A63" s="1">
        <v>10</v>
      </c>
      <c r="B63" s="85">
        <v>74453.100000000006</v>
      </c>
      <c r="C63" s="1" t="s">
        <v>58</v>
      </c>
      <c r="D63" s="126">
        <v>13503013833</v>
      </c>
      <c r="E63" s="1" t="s">
        <v>181</v>
      </c>
      <c r="F63" s="93" t="s">
        <v>202</v>
      </c>
      <c r="G63" s="1" t="s">
        <v>203</v>
      </c>
    </row>
    <row r="64" spans="1:7" x14ac:dyDescent="0.25">
      <c r="A64" s="1">
        <v>10</v>
      </c>
      <c r="B64" s="85">
        <v>89687.5</v>
      </c>
      <c r="C64" s="1" t="s">
        <v>134</v>
      </c>
      <c r="D64" s="126">
        <v>1040000531192</v>
      </c>
      <c r="E64" s="1" t="s">
        <v>181</v>
      </c>
      <c r="F64" s="147">
        <v>11</v>
      </c>
      <c r="G64" s="1" t="s">
        <v>195</v>
      </c>
    </row>
    <row r="65" spans="1:7" x14ac:dyDescent="0.25">
      <c r="A65" s="1">
        <v>10</v>
      </c>
      <c r="B65" s="85">
        <v>69635.399999999994</v>
      </c>
      <c r="C65" s="1" t="s">
        <v>28</v>
      </c>
      <c r="D65" s="126">
        <v>1590000179413</v>
      </c>
      <c r="E65" s="1" t="s">
        <v>181</v>
      </c>
      <c r="F65" s="147">
        <v>11</v>
      </c>
      <c r="G65" s="1" t="s">
        <v>195</v>
      </c>
    </row>
    <row r="66" spans="1:7" x14ac:dyDescent="0.25">
      <c r="A66" s="1">
        <v>10</v>
      </c>
      <c r="B66" s="85">
        <v>91375</v>
      </c>
      <c r="C66" s="1" t="s">
        <v>140</v>
      </c>
      <c r="D66" s="126">
        <v>1006374162</v>
      </c>
      <c r="E66" s="1" t="s">
        <v>181</v>
      </c>
      <c r="F66" s="93" t="s">
        <v>182</v>
      </c>
      <c r="G66" s="1" t="s">
        <v>183</v>
      </c>
    </row>
    <row r="67" spans="1:7" x14ac:dyDescent="0.25">
      <c r="A67" s="1">
        <v>10</v>
      </c>
      <c r="B67" s="85">
        <v>78750</v>
      </c>
      <c r="C67" s="1" t="s">
        <v>80</v>
      </c>
      <c r="D67" s="126">
        <v>1500000176091</v>
      </c>
      <c r="E67" s="1" t="s">
        <v>181</v>
      </c>
      <c r="F67" s="147">
        <v>11</v>
      </c>
      <c r="G67" s="1" t="s">
        <v>195</v>
      </c>
    </row>
    <row r="68" spans="1:7" x14ac:dyDescent="0.25">
      <c r="A68" s="1">
        <v>10</v>
      </c>
      <c r="B68" s="85">
        <v>86187.9</v>
      </c>
      <c r="C68" s="1" t="s">
        <v>27</v>
      </c>
      <c r="D68" s="126">
        <v>10984947</v>
      </c>
      <c r="E68" s="1" t="s">
        <v>181</v>
      </c>
      <c r="F68" s="147">
        <v>10</v>
      </c>
      <c r="G68" s="1" t="s">
        <v>187</v>
      </c>
    </row>
    <row r="69" spans="1:7" x14ac:dyDescent="0.25">
      <c r="A69" s="1">
        <v>10</v>
      </c>
      <c r="B69" s="85">
        <v>51015.6</v>
      </c>
      <c r="C69" s="1" t="s">
        <v>54</v>
      </c>
      <c r="D69" s="126">
        <v>1800000035928</v>
      </c>
      <c r="E69" s="1" t="s">
        <v>181</v>
      </c>
      <c r="F69" s="147">
        <v>11</v>
      </c>
      <c r="G69" s="1" t="s">
        <v>195</v>
      </c>
    </row>
    <row r="70" spans="1:7" x14ac:dyDescent="0.25">
      <c r="A70" s="1">
        <v>10</v>
      </c>
      <c r="B70" s="85">
        <v>51015.6</v>
      </c>
      <c r="C70" s="1" t="s">
        <v>52</v>
      </c>
      <c r="D70" s="126">
        <v>1590000153074</v>
      </c>
      <c r="E70" s="1" t="s">
        <v>181</v>
      </c>
      <c r="F70" s="147">
        <v>11</v>
      </c>
      <c r="G70" s="1" t="s">
        <v>195</v>
      </c>
    </row>
    <row r="71" spans="1:7" x14ac:dyDescent="0.25">
      <c r="A71" s="1">
        <v>10</v>
      </c>
      <c r="B71" s="85">
        <v>75250</v>
      </c>
      <c r="C71" s="1" t="s">
        <v>149</v>
      </c>
      <c r="D71" s="126">
        <v>1550000125141</v>
      </c>
      <c r="E71" s="1" t="s">
        <v>181</v>
      </c>
      <c r="F71" s="147">
        <v>11</v>
      </c>
      <c r="G71" s="1" t="s">
        <v>195</v>
      </c>
    </row>
    <row r="72" spans="1:7" x14ac:dyDescent="0.25">
      <c r="A72" s="1">
        <v>10</v>
      </c>
      <c r="B72" s="85">
        <v>62202.8</v>
      </c>
      <c r="C72" s="1" t="s">
        <v>29</v>
      </c>
      <c r="D72" s="126">
        <v>13809429</v>
      </c>
      <c r="E72" s="1" t="s">
        <v>181</v>
      </c>
      <c r="F72" s="147">
        <v>10</v>
      </c>
      <c r="G72" s="1" t="s">
        <v>187</v>
      </c>
    </row>
    <row r="73" spans="1:7" x14ac:dyDescent="0.25">
      <c r="A73" s="1">
        <v>10</v>
      </c>
      <c r="B73" s="85">
        <v>47500</v>
      </c>
      <c r="C73" s="1" t="s">
        <v>213</v>
      </c>
      <c r="D73" s="126">
        <v>20217804</v>
      </c>
      <c r="E73" s="1" t="s">
        <v>181</v>
      </c>
      <c r="F73" s="147">
        <v>10</v>
      </c>
      <c r="G73" s="1" t="s">
        <v>187</v>
      </c>
    </row>
    <row r="74" spans="1:7" x14ac:dyDescent="0.25">
      <c r="A74" s="1">
        <v>10</v>
      </c>
      <c r="B74" s="85">
        <v>47500</v>
      </c>
      <c r="C74" s="1" t="s">
        <v>214</v>
      </c>
      <c r="D74" s="126">
        <v>9100002719719</v>
      </c>
      <c r="E74" s="1" t="s">
        <v>181</v>
      </c>
      <c r="F74" s="93" t="s">
        <v>184</v>
      </c>
      <c r="G74" s="1" t="s">
        <v>185</v>
      </c>
    </row>
    <row r="75" spans="1:7" x14ac:dyDescent="0.25">
      <c r="A75" s="1">
        <v>10</v>
      </c>
      <c r="B75" s="85">
        <v>53750</v>
      </c>
      <c r="C75" s="1" t="s">
        <v>145</v>
      </c>
      <c r="D75" s="126">
        <v>1550000241648</v>
      </c>
      <c r="E75" s="1" t="s">
        <v>181</v>
      </c>
      <c r="F75" s="147">
        <v>11</v>
      </c>
      <c r="G75" s="1" t="s">
        <v>195</v>
      </c>
    </row>
    <row r="76" spans="1:7" x14ac:dyDescent="0.25">
      <c r="A76" s="1">
        <v>10</v>
      </c>
      <c r="B76" s="85">
        <v>47500</v>
      </c>
      <c r="C76" s="1" t="s">
        <v>215</v>
      </c>
      <c r="D76" s="126">
        <v>1590000167784</v>
      </c>
      <c r="E76" s="1" t="s">
        <v>181</v>
      </c>
      <c r="F76" s="147">
        <v>11</v>
      </c>
      <c r="G76" s="1" t="s">
        <v>195</v>
      </c>
    </row>
    <row r="77" spans="1:7" x14ac:dyDescent="0.25">
      <c r="A77" s="1">
        <v>10</v>
      </c>
      <c r="B77" s="85">
        <v>64837.5</v>
      </c>
      <c r="C77" s="1" t="s">
        <v>112</v>
      </c>
      <c r="D77" s="126">
        <v>1006147198</v>
      </c>
      <c r="E77" s="1" t="s">
        <v>181</v>
      </c>
      <c r="F77" s="93" t="s">
        <v>182</v>
      </c>
      <c r="G77" s="1" t="s">
        <v>183</v>
      </c>
    </row>
    <row r="78" spans="1:7" x14ac:dyDescent="0.25">
      <c r="A78" s="1">
        <v>10</v>
      </c>
      <c r="B78" s="85">
        <v>91250</v>
      </c>
      <c r="C78" s="1" t="s">
        <v>132</v>
      </c>
      <c r="D78" s="126">
        <v>1007645542</v>
      </c>
      <c r="E78" s="1" t="s">
        <v>181</v>
      </c>
      <c r="F78" s="93" t="s">
        <v>182</v>
      </c>
      <c r="G78" s="1" t="s">
        <v>183</v>
      </c>
    </row>
    <row r="79" spans="1:7" x14ac:dyDescent="0.25">
      <c r="A79" s="1">
        <v>10</v>
      </c>
      <c r="B79" s="85">
        <v>66500</v>
      </c>
      <c r="C79" s="1" t="s">
        <v>216</v>
      </c>
      <c r="D79" s="126">
        <v>1731599</v>
      </c>
      <c r="E79" s="1" t="s">
        <v>181</v>
      </c>
      <c r="F79" s="93" t="s">
        <v>182</v>
      </c>
      <c r="G79" s="1" t="s">
        <v>183</v>
      </c>
    </row>
    <row r="80" spans="1:7" x14ac:dyDescent="0.25">
      <c r="A80" s="1">
        <v>10</v>
      </c>
      <c r="B80" s="85">
        <v>61750</v>
      </c>
      <c r="C80" s="1" t="s">
        <v>217</v>
      </c>
      <c r="D80" s="126">
        <v>14196315</v>
      </c>
      <c r="E80" s="1" t="s">
        <v>181</v>
      </c>
      <c r="F80" s="147">
        <v>10</v>
      </c>
      <c r="G80" s="1" t="s">
        <v>187</v>
      </c>
    </row>
    <row r="81" spans="1:7" x14ac:dyDescent="0.25">
      <c r="A81" s="1">
        <v>10</v>
      </c>
      <c r="B81" s="85">
        <v>75625</v>
      </c>
      <c r="C81" s="1" t="s">
        <v>49</v>
      </c>
      <c r="D81" s="126">
        <v>20270063</v>
      </c>
      <c r="E81" s="1" t="s">
        <v>181</v>
      </c>
      <c r="F81" s="147">
        <v>10</v>
      </c>
      <c r="G81" s="1" t="s">
        <v>187</v>
      </c>
    </row>
    <row r="82" spans="1:7" x14ac:dyDescent="0.25">
      <c r="A82" s="1">
        <v>10</v>
      </c>
      <c r="B82" s="85">
        <v>79531.199999999997</v>
      </c>
      <c r="C82" s="1" t="s">
        <v>31</v>
      </c>
      <c r="D82" s="126">
        <v>1090000012826</v>
      </c>
      <c r="E82" s="1" t="s">
        <v>181</v>
      </c>
      <c r="F82" s="147">
        <v>11</v>
      </c>
      <c r="G82" s="1" t="s">
        <v>195</v>
      </c>
    </row>
    <row r="83" spans="1:7" x14ac:dyDescent="0.25">
      <c r="A83" s="1">
        <v>10</v>
      </c>
      <c r="B83" s="85">
        <v>82097.7</v>
      </c>
      <c r="C83" s="1" t="s">
        <v>32</v>
      </c>
      <c r="D83" s="126">
        <v>12563914</v>
      </c>
      <c r="E83" s="1" t="s">
        <v>181</v>
      </c>
      <c r="F83" s="147">
        <v>10</v>
      </c>
      <c r="G83" s="1" t="s">
        <v>187</v>
      </c>
    </row>
    <row r="84" spans="1:7" x14ac:dyDescent="0.25">
      <c r="A84" s="1">
        <v>10</v>
      </c>
      <c r="B84" s="85">
        <v>60911.5</v>
      </c>
      <c r="C84" s="1" t="s">
        <v>218</v>
      </c>
      <c r="D84" s="126">
        <v>1520000147262</v>
      </c>
      <c r="E84" s="1" t="s">
        <v>181</v>
      </c>
      <c r="F84" s="147">
        <v>11</v>
      </c>
      <c r="G84" s="1" t="s">
        <v>195</v>
      </c>
    </row>
    <row r="85" spans="1:7" x14ac:dyDescent="0.25">
      <c r="A85" s="1">
        <v>10</v>
      </c>
      <c r="B85" s="85">
        <v>47500</v>
      </c>
      <c r="C85" s="1" t="s">
        <v>62</v>
      </c>
      <c r="D85" s="126">
        <v>1070000098363</v>
      </c>
      <c r="E85" s="1" t="s">
        <v>181</v>
      </c>
      <c r="F85" s="147">
        <v>11</v>
      </c>
      <c r="G85" s="1" t="s">
        <v>195</v>
      </c>
    </row>
    <row r="86" spans="1:7" x14ac:dyDescent="0.25">
      <c r="A86" s="1">
        <v>10</v>
      </c>
      <c r="B86" s="85">
        <v>91375</v>
      </c>
      <c r="C86" s="1" t="s">
        <v>139</v>
      </c>
      <c r="D86" s="126">
        <v>1550000179608</v>
      </c>
      <c r="E86" s="1" t="s">
        <v>181</v>
      </c>
      <c r="F86" s="147">
        <v>11</v>
      </c>
      <c r="G86" s="1" t="s">
        <v>195</v>
      </c>
    </row>
    <row r="87" spans="1:7" x14ac:dyDescent="0.25">
      <c r="A87" s="1">
        <v>10</v>
      </c>
      <c r="B87" s="85">
        <v>49875</v>
      </c>
      <c r="C87" s="1" t="s">
        <v>219</v>
      </c>
      <c r="D87" s="126">
        <v>1470000376388</v>
      </c>
      <c r="E87" s="1" t="s">
        <v>181</v>
      </c>
      <c r="F87" s="147">
        <v>11</v>
      </c>
      <c r="G87" s="1" t="s">
        <v>195</v>
      </c>
    </row>
    <row r="88" spans="1:7" x14ac:dyDescent="0.25">
      <c r="A88" s="1">
        <v>10</v>
      </c>
      <c r="B88" s="85">
        <v>47500</v>
      </c>
      <c r="C88" s="1" t="s">
        <v>220</v>
      </c>
      <c r="D88" s="126">
        <v>12940386</v>
      </c>
      <c r="E88" s="1" t="s">
        <v>181</v>
      </c>
      <c r="F88" s="147">
        <v>10</v>
      </c>
      <c r="G88" s="1" t="s">
        <v>187</v>
      </c>
    </row>
    <row r="89" spans="1:7" x14ac:dyDescent="0.25">
      <c r="A89" s="1">
        <v>10</v>
      </c>
      <c r="B89" s="85">
        <v>101891</v>
      </c>
      <c r="C89" s="1" t="s">
        <v>71</v>
      </c>
      <c r="D89" s="126">
        <v>1005730925</v>
      </c>
      <c r="E89" s="1" t="s">
        <v>181</v>
      </c>
      <c r="F89" s="93" t="s">
        <v>182</v>
      </c>
      <c r="G89" s="1" t="s">
        <v>183</v>
      </c>
    </row>
    <row r="90" spans="1:7" x14ac:dyDescent="0.25">
      <c r="A90" s="1">
        <v>10</v>
      </c>
      <c r="B90" s="85">
        <v>53750</v>
      </c>
      <c r="C90" s="1" t="s">
        <v>169</v>
      </c>
      <c r="D90" s="126">
        <v>1550000220187</v>
      </c>
      <c r="E90" s="1" t="s">
        <v>181</v>
      </c>
      <c r="F90" s="147">
        <v>11</v>
      </c>
      <c r="G90" s="1" t="s">
        <v>195</v>
      </c>
    </row>
    <row r="91" spans="1:7" x14ac:dyDescent="0.25">
      <c r="A91" s="1">
        <v>10</v>
      </c>
      <c r="B91" s="85">
        <v>52338.8</v>
      </c>
      <c r="C91" s="1" t="s">
        <v>63</v>
      </c>
      <c r="D91" s="126">
        <v>28503019240</v>
      </c>
      <c r="E91" s="1" t="s">
        <v>181</v>
      </c>
      <c r="F91" s="93" t="s">
        <v>202</v>
      </c>
      <c r="G91" s="1" t="s">
        <v>203</v>
      </c>
    </row>
    <row r="92" spans="1:7" x14ac:dyDescent="0.25">
      <c r="A92" s="1">
        <v>10</v>
      </c>
      <c r="B92" s="85">
        <v>68072.899999999994</v>
      </c>
      <c r="C92" s="1" t="s">
        <v>108</v>
      </c>
      <c r="D92" s="126">
        <v>10703212</v>
      </c>
      <c r="E92" s="1" t="s">
        <v>181</v>
      </c>
      <c r="F92" s="147">
        <v>10</v>
      </c>
      <c r="G92" s="1" t="s">
        <v>187</v>
      </c>
    </row>
    <row r="93" spans="1:7" x14ac:dyDescent="0.25">
      <c r="A93" s="1">
        <v>10</v>
      </c>
      <c r="B93" s="85">
        <v>52250</v>
      </c>
      <c r="C93" s="1" t="s">
        <v>221</v>
      </c>
      <c r="D93" s="126">
        <v>12604173</v>
      </c>
      <c r="E93" s="1" t="s">
        <v>181</v>
      </c>
      <c r="F93" s="147">
        <v>10</v>
      </c>
      <c r="G93" s="1" t="s">
        <v>187</v>
      </c>
    </row>
    <row r="94" spans="1:7" x14ac:dyDescent="0.25">
      <c r="A94" s="1">
        <v>10</v>
      </c>
      <c r="B94" s="85">
        <v>167000</v>
      </c>
      <c r="C94" s="1" t="s">
        <v>222</v>
      </c>
      <c r="D94" s="126">
        <v>1776638</v>
      </c>
      <c r="E94" s="1" t="s">
        <v>181</v>
      </c>
      <c r="F94" s="93" t="s">
        <v>182</v>
      </c>
      <c r="G94" s="1" t="s">
        <v>183</v>
      </c>
    </row>
    <row r="95" spans="1:7" x14ac:dyDescent="0.25">
      <c r="A95" s="1">
        <v>10</v>
      </c>
      <c r="B95" s="85">
        <v>101344</v>
      </c>
      <c r="C95" s="1" t="s">
        <v>75</v>
      </c>
      <c r="D95" s="126">
        <v>1007791247</v>
      </c>
      <c r="E95" s="1" t="s">
        <v>181</v>
      </c>
      <c r="F95" s="93" t="s">
        <v>182</v>
      </c>
      <c r="G95" s="1" t="s">
        <v>183</v>
      </c>
    </row>
    <row r="96" spans="1:7" x14ac:dyDescent="0.25">
      <c r="A96" s="1">
        <v>10</v>
      </c>
      <c r="B96" s="85">
        <v>47500</v>
      </c>
      <c r="C96" s="1" t="s">
        <v>50</v>
      </c>
      <c r="D96" s="126">
        <v>9100003238196</v>
      </c>
      <c r="E96" s="1" t="s">
        <v>181</v>
      </c>
      <c r="F96" s="93" t="s">
        <v>184</v>
      </c>
      <c r="G96" s="1" t="s">
        <v>185</v>
      </c>
    </row>
    <row r="97" spans="1:7" x14ac:dyDescent="0.25">
      <c r="A97" s="1">
        <v>10</v>
      </c>
      <c r="B97" s="85">
        <v>74418.8</v>
      </c>
      <c r="C97" s="1" t="s">
        <v>223</v>
      </c>
      <c r="D97" s="126">
        <v>10531462</v>
      </c>
      <c r="E97" s="1" t="s">
        <v>181</v>
      </c>
      <c r="F97" s="147">
        <v>10</v>
      </c>
      <c r="G97" s="1" t="s">
        <v>187</v>
      </c>
    </row>
    <row r="98" spans="1:7" x14ac:dyDescent="0.25">
      <c r="A98" s="1">
        <v>10</v>
      </c>
      <c r="B98" s="1">
        <v>46354.17</v>
      </c>
      <c r="C98" s="1" t="s">
        <v>224</v>
      </c>
      <c r="D98" s="126">
        <v>1590000168535</v>
      </c>
      <c r="E98" s="1" t="s">
        <v>181</v>
      </c>
      <c r="F98" s="147">
        <v>11</v>
      </c>
      <c r="G98" s="1" t="s">
        <v>195</v>
      </c>
    </row>
    <row r="99" spans="1:7" x14ac:dyDescent="0.25">
      <c r="A99" s="1">
        <v>10</v>
      </c>
      <c r="B99" s="85">
        <v>64687.5</v>
      </c>
      <c r="C99" s="1" t="s">
        <v>225</v>
      </c>
      <c r="D99" s="126">
        <v>1070000436226</v>
      </c>
      <c r="E99" s="1" t="s">
        <v>181</v>
      </c>
      <c r="F99" s="147">
        <v>11</v>
      </c>
      <c r="G99" s="1" t="s">
        <v>195</v>
      </c>
    </row>
    <row r="100" spans="1:7" x14ac:dyDescent="0.25">
      <c r="B100" s="85"/>
      <c r="D100" s="126"/>
    </row>
    <row r="101" spans="1:7" x14ac:dyDescent="0.25">
      <c r="D101" s="126"/>
    </row>
    <row r="102" spans="1:7" x14ac:dyDescent="0.25">
      <c r="D102" s="126"/>
    </row>
    <row r="103" spans="1:7" x14ac:dyDescent="0.25">
      <c r="D103" s="126"/>
    </row>
    <row r="104" spans="1:7" x14ac:dyDescent="0.25">
      <c r="D104" s="126"/>
    </row>
    <row r="105" spans="1:7" x14ac:dyDescent="0.25">
      <c r="D105" s="1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7" sqref="B7"/>
    </sheetView>
  </sheetViews>
  <sheetFormatPr defaultRowHeight="15" x14ac:dyDescent="0.25"/>
  <cols>
    <col min="2" max="2" width="14.42578125" customWidth="1"/>
    <col min="3" max="3" width="17.42578125" bestFit="1" customWidth="1"/>
    <col min="4" max="4" width="14.140625" bestFit="1" customWidth="1"/>
    <col min="5" max="5" width="38.5703125" customWidth="1"/>
    <col min="6" max="6" width="20.42578125" style="148" customWidth="1"/>
  </cols>
  <sheetData>
    <row r="1" spans="1:8" x14ac:dyDescent="0.25">
      <c r="A1" s="1">
        <v>12</v>
      </c>
      <c r="B1" s="1" t="s">
        <v>104</v>
      </c>
      <c r="C1" s="1"/>
      <c r="D1" s="1"/>
      <c r="E1" s="1"/>
      <c r="F1" s="147"/>
      <c r="G1" s="1"/>
      <c r="H1" s="1"/>
    </row>
    <row r="2" spans="1:8" x14ac:dyDescent="0.25">
      <c r="A2" s="1" t="s">
        <v>170</v>
      </c>
      <c r="B2" s="1" t="s">
        <v>171</v>
      </c>
      <c r="C2" s="1" t="s">
        <v>172</v>
      </c>
      <c r="D2" s="1" t="s">
        <v>173</v>
      </c>
      <c r="E2" s="1"/>
      <c r="F2" s="147"/>
      <c r="G2" s="1"/>
      <c r="H2" s="1"/>
    </row>
    <row r="3" spans="1:8" x14ac:dyDescent="0.25">
      <c r="A3" s="1">
        <v>1</v>
      </c>
      <c r="B3" s="1">
        <v>20220125</v>
      </c>
      <c r="C3" s="1" t="s">
        <v>174</v>
      </c>
      <c r="D3" s="1">
        <v>955728</v>
      </c>
      <c r="E3" s="1"/>
      <c r="F3" s="147"/>
      <c r="G3" s="1"/>
      <c r="H3" s="1"/>
    </row>
    <row r="4" spans="1:8" x14ac:dyDescent="0.25">
      <c r="A4" s="1" t="s">
        <v>170</v>
      </c>
      <c r="B4" s="1" t="s">
        <v>175</v>
      </c>
      <c r="C4" s="1"/>
      <c r="D4" s="1"/>
      <c r="E4" s="1"/>
      <c r="F4" s="147"/>
      <c r="G4" s="1"/>
      <c r="H4" s="1"/>
    </row>
    <row r="5" spans="1:8" x14ac:dyDescent="0.25">
      <c r="A5" s="1">
        <v>11</v>
      </c>
      <c r="B5" s="1"/>
      <c r="C5" s="1"/>
      <c r="D5" s="1"/>
      <c r="E5" s="1"/>
      <c r="F5" s="147"/>
      <c r="G5" s="1"/>
      <c r="H5" s="1"/>
    </row>
    <row r="6" spans="1:8" x14ac:dyDescent="0.25">
      <c r="A6" s="1" t="s">
        <v>170</v>
      </c>
      <c r="B6" s="1" t="s">
        <v>7</v>
      </c>
      <c r="C6" s="1" t="s">
        <v>176</v>
      </c>
      <c r="D6" s="1" t="s">
        <v>177</v>
      </c>
      <c r="E6" s="1" t="s">
        <v>178</v>
      </c>
      <c r="F6" s="147" t="s">
        <v>179</v>
      </c>
      <c r="G6" s="1" t="s">
        <v>180</v>
      </c>
      <c r="H6" s="1"/>
    </row>
    <row r="7" spans="1:8" s="1" customFormat="1" x14ac:dyDescent="0.25">
      <c r="A7" s="1">
        <v>10</v>
      </c>
      <c r="B7" s="149">
        <v>903277.79343749979</v>
      </c>
      <c r="C7" s="1" t="s">
        <v>226</v>
      </c>
      <c r="D7">
        <v>1007335648</v>
      </c>
      <c r="E7" s="1" t="s">
        <v>227</v>
      </c>
      <c r="F7" s="93" t="s">
        <v>182</v>
      </c>
      <c r="G7" s="1" t="s">
        <v>183</v>
      </c>
    </row>
    <row r="8" spans="1:8" s="1" customFormat="1" x14ac:dyDescent="0.25">
      <c r="A8" s="1">
        <v>10</v>
      </c>
      <c r="B8" s="150">
        <v>108120.6</v>
      </c>
      <c r="C8" s="1" t="s">
        <v>228</v>
      </c>
      <c r="D8">
        <v>1007335845</v>
      </c>
      <c r="E8" s="1" t="s">
        <v>227</v>
      </c>
      <c r="F8" s="93" t="s">
        <v>182</v>
      </c>
      <c r="G8" s="1" t="s">
        <v>183</v>
      </c>
    </row>
    <row r="9" spans="1:8" x14ac:dyDescent="0.25">
      <c r="A9" s="1"/>
      <c r="B9" s="151"/>
      <c r="E9" s="1"/>
    </row>
    <row r="10" spans="1:8" x14ac:dyDescent="0.25">
      <c r="A10" s="1"/>
      <c r="B10" s="151"/>
      <c r="E10" s="1"/>
    </row>
    <row r="11" spans="1:8" x14ac:dyDescent="0.25">
      <c r="A11" s="1"/>
      <c r="B11" s="151"/>
      <c r="E11" s="1"/>
      <c r="F11" s="152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7" sqref="C7"/>
    </sheetView>
  </sheetViews>
  <sheetFormatPr defaultRowHeight="15" x14ac:dyDescent="0.25"/>
  <sheetData>
    <row r="1" spans="1:8" x14ac:dyDescent="0.25">
      <c r="A1" s="1">
        <v>12</v>
      </c>
      <c r="B1" s="1" t="s">
        <v>104</v>
      </c>
      <c r="C1" s="1"/>
      <c r="D1" s="1"/>
      <c r="E1" s="1"/>
      <c r="F1" s="147"/>
      <c r="G1" s="1"/>
      <c r="H1" s="1"/>
    </row>
    <row r="2" spans="1:8" x14ac:dyDescent="0.25">
      <c r="A2" s="1" t="s">
        <v>170</v>
      </c>
      <c r="B2" s="1" t="s">
        <v>171</v>
      </c>
      <c r="C2" s="1" t="s">
        <v>172</v>
      </c>
      <c r="D2" s="1" t="s">
        <v>173</v>
      </c>
      <c r="E2" s="1"/>
      <c r="F2" s="147"/>
      <c r="G2" s="1"/>
      <c r="H2" s="1"/>
    </row>
    <row r="3" spans="1:8" x14ac:dyDescent="0.25">
      <c r="A3" s="1">
        <v>1</v>
      </c>
      <c r="B3" s="1">
        <v>20220125</v>
      </c>
      <c r="C3" s="1" t="s">
        <v>174</v>
      </c>
      <c r="D3" s="1">
        <v>955728</v>
      </c>
      <c r="E3" s="1"/>
      <c r="F3" s="147"/>
      <c r="G3" s="1"/>
      <c r="H3" s="1"/>
    </row>
    <row r="4" spans="1:8" x14ac:dyDescent="0.25">
      <c r="A4" s="1" t="s">
        <v>170</v>
      </c>
      <c r="B4" s="1" t="s">
        <v>175</v>
      </c>
      <c r="C4" s="1">
        <v>7508861.0999999996</v>
      </c>
      <c r="D4" s="1"/>
      <c r="E4" s="1"/>
      <c r="F4" s="147"/>
      <c r="G4" s="1"/>
      <c r="H4" s="1"/>
    </row>
    <row r="5" spans="1:8" x14ac:dyDescent="0.25">
      <c r="A5" s="1">
        <v>11</v>
      </c>
      <c r="B5" s="1"/>
      <c r="C5" s="1"/>
      <c r="D5" s="1"/>
      <c r="E5" s="1"/>
      <c r="F5" s="147"/>
      <c r="G5" s="1"/>
      <c r="H5" s="1"/>
    </row>
    <row r="6" spans="1:8" x14ac:dyDescent="0.25">
      <c r="A6" s="1" t="s">
        <v>170</v>
      </c>
      <c r="B6" s="1" t="s">
        <v>7</v>
      </c>
      <c r="C6" s="1" t="s">
        <v>176</v>
      </c>
      <c r="D6" s="1" t="s">
        <v>177</v>
      </c>
      <c r="E6" s="1" t="s">
        <v>178</v>
      </c>
      <c r="F6" s="147" t="s">
        <v>179</v>
      </c>
      <c r="G6" s="1" t="s">
        <v>180</v>
      </c>
      <c r="H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B1" zoomScaleNormal="100" workbookViewId="0">
      <selection activeCell="B6" sqref="B6:N11"/>
    </sheetView>
  </sheetViews>
  <sheetFormatPr defaultRowHeight="15" x14ac:dyDescent="0.25"/>
  <cols>
    <col min="1" max="1" width="9.140625" style="1"/>
    <col min="2" max="2" width="26.42578125" style="1" customWidth="1"/>
    <col min="3" max="3" width="16.28515625" style="47" customWidth="1"/>
    <col min="4" max="4" width="14.7109375" style="11" customWidth="1"/>
    <col min="5" max="5" width="14.5703125" style="11" customWidth="1"/>
    <col min="6" max="6" width="13.140625" style="1" customWidth="1"/>
    <col min="7" max="7" width="13.28515625" style="1" customWidth="1"/>
    <col min="8" max="8" width="13" style="1" customWidth="1"/>
    <col min="9" max="9" width="12.140625" style="1" customWidth="1"/>
    <col min="10" max="10" width="13.42578125" style="1" customWidth="1"/>
    <col min="11" max="12" width="11" style="1" customWidth="1"/>
    <col min="13" max="13" width="14.85546875" style="1" customWidth="1"/>
    <col min="14" max="14" width="22.140625" style="1" customWidth="1"/>
    <col min="15" max="15" width="14.28515625" style="1" customWidth="1"/>
    <col min="16" max="16" width="11.42578125" style="1" customWidth="1"/>
    <col min="17" max="17" width="18.5703125" style="126" customWidth="1"/>
    <col min="18" max="18" width="12.140625" style="1" customWidth="1"/>
    <col min="19" max="260" width="9.140625" style="1"/>
    <col min="261" max="261" width="27.140625" style="1" bestFit="1" customWidth="1"/>
    <col min="262" max="262" width="11.7109375" style="1" bestFit="1" customWidth="1"/>
    <col min="263" max="263" width="10" style="1" customWidth="1"/>
    <col min="264" max="264" width="10.5703125" style="1" bestFit="1" customWidth="1"/>
    <col min="265" max="265" width="10.5703125" style="1" customWidth="1"/>
    <col min="266" max="266" width="9.140625" style="1"/>
    <col min="267" max="267" width="10.7109375" style="1" customWidth="1"/>
    <col min="268" max="268" width="11.7109375" style="1" customWidth="1"/>
    <col min="269" max="269" width="13.28515625" style="1" customWidth="1"/>
    <col min="270" max="516" width="9.140625" style="1"/>
    <col min="517" max="517" width="27.140625" style="1" bestFit="1" customWidth="1"/>
    <col min="518" max="518" width="11.7109375" style="1" bestFit="1" customWidth="1"/>
    <col min="519" max="519" width="10" style="1" customWidth="1"/>
    <col min="520" max="520" width="10.5703125" style="1" bestFit="1" customWidth="1"/>
    <col min="521" max="521" width="10.5703125" style="1" customWidth="1"/>
    <col min="522" max="522" width="9.140625" style="1"/>
    <col min="523" max="523" width="10.7109375" style="1" customWidth="1"/>
    <col min="524" max="524" width="11.7109375" style="1" customWidth="1"/>
    <col min="525" max="525" width="13.28515625" style="1" customWidth="1"/>
    <col min="526" max="772" width="9.140625" style="1"/>
    <col min="773" max="773" width="27.140625" style="1" bestFit="1" customWidth="1"/>
    <col min="774" max="774" width="11.7109375" style="1" bestFit="1" customWidth="1"/>
    <col min="775" max="775" width="10" style="1" customWidth="1"/>
    <col min="776" max="776" width="10.5703125" style="1" bestFit="1" customWidth="1"/>
    <col min="777" max="777" width="10.5703125" style="1" customWidth="1"/>
    <col min="778" max="778" width="9.140625" style="1"/>
    <col min="779" max="779" width="10.7109375" style="1" customWidth="1"/>
    <col min="780" max="780" width="11.7109375" style="1" customWidth="1"/>
    <col min="781" max="781" width="13.28515625" style="1" customWidth="1"/>
    <col min="782" max="1028" width="9.140625" style="1"/>
    <col min="1029" max="1029" width="27.140625" style="1" bestFit="1" customWidth="1"/>
    <col min="1030" max="1030" width="11.7109375" style="1" bestFit="1" customWidth="1"/>
    <col min="1031" max="1031" width="10" style="1" customWidth="1"/>
    <col min="1032" max="1032" width="10.5703125" style="1" bestFit="1" customWidth="1"/>
    <col min="1033" max="1033" width="10.5703125" style="1" customWidth="1"/>
    <col min="1034" max="1034" width="9.140625" style="1"/>
    <col min="1035" max="1035" width="10.7109375" style="1" customWidth="1"/>
    <col min="1036" max="1036" width="11.7109375" style="1" customWidth="1"/>
    <col min="1037" max="1037" width="13.28515625" style="1" customWidth="1"/>
    <col min="1038" max="1284" width="9.140625" style="1"/>
    <col min="1285" max="1285" width="27.140625" style="1" bestFit="1" customWidth="1"/>
    <col min="1286" max="1286" width="11.7109375" style="1" bestFit="1" customWidth="1"/>
    <col min="1287" max="1287" width="10" style="1" customWidth="1"/>
    <col min="1288" max="1288" width="10.5703125" style="1" bestFit="1" customWidth="1"/>
    <col min="1289" max="1289" width="10.5703125" style="1" customWidth="1"/>
    <col min="1290" max="1290" width="9.140625" style="1"/>
    <col min="1291" max="1291" width="10.7109375" style="1" customWidth="1"/>
    <col min="1292" max="1292" width="11.7109375" style="1" customWidth="1"/>
    <col min="1293" max="1293" width="13.28515625" style="1" customWidth="1"/>
    <col min="1294" max="1540" width="9.140625" style="1"/>
    <col min="1541" max="1541" width="27.140625" style="1" bestFit="1" customWidth="1"/>
    <col min="1542" max="1542" width="11.7109375" style="1" bestFit="1" customWidth="1"/>
    <col min="1543" max="1543" width="10" style="1" customWidth="1"/>
    <col min="1544" max="1544" width="10.5703125" style="1" bestFit="1" customWidth="1"/>
    <col min="1545" max="1545" width="10.5703125" style="1" customWidth="1"/>
    <col min="1546" max="1546" width="9.140625" style="1"/>
    <col min="1547" max="1547" width="10.7109375" style="1" customWidth="1"/>
    <col min="1548" max="1548" width="11.7109375" style="1" customWidth="1"/>
    <col min="1549" max="1549" width="13.28515625" style="1" customWidth="1"/>
    <col min="1550" max="1796" width="9.140625" style="1"/>
    <col min="1797" max="1797" width="27.140625" style="1" bestFit="1" customWidth="1"/>
    <col min="1798" max="1798" width="11.7109375" style="1" bestFit="1" customWidth="1"/>
    <col min="1799" max="1799" width="10" style="1" customWidth="1"/>
    <col min="1800" max="1800" width="10.5703125" style="1" bestFit="1" customWidth="1"/>
    <col min="1801" max="1801" width="10.5703125" style="1" customWidth="1"/>
    <col min="1802" max="1802" width="9.140625" style="1"/>
    <col min="1803" max="1803" width="10.7109375" style="1" customWidth="1"/>
    <col min="1804" max="1804" width="11.7109375" style="1" customWidth="1"/>
    <col min="1805" max="1805" width="13.28515625" style="1" customWidth="1"/>
    <col min="1806" max="2052" width="9.140625" style="1"/>
    <col min="2053" max="2053" width="27.140625" style="1" bestFit="1" customWidth="1"/>
    <col min="2054" max="2054" width="11.7109375" style="1" bestFit="1" customWidth="1"/>
    <col min="2055" max="2055" width="10" style="1" customWidth="1"/>
    <col min="2056" max="2056" width="10.5703125" style="1" bestFit="1" customWidth="1"/>
    <col min="2057" max="2057" width="10.5703125" style="1" customWidth="1"/>
    <col min="2058" max="2058" width="9.140625" style="1"/>
    <col min="2059" max="2059" width="10.7109375" style="1" customWidth="1"/>
    <col min="2060" max="2060" width="11.7109375" style="1" customWidth="1"/>
    <col min="2061" max="2061" width="13.28515625" style="1" customWidth="1"/>
    <col min="2062" max="2308" width="9.140625" style="1"/>
    <col min="2309" max="2309" width="27.140625" style="1" bestFit="1" customWidth="1"/>
    <col min="2310" max="2310" width="11.7109375" style="1" bestFit="1" customWidth="1"/>
    <col min="2311" max="2311" width="10" style="1" customWidth="1"/>
    <col min="2312" max="2312" width="10.5703125" style="1" bestFit="1" customWidth="1"/>
    <col min="2313" max="2313" width="10.5703125" style="1" customWidth="1"/>
    <col min="2314" max="2314" width="9.140625" style="1"/>
    <col min="2315" max="2315" width="10.7109375" style="1" customWidth="1"/>
    <col min="2316" max="2316" width="11.7109375" style="1" customWidth="1"/>
    <col min="2317" max="2317" width="13.28515625" style="1" customWidth="1"/>
    <col min="2318" max="2564" width="9.140625" style="1"/>
    <col min="2565" max="2565" width="27.140625" style="1" bestFit="1" customWidth="1"/>
    <col min="2566" max="2566" width="11.7109375" style="1" bestFit="1" customWidth="1"/>
    <col min="2567" max="2567" width="10" style="1" customWidth="1"/>
    <col min="2568" max="2568" width="10.5703125" style="1" bestFit="1" customWidth="1"/>
    <col min="2569" max="2569" width="10.5703125" style="1" customWidth="1"/>
    <col min="2570" max="2570" width="9.140625" style="1"/>
    <col min="2571" max="2571" width="10.7109375" style="1" customWidth="1"/>
    <col min="2572" max="2572" width="11.7109375" style="1" customWidth="1"/>
    <col min="2573" max="2573" width="13.28515625" style="1" customWidth="1"/>
    <col min="2574" max="2820" width="9.140625" style="1"/>
    <col min="2821" max="2821" width="27.140625" style="1" bestFit="1" customWidth="1"/>
    <col min="2822" max="2822" width="11.7109375" style="1" bestFit="1" customWidth="1"/>
    <col min="2823" max="2823" width="10" style="1" customWidth="1"/>
    <col min="2824" max="2824" width="10.5703125" style="1" bestFit="1" customWidth="1"/>
    <col min="2825" max="2825" width="10.5703125" style="1" customWidth="1"/>
    <col min="2826" max="2826" width="9.140625" style="1"/>
    <col min="2827" max="2827" width="10.7109375" style="1" customWidth="1"/>
    <col min="2828" max="2828" width="11.7109375" style="1" customWidth="1"/>
    <col min="2829" max="2829" width="13.28515625" style="1" customWidth="1"/>
    <col min="2830" max="3076" width="9.140625" style="1"/>
    <col min="3077" max="3077" width="27.140625" style="1" bestFit="1" customWidth="1"/>
    <col min="3078" max="3078" width="11.7109375" style="1" bestFit="1" customWidth="1"/>
    <col min="3079" max="3079" width="10" style="1" customWidth="1"/>
    <col min="3080" max="3080" width="10.5703125" style="1" bestFit="1" customWidth="1"/>
    <col min="3081" max="3081" width="10.5703125" style="1" customWidth="1"/>
    <col min="3082" max="3082" width="9.140625" style="1"/>
    <col min="3083" max="3083" width="10.7109375" style="1" customWidth="1"/>
    <col min="3084" max="3084" width="11.7109375" style="1" customWidth="1"/>
    <col min="3085" max="3085" width="13.28515625" style="1" customWidth="1"/>
    <col min="3086" max="3332" width="9.140625" style="1"/>
    <col min="3333" max="3333" width="27.140625" style="1" bestFit="1" customWidth="1"/>
    <col min="3334" max="3334" width="11.7109375" style="1" bestFit="1" customWidth="1"/>
    <col min="3335" max="3335" width="10" style="1" customWidth="1"/>
    <col min="3336" max="3336" width="10.5703125" style="1" bestFit="1" customWidth="1"/>
    <col min="3337" max="3337" width="10.5703125" style="1" customWidth="1"/>
    <col min="3338" max="3338" width="9.140625" style="1"/>
    <col min="3339" max="3339" width="10.7109375" style="1" customWidth="1"/>
    <col min="3340" max="3340" width="11.7109375" style="1" customWidth="1"/>
    <col min="3341" max="3341" width="13.28515625" style="1" customWidth="1"/>
    <col min="3342" max="3588" width="9.140625" style="1"/>
    <col min="3589" max="3589" width="27.140625" style="1" bestFit="1" customWidth="1"/>
    <col min="3590" max="3590" width="11.7109375" style="1" bestFit="1" customWidth="1"/>
    <col min="3591" max="3591" width="10" style="1" customWidth="1"/>
    <col min="3592" max="3592" width="10.5703125" style="1" bestFit="1" customWidth="1"/>
    <col min="3593" max="3593" width="10.5703125" style="1" customWidth="1"/>
    <col min="3594" max="3594" width="9.140625" style="1"/>
    <col min="3595" max="3595" width="10.7109375" style="1" customWidth="1"/>
    <col min="3596" max="3596" width="11.7109375" style="1" customWidth="1"/>
    <col min="3597" max="3597" width="13.28515625" style="1" customWidth="1"/>
    <col min="3598" max="3844" width="9.140625" style="1"/>
    <col min="3845" max="3845" width="27.140625" style="1" bestFit="1" customWidth="1"/>
    <col min="3846" max="3846" width="11.7109375" style="1" bestFit="1" customWidth="1"/>
    <col min="3847" max="3847" width="10" style="1" customWidth="1"/>
    <col min="3848" max="3848" width="10.5703125" style="1" bestFit="1" customWidth="1"/>
    <col min="3849" max="3849" width="10.5703125" style="1" customWidth="1"/>
    <col min="3850" max="3850" width="9.140625" style="1"/>
    <col min="3851" max="3851" width="10.7109375" style="1" customWidth="1"/>
    <col min="3852" max="3852" width="11.7109375" style="1" customWidth="1"/>
    <col min="3853" max="3853" width="13.28515625" style="1" customWidth="1"/>
    <col min="3854" max="4100" width="9.140625" style="1"/>
    <col min="4101" max="4101" width="27.140625" style="1" bestFit="1" customWidth="1"/>
    <col min="4102" max="4102" width="11.7109375" style="1" bestFit="1" customWidth="1"/>
    <col min="4103" max="4103" width="10" style="1" customWidth="1"/>
    <col min="4104" max="4104" width="10.5703125" style="1" bestFit="1" customWidth="1"/>
    <col min="4105" max="4105" width="10.5703125" style="1" customWidth="1"/>
    <col min="4106" max="4106" width="9.140625" style="1"/>
    <col min="4107" max="4107" width="10.7109375" style="1" customWidth="1"/>
    <col min="4108" max="4108" width="11.7109375" style="1" customWidth="1"/>
    <col min="4109" max="4109" width="13.28515625" style="1" customWidth="1"/>
    <col min="4110" max="4356" width="9.140625" style="1"/>
    <col min="4357" max="4357" width="27.140625" style="1" bestFit="1" customWidth="1"/>
    <col min="4358" max="4358" width="11.7109375" style="1" bestFit="1" customWidth="1"/>
    <col min="4359" max="4359" width="10" style="1" customWidth="1"/>
    <col min="4360" max="4360" width="10.5703125" style="1" bestFit="1" customWidth="1"/>
    <col min="4361" max="4361" width="10.5703125" style="1" customWidth="1"/>
    <col min="4362" max="4362" width="9.140625" style="1"/>
    <col min="4363" max="4363" width="10.7109375" style="1" customWidth="1"/>
    <col min="4364" max="4364" width="11.7109375" style="1" customWidth="1"/>
    <col min="4365" max="4365" width="13.28515625" style="1" customWidth="1"/>
    <col min="4366" max="4612" width="9.140625" style="1"/>
    <col min="4613" max="4613" width="27.140625" style="1" bestFit="1" customWidth="1"/>
    <col min="4614" max="4614" width="11.7109375" style="1" bestFit="1" customWidth="1"/>
    <col min="4615" max="4615" width="10" style="1" customWidth="1"/>
    <col min="4616" max="4616" width="10.5703125" style="1" bestFit="1" customWidth="1"/>
    <col min="4617" max="4617" width="10.5703125" style="1" customWidth="1"/>
    <col min="4618" max="4618" width="9.140625" style="1"/>
    <col min="4619" max="4619" width="10.7109375" style="1" customWidth="1"/>
    <col min="4620" max="4620" width="11.7109375" style="1" customWidth="1"/>
    <col min="4621" max="4621" width="13.28515625" style="1" customWidth="1"/>
    <col min="4622" max="4868" width="9.140625" style="1"/>
    <col min="4869" max="4869" width="27.140625" style="1" bestFit="1" customWidth="1"/>
    <col min="4870" max="4870" width="11.7109375" style="1" bestFit="1" customWidth="1"/>
    <col min="4871" max="4871" width="10" style="1" customWidth="1"/>
    <col min="4872" max="4872" width="10.5703125" style="1" bestFit="1" customWidth="1"/>
    <col min="4873" max="4873" width="10.5703125" style="1" customWidth="1"/>
    <col min="4874" max="4874" width="9.140625" style="1"/>
    <col min="4875" max="4875" width="10.7109375" style="1" customWidth="1"/>
    <col min="4876" max="4876" width="11.7109375" style="1" customWidth="1"/>
    <col min="4877" max="4877" width="13.28515625" style="1" customWidth="1"/>
    <col min="4878" max="5124" width="9.140625" style="1"/>
    <col min="5125" max="5125" width="27.140625" style="1" bestFit="1" customWidth="1"/>
    <col min="5126" max="5126" width="11.7109375" style="1" bestFit="1" customWidth="1"/>
    <col min="5127" max="5127" width="10" style="1" customWidth="1"/>
    <col min="5128" max="5128" width="10.5703125" style="1" bestFit="1" customWidth="1"/>
    <col min="5129" max="5129" width="10.5703125" style="1" customWidth="1"/>
    <col min="5130" max="5130" width="9.140625" style="1"/>
    <col min="5131" max="5131" width="10.7109375" style="1" customWidth="1"/>
    <col min="5132" max="5132" width="11.7109375" style="1" customWidth="1"/>
    <col min="5133" max="5133" width="13.28515625" style="1" customWidth="1"/>
    <col min="5134" max="5380" width="9.140625" style="1"/>
    <col min="5381" max="5381" width="27.140625" style="1" bestFit="1" customWidth="1"/>
    <col min="5382" max="5382" width="11.7109375" style="1" bestFit="1" customWidth="1"/>
    <col min="5383" max="5383" width="10" style="1" customWidth="1"/>
    <col min="5384" max="5384" width="10.5703125" style="1" bestFit="1" customWidth="1"/>
    <col min="5385" max="5385" width="10.5703125" style="1" customWidth="1"/>
    <col min="5386" max="5386" width="9.140625" style="1"/>
    <col min="5387" max="5387" width="10.7109375" style="1" customWidth="1"/>
    <col min="5388" max="5388" width="11.7109375" style="1" customWidth="1"/>
    <col min="5389" max="5389" width="13.28515625" style="1" customWidth="1"/>
    <col min="5390" max="5636" width="9.140625" style="1"/>
    <col min="5637" max="5637" width="27.140625" style="1" bestFit="1" customWidth="1"/>
    <col min="5638" max="5638" width="11.7109375" style="1" bestFit="1" customWidth="1"/>
    <col min="5639" max="5639" width="10" style="1" customWidth="1"/>
    <col min="5640" max="5640" width="10.5703125" style="1" bestFit="1" customWidth="1"/>
    <col min="5641" max="5641" width="10.5703125" style="1" customWidth="1"/>
    <col min="5642" max="5642" width="9.140625" style="1"/>
    <col min="5643" max="5643" width="10.7109375" style="1" customWidth="1"/>
    <col min="5644" max="5644" width="11.7109375" style="1" customWidth="1"/>
    <col min="5645" max="5645" width="13.28515625" style="1" customWidth="1"/>
    <col min="5646" max="5892" width="9.140625" style="1"/>
    <col min="5893" max="5893" width="27.140625" style="1" bestFit="1" customWidth="1"/>
    <col min="5894" max="5894" width="11.7109375" style="1" bestFit="1" customWidth="1"/>
    <col min="5895" max="5895" width="10" style="1" customWidth="1"/>
    <col min="5896" max="5896" width="10.5703125" style="1" bestFit="1" customWidth="1"/>
    <col min="5897" max="5897" width="10.5703125" style="1" customWidth="1"/>
    <col min="5898" max="5898" width="9.140625" style="1"/>
    <col min="5899" max="5899" width="10.7109375" style="1" customWidth="1"/>
    <col min="5900" max="5900" width="11.7109375" style="1" customWidth="1"/>
    <col min="5901" max="5901" width="13.28515625" style="1" customWidth="1"/>
    <col min="5902" max="6148" width="9.140625" style="1"/>
    <col min="6149" max="6149" width="27.140625" style="1" bestFit="1" customWidth="1"/>
    <col min="6150" max="6150" width="11.7109375" style="1" bestFit="1" customWidth="1"/>
    <col min="6151" max="6151" width="10" style="1" customWidth="1"/>
    <col min="6152" max="6152" width="10.5703125" style="1" bestFit="1" customWidth="1"/>
    <col min="6153" max="6153" width="10.5703125" style="1" customWidth="1"/>
    <col min="6154" max="6154" width="9.140625" style="1"/>
    <col min="6155" max="6155" width="10.7109375" style="1" customWidth="1"/>
    <col min="6156" max="6156" width="11.7109375" style="1" customWidth="1"/>
    <col min="6157" max="6157" width="13.28515625" style="1" customWidth="1"/>
    <col min="6158" max="6404" width="9.140625" style="1"/>
    <col min="6405" max="6405" width="27.140625" style="1" bestFit="1" customWidth="1"/>
    <col min="6406" max="6406" width="11.7109375" style="1" bestFit="1" customWidth="1"/>
    <col min="6407" max="6407" width="10" style="1" customWidth="1"/>
    <col min="6408" max="6408" width="10.5703125" style="1" bestFit="1" customWidth="1"/>
    <col min="6409" max="6409" width="10.5703125" style="1" customWidth="1"/>
    <col min="6410" max="6410" width="9.140625" style="1"/>
    <col min="6411" max="6411" width="10.7109375" style="1" customWidth="1"/>
    <col min="6412" max="6412" width="11.7109375" style="1" customWidth="1"/>
    <col min="6413" max="6413" width="13.28515625" style="1" customWidth="1"/>
    <col min="6414" max="6660" width="9.140625" style="1"/>
    <col min="6661" max="6661" width="27.140625" style="1" bestFit="1" customWidth="1"/>
    <col min="6662" max="6662" width="11.7109375" style="1" bestFit="1" customWidth="1"/>
    <col min="6663" max="6663" width="10" style="1" customWidth="1"/>
    <col min="6664" max="6664" width="10.5703125" style="1" bestFit="1" customWidth="1"/>
    <col min="6665" max="6665" width="10.5703125" style="1" customWidth="1"/>
    <col min="6666" max="6666" width="9.140625" style="1"/>
    <col min="6667" max="6667" width="10.7109375" style="1" customWidth="1"/>
    <col min="6668" max="6668" width="11.7109375" style="1" customWidth="1"/>
    <col min="6669" max="6669" width="13.28515625" style="1" customWidth="1"/>
    <col min="6670" max="6916" width="9.140625" style="1"/>
    <col min="6917" max="6917" width="27.140625" style="1" bestFit="1" customWidth="1"/>
    <col min="6918" max="6918" width="11.7109375" style="1" bestFit="1" customWidth="1"/>
    <col min="6919" max="6919" width="10" style="1" customWidth="1"/>
    <col min="6920" max="6920" width="10.5703125" style="1" bestFit="1" customWidth="1"/>
    <col min="6921" max="6921" width="10.5703125" style="1" customWidth="1"/>
    <col min="6922" max="6922" width="9.140625" style="1"/>
    <col min="6923" max="6923" width="10.7109375" style="1" customWidth="1"/>
    <col min="6924" max="6924" width="11.7109375" style="1" customWidth="1"/>
    <col min="6925" max="6925" width="13.28515625" style="1" customWidth="1"/>
    <col min="6926" max="7172" width="9.140625" style="1"/>
    <col min="7173" max="7173" width="27.140625" style="1" bestFit="1" customWidth="1"/>
    <col min="7174" max="7174" width="11.7109375" style="1" bestFit="1" customWidth="1"/>
    <col min="7175" max="7175" width="10" style="1" customWidth="1"/>
    <col min="7176" max="7176" width="10.5703125" style="1" bestFit="1" customWidth="1"/>
    <col min="7177" max="7177" width="10.5703125" style="1" customWidth="1"/>
    <col min="7178" max="7178" width="9.140625" style="1"/>
    <col min="7179" max="7179" width="10.7109375" style="1" customWidth="1"/>
    <col min="7180" max="7180" width="11.7109375" style="1" customWidth="1"/>
    <col min="7181" max="7181" width="13.28515625" style="1" customWidth="1"/>
    <col min="7182" max="7428" width="9.140625" style="1"/>
    <col min="7429" max="7429" width="27.140625" style="1" bestFit="1" customWidth="1"/>
    <col min="7430" max="7430" width="11.7109375" style="1" bestFit="1" customWidth="1"/>
    <col min="7431" max="7431" width="10" style="1" customWidth="1"/>
    <col min="7432" max="7432" width="10.5703125" style="1" bestFit="1" customWidth="1"/>
    <col min="7433" max="7433" width="10.5703125" style="1" customWidth="1"/>
    <col min="7434" max="7434" width="9.140625" style="1"/>
    <col min="7435" max="7435" width="10.7109375" style="1" customWidth="1"/>
    <col min="7436" max="7436" width="11.7109375" style="1" customWidth="1"/>
    <col min="7437" max="7437" width="13.28515625" style="1" customWidth="1"/>
    <col min="7438" max="7684" width="9.140625" style="1"/>
    <col min="7685" max="7685" width="27.140625" style="1" bestFit="1" customWidth="1"/>
    <col min="7686" max="7686" width="11.7109375" style="1" bestFit="1" customWidth="1"/>
    <col min="7687" max="7687" width="10" style="1" customWidth="1"/>
    <col min="7688" max="7688" width="10.5703125" style="1" bestFit="1" customWidth="1"/>
    <col min="7689" max="7689" width="10.5703125" style="1" customWidth="1"/>
    <col min="7690" max="7690" width="9.140625" style="1"/>
    <col min="7691" max="7691" width="10.7109375" style="1" customWidth="1"/>
    <col min="7692" max="7692" width="11.7109375" style="1" customWidth="1"/>
    <col min="7693" max="7693" width="13.28515625" style="1" customWidth="1"/>
    <col min="7694" max="7940" width="9.140625" style="1"/>
    <col min="7941" max="7941" width="27.140625" style="1" bestFit="1" customWidth="1"/>
    <col min="7942" max="7942" width="11.7109375" style="1" bestFit="1" customWidth="1"/>
    <col min="7943" max="7943" width="10" style="1" customWidth="1"/>
    <col min="7944" max="7944" width="10.5703125" style="1" bestFit="1" customWidth="1"/>
    <col min="7945" max="7945" width="10.5703125" style="1" customWidth="1"/>
    <col min="7946" max="7946" width="9.140625" style="1"/>
    <col min="7947" max="7947" width="10.7109375" style="1" customWidth="1"/>
    <col min="7948" max="7948" width="11.7109375" style="1" customWidth="1"/>
    <col min="7949" max="7949" width="13.28515625" style="1" customWidth="1"/>
    <col min="7950" max="8196" width="9.140625" style="1"/>
    <col min="8197" max="8197" width="27.140625" style="1" bestFit="1" customWidth="1"/>
    <col min="8198" max="8198" width="11.7109375" style="1" bestFit="1" customWidth="1"/>
    <col min="8199" max="8199" width="10" style="1" customWidth="1"/>
    <col min="8200" max="8200" width="10.5703125" style="1" bestFit="1" customWidth="1"/>
    <col min="8201" max="8201" width="10.5703125" style="1" customWidth="1"/>
    <col min="8202" max="8202" width="9.140625" style="1"/>
    <col min="8203" max="8203" width="10.7109375" style="1" customWidth="1"/>
    <col min="8204" max="8204" width="11.7109375" style="1" customWidth="1"/>
    <col min="8205" max="8205" width="13.28515625" style="1" customWidth="1"/>
    <col min="8206" max="8452" width="9.140625" style="1"/>
    <col min="8453" max="8453" width="27.140625" style="1" bestFit="1" customWidth="1"/>
    <col min="8454" max="8454" width="11.7109375" style="1" bestFit="1" customWidth="1"/>
    <col min="8455" max="8455" width="10" style="1" customWidth="1"/>
    <col min="8456" max="8456" width="10.5703125" style="1" bestFit="1" customWidth="1"/>
    <col min="8457" max="8457" width="10.5703125" style="1" customWidth="1"/>
    <col min="8458" max="8458" width="9.140625" style="1"/>
    <col min="8459" max="8459" width="10.7109375" style="1" customWidth="1"/>
    <col min="8460" max="8460" width="11.7109375" style="1" customWidth="1"/>
    <col min="8461" max="8461" width="13.28515625" style="1" customWidth="1"/>
    <col min="8462" max="8708" width="9.140625" style="1"/>
    <col min="8709" max="8709" width="27.140625" style="1" bestFit="1" customWidth="1"/>
    <col min="8710" max="8710" width="11.7109375" style="1" bestFit="1" customWidth="1"/>
    <col min="8711" max="8711" width="10" style="1" customWidth="1"/>
    <col min="8712" max="8712" width="10.5703125" style="1" bestFit="1" customWidth="1"/>
    <col min="8713" max="8713" width="10.5703125" style="1" customWidth="1"/>
    <col min="8714" max="8714" width="9.140625" style="1"/>
    <col min="8715" max="8715" width="10.7109375" style="1" customWidth="1"/>
    <col min="8716" max="8716" width="11.7109375" style="1" customWidth="1"/>
    <col min="8717" max="8717" width="13.28515625" style="1" customWidth="1"/>
    <col min="8718" max="8964" width="9.140625" style="1"/>
    <col min="8965" max="8965" width="27.140625" style="1" bestFit="1" customWidth="1"/>
    <col min="8966" max="8966" width="11.7109375" style="1" bestFit="1" customWidth="1"/>
    <col min="8967" max="8967" width="10" style="1" customWidth="1"/>
    <col min="8968" max="8968" width="10.5703125" style="1" bestFit="1" customWidth="1"/>
    <col min="8969" max="8969" width="10.5703125" style="1" customWidth="1"/>
    <col min="8970" max="8970" width="9.140625" style="1"/>
    <col min="8971" max="8971" width="10.7109375" style="1" customWidth="1"/>
    <col min="8972" max="8972" width="11.7109375" style="1" customWidth="1"/>
    <col min="8973" max="8973" width="13.28515625" style="1" customWidth="1"/>
    <col min="8974" max="9220" width="9.140625" style="1"/>
    <col min="9221" max="9221" width="27.140625" style="1" bestFit="1" customWidth="1"/>
    <col min="9222" max="9222" width="11.7109375" style="1" bestFit="1" customWidth="1"/>
    <col min="9223" max="9223" width="10" style="1" customWidth="1"/>
    <col min="9224" max="9224" width="10.5703125" style="1" bestFit="1" customWidth="1"/>
    <col min="9225" max="9225" width="10.5703125" style="1" customWidth="1"/>
    <col min="9226" max="9226" width="9.140625" style="1"/>
    <col min="9227" max="9227" width="10.7109375" style="1" customWidth="1"/>
    <col min="9228" max="9228" width="11.7109375" style="1" customWidth="1"/>
    <col min="9229" max="9229" width="13.28515625" style="1" customWidth="1"/>
    <col min="9230" max="9476" width="9.140625" style="1"/>
    <col min="9477" max="9477" width="27.140625" style="1" bestFit="1" customWidth="1"/>
    <col min="9478" max="9478" width="11.7109375" style="1" bestFit="1" customWidth="1"/>
    <col min="9479" max="9479" width="10" style="1" customWidth="1"/>
    <col min="9480" max="9480" width="10.5703125" style="1" bestFit="1" customWidth="1"/>
    <col min="9481" max="9481" width="10.5703125" style="1" customWidth="1"/>
    <col min="9482" max="9482" width="9.140625" style="1"/>
    <col min="9483" max="9483" width="10.7109375" style="1" customWidth="1"/>
    <col min="9484" max="9484" width="11.7109375" style="1" customWidth="1"/>
    <col min="9485" max="9485" width="13.28515625" style="1" customWidth="1"/>
    <col min="9486" max="9732" width="9.140625" style="1"/>
    <col min="9733" max="9733" width="27.140625" style="1" bestFit="1" customWidth="1"/>
    <col min="9734" max="9734" width="11.7109375" style="1" bestFit="1" customWidth="1"/>
    <col min="9735" max="9735" width="10" style="1" customWidth="1"/>
    <col min="9736" max="9736" width="10.5703125" style="1" bestFit="1" customWidth="1"/>
    <col min="9737" max="9737" width="10.5703125" style="1" customWidth="1"/>
    <col min="9738" max="9738" width="9.140625" style="1"/>
    <col min="9739" max="9739" width="10.7109375" style="1" customWidth="1"/>
    <col min="9740" max="9740" width="11.7109375" style="1" customWidth="1"/>
    <col min="9741" max="9741" width="13.28515625" style="1" customWidth="1"/>
    <col min="9742" max="9988" width="9.140625" style="1"/>
    <col min="9989" max="9989" width="27.140625" style="1" bestFit="1" customWidth="1"/>
    <col min="9990" max="9990" width="11.7109375" style="1" bestFit="1" customWidth="1"/>
    <col min="9991" max="9991" width="10" style="1" customWidth="1"/>
    <col min="9992" max="9992" width="10.5703125" style="1" bestFit="1" customWidth="1"/>
    <col min="9993" max="9993" width="10.5703125" style="1" customWidth="1"/>
    <col min="9994" max="9994" width="9.140625" style="1"/>
    <col min="9995" max="9995" width="10.7109375" style="1" customWidth="1"/>
    <col min="9996" max="9996" width="11.7109375" style="1" customWidth="1"/>
    <col min="9997" max="9997" width="13.28515625" style="1" customWidth="1"/>
    <col min="9998" max="10244" width="9.140625" style="1"/>
    <col min="10245" max="10245" width="27.140625" style="1" bestFit="1" customWidth="1"/>
    <col min="10246" max="10246" width="11.7109375" style="1" bestFit="1" customWidth="1"/>
    <col min="10247" max="10247" width="10" style="1" customWidth="1"/>
    <col min="10248" max="10248" width="10.5703125" style="1" bestFit="1" customWidth="1"/>
    <col min="10249" max="10249" width="10.5703125" style="1" customWidth="1"/>
    <col min="10250" max="10250" width="9.140625" style="1"/>
    <col min="10251" max="10251" width="10.7109375" style="1" customWidth="1"/>
    <col min="10252" max="10252" width="11.7109375" style="1" customWidth="1"/>
    <col min="10253" max="10253" width="13.28515625" style="1" customWidth="1"/>
    <col min="10254" max="10500" width="9.140625" style="1"/>
    <col min="10501" max="10501" width="27.140625" style="1" bestFit="1" customWidth="1"/>
    <col min="10502" max="10502" width="11.7109375" style="1" bestFit="1" customWidth="1"/>
    <col min="10503" max="10503" width="10" style="1" customWidth="1"/>
    <col min="10504" max="10504" width="10.5703125" style="1" bestFit="1" customWidth="1"/>
    <col min="10505" max="10505" width="10.5703125" style="1" customWidth="1"/>
    <col min="10506" max="10506" width="9.140625" style="1"/>
    <col min="10507" max="10507" width="10.7109375" style="1" customWidth="1"/>
    <col min="10508" max="10508" width="11.7109375" style="1" customWidth="1"/>
    <col min="10509" max="10509" width="13.28515625" style="1" customWidth="1"/>
    <col min="10510" max="10756" width="9.140625" style="1"/>
    <col min="10757" max="10757" width="27.140625" style="1" bestFit="1" customWidth="1"/>
    <col min="10758" max="10758" width="11.7109375" style="1" bestFit="1" customWidth="1"/>
    <col min="10759" max="10759" width="10" style="1" customWidth="1"/>
    <col min="10760" max="10760" width="10.5703125" style="1" bestFit="1" customWidth="1"/>
    <col min="10761" max="10761" width="10.5703125" style="1" customWidth="1"/>
    <col min="10762" max="10762" width="9.140625" style="1"/>
    <col min="10763" max="10763" width="10.7109375" style="1" customWidth="1"/>
    <col min="10764" max="10764" width="11.7109375" style="1" customWidth="1"/>
    <col min="10765" max="10765" width="13.28515625" style="1" customWidth="1"/>
    <col min="10766" max="11012" width="9.140625" style="1"/>
    <col min="11013" max="11013" width="27.140625" style="1" bestFit="1" customWidth="1"/>
    <col min="11014" max="11014" width="11.7109375" style="1" bestFit="1" customWidth="1"/>
    <col min="11015" max="11015" width="10" style="1" customWidth="1"/>
    <col min="11016" max="11016" width="10.5703125" style="1" bestFit="1" customWidth="1"/>
    <col min="11017" max="11017" width="10.5703125" style="1" customWidth="1"/>
    <col min="11018" max="11018" width="9.140625" style="1"/>
    <col min="11019" max="11019" width="10.7109375" style="1" customWidth="1"/>
    <col min="11020" max="11020" width="11.7109375" style="1" customWidth="1"/>
    <col min="11021" max="11021" width="13.28515625" style="1" customWidth="1"/>
    <col min="11022" max="11268" width="9.140625" style="1"/>
    <col min="11269" max="11269" width="27.140625" style="1" bestFit="1" customWidth="1"/>
    <col min="11270" max="11270" width="11.7109375" style="1" bestFit="1" customWidth="1"/>
    <col min="11271" max="11271" width="10" style="1" customWidth="1"/>
    <col min="11272" max="11272" width="10.5703125" style="1" bestFit="1" customWidth="1"/>
    <col min="11273" max="11273" width="10.5703125" style="1" customWidth="1"/>
    <col min="11274" max="11274" width="9.140625" style="1"/>
    <col min="11275" max="11275" width="10.7109375" style="1" customWidth="1"/>
    <col min="11276" max="11276" width="11.7109375" style="1" customWidth="1"/>
    <col min="11277" max="11277" width="13.28515625" style="1" customWidth="1"/>
    <col min="11278" max="11524" width="9.140625" style="1"/>
    <col min="11525" max="11525" width="27.140625" style="1" bestFit="1" customWidth="1"/>
    <col min="11526" max="11526" width="11.7109375" style="1" bestFit="1" customWidth="1"/>
    <col min="11527" max="11527" width="10" style="1" customWidth="1"/>
    <col min="11528" max="11528" width="10.5703125" style="1" bestFit="1" customWidth="1"/>
    <col min="11529" max="11529" width="10.5703125" style="1" customWidth="1"/>
    <col min="11530" max="11530" width="9.140625" style="1"/>
    <col min="11531" max="11531" width="10.7109375" style="1" customWidth="1"/>
    <col min="11532" max="11532" width="11.7109375" style="1" customWidth="1"/>
    <col min="11533" max="11533" width="13.28515625" style="1" customWidth="1"/>
    <col min="11534" max="11780" width="9.140625" style="1"/>
    <col min="11781" max="11781" width="27.140625" style="1" bestFit="1" customWidth="1"/>
    <col min="11782" max="11782" width="11.7109375" style="1" bestFit="1" customWidth="1"/>
    <col min="11783" max="11783" width="10" style="1" customWidth="1"/>
    <col min="11784" max="11784" width="10.5703125" style="1" bestFit="1" customWidth="1"/>
    <col min="11785" max="11785" width="10.5703125" style="1" customWidth="1"/>
    <col min="11786" max="11786" width="9.140625" style="1"/>
    <col min="11787" max="11787" width="10.7109375" style="1" customWidth="1"/>
    <col min="11788" max="11788" width="11.7109375" style="1" customWidth="1"/>
    <col min="11789" max="11789" width="13.28515625" style="1" customWidth="1"/>
    <col min="11790" max="12036" width="9.140625" style="1"/>
    <col min="12037" max="12037" width="27.140625" style="1" bestFit="1" customWidth="1"/>
    <col min="12038" max="12038" width="11.7109375" style="1" bestFit="1" customWidth="1"/>
    <col min="12039" max="12039" width="10" style="1" customWidth="1"/>
    <col min="12040" max="12040" width="10.5703125" style="1" bestFit="1" customWidth="1"/>
    <col min="12041" max="12041" width="10.5703125" style="1" customWidth="1"/>
    <col min="12042" max="12042" width="9.140625" style="1"/>
    <col min="12043" max="12043" width="10.7109375" style="1" customWidth="1"/>
    <col min="12044" max="12044" width="11.7109375" style="1" customWidth="1"/>
    <col min="12045" max="12045" width="13.28515625" style="1" customWidth="1"/>
    <col min="12046" max="12292" width="9.140625" style="1"/>
    <col min="12293" max="12293" width="27.140625" style="1" bestFit="1" customWidth="1"/>
    <col min="12294" max="12294" width="11.7109375" style="1" bestFit="1" customWidth="1"/>
    <col min="12295" max="12295" width="10" style="1" customWidth="1"/>
    <col min="12296" max="12296" width="10.5703125" style="1" bestFit="1" customWidth="1"/>
    <col min="12297" max="12297" width="10.5703125" style="1" customWidth="1"/>
    <col min="12298" max="12298" width="9.140625" style="1"/>
    <col min="12299" max="12299" width="10.7109375" style="1" customWidth="1"/>
    <col min="12300" max="12300" width="11.7109375" style="1" customWidth="1"/>
    <col min="12301" max="12301" width="13.28515625" style="1" customWidth="1"/>
    <col min="12302" max="12548" width="9.140625" style="1"/>
    <col min="12549" max="12549" width="27.140625" style="1" bestFit="1" customWidth="1"/>
    <col min="12550" max="12550" width="11.7109375" style="1" bestFit="1" customWidth="1"/>
    <col min="12551" max="12551" width="10" style="1" customWidth="1"/>
    <col min="12552" max="12552" width="10.5703125" style="1" bestFit="1" customWidth="1"/>
    <col min="12553" max="12553" width="10.5703125" style="1" customWidth="1"/>
    <col min="12554" max="12554" width="9.140625" style="1"/>
    <col min="12555" max="12555" width="10.7109375" style="1" customWidth="1"/>
    <col min="12556" max="12556" width="11.7109375" style="1" customWidth="1"/>
    <col min="12557" max="12557" width="13.28515625" style="1" customWidth="1"/>
    <col min="12558" max="12804" width="9.140625" style="1"/>
    <col min="12805" max="12805" width="27.140625" style="1" bestFit="1" customWidth="1"/>
    <col min="12806" max="12806" width="11.7109375" style="1" bestFit="1" customWidth="1"/>
    <col min="12807" max="12807" width="10" style="1" customWidth="1"/>
    <col min="12808" max="12808" width="10.5703125" style="1" bestFit="1" customWidth="1"/>
    <col min="12809" max="12809" width="10.5703125" style="1" customWidth="1"/>
    <col min="12810" max="12810" width="9.140625" style="1"/>
    <col min="12811" max="12811" width="10.7109375" style="1" customWidth="1"/>
    <col min="12812" max="12812" width="11.7109375" style="1" customWidth="1"/>
    <col min="12813" max="12813" width="13.28515625" style="1" customWidth="1"/>
    <col min="12814" max="13060" width="9.140625" style="1"/>
    <col min="13061" max="13061" width="27.140625" style="1" bestFit="1" customWidth="1"/>
    <col min="13062" max="13062" width="11.7109375" style="1" bestFit="1" customWidth="1"/>
    <col min="13063" max="13063" width="10" style="1" customWidth="1"/>
    <col min="13064" max="13064" width="10.5703125" style="1" bestFit="1" customWidth="1"/>
    <col min="13065" max="13065" width="10.5703125" style="1" customWidth="1"/>
    <col min="13066" max="13066" width="9.140625" style="1"/>
    <col min="13067" max="13067" width="10.7109375" style="1" customWidth="1"/>
    <col min="13068" max="13068" width="11.7109375" style="1" customWidth="1"/>
    <col min="13069" max="13069" width="13.28515625" style="1" customWidth="1"/>
    <col min="13070" max="13316" width="9.140625" style="1"/>
    <col min="13317" max="13317" width="27.140625" style="1" bestFit="1" customWidth="1"/>
    <col min="13318" max="13318" width="11.7109375" style="1" bestFit="1" customWidth="1"/>
    <col min="13319" max="13319" width="10" style="1" customWidth="1"/>
    <col min="13320" max="13320" width="10.5703125" style="1" bestFit="1" customWidth="1"/>
    <col min="13321" max="13321" width="10.5703125" style="1" customWidth="1"/>
    <col min="13322" max="13322" width="9.140625" style="1"/>
    <col min="13323" max="13323" width="10.7109375" style="1" customWidth="1"/>
    <col min="13324" max="13324" width="11.7109375" style="1" customWidth="1"/>
    <col min="13325" max="13325" width="13.28515625" style="1" customWidth="1"/>
    <col min="13326" max="13572" width="9.140625" style="1"/>
    <col min="13573" max="13573" width="27.140625" style="1" bestFit="1" customWidth="1"/>
    <col min="13574" max="13574" width="11.7109375" style="1" bestFit="1" customWidth="1"/>
    <col min="13575" max="13575" width="10" style="1" customWidth="1"/>
    <col min="13576" max="13576" width="10.5703125" style="1" bestFit="1" customWidth="1"/>
    <col min="13577" max="13577" width="10.5703125" style="1" customWidth="1"/>
    <col min="13578" max="13578" width="9.140625" style="1"/>
    <col min="13579" max="13579" width="10.7109375" style="1" customWidth="1"/>
    <col min="13580" max="13580" width="11.7109375" style="1" customWidth="1"/>
    <col min="13581" max="13581" width="13.28515625" style="1" customWidth="1"/>
    <col min="13582" max="13828" width="9.140625" style="1"/>
    <col min="13829" max="13829" width="27.140625" style="1" bestFit="1" customWidth="1"/>
    <col min="13830" max="13830" width="11.7109375" style="1" bestFit="1" customWidth="1"/>
    <col min="13831" max="13831" width="10" style="1" customWidth="1"/>
    <col min="13832" max="13832" width="10.5703125" style="1" bestFit="1" customWidth="1"/>
    <col min="13833" max="13833" width="10.5703125" style="1" customWidth="1"/>
    <col min="13834" max="13834" width="9.140625" style="1"/>
    <col min="13835" max="13835" width="10.7109375" style="1" customWidth="1"/>
    <col min="13836" max="13836" width="11.7109375" style="1" customWidth="1"/>
    <col min="13837" max="13837" width="13.28515625" style="1" customWidth="1"/>
    <col min="13838" max="14084" width="9.140625" style="1"/>
    <col min="14085" max="14085" width="27.140625" style="1" bestFit="1" customWidth="1"/>
    <col min="14086" max="14086" width="11.7109375" style="1" bestFit="1" customWidth="1"/>
    <col min="14087" max="14087" width="10" style="1" customWidth="1"/>
    <col min="14088" max="14088" width="10.5703125" style="1" bestFit="1" customWidth="1"/>
    <col min="14089" max="14089" width="10.5703125" style="1" customWidth="1"/>
    <col min="14090" max="14090" width="9.140625" style="1"/>
    <col min="14091" max="14091" width="10.7109375" style="1" customWidth="1"/>
    <col min="14092" max="14092" width="11.7109375" style="1" customWidth="1"/>
    <col min="14093" max="14093" width="13.28515625" style="1" customWidth="1"/>
    <col min="14094" max="14340" width="9.140625" style="1"/>
    <col min="14341" max="14341" width="27.140625" style="1" bestFit="1" customWidth="1"/>
    <col min="14342" max="14342" width="11.7109375" style="1" bestFit="1" customWidth="1"/>
    <col min="14343" max="14343" width="10" style="1" customWidth="1"/>
    <col min="14344" max="14344" width="10.5703125" style="1" bestFit="1" customWidth="1"/>
    <col min="14345" max="14345" width="10.5703125" style="1" customWidth="1"/>
    <col min="14346" max="14346" width="9.140625" style="1"/>
    <col min="14347" max="14347" width="10.7109375" style="1" customWidth="1"/>
    <col min="14348" max="14348" width="11.7109375" style="1" customWidth="1"/>
    <col min="14349" max="14349" width="13.28515625" style="1" customWidth="1"/>
    <col min="14350" max="14596" width="9.140625" style="1"/>
    <col min="14597" max="14597" width="27.140625" style="1" bestFit="1" customWidth="1"/>
    <col min="14598" max="14598" width="11.7109375" style="1" bestFit="1" customWidth="1"/>
    <col min="14599" max="14599" width="10" style="1" customWidth="1"/>
    <col min="14600" max="14600" width="10.5703125" style="1" bestFit="1" customWidth="1"/>
    <col min="14601" max="14601" width="10.5703125" style="1" customWidth="1"/>
    <col min="14602" max="14602" width="9.140625" style="1"/>
    <col min="14603" max="14603" width="10.7109375" style="1" customWidth="1"/>
    <col min="14604" max="14604" width="11.7109375" style="1" customWidth="1"/>
    <col min="14605" max="14605" width="13.28515625" style="1" customWidth="1"/>
    <col min="14606" max="14852" width="9.140625" style="1"/>
    <col min="14853" max="14853" width="27.140625" style="1" bestFit="1" customWidth="1"/>
    <col min="14854" max="14854" width="11.7109375" style="1" bestFit="1" customWidth="1"/>
    <col min="14855" max="14855" width="10" style="1" customWidth="1"/>
    <col min="14856" max="14856" width="10.5703125" style="1" bestFit="1" customWidth="1"/>
    <col min="14857" max="14857" width="10.5703125" style="1" customWidth="1"/>
    <col min="14858" max="14858" width="9.140625" style="1"/>
    <col min="14859" max="14859" width="10.7109375" style="1" customWidth="1"/>
    <col min="14860" max="14860" width="11.7109375" style="1" customWidth="1"/>
    <col min="14861" max="14861" width="13.28515625" style="1" customWidth="1"/>
    <col min="14862" max="15108" width="9.140625" style="1"/>
    <col min="15109" max="15109" width="27.140625" style="1" bestFit="1" customWidth="1"/>
    <col min="15110" max="15110" width="11.7109375" style="1" bestFit="1" customWidth="1"/>
    <col min="15111" max="15111" width="10" style="1" customWidth="1"/>
    <col min="15112" max="15112" width="10.5703125" style="1" bestFit="1" customWidth="1"/>
    <col min="15113" max="15113" width="10.5703125" style="1" customWidth="1"/>
    <col min="15114" max="15114" width="9.140625" style="1"/>
    <col min="15115" max="15115" width="10.7109375" style="1" customWidth="1"/>
    <col min="15116" max="15116" width="11.7109375" style="1" customWidth="1"/>
    <col min="15117" max="15117" width="13.28515625" style="1" customWidth="1"/>
    <col min="15118" max="15364" width="9.140625" style="1"/>
    <col min="15365" max="15365" width="27.140625" style="1" bestFit="1" customWidth="1"/>
    <col min="15366" max="15366" width="11.7109375" style="1" bestFit="1" customWidth="1"/>
    <col min="15367" max="15367" width="10" style="1" customWidth="1"/>
    <col min="15368" max="15368" width="10.5703125" style="1" bestFit="1" customWidth="1"/>
    <col min="15369" max="15369" width="10.5703125" style="1" customWidth="1"/>
    <col min="15370" max="15370" width="9.140625" style="1"/>
    <col min="15371" max="15371" width="10.7109375" style="1" customWidth="1"/>
    <col min="15372" max="15372" width="11.7109375" style="1" customWidth="1"/>
    <col min="15373" max="15373" width="13.28515625" style="1" customWidth="1"/>
    <col min="15374" max="15620" width="9.140625" style="1"/>
    <col min="15621" max="15621" width="27.140625" style="1" bestFit="1" customWidth="1"/>
    <col min="15622" max="15622" width="11.7109375" style="1" bestFit="1" customWidth="1"/>
    <col min="15623" max="15623" width="10" style="1" customWidth="1"/>
    <col min="15624" max="15624" width="10.5703125" style="1" bestFit="1" customWidth="1"/>
    <col min="15625" max="15625" width="10.5703125" style="1" customWidth="1"/>
    <col min="15626" max="15626" width="9.140625" style="1"/>
    <col min="15627" max="15627" width="10.7109375" style="1" customWidth="1"/>
    <col min="15628" max="15628" width="11.7109375" style="1" customWidth="1"/>
    <col min="15629" max="15629" width="13.28515625" style="1" customWidth="1"/>
    <col min="15630" max="15876" width="9.140625" style="1"/>
    <col min="15877" max="15877" width="27.140625" style="1" bestFit="1" customWidth="1"/>
    <col min="15878" max="15878" width="11.7109375" style="1" bestFit="1" customWidth="1"/>
    <col min="15879" max="15879" width="10" style="1" customWidth="1"/>
    <col min="15880" max="15880" width="10.5703125" style="1" bestFit="1" customWidth="1"/>
    <col min="15881" max="15881" width="10.5703125" style="1" customWidth="1"/>
    <col min="15882" max="15882" width="9.140625" style="1"/>
    <col min="15883" max="15883" width="10.7109375" style="1" customWidth="1"/>
    <col min="15884" max="15884" width="11.7109375" style="1" customWidth="1"/>
    <col min="15885" max="15885" width="13.28515625" style="1" customWidth="1"/>
    <col min="15886" max="16132" width="9.140625" style="1"/>
    <col min="16133" max="16133" width="27.140625" style="1" bestFit="1" customWidth="1"/>
    <col min="16134" max="16134" width="11.7109375" style="1" bestFit="1" customWidth="1"/>
    <col min="16135" max="16135" width="10" style="1" customWidth="1"/>
    <col min="16136" max="16136" width="10.5703125" style="1" bestFit="1" customWidth="1"/>
    <col min="16137" max="16137" width="10.5703125" style="1" customWidth="1"/>
    <col min="16138" max="16138" width="9.140625" style="1"/>
    <col min="16139" max="16139" width="10.7109375" style="1" customWidth="1"/>
    <col min="16140" max="16140" width="11.7109375" style="1" customWidth="1"/>
    <col min="16141" max="16141" width="13.28515625" style="1" customWidth="1"/>
    <col min="16142" max="16384" width="9.140625" style="1"/>
  </cols>
  <sheetData>
    <row r="1" spans="1:18" ht="18.75" x14ac:dyDescent="0.3">
      <c r="C1" s="2" t="s">
        <v>0</v>
      </c>
      <c r="D1" s="3"/>
      <c r="E1" s="3"/>
      <c r="F1" s="4"/>
      <c r="G1" s="4"/>
    </row>
    <row r="2" spans="1:18" s="6" customFormat="1" ht="15.75" x14ac:dyDescent="0.25">
      <c r="C2" s="7" t="s">
        <v>148</v>
      </c>
      <c r="D2" s="8"/>
      <c r="E2" s="8"/>
      <c r="Q2" s="127"/>
    </row>
    <row r="3" spans="1:18" x14ac:dyDescent="0.25">
      <c r="B3" s="128"/>
      <c r="C3" s="14" t="s">
        <v>4</v>
      </c>
      <c r="D3" s="15" t="s">
        <v>5</v>
      </c>
      <c r="E3" s="15" t="s">
        <v>6</v>
      </c>
      <c r="F3" s="16" t="s">
        <v>7</v>
      </c>
      <c r="G3" s="16" t="s">
        <v>7</v>
      </c>
      <c r="H3" s="16" t="s">
        <v>8</v>
      </c>
      <c r="I3" s="16" t="s">
        <v>128</v>
      </c>
      <c r="J3" s="19" t="s">
        <v>11</v>
      </c>
      <c r="K3" s="16" t="s">
        <v>12</v>
      </c>
      <c r="L3" s="16" t="s">
        <v>20</v>
      </c>
      <c r="M3" s="16" t="s">
        <v>13</v>
      </c>
      <c r="N3" s="20" t="s">
        <v>14</v>
      </c>
      <c r="O3" s="48"/>
      <c r="P3" s="48"/>
      <c r="Q3" s="129"/>
    </row>
    <row r="4" spans="1:18" x14ac:dyDescent="0.25">
      <c r="B4" s="128"/>
      <c r="C4" s="24" t="s">
        <v>15</v>
      </c>
      <c r="D4" s="25" t="s">
        <v>16</v>
      </c>
      <c r="E4" s="25" t="s">
        <v>17</v>
      </c>
      <c r="F4" s="26" t="s">
        <v>18</v>
      </c>
      <c r="G4" s="26" t="s">
        <v>19</v>
      </c>
      <c r="H4" s="27">
        <v>0.1</v>
      </c>
      <c r="I4" s="29">
        <v>1.6199999999999999E-2</v>
      </c>
      <c r="J4" s="29">
        <v>6.59E-2</v>
      </c>
      <c r="K4" s="29">
        <v>0.16500000000000001</v>
      </c>
      <c r="L4" s="29"/>
      <c r="M4" s="30"/>
      <c r="N4" s="31"/>
    </row>
    <row r="5" spans="1:18" x14ac:dyDescent="0.25">
      <c r="B5" s="23" t="s">
        <v>129</v>
      </c>
      <c r="C5" s="130"/>
      <c r="D5" s="35"/>
      <c r="E5" s="35"/>
      <c r="F5" s="40"/>
      <c r="G5" s="34"/>
      <c r="H5" s="40"/>
      <c r="I5" s="40"/>
      <c r="J5" s="40"/>
      <c r="K5" s="36"/>
      <c r="L5" s="36"/>
      <c r="M5" s="38"/>
      <c r="N5" s="39"/>
      <c r="Q5" s="1"/>
    </row>
    <row r="6" spans="1:18" x14ac:dyDescent="0.25">
      <c r="A6" s="1">
        <v>1</v>
      </c>
      <c r="B6" s="128" t="s">
        <v>130</v>
      </c>
      <c r="C6" s="131">
        <v>77910</v>
      </c>
      <c r="D6" s="43">
        <v>89</v>
      </c>
      <c r="E6" s="43">
        <v>12</v>
      </c>
      <c r="F6" s="34">
        <f>C6/192*1.5*D6</f>
        <v>54171.796875</v>
      </c>
      <c r="G6" s="34">
        <f>C6/192*2*E6</f>
        <v>9738.75</v>
      </c>
      <c r="H6" s="36">
        <f>C6*$H$4</f>
        <v>7791</v>
      </c>
      <c r="I6" s="37">
        <f>C6*$I$4</f>
        <v>1262.1419999999998</v>
      </c>
      <c r="J6" s="36">
        <f>C6*J4</f>
        <v>5134.2690000000002</v>
      </c>
      <c r="K6" s="36">
        <f>(C6*0.92%)*16.5%</f>
        <v>118.26737999999999</v>
      </c>
      <c r="L6" s="36">
        <f>18000+5000</f>
        <v>23000</v>
      </c>
      <c r="M6" s="38">
        <f>+C6+F6+G6+H6+I6+J6+K6+L6</f>
        <v>179126.225255</v>
      </c>
      <c r="N6" s="39" t="s">
        <v>129</v>
      </c>
      <c r="Q6" s="1"/>
    </row>
    <row r="7" spans="1:18" x14ac:dyDescent="0.25">
      <c r="A7" s="1">
        <f>1+A6</f>
        <v>2</v>
      </c>
      <c r="B7" s="128" t="s">
        <v>131</v>
      </c>
      <c r="C7" s="131">
        <v>57876</v>
      </c>
      <c r="D7" s="43">
        <v>76</v>
      </c>
      <c r="E7" s="43">
        <v>12</v>
      </c>
      <c r="F7" s="34">
        <f>C7/192*1.5*D7</f>
        <v>34363.875</v>
      </c>
      <c r="G7" s="34">
        <f>C7/192*2*E7</f>
        <v>7234.5</v>
      </c>
      <c r="H7" s="36">
        <f>C7*$H$4</f>
        <v>5787.6</v>
      </c>
      <c r="I7" s="37">
        <f>C7*$I$4</f>
        <v>937.59119999999996</v>
      </c>
      <c r="J7" s="36">
        <f>C7*$J$4</f>
        <v>3814.0284000000001</v>
      </c>
      <c r="K7" s="36">
        <f>(C7*0.92%)*16.5%</f>
        <v>87.855768000000012</v>
      </c>
      <c r="L7" s="36">
        <v>10000</v>
      </c>
      <c r="M7" s="38">
        <f t="shared" ref="M7:M10" si="0">+C7+F7+G7+H7+I7+J7+K7+L7</f>
        <v>120101.45036799999</v>
      </c>
      <c r="N7" s="39" t="s">
        <v>129</v>
      </c>
      <c r="Q7" s="1"/>
      <c r="R7" s="5"/>
    </row>
    <row r="8" spans="1:18" x14ac:dyDescent="0.25">
      <c r="A8" s="1">
        <v>3</v>
      </c>
      <c r="B8" s="128" t="s">
        <v>132</v>
      </c>
      <c r="C8" s="132">
        <v>50000</v>
      </c>
      <c r="D8" s="35">
        <v>76</v>
      </c>
      <c r="E8" s="35">
        <v>12</v>
      </c>
      <c r="F8" s="34">
        <f>C8/192*1.5*D8</f>
        <v>29687.5</v>
      </c>
      <c r="G8" s="34">
        <f>C8/192*2*E8</f>
        <v>6250</v>
      </c>
      <c r="H8" s="36">
        <f>C8*$H$4</f>
        <v>5000</v>
      </c>
      <c r="I8" s="37">
        <f>C8*$I$4</f>
        <v>810</v>
      </c>
      <c r="J8" s="36">
        <f>C8*$J$4</f>
        <v>3295</v>
      </c>
      <c r="K8" s="36">
        <f>(C8*0.92%)*16.5%</f>
        <v>75.900000000000006</v>
      </c>
      <c r="L8" s="36">
        <v>5000</v>
      </c>
      <c r="M8" s="38">
        <f t="shared" si="0"/>
        <v>100118.39999999999</v>
      </c>
      <c r="N8" s="39" t="s">
        <v>129</v>
      </c>
      <c r="Q8" s="1"/>
    </row>
    <row r="9" spans="1:18" x14ac:dyDescent="0.25">
      <c r="A9" s="1">
        <v>4</v>
      </c>
      <c r="B9" s="128" t="s">
        <v>133</v>
      </c>
      <c r="C9" s="132">
        <v>50000</v>
      </c>
      <c r="D9" s="35">
        <v>84</v>
      </c>
      <c r="E9" s="35"/>
      <c r="F9" s="34">
        <f>C9/192*1.5*D9</f>
        <v>32812.5</v>
      </c>
      <c r="G9" s="34">
        <f>C9/192*2*E9</f>
        <v>0</v>
      </c>
      <c r="H9" s="36">
        <f>C9*$H$4</f>
        <v>5000</v>
      </c>
      <c r="I9" s="37">
        <f>C9*$I$4</f>
        <v>810</v>
      </c>
      <c r="J9" s="36">
        <f>C9*$J$4</f>
        <v>3295</v>
      </c>
      <c r="K9" s="36">
        <f>(C9*0.92%)*16.5%</f>
        <v>75.900000000000006</v>
      </c>
      <c r="L9" s="36">
        <v>5000</v>
      </c>
      <c r="M9" s="38">
        <f t="shared" si="0"/>
        <v>96993.4</v>
      </c>
      <c r="N9" s="39" t="s">
        <v>129</v>
      </c>
      <c r="Q9" s="1"/>
    </row>
    <row r="10" spans="1:18" x14ac:dyDescent="0.25">
      <c r="A10" s="1">
        <v>5</v>
      </c>
      <c r="B10" s="128" t="s">
        <v>134</v>
      </c>
      <c r="C10" s="132">
        <v>50000</v>
      </c>
      <c r="D10" s="35">
        <v>80</v>
      </c>
      <c r="E10" s="35">
        <v>12</v>
      </c>
      <c r="F10" s="34">
        <f>C10/192*1.5*D10</f>
        <v>31250</v>
      </c>
      <c r="G10" s="34">
        <f>C10/192*2*E10</f>
        <v>6250</v>
      </c>
      <c r="H10" s="36">
        <f>C10*$H$4</f>
        <v>5000</v>
      </c>
      <c r="I10" s="37">
        <f>C10*$I$4</f>
        <v>810</v>
      </c>
      <c r="J10" s="36">
        <f>C10*$J$4</f>
        <v>3295</v>
      </c>
      <c r="K10" s="36">
        <f>(C10*0.92%)*16.5%</f>
        <v>75.900000000000006</v>
      </c>
      <c r="L10" s="36">
        <v>10000</v>
      </c>
      <c r="M10" s="38">
        <f t="shared" si="0"/>
        <v>106680.9</v>
      </c>
      <c r="N10" s="39" t="s">
        <v>129</v>
      </c>
      <c r="Q10" s="1"/>
    </row>
    <row r="11" spans="1:18" s="22" customFormat="1" x14ac:dyDescent="0.25">
      <c r="B11" s="23" t="s">
        <v>33</v>
      </c>
      <c r="C11" s="133">
        <f>SUM(C6:C10)</f>
        <v>285786</v>
      </c>
      <c r="D11" s="133"/>
      <c r="E11" s="133"/>
      <c r="F11" s="133">
        <f t="shared" ref="F11:M11" si="1">SUM(F6:F10)</f>
        <v>182285.671875</v>
      </c>
      <c r="G11" s="133">
        <f t="shared" si="1"/>
        <v>29473.25</v>
      </c>
      <c r="H11" s="133">
        <f t="shared" si="1"/>
        <v>28578.6</v>
      </c>
      <c r="I11" s="133">
        <f t="shared" si="1"/>
        <v>4629.7331999999997</v>
      </c>
      <c r="J11" s="133">
        <f t="shared" si="1"/>
        <v>18833.297399999999</v>
      </c>
      <c r="K11" s="133">
        <f t="shared" si="1"/>
        <v>433.82314799999995</v>
      </c>
      <c r="L11" s="133">
        <f t="shared" si="1"/>
        <v>53000</v>
      </c>
      <c r="M11" s="133">
        <f t="shared" si="1"/>
        <v>603020.37562300009</v>
      </c>
      <c r="N11" s="59"/>
    </row>
    <row r="12" spans="1:18" s="22" customFormat="1" x14ac:dyDescent="0.25">
      <c r="B12" s="23"/>
      <c r="C12" s="13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9"/>
    </row>
    <row r="13" spans="1:18" s="22" customFormat="1" x14ac:dyDescent="0.25">
      <c r="B13" s="23" t="s">
        <v>135</v>
      </c>
      <c r="C13" s="13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9"/>
    </row>
    <row r="14" spans="1:18" x14ac:dyDescent="0.25">
      <c r="A14" s="1">
        <v>1</v>
      </c>
      <c r="B14" s="128" t="s">
        <v>136</v>
      </c>
      <c r="C14" s="131">
        <v>350000</v>
      </c>
      <c r="D14" s="35">
        <v>0</v>
      </c>
      <c r="E14" s="35"/>
      <c r="F14" s="34">
        <f t="shared" ref="F14:F26" si="2">C14/192*1.5*D14</f>
        <v>0</v>
      </c>
      <c r="G14" s="34">
        <f t="shared" ref="G14:G26" si="3">C14/192*2*E14</f>
        <v>0</v>
      </c>
      <c r="H14" s="36">
        <f t="shared" ref="H14:H26" si="4">C14*$H$4</f>
        <v>35000</v>
      </c>
      <c r="I14" s="37">
        <f t="shared" ref="I14:I26" si="5">C14*$I$4</f>
        <v>5670</v>
      </c>
      <c r="J14" s="36">
        <f t="shared" ref="J14:J26" si="6">C14*$J$4</f>
        <v>23065</v>
      </c>
      <c r="K14" s="36">
        <f t="shared" ref="K14:K26" si="7">(C14*0.92%)*16.5%</f>
        <v>531.30000000000007</v>
      </c>
      <c r="L14" s="36">
        <v>0</v>
      </c>
      <c r="M14" s="38">
        <f t="shared" ref="M14:M26" si="8">+C14+F14+G14+H14+I14+J14+K14+L14</f>
        <v>414266.3</v>
      </c>
      <c r="N14" s="39" t="s">
        <v>137</v>
      </c>
    </row>
    <row r="15" spans="1:18" x14ac:dyDescent="0.25">
      <c r="A15" s="1">
        <f t="shared" ref="A15:A26" si="9">1+A14</f>
        <v>2</v>
      </c>
      <c r="B15" s="128" t="s">
        <v>138</v>
      </c>
      <c r="C15" s="131">
        <v>100000</v>
      </c>
      <c r="D15" s="35">
        <v>0</v>
      </c>
      <c r="E15" s="35"/>
      <c r="F15" s="34">
        <f t="shared" si="2"/>
        <v>0</v>
      </c>
      <c r="G15" s="34">
        <f t="shared" si="3"/>
        <v>0</v>
      </c>
      <c r="H15" s="36">
        <f t="shared" si="4"/>
        <v>10000</v>
      </c>
      <c r="I15" s="37">
        <f t="shared" si="5"/>
        <v>1620</v>
      </c>
      <c r="J15" s="36">
        <f t="shared" si="6"/>
        <v>6590</v>
      </c>
      <c r="K15" s="36">
        <f t="shared" si="7"/>
        <v>151.80000000000001</v>
      </c>
      <c r="L15" s="36">
        <v>0</v>
      </c>
      <c r="M15" s="38">
        <f t="shared" si="8"/>
        <v>118361.8</v>
      </c>
      <c r="N15" s="39" t="s">
        <v>137</v>
      </c>
    </row>
    <row r="16" spans="1:18" x14ac:dyDescent="0.25">
      <c r="A16" s="1">
        <f t="shared" si="9"/>
        <v>3</v>
      </c>
      <c r="B16" s="128" t="s">
        <v>139</v>
      </c>
      <c r="C16" s="131">
        <v>85000</v>
      </c>
      <c r="D16" s="35">
        <v>0</v>
      </c>
      <c r="E16" s="35"/>
      <c r="F16" s="34">
        <f t="shared" si="2"/>
        <v>0</v>
      </c>
      <c r="G16" s="34">
        <f t="shared" si="3"/>
        <v>0</v>
      </c>
      <c r="H16" s="36">
        <f t="shared" si="4"/>
        <v>8500</v>
      </c>
      <c r="I16" s="37">
        <f t="shared" si="5"/>
        <v>1377</v>
      </c>
      <c r="J16" s="36">
        <f t="shared" si="6"/>
        <v>5601.5</v>
      </c>
      <c r="K16" s="36">
        <f t="shared" si="7"/>
        <v>129.03</v>
      </c>
      <c r="L16" s="36">
        <v>0</v>
      </c>
      <c r="M16" s="38">
        <f t="shared" si="8"/>
        <v>100607.53</v>
      </c>
      <c r="N16" s="39" t="s">
        <v>137</v>
      </c>
    </row>
    <row r="17" spans="1:17" x14ac:dyDescent="0.25">
      <c r="A17" s="1">
        <f t="shared" si="9"/>
        <v>4</v>
      </c>
      <c r="B17" s="128" t="s">
        <v>140</v>
      </c>
      <c r="C17" s="131">
        <v>85000</v>
      </c>
      <c r="D17" s="35">
        <v>0</v>
      </c>
      <c r="E17" s="35"/>
      <c r="F17" s="34">
        <f t="shared" si="2"/>
        <v>0</v>
      </c>
      <c r="G17" s="34">
        <f t="shared" si="3"/>
        <v>0</v>
      </c>
      <c r="H17" s="36">
        <f t="shared" si="4"/>
        <v>8500</v>
      </c>
      <c r="I17" s="37">
        <f t="shared" si="5"/>
        <v>1377</v>
      </c>
      <c r="J17" s="36">
        <f t="shared" si="6"/>
        <v>5601.5</v>
      </c>
      <c r="K17" s="36">
        <f t="shared" si="7"/>
        <v>129.03</v>
      </c>
      <c r="L17" s="36">
        <v>0</v>
      </c>
      <c r="M17" s="38">
        <f t="shared" si="8"/>
        <v>100607.53</v>
      </c>
      <c r="N17" s="39" t="s">
        <v>137</v>
      </c>
    </row>
    <row r="18" spans="1:17" x14ac:dyDescent="0.25">
      <c r="A18" s="1">
        <f t="shared" si="9"/>
        <v>5</v>
      </c>
      <c r="B18" s="128" t="s">
        <v>168</v>
      </c>
      <c r="C18" s="131">
        <v>70000</v>
      </c>
      <c r="D18" s="35">
        <v>0</v>
      </c>
      <c r="E18" s="35"/>
      <c r="F18" s="34">
        <f t="shared" si="2"/>
        <v>0</v>
      </c>
      <c r="G18" s="34">
        <f t="shared" si="3"/>
        <v>0</v>
      </c>
      <c r="H18" s="36">
        <f t="shared" si="4"/>
        <v>7000</v>
      </c>
      <c r="I18" s="37">
        <f t="shared" si="5"/>
        <v>1134</v>
      </c>
      <c r="J18" s="36">
        <f t="shared" si="6"/>
        <v>4613</v>
      </c>
      <c r="K18" s="36">
        <f t="shared" si="7"/>
        <v>106.26</v>
      </c>
      <c r="L18" s="36">
        <v>0</v>
      </c>
      <c r="M18" s="38">
        <f t="shared" si="8"/>
        <v>82853.259999999995</v>
      </c>
      <c r="N18" s="39" t="s">
        <v>137</v>
      </c>
    </row>
    <row r="19" spans="1:17" x14ac:dyDescent="0.25">
      <c r="A19" s="1">
        <f t="shared" si="9"/>
        <v>6</v>
      </c>
      <c r="B19" s="128" t="s">
        <v>141</v>
      </c>
      <c r="C19" s="131">
        <v>70000</v>
      </c>
      <c r="D19" s="35">
        <v>0</v>
      </c>
      <c r="E19" s="35"/>
      <c r="F19" s="34">
        <f t="shared" si="2"/>
        <v>0</v>
      </c>
      <c r="G19" s="34">
        <f t="shared" si="3"/>
        <v>0</v>
      </c>
      <c r="H19" s="36">
        <f t="shared" si="4"/>
        <v>7000</v>
      </c>
      <c r="I19" s="37">
        <f t="shared" si="5"/>
        <v>1134</v>
      </c>
      <c r="J19" s="36">
        <f t="shared" si="6"/>
        <v>4613</v>
      </c>
      <c r="K19" s="36">
        <f t="shared" si="7"/>
        <v>106.26</v>
      </c>
      <c r="L19" s="36">
        <v>0</v>
      </c>
      <c r="M19" s="38">
        <f t="shared" si="8"/>
        <v>82853.259999999995</v>
      </c>
      <c r="N19" s="39" t="s">
        <v>137</v>
      </c>
      <c r="P19" s="66"/>
      <c r="Q19" s="134"/>
    </row>
    <row r="20" spans="1:17" x14ac:dyDescent="0.25">
      <c r="A20" s="1">
        <f t="shared" si="9"/>
        <v>7</v>
      </c>
      <c r="B20" s="128" t="s">
        <v>142</v>
      </c>
      <c r="C20" s="131">
        <v>70000</v>
      </c>
      <c r="D20" s="35">
        <v>0</v>
      </c>
      <c r="E20" s="35"/>
      <c r="F20" s="34">
        <f t="shared" si="2"/>
        <v>0</v>
      </c>
      <c r="G20" s="34">
        <f t="shared" si="3"/>
        <v>0</v>
      </c>
      <c r="H20" s="36">
        <f t="shared" si="4"/>
        <v>7000</v>
      </c>
      <c r="I20" s="37">
        <f t="shared" si="5"/>
        <v>1134</v>
      </c>
      <c r="J20" s="36">
        <f t="shared" si="6"/>
        <v>4613</v>
      </c>
      <c r="K20" s="36">
        <f t="shared" si="7"/>
        <v>106.26</v>
      </c>
      <c r="L20" s="36">
        <v>0</v>
      </c>
      <c r="M20" s="38">
        <f t="shared" si="8"/>
        <v>82853.259999999995</v>
      </c>
      <c r="N20" s="39" t="s">
        <v>137</v>
      </c>
    </row>
    <row r="21" spans="1:17" x14ac:dyDescent="0.25">
      <c r="A21" s="1">
        <f t="shared" si="9"/>
        <v>8</v>
      </c>
      <c r="B21" s="128" t="s">
        <v>149</v>
      </c>
      <c r="C21" s="131">
        <v>70000</v>
      </c>
      <c r="D21" s="35">
        <v>0</v>
      </c>
      <c r="E21" s="35"/>
      <c r="F21" s="34">
        <f t="shared" si="2"/>
        <v>0</v>
      </c>
      <c r="G21" s="34">
        <f t="shared" si="3"/>
        <v>0</v>
      </c>
      <c r="H21" s="36">
        <f t="shared" si="4"/>
        <v>7000</v>
      </c>
      <c r="I21" s="37">
        <f t="shared" si="5"/>
        <v>1134</v>
      </c>
      <c r="J21" s="36">
        <f t="shared" si="6"/>
        <v>4613</v>
      </c>
      <c r="K21" s="36">
        <f t="shared" si="7"/>
        <v>106.26</v>
      </c>
      <c r="L21" s="36">
        <v>0</v>
      </c>
      <c r="M21" s="38">
        <f t="shared" si="8"/>
        <v>82853.259999999995</v>
      </c>
      <c r="N21" s="39" t="s">
        <v>137</v>
      </c>
    </row>
    <row r="22" spans="1:17" x14ac:dyDescent="0.25">
      <c r="A22" s="1">
        <f t="shared" si="9"/>
        <v>9</v>
      </c>
      <c r="B22" s="128" t="s">
        <v>143</v>
      </c>
      <c r="C22" s="131">
        <v>70000</v>
      </c>
      <c r="D22" s="35">
        <v>0</v>
      </c>
      <c r="E22" s="35"/>
      <c r="F22" s="34">
        <f t="shared" si="2"/>
        <v>0</v>
      </c>
      <c r="G22" s="34">
        <f t="shared" si="3"/>
        <v>0</v>
      </c>
      <c r="H22" s="36">
        <f t="shared" si="4"/>
        <v>7000</v>
      </c>
      <c r="I22" s="37">
        <f t="shared" si="5"/>
        <v>1134</v>
      </c>
      <c r="J22" s="36">
        <f t="shared" si="6"/>
        <v>4613</v>
      </c>
      <c r="K22" s="36">
        <f t="shared" si="7"/>
        <v>106.26</v>
      </c>
      <c r="L22" s="36">
        <v>0</v>
      </c>
      <c r="M22" s="38">
        <f t="shared" si="8"/>
        <v>82853.259999999995</v>
      </c>
      <c r="N22" s="39" t="s">
        <v>137</v>
      </c>
    </row>
    <row r="23" spans="1:17" x14ac:dyDescent="0.25">
      <c r="A23" s="1">
        <f t="shared" si="9"/>
        <v>10</v>
      </c>
      <c r="B23" s="128" t="s">
        <v>144</v>
      </c>
      <c r="C23" s="131">
        <v>70000</v>
      </c>
      <c r="D23" s="35">
        <v>0</v>
      </c>
      <c r="E23" s="35"/>
      <c r="F23" s="34">
        <f t="shared" si="2"/>
        <v>0</v>
      </c>
      <c r="G23" s="34">
        <f t="shared" si="3"/>
        <v>0</v>
      </c>
      <c r="H23" s="36">
        <f t="shared" si="4"/>
        <v>7000</v>
      </c>
      <c r="I23" s="37">
        <f t="shared" si="5"/>
        <v>1134</v>
      </c>
      <c r="J23" s="36">
        <f t="shared" si="6"/>
        <v>4613</v>
      </c>
      <c r="K23" s="36">
        <f t="shared" si="7"/>
        <v>106.26</v>
      </c>
      <c r="L23" s="36">
        <v>0</v>
      </c>
      <c r="M23" s="38">
        <f t="shared" si="8"/>
        <v>82853.259999999995</v>
      </c>
      <c r="N23" s="39" t="s">
        <v>137</v>
      </c>
    </row>
    <row r="24" spans="1:17" x14ac:dyDescent="0.25">
      <c r="A24" s="1">
        <f t="shared" si="9"/>
        <v>11</v>
      </c>
      <c r="B24" s="128" t="s">
        <v>145</v>
      </c>
      <c r="C24" s="131">
        <v>50000</v>
      </c>
      <c r="D24" s="35">
        <v>0</v>
      </c>
      <c r="E24" s="35"/>
      <c r="F24" s="34">
        <f t="shared" si="2"/>
        <v>0</v>
      </c>
      <c r="G24" s="34">
        <f t="shared" si="3"/>
        <v>0</v>
      </c>
      <c r="H24" s="36">
        <f t="shared" si="4"/>
        <v>5000</v>
      </c>
      <c r="I24" s="37">
        <f t="shared" si="5"/>
        <v>810</v>
      </c>
      <c r="J24" s="36">
        <f t="shared" si="6"/>
        <v>3295</v>
      </c>
      <c r="K24" s="36">
        <f t="shared" si="7"/>
        <v>75.900000000000006</v>
      </c>
      <c r="L24" s="36">
        <v>0</v>
      </c>
      <c r="M24" s="38">
        <f t="shared" si="8"/>
        <v>59180.9</v>
      </c>
      <c r="N24" s="39" t="s">
        <v>137</v>
      </c>
    </row>
    <row r="25" spans="1:17" x14ac:dyDescent="0.25">
      <c r="A25" s="1">
        <f t="shared" si="9"/>
        <v>12</v>
      </c>
      <c r="B25" s="128" t="s">
        <v>169</v>
      </c>
      <c r="C25" s="131">
        <v>50000</v>
      </c>
      <c r="D25" s="35">
        <v>0</v>
      </c>
      <c r="E25" s="35"/>
      <c r="F25" s="34">
        <f t="shared" si="2"/>
        <v>0</v>
      </c>
      <c r="G25" s="34">
        <f t="shared" si="3"/>
        <v>0</v>
      </c>
      <c r="H25" s="36">
        <f t="shared" si="4"/>
        <v>5000</v>
      </c>
      <c r="I25" s="37">
        <f t="shared" si="5"/>
        <v>810</v>
      </c>
      <c r="J25" s="36">
        <f t="shared" si="6"/>
        <v>3295</v>
      </c>
      <c r="K25" s="36">
        <f t="shared" si="7"/>
        <v>75.900000000000006</v>
      </c>
      <c r="L25" s="36">
        <v>0</v>
      </c>
      <c r="M25" s="38">
        <f t="shared" si="8"/>
        <v>59180.9</v>
      </c>
      <c r="N25" s="39" t="s">
        <v>137</v>
      </c>
    </row>
    <row r="26" spans="1:17" x14ac:dyDescent="0.25">
      <c r="A26" s="1">
        <f t="shared" si="9"/>
        <v>13</v>
      </c>
      <c r="B26" s="128" t="s">
        <v>146</v>
      </c>
      <c r="C26" s="131">
        <v>50000</v>
      </c>
      <c r="D26" s="35">
        <v>0</v>
      </c>
      <c r="E26" s="35"/>
      <c r="F26" s="34">
        <f t="shared" si="2"/>
        <v>0</v>
      </c>
      <c r="G26" s="34">
        <f t="shared" si="3"/>
        <v>0</v>
      </c>
      <c r="H26" s="36">
        <f t="shared" si="4"/>
        <v>5000</v>
      </c>
      <c r="I26" s="37">
        <f t="shared" si="5"/>
        <v>810</v>
      </c>
      <c r="J26" s="36">
        <f t="shared" si="6"/>
        <v>3295</v>
      </c>
      <c r="K26" s="36">
        <f t="shared" si="7"/>
        <v>75.900000000000006</v>
      </c>
      <c r="L26" s="36">
        <v>0</v>
      </c>
      <c r="M26" s="38">
        <f t="shared" si="8"/>
        <v>59180.9</v>
      </c>
      <c r="N26" s="39" t="s">
        <v>137</v>
      </c>
      <c r="P26" s="66"/>
      <c r="Q26" s="134"/>
    </row>
    <row r="27" spans="1:17" s="22" customFormat="1" x14ac:dyDescent="0.25">
      <c r="B27" s="23"/>
      <c r="C27" s="133">
        <f>SUM(C14:C26)</f>
        <v>1190000</v>
      </c>
      <c r="D27" s="135"/>
      <c r="E27" s="135"/>
      <c r="F27" s="133">
        <f t="shared" ref="F27:M27" si="10">SUM(F14:F26)</f>
        <v>0</v>
      </c>
      <c r="G27" s="133">
        <f t="shared" si="10"/>
        <v>0</v>
      </c>
      <c r="H27" s="133">
        <f t="shared" si="10"/>
        <v>119000</v>
      </c>
      <c r="I27" s="133">
        <f t="shared" si="10"/>
        <v>19278</v>
      </c>
      <c r="J27" s="133">
        <f t="shared" si="10"/>
        <v>78421</v>
      </c>
      <c r="K27" s="133">
        <f t="shared" si="10"/>
        <v>1806.4200000000003</v>
      </c>
      <c r="L27" s="133">
        <v>0</v>
      </c>
      <c r="M27" s="133">
        <f t="shared" si="10"/>
        <v>1408505.4199999997</v>
      </c>
      <c r="N27" s="59"/>
      <c r="Q27" s="136"/>
    </row>
    <row r="28" spans="1:17" s="124" customFormat="1" ht="15.75" x14ac:dyDescent="0.25">
      <c r="B28" s="137"/>
      <c r="C28" s="138"/>
      <c r="D28" s="139"/>
      <c r="E28" s="139"/>
      <c r="F28" s="140"/>
      <c r="G28" s="140"/>
      <c r="H28" s="140"/>
      <c r="I28" s="140"/>
      <c r="J28" s="140"/>
      <c r="K28" s="140"/>
      <c r="L28" s="140"/>
      <c r="M28" s="140"/>
      <c r="N28" s="141"/>
      <c r="Q28" s="142"/>
    </row>
    <row r="29" spans="1:17" ht="15.75" x14ac:dyDescent="0.25">
      <c r="B29" s="128" t="s">
        <v>33</v>
      </c>
      <c r="C29" s="138">
        <f>+C27+C11</f>
        <v>1475786</v>
      </c>
      <c r="D29" s="138">
        <f t="shared" ref="D29:M29" si="11">+D27+D11</f>
        <v>0</v>
      </c>
      <c r="E29" s="138">
        <f t="shared" si="11"/>
        <v>0</v>
      </c>
      <c r="F29" s="138">
        <f t="shared" si="11"/>
        <v>182285.671875</v>
      </c>
      <c r="G29" s="138">
        <f t="shared" si="11"/>
        <v>29473.25</v>
      </c>
      <c r="H29" s="138">
        <f t="shared" si="11"/>
        <v>147578.6</v>
      </c>
      <c r="I29" s="138">
        <f t="shared" si="11"/>
        <v>23907.733199999999</v>
      </c>
      <c r="J29" s="138">
        <f t="shared" si="11"/>
        <v>97254.297399999996</v>
      </c>
      <c r="K29" s="138">
        <f t="shared" si="11"/>
        <v>2240.2431480000005</v>
      </c>
      <c r="L29" s="138">
        <f>D31+L27+L11</f>
        <v>53000</v>
      </c>
      <c r="M29" s="138">
        <f t="shared" si="11"/>
        <v>2011525.7956229998</v>
      </c>
      <c r="N29" s="39"/>
    </row>
    <row r="30" spans="1:17" s="22" customFormat="1" x14ac:dyDescent="0.25">
      <c r="C30" s="80">
        <v>1</v>
      </c>
      <c r="D30" s="81"/>
      <c r="E30" s="81"/>
      <c r="F30" s="81">
        <v>2</v>
      </c>
      <c r="G30" s="81">
        <v>3</v>
      </c>
      <c r="H30" s="81">
        <v>4</v>
      </c>
      <c r="I30" s="81">
        <v>6</v>
      </c>
      <c r="J30" s="81">
        <v>7</v>
      </c>
      <c r="K30" s="81">
        <v>8</v>
      </c>
      <c r="L30" s="81"/>
      <c r="M30" s="51"/>
      <c r="Q30" s="136"/>
    </row>
    <row r="31" spans="1:17" x14ac:dyDescent="0.25">
      <c r="M31" s="51"/>
    </row>
    <row r="32" spans="1:17" x14ac:dyDescent="0.25">
      <c r="B32" s="83" t="s">
        <v>84</v>
      </c>
      <c r="C32" s="116">
        <f>+C29+F29+G29</f>
        <v>1687544.921875</v>
      </c>
      <c r="F32" s="85"/>
      <c r="G32" s="85"/>
      <c r="M32" s="51"/>
    </row>
    <row r="33" spans="2:18" x14ac:dyDescent="0.25">
      <c r="B33" s="83" t="s">
        <v>85</v>
      </c>
      <c r="C33" s="116">
        <f>+H29</f>
        <v>147578.6</v>
      </c>
      <c r="F33" s="85"/>
      <c r="G33" s="85"/>
      <c r="M33" s="51"/>
    </row>
    <row r="34" spans="2:18" x14ac:dyDescent="0.25">
      <c r="B34" s="83" t="s">
        <v>86</v>
      </c>
      <c r="C34" s="116">
        <f>+I29+J29</f>
        <v>121162.0306</v>
      </c>
      <c r="F34" s="85"/>
      <c r="G34" s="85"/>
      <c r="M34" s="51"/>
    </row>
    <row r="35" spans="2:18" x14ac:dyDescent="0.25">
      <c r="B35" s="83" t="s">
        <v>87</v>
      </c>
      <c r="C35" s="116">
        <f>+K29</f>
        <v>2240.2431480000005</v>
      </c>
      <c r="F35" s="85"/>
      <c r="G35" s="85"/>
      <c r="M35" s="51"/>
    </row>
    <row r="36" spans="2:18" x14ac:dyDescent="0.25">
      <c r="B36" s="83" t="s">
        <v>88</v>
      </c>
      <c r="C36" s="143">
        <f>+L29</f>
        <v>53000</v>
      </c>
      <c r="F36" s="85"/>
      <c r="G36" s="85"/>
      <c r="M36" s="51"/>
    </row>
    <row r="37" spans="2:18" s="5" customFormat="1" x14ac:dyDescent="0.25">
      <c r="B37" s="83" t="s">
        <v>98</v>
      </c>
      <c r="C37" s="143"/>
      <c r="D37" s="11" t="s">
        <v>147</v>
      </c>
      <c r="E37" s="11"/>
      <c r="H37" s="1"/>
      <c r="I37" s="1"/>
      <c r="J37" s="1"/>
      <c r="K37" s="1"/>
      <c r="L37" s="1"/>
      <c r="M37" s="51"/>
      <c r="N37" s="1"/>
      <c r="O37" s="1"/>
      <c r="P37" s="1"/>
      <c r="Q37" s="126"/>
      <c r="R37" s="1"/>
    </row>
    <row r="38" spans="2:18" s="5" customFormat="1" x14ac:dyDescent="0.25">
      <c r="B38" s="83" t="s">
        <v>99</v>
      </c>
      <c r="C38" s="144">
        <f>SUM(C32:C37)</f>
        <v>2011525.795623</v>
      </c>
      <c r="D38" s="101"/>
      <c r="E38" s="101"/>
      <c r="F38" s="21"/>
      <c r="G38" s="21"/>
      <c r="H38" s="1"/>
      <c r="I38" s="1"/>
      <c r="J38" s="1"/>
      <c r="K38" s="1"/>
      <c r="L38" s="1"/>
      <c r="M38" s="51"/>
      <c r="N38" s="1"/>
      <c r="O38" s="1"/>
      <c r="P38" s="1"/>
      <c r="Q38" s="126"/>
      <c r="R38" s="1"/>
    </row>
    <row r="39" spans="2:18" s="5" customFormat="1" x14ac:dyDescent="0.25">
      <c r="B39" s="12"/>
      <c r="C39" s="103"/>
      <c r="D39" s="101"/>
      <c r="E39" s="101"/>
      <c r="F39" s="21"/>
      <c r="G39" s="21"/>
      <c r="H39" s="1"/>
      <c r="I39" s="1"/>
      <c r="J39" s="1"/>
      <c r="K39" s="1"/>
      <c r="L39" s="1"/>
      <c r="M39" s="51"/>
      <c r="N39" s="1"/>
      <c r="O39" s="1"/>
      <c r="P39" s="1"/>
      <c r="Q39" s="126"/>
      <c r="R39" s="1"/>
    </row>
    <row r="40" spans="2:18" s="5" customFormat="1" x14ac:dyDescent="0.25">
      <c r="B40" s="12" t="s">
        <v>100</v>
      </c>
      <c r="C40" s="103"/>
      <c r="D40" s="101"/>
      <c r="E40" s="101"/>
      <c r="F40" s="21"/>
      <c r="G40" s="21"/>
      <c r="H40" s="1"/>
      <c r="I40" s="1"/>
      <c r="J40" s="1"/>
      <c r="K40" s="1"/>
      <c r="L40" s="1"/>
      <c r="M40" s="51"/>
      <c r="N40" s="1"/>
      <c r="O40" s="1"/>
      <c r="P40" s="1"/>
      <c r="Q40" s="126"/>
      <c r="R40" s="1"/>
    </row>
    <row r="41" spans="2:18" s="5" customFormat="1" x14ac:dyDescent="0.25">
      <c r="B41" s="12" t="s">
        <v>157</v>
      </c>
      <c r="C41" s="103"/>
      <c r="D41" s="101"/>
      <c r="E41" s="101"/>
      <c r="F41" s="21"/>
      <c r="G41" s="21"/>
      <c r="H41" s="1"/>
      <c r="I41" s="1"/>
      <c r="J41" s="1"/>
      <c r="K41" s="1"/>
      <c r="L41" s="1"/>
      <c r="M41" s="51"/>
      <c r="N41" s="1"/>
      <c r="O41" s="1"/>
      <c r="P41" s="1"/>
      <c r="Q41" s="126"/>
      <c r="R41" s="1"/>
    </row>
    <row r="42" spans="2:18" x14ac:dyDescent="0.25">
      <c r="M42" s="51"/>
    </row>
    <row r="43" spans="2:18" x14ac:dyDescent="0.25">
      <c r="M43" s="51"/>
    </row>
    <row r="44" spans="2:18" x14ac:dyDescent="0.25">
      <c r="M44" s="51"/>
    </row>
    <row r="45" spans="2:18" x14ac:dyDescent="0.25">
      <c r="M45" s="51"/>
    </row>
    <row r="46" spans="2:18" x14ac:dyDescent="0.25">
      <c r="M46" s="51"/>
    </row>
    <row r="47" spans="2:18" x14ac:dyDescent="0.25">
      <c r="M47" s="51"/>
    </row>
    <row r="48" spans="2:18" x14ac:dyDescent="0.25">
      <c r="M48" s="51"/>
    </row>
    <row r="49" spans="13:13" x14ac:dyDescent="0.25">
      <c r="M49" s="51"/>
    </row>
    <row r="50" spans="13:13" x14ac:dyDescent="0.25">
      <c r="M50" s="51"/>
    </row>
    <row r="51" spans="13:13" x14ac:dyDescent="0.25">
      <c r="M51" s="51"/>
    </row>
  </sheetData>
  <pageMargins left="0.70866141732283472" right="0.70866141732283472" top="0.74803149606299213" bottom="0.74803149606299213" header="0.31496062992125984" footer="0.31496062992125984"/>
  <pageSetup paperSize="9" scale="70" orientation="landscape" verticalDpi="0" r:id="rId1"/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2"/>
  <sheetViews>
    <sheetView topLeftCell="A102" zoomScaleNormal="100" workbookViewId="0">
      <selection activeCell="E31" sqref="E31"/>
    </sheetView>
  </sheetViews>
  <sheetFormatPr defaultRowHeight="15" x14ac:dyDescent="0.25"/>
  <cols>
    <col min="1" max="1" width="5" style="1" customWidth="1"/>
    <col min="2" max="2" width="5.28515625" style="1" customWidth="1"/>
    <col min="3" max="3" width="33" style="1" customWidth="1"/>
    <col min="4" max="4" width="22.28515625" style="47" customWidth="1"/>
    <col min="5" max="5" width="13.5703125" style="11" customWidth="1"/>
    <col min="6" max="6" width="12.7109375" style="11" customWidth="1"/>
    <col min="7" max="8" width="11.7109375" style="1" customWidth="1"/>
    <col min="9" max="9" width="11.5703125" style="1" customWidth="1"/>
    <col min="10" max="10" width="11.42578125" style="5" customWidth="1"/>
    <col min="11" max="11" width="10.85546875" style="1" customWidth="1"/>
    <col min="12" max="12" width="13.140625" style="1" customWidth="1"/>
    <col min="13" max="13" width="9.85546875" style="1" customWidth="1"/>
    <col min="14" max="14" width="17.28515625" style="1" customWidth="1"/>
    <col min="15" max="15" width="12.5703125" style="1" customWidth="1"/>
    <col min="16" max="16" width="9.140625" style="1"/>
    <col min="17" max="17" width="18" style="1" customWidth="1"/>
    <col min="18" max="18" width="9.140625" style="1" customWidth="1"/>
    <col min="19" max="19" width="12.140625" style="1" customWidth="1"/>
    <col min="20" max="261" width="9.140625" style="1"/>
    <col min="262" max="262" width="27.140625" style="1" bestFit="1" customWidth="1"/>
    <col min="263" max="263" width="11.7109375" style="1" bestFit="1" customWidth="1"/>
    <col min="264" max="264" width="10" style="1" customWidth="1"/>
    <col min="265" max="265" width="10.5703125" style="1" bestFit="1" customWidth="1"/>
    <col min="266" max="266" width="10.5703125" style="1" customWidth="1"/>
    <col min="267" max="267" width="9.140625" style="1"/>
    <col min="268" max="268" width="10.7109375" style="1" customWidth="1"/>
    <col min="269" max="269" width="11.7109375" style="1" customWidth="1"/>
    <col min="270" max="270" width="13.28515625" style="1" customWidth="1"/>
    <col min="271" max="517" width="9.140625" style="1"/>
    <col min="518" max="518" width="27.140625" style="1" bestFit="1" customWidth="1"/>
    <col min="519" max="519" width="11.7109375" style="1" bestFit="1" customWidth="1"/>
    <col min="520" max="520" width="10" style="1" customWidth="1"/>
    <col min="521" max="521" width="10.5703125" style="1" bestFit="1" customWidth="1"/>
    <col min="522" max="522" width="10.5703125" style="1" customWidth="1"/>
    <col min="523" max="523" width="9.140625" style="1"/>
    <col min="524" max="524" width="10.7109375" style="1" customWidth="1"/>
    <col min="525" max="525" width="11.7109375" style="1" customWidth="1"/>
    <col min="526" max="526" width="13.28515625" style="1" customWidth="1"/>
    <col min="527" max="773" width="9.140625" style="1"/>
    <col min="774" max="774" width="27.140625" style="1" bestFit="1" customWidth="1"/>
    <col min="775" max="775" width="11.7109375" style="1" bestFit="1" customWidth="1"/>
    <col min="776" max="776" width="10" style="1" customWidth="1"/>
    <col min="777" max="777" width="10.5703125" style="1" bestFit="1" customWidth="1"/>
    <col min="778" max="778" width="10.5703125" style="1" customWidth="1"/>
    <col min="779" max="779" width="9.140625" style="1"/>
    <col min="780" max="780" width="10.7109375" style="1" customWidth="1"/>
    <col min="781" max="781" width="11.7109375" style="1" customWidth="1"/>
    <col min="782" max="782" width="13.28515625" style="1" customWidth="1"/>
    <col min="783" max="1029" width="9.140625" style="1"/>
    <col min="1030" max="1030" width="27.140625" style="1" bestFit="1" customWidth="1"/>
    <col min="1031" max="1031" width="11.7109375" style="1" bestFit="1" customWidth="1"/>
    <col min="1032" max="1032" width="10" style="1" customWidth="1"/>
    <col min="1033" max="1033" width="10.5703125" style="1" bestFit="1" customWidth="1"/>
    <col min="1034" max="1034" width="10.5703125" style="1" customWidth="1"/>
    <col min="1035" max="1035" width="9.140625" style="1"/>
    <col min="1036" max="1036" width="10.7109375" style="1" customWidth="1"/>
    <col min="1037" max="1037" width="11.7109375" style="1" customWidth="1"/>
    <col min="1038" max="1038" width="13.28515625" style="1" customWidth="1"/>
    <col min="1039" max="1285" width="9.140625" style="1"/>
    <col min="1286" max="1286" width="27.140625" style="1" bestFit="1" customWidth="1"/>
    <col min="1287" max="1287" width="11.7109375" style="1" bestFit="1" customWidth="1"/>
    <col min="1288" max="1288" width="10" style="1" customWidth="1"/>
    <col min="1289" max="1289" width="10.5703125" style="1" bestFit="1" customWidth="1"/>
    <col min="1290" max="1290" width="10.5703125" style="1" customWidth="1"/>
    <col min="1291" max="1291" width="9.140625" style="1"/>
    <col min="1292" max="1292" width="10.7109375" style="1" customWidth="1"/>
    <col min="1293" max="1293" width="11.7109375" style="1" customWidth="1"/>
    <col min="1294" max="1294" width="13.28515625" style="1" customWidth="1"/>
    <col min="1295" max="1541" width="9.140625" style="1"/>
    <col min="1542" max="1542" width="27.140625" style="1" bestFit="1" customWidth="1"/>
    <col min="1543" max="1543" width="11.7109375" style="1" bestFit="1" customWidth="1"/>
    <col min="1544" max="1544" width="10" style="1" customWidth="1"/>
    <col min="1545" max="1545" width="10.5703125" style="1" bestFit="1" customWidth="1"/>
    <col min="1546" max="1546" width="10.5703125" style="1" customWidth="1"/>
    <col min="1547" max="1547" width="9.140625" style="1"/>
    <col min="1548" max="1548" width="10.7109375" style="1" customWidth="1"/>
    <col min="1549" max="1549" width="11.7109375" style="1" customWidth="1"/>
    <col min="1550" max="1550" width="13.28515625" style="1" customWidth="1"/>
    <col min="1551" max="1797" width="9.140625" style="1"/>
    <col min="1798" max="1798" width="27.140625" style="1" bestFit="1" customWidth="1"/>
    <col min="1799" max="1799" width="11.7109375" style="1" bestFit="1" customWidth="1"/>
    <col min="1800" max="1800" width="10" style="1" customWidth="1"/>
    <col min="1801" max="1801" width="10.5703125" style="1" bestFit="1" customWidth="1"/>
    <col min="1802" max="1802" width="10.5703125" style="1" customWidth="1"/>
    <col min="1803" max="1803" width="9.140625" style="1"/>
    <col min="1804" max="1804" width="10.7109375" style="1" customWidth="1"/>
    <col min="1805" max="1805" width="11.7109375" style="1" customWidth="1"/>
    <col min="1806" max="1806" width="13.28515625" style="1" customWidth="1"/>
    <col min="1807" max="2053" width="9.140625" style="1"/>
    <col min="2054" max="2054" width="27.140625" style="1" bestFit="1" customWidth="1"/>
    <col min="2055" max="2055" width="11.7109375" style="1" bestFit="1" customWidth="1"/>
    <col min="2056" max="2056" width="10" style="1" customWidth="1"/>
    <col min="2057" max="2057" width="10.5703125" style="1" bestFit="1" customWidth="1"/>
    <col min="2058" max="2058" width="10.5703125" style="1" customWidth="1"/>
    <col min="2059" max="2059" width="9.140625" style="1"/>
    <col min="2060" max="2060" width="10.7109375" style="1" customWidth="1"/>
    <col min="2061" max="2061" width="11.7109375" style="1" customWidth="1"/>
    <col min="2062" max="2062" width="13.28515625" style="1" customWidth="1"/>
    <col min="2063" max="2309" width="9.140625" style="1"/>
    <col min="2310" max="2310" width="27.140625" style="1" bestFit="1" customWidth="1"/>
    <col min="2311" max="2311" width="11.7109375" style="1" bestFit="1" customWidth="1"/>
    <col min="2312" max="2312" width="10" style="1" customWidth="1"/>
    <col min="2313" max="2313" width="10.5703125" style="1" bestFit="1" customWidth="1"/>
    <col min="2314" max="2314" width="10.5703125" style="1" customWidth="1"/>
    <col min="2315" max="2315" width="9.140625" style="1"/>
    <col min="2316" max="2316" width="10.7109375" style="1" customWidth="1"/>
    <col min="2317" max="2317" width="11.7109375" style="1" customWidth="1"/>
    <col min="2318" max="2318" width="13.28515625" style="1" customWidth="1"/>
    <col min="2319" max="2565" width="9.140625" style="1"/>
    <col min="2566" max="2566" width="27.140625" style="1" bestFit="1" customWidth="1"/>
    <col min="2567" max="2567" width="11.7109375" style="1" bestFit="1" customWidth="1"/>
    <col min="2568" max="2568" width="10" style="1" customWidth="1"/>
    <col min="2569" max="2569" width="10.5703125" style="1" bestFit="1" customWidth="1"/>
    <col min="2570" max="2570" width="10.5703125" style="1" customWidth="1"/>
    <col min="2571" max="2571" width="9.140625" style="1"/>
    <col min="2572" max="2572" width="10.7109375" style="1" customWidth="1"/>
    <col min="2573" max="2573" width="11.7109375" style="1" customWidth="1"/>
    <col min="2574" max="2574" width="13.28515625" style="1" customWidth="1"/>
    <col min="2575" max="2821" width="9.140625" style="1"/>
    <col min="2822" max="2822" width="27.140625" style="1" bestFit="1" customWidth="1"/>
    <col min="2823" max="2823" width="11.7109375" style="1" bestFit="1" customWidth="1"/>
    <col min="2824" max="2824" width="10" style="1" customWidth="1"/>
    <col min="2825" max="2825" width="10.5703125" style="1" bestFit="1" customWidth="1"/>
    <col min="2826" max="2826" width="10.5703125" style="1" customWidth="1"/>
    <col min="2827" max="2827" width="9.140625" style="1"/>
    <col min="2828" max="2828" width="10.7109375" style="1" customWidth="1"/>
    <col min="2829" max="2829" width="11.7109375" style="1" customWidth="1"/>
    <col min="2830" max="2830" width="13.28515625" style="1" customWidth="1"/>
    <col min="2831" max="3077" width="9.140625" style="1"/>
    <col min="3078" max="3078" width="27.140625" style="1" bestFit="1" customWidth="1"/>
    <col min="3079" max="3079" width="11.7109375" style="1" bestFit="1" customWidth="1"/>
    <col min="3080" max="3080" width="10" style="1" customWidth="1"/>
    <col min="3081" max="3081" width="10.5703125" style="1" bestFit="1" customWidth="1"/>
    <col min="3082" max="3082" width="10.5703125" style="1" customWidth="1"/>
    <col min="3083" max="3083" width="9.140625" style="1"/>
    <col min="3084" max="3084" width="10.7109375" style="1" customWidth="1"/>
    <col min="3085" max="3085" width="11.7109375" style="1" customWidth="1"/>
    <col min="3086" max="3086" width="13.28515625" style="1" customWidth="1"/>
    <col min="3087" max="3333" width="9.140625" style="1"/>
    <col min="3334" max="3334" width="27.140625" style="1" bestFit="1" customWidth="1"/>
    <col min="3335" max="3335" width="11.7109375" style="1" bestFit="1" customWidth="1"/>
    <col min="3336" max="3336" width="10" style="1" customWidth="1"/>
    <col min="3337" max="3337" width="10.5703125" style="1" bestFit="1" customWidth="1"/>
    <col min="3338" max="3338" width="10.5703125" style="1" customWidth="1"/>
    <col min="3339" max="3339" width="9.140625" style="1"/>
    <col min="3340" max="3340" width="10.7109375" style="1" customWidth="1"/>
    <col min="3341" max="3341" width="11.7109375" style="1" customWidth="1"/>
    <col min="3342" max="3342" width="13.28515625" style="1" customWidth="1"/>
    <col min="3343" max="3589" width="9.140625" style="1"/>
    <col min="3590" max="3590" width="27.140625" style="1" bestFit="1" customWidth="1"/>
    <col min="3591" max="3591" width="11.7109375" style="1" bestFit="1" customWidth="1"/>
    <col min="3592" max="3592" width="10" style="1" customWidth="1"/>
    <col min="3593" max="3593" width="10.5703125" style="1" bestFit="1" customWidth="1"/>
    <col min="3594" max="3594" width="10.5703125" style="1" customWidth="1"/>
    <col min="3595" max="3595" width="9.140625" style="1"/>
    <col min="3596" max="3596" width="10.7109375" style="1" customWidth="1"/>
    <col min="3597" max="3597" width="11.7109375" style="1" customWidth="1"/>
    <col min="3598" max="3598" width="13.28515625" style="1" customWidth="1"/>
    <col min="3599" max="3845" width="9.140625" style="1"/>
    <col min="3846" max="3846" width="27.140625" style="1" bestFit="1" customWidth="1"/>
    <col min="3847" max="3847" width="11.7109375" style="1" bestFit="1" customWidth="1"/>
    <col min="3848" max="3848" width="10" style="1" customWidth="1"/>
    <col min="3849" max="3849" width="10.5703125" style="1" bestFit="1" customWidth="1"/>
    <col min="3850" max="3850" width="10.5703125" style="1" customWidth="1"/>
    <col min="3851" max="3851" width="9.140625" style="1"/>
    <col min="3852" max="3852" width="10.7109375" style="1" customWidth="1"/>
    <col min="3853" max="3853" width="11.7109375" style="1" customWidth="1"/>
    <col min="3854" max="3854" width="13.28515625" style="1" customWidth="1"/>
    <col min="3855" max="4101" width="9.140625" style="1"/>
    <col min="4102" max="4102" width="27.140625" style="1" bestFit="1" customWidth="1"/>
    <col min="4103" max="4103" width="11.7109375" style="1" bestFit="1" customWidth="1"/>
    <col min="4104" max="4104" width="10" style="1" customWidth="1"/>
    <col min="4105" max="4105" width="10.5703125" style="1" bestFit="1" customWidth="1"/>
    <col min="4106" max="4106" width="10.5703125" style="1" customWidth="1"/>
    <col min="4107" max="4107" width="9.140625" style="1"/>
    <col min="4108" max="4108" width="10.7109375" style="1" customWidth="1"/>
    <col min="4109" max="4109" width="11.7109375" style="1" customWidth="1"/>
    <col min="4110" max="4110" width="13.28515625" style="1" customWidth="1"/>
    <col min="4111" max="4357" width="9.140625" style="1"/>
    <col min="4358" max="4358" width="27.140625" style="1" bestFit="1" customWidth="1"/>
    <col min="4359" max="4359" width="11.7109375" style="1" bestFit="1" customWidth="1"/>
    <col min="4360" max="4360" width="10" style="1" customWidth="1"/>
    <col min="4361" max="4361" width="10.5703125" style="1" bestFit="1" customWidth="1"/>
    <col min="4362" max="4362" width="10.5703125" style="1" customWidth="1"/>
    <col min="4363" max="4363" width="9.140625" style="1"/>
    <col min="4364" max="4364" width="10.7109375" style="1" customWidth="1"/>
    <col min="4365" max="4365" width="11.7109375" style="1" customWidth="1"/>
    <col min="4366" max="4366" width="13.28515625" style="1" customWidth="1"/>
    <col min="4367" max="4613" width="9.140625" style="1"/>
    <col min="4614" max="4614" width="27.140625" style="1" bestFit="1" customWidth="1"/>
    <col min="4615" max="4615" width="11.7109375" style="1" bestFit="1" customWidth="1"/>
    <col min="4616" max="4616" width="10" style="1" customWidth="1"/>
    <col min="4617" max="4617" width="10.5703125" style="1" bestFit="1" customWidth="1"/>
    <col min="4618" max="4618" width="10.5703125" style="1" customWidth="1"/>
    <col min="4619" max="4619" width="9.140625" style="1"/>
    <col min="4620" max="4620" width="10.7109375" style="1" customWidth="1"/>
    <col min="4621" max="4621" width="11.7109375" style="1" customWidth="1"/>
    <col min="4622" max="4622" width="13.28515625" style="1" customWidth="1"/>
    <col min="4623" max="4869" width="9.140625" style="1"/>
    <col min="4870" max="4870" width="27.140625" style="1" bestFit="1" customWidth="1"/>
    <col min="4871" max="4871" width="11.7109375" style="1" bestFit="1" customWidth="1"/>
    <col min="4872" max="4872" width="10" style="1" customWidth="1"/>
    <col min="4873" max="4873" width="10.5703125" style="1" bestFit="1" customWidth="1"/>
    <col min="4874" max="4874" width="10.5703125" style="1" customWidth="1"/>
    <col min="4875" max="4875" width="9.140625" style="1"/>
    <col min="4876" max="4876" width="10.7109375" style="1" customWidth="1"/>
    <col min="4877" max="4877" width="11.7109375" style="1" customWidth="1"/>
    <col min="4878" max="4878" width="13.28515625" style="1" customWidth="1"/>
    <col min="4879" max="5125" width="9.140625" style="1"/>
    <col min="5126" max="5126" width="27.140625" style="1" bestFit="1" customWidth="1"/>
    <col min="5127" max="5127" width="11.7109375" style="1" bestFit="1" customWidth="1"/>
    <col min="5128" max="5128" width="10" style="1" customWidth="1"/>
    <col min="5129" max="5129" width="10.5703125" style="1" bestFit="1" customWidth="1"/>
    <col min="5130" max="5130" width="10.5703125" style="1" customWidth="1"/>
    <col min="5131" max="5131" width="9.140625" style="1"/>
    <col min="5132" max="5132" width="10.7109375" style="1" customWidth="1"/>
    <col min="5133" max="5133" width="11.7109375" style="1" customWidth="1"/>
    <col min="5134" max="5134" width="13.28515625" style="1" customWidth="1"/>
    <col min="5135" max="5381" width="9.140625" style="1"/>
    <col min="5382" max="5382" width="27.140625" style="1" bestFit="1" customWidth="1"/>
    <col min="5383" max="5383" width="11.7109375" style="1" bestFit="1" customWidth="1"/>
    <col min="5384" max="5384" width="10" style="1" customWidth="1"/>
    <col min="5385" max="5385" width="10.5703125" style="1" bestFit="1" customWidth="1"/>
    <col min="5386" max="5386" width="10.5703125" style="1" customWidth="1"/>
    <col min="5387" max="5387" width="9.140625" style="1"/>
    <col min="5388" max="5388" width="10.7109375" style="1" customWidth="1"/>
    <col min="5389" max="5389" width="11.7109375" style="1" customWidth="1"/>
    <col min="5390" max="5390" width="13.28515625" style="1" customWidth="1"/>
    <col min="5391" max="5637" width="9.140625" style="1"/>
    <col min="5638" max="5638" width="27.140625" style="1" bestFit="1" customWidth="1"/>
    <col min="5639" max="5639" width="11.7109375" style="1" bestFit="1" customWidth="1"/>
    <col min="5640" max="5640" width="10" style="1" customWidth="1"/>
    <col min="5641" max="5641" width="10.5703125" style="1" bestFit="1" customWidth="1"/>
    <col min="5642" max="5642" width="10.5703125" style="1" customWidth="1"/>
    <col min="5643" max="5643" width="9.140625" style="1"/>
    <col min="5644" max="5644" width="10.7109375" style="1" customWidth="1"/>
    <col min="5645" max="5645" width="11.7109375" style="1" customWidth="1"/>
    <col min="5646" max="5646" width="13.28515625" style="1" customWidth="1"/>
    <col min="5647" max="5893" width="9.140625" style="1"/>
    <col min="5894" max="5894" width="27.140625" style="1" bestFit="1" customWidth="1"/>
    <col min="5895" max="5895" width="11.7109375" style="1" bestFit="1" customWidth="1"/>
    <col min="5896" max="5896" width="10" style="1" customWidth="1"/>
    <col min="5897" max="5897" width="10.5703125" style="1" bestFit="1" customWidth="1"/>
    <col min="5898" max="5898" width="10.5703125" style="1" customWidth="1"/>
    <col min="5899" max="5899" width="9.140625" style="1"/>
    <col min="5900" max="5900" width="10.7109375" style="1" customWidth="1"/>
    <col min="5901" max="5901" width="11.7109375" style="1" customWidth="1"/>
    <col min="5902" max="5902" width="13.28515625" style="1" customWidth="1"/>
    <col min="5903" max="6149" width="9.140625" style="1"/>
    <col min="6150" max="6150" width="27.140625" style="1" bestFit="1" customWidth="1"/>
    <col min="6151" max="6151" width="11.7109375" style="1" bestFit="1" customWidth="1"/>
    <col min="6152" max="6152" width="10" style="1" customWidth="1"/>
    <col min="6153" max="6153" width="10.5703125" style="1" bestFit="1" customWidth="1"/>
    <col min="6154" max="6154" width="10.5703125" style="1" customWidth="1"/>
    <col min="6155" max="6155" width="9.140625" style="1"/>
    <col min="6156" max="6156" width="10.7109375" style="1" customWidth="1"/>
    <col min="6157" max="6157" width="11.7109375" style="1" customWidth="1"/>
    <col min="6158" max="6158" width="13.28515625" style="1" customWidth="1"/>
    <col min="6159" max="6405" width="9.140625" style="1"/>
    <col min="6406" max="6406" width="27.140625" style="1" bestFit="1" customWidth="1"/>
    <col min="6407" max="6407" width="11.7109375" style="1" bestFit="1" customWidth="1"/>
    <col min="6408" max="6408" width="10" style="1" customWidth="1"/>
    <col min="6409" max="6409" width="10.5703125" style="1" bestFit="1" customWidth="1"/>
    <col min="6410" max="6410" width="10.5703125" style="1" customWidth="1"/>
    <col min="6411" max="6411" width="9.140625" style="1"/>
    <col min="6412" max="6412" width="10.7109375" style="1" customWidth="1"/>
    <col min="6413" max="6413" width="11.7109375" style="1" customWidth="1"/>
    <col min="6414" max="6414" width="13.28515625" style="1" customWidth="1"/>
    <col min="6415" max="6661" width="9.140625" style="1"/>
    <col min="6662" max="6662" width="27.140625" style="1" bestFit="1" customWidth="1"/>
    <col min="6663" max="6663" width="11.7109375" style="1" bestFit="1" customWidth="1"/>
    <col min="6664" max="6664" width="10" style="1" customWidth="1"/>
    <col min="6665" max="6665" width="10.5703125" style="1" bestFit="1" customWidth="1"/>
    <col min="6666" max="6666" width="10.5703125" style="1" customWidth="1"/>
    <col min="6667" max="6667" width="9.140625" style="1"/>
    <col min="6668" max="6668" width="10.7109375" style="1" customWidth="1"/>
    <col min="6669" max="6669" width="11.7109375" style="1" customWidth="1"/>
    <col min="6670" max="6670" width="13.28515625" style="1" customWidth="1"/>
    <col min="6671" max="6917" width="9.140625" style="1"/>
    <col min="6918" max="6918" width="27.140625" style="1" bestFit="1" customWidth="1"/>
    <col min="6919" max="6919" width="11.7109375" style="1" bestFit="1" customWidth="1"/>
    <col min="6920" max="6920" width="10" style="1" customWidth="1"/>
    <col min="6921" max="6921" width="10.5703125" style="1" bestFit="1" customWidth="1"/>
    <col min="6922" max="6922" width="10.5703125" style="1" customWidth="1"/>
    <col min="6923" max="6923" width="9.140625" style="1"/>
    <col min="6924" max="6924" width="10.7109375" style="1" customWidth="1"/>
    <col min="6925" max="6925" width="11.7109375" style="1" customWidth="1"/>
    <col min="6926" max="6926" width="13.28515625" style="1" customWidth="1"/>
    <col min="6927" max="7173" width="9.140625" style="1"/>
    <col min="7174" max="7174" width="27.140625" style="1" bestFit="1" customWidth="1"/>
    <col min="7175" max="7175" width="11.7109375" style="1" bestFit="1" customWidth="1"/>
    <col min="7176" max="7176" width="10" style="1" customWidth="1"/>
    <col min="7177" max="7177" width="10.5703125" style="1" bestFit="1" customWidth="1"/>
    <col min="7178" max="7178" width="10.5703125" style="1" customWidth="1"/>
    <col min="7179" max="7179" width="9.140625" style="1"/>
    <col min="7180" max="7180" width="10.7109375" style="1" customWidth="1"/>
    <col min="7181" max="7181" width="11.7109375" style="1" customWidth="1"/>
    <col min="7182" max="7182" width="13.28515625" style="1" customWidth="1"/>
    <col min="7183" max="7429" width="9.140625" style="1"/>
    <col min="7430" max="7430" width="27.140625" style="1" bestFit="1" customWidth="1"/>
    <col min="7431" max="7431" width="11.7109375" style="1" bestFit="1" customWidth="1"/>
    <col min="7432" max="7432" width="10" style="1" customWidth="1"/>
    <col min="7433" max="7433" width="10.5703125" style="1" bestFit="1" customWidth="1"/>
    <col min="7434" max="7434" width="10.5703125" style="1" customWidth="1"/>
    <col min="7435" max="7435" width="9.140625" style="1"/>
    <col min="7436" max="7436" width="10.7109375" style="1" customWidth="1"/>
    <col min="7437" max="7437" width="11.7109375" style="1" customWidth="1"/>
    <col min="7438" max="7438" width="13.28515625" style="1" customWidth="1"/>
    <col min="7439" max="7685" width="9.140625" style="1"/>
    <col min="7686" max="7686" width="27.140625" style="1" bestFit="1" customWidth="1"/>
    <col min="7687" max="7687" width="11.7109375" style="1" bestFit="1" customWidth="1"/>
    <col min="7688" max="7688" width="10" style="1" customWidth="1"/>
    <col min="7689" max="7689" width="10.5703125" style="1" bestFit="1" customWidth="1"/>
    <col min="7690" max="7690" width="10.5703125" style="1" customWidth="1"/>
    <col min="7691" max="7691" width="9.140625" style="1"/>
    <col min="7692" max="7692" width="10.7109375" style="1" customWidth="1"/>
    <col min="7693" max="7693" width="11.7109375" style="1" customWidth="1"/>
    <col min="7694" max="7694" width="13.28515625" style="1" customWidth="1"/>
    <col min="7695" max="7941" width="9.140625" style="1"/>
    <col min="7942" max="7942" width="27.140625" style="1" bestFit="1" customWidth="1"/>
    <col min="7943" max="7943" width="11.7109375" style="1" bestFit="1" customWidth="1"/>
    <col min="7944" max="7944" width="10" style="1" customWidth="1"/>
    <col min="7945" max="7945" width="10.5703125" style="1" bestFit="1" customWidth="1"/>
    <col min="7946" max="7946" width="10.5703125" style="1" customWidth="1"/>
    <col min="7947" max="7947" width="9.140625" style="1"/>
    <col min="7948" max="7948" width="10.7109375" style="1" customWidth="1"/>
    <col min="7949" max="7949" width="11.7109375" style="1" customWidth="1"/>
    <col min="7950" max="7950" width="13.28515625" style="1" customWidth="1"/>
    <col min="7951" max="8197" width="9.140625" style="1"/>
    <col min="8198" max="8198" width="27.140625" style="1" bestFit="1" customWidth="1"/>
    <col min="8199" max="8199" width="11.7109375" style="1" bestFit="1" customWidth="1"/>
    <col min="8200" max="8200" width="10" style="1" customWidth="1"/>
    <col min="8201" max="8201" width="10.5703125" style="1" bestFit="1" customWidth="1"/>
    <col min="8202" max="8202" width="10.5703125" style="1" customWidth="1"/>
    <col min="8203" max="8203" width="9.140625" style="1"/>
    <col min="8204" max="8204" width="10.7109375" style="1" customWidth="1"/>
    <col min="8205" max="8205" width="11.7109375" style="1" customWidth="1"/>
    <col min="8206" max="8206" width="13.28515625" style="1" customWidth="1"/>
    <col min="8207" max="8453" width="9.140625" style="1"/>
    <col min="8454" max="8454" width="27.140625" style="1" bestFit="1" customWidth="1"/>
    <col min="8455" max="8455" width="11.7109375" style="1" bestFit="1" customWidth="1"/>
    <col min="8456" max="8456" width="10" style="1" customWidth="1"/>
    <col min="8457" max="8457" width="10.5703125" style="1" bestFit="1" customWidth="1"/>
    <col min="8458" max="8458" width="10.5703125" style="1" customWidth="1"/>
    <col min="8459" max="8459" width="9.140625" style="1"/>
    <col min="8460" max="8460" width="10.7109375" style="1" customWidth="1"/>
    <col min="8461" max="8461" width="11.7109375" style="1" customWidth="1"/>
    <col min="8462" max="8462" width="13.28515625" style="1" customWidth="1"/>
    <col min="8463" max="8709" width="9.140625" style="1"/>
    <col min="8710" max="8710" width="27.140625" style="1" bestFit="1" customWidth="1"/>
    <col min="8711" max="8711" width="11.7109375" style="1" bestFit="1" customWidth="1"/>
    <col min="8712" max="8712" width="10" style="1" customWidth="1"/>
    <col min="8713" max="8713" width="10.5703125" style="1" bestFit="1" customWidth="1"/>
    <col min="8714" max="8714" width="10.5703125" style="1" customWidth="1"/>
    <col min="8715" max="8715" width="9.140625" style="1"/>
    <col min="8716" max="8716" width="10.7109375" style="1" customWidth="1"/>
    <col min="8717" max="8717" width="11.7109375" style="1" customWidth="1"/>
    <col min="8718" max="8718" width="13.28515625" style="1" customWidth="1"/>
    <col min="8719" max="8965" width="9.140625" style="1"/>
    <col min="8966" max="8966" width="27.140625" style="1" bestFit="1" customWidth="1"/>
    <col min="8967" max="8967" width="11.7109375" style="1" bestFit="1" customWidth="1"/>
    <col min="8968" max="8968" width="10" style="1" customWidth="1"/>
    <col min="8969" max="8969" width="10.5703125" style="1" bestFit="1" customWidth="1"/>
    <col min="8970" max="8970" width="10.5703125" style="1" customWidth="1"/>
    <col min="8971" max="8971" width="9.140625" style="1"/>
    <col min="8972" max="8972" width="10.7109375" style="1" customWidth="1"/>
    <col min="8973" max="8973" width="11.7109375" style="1" customWidth="1"/>
    <col min="8974" max="8974" width="13.28515625" style="1" customWidth="1"/>
    <col min="8975" max="9221" width="9.140625" style="1"/>
    <col min="9222" max="9222" width="27.140625" style="1" bestFit="1" customWidth="1"/>
    <col min="9223" max="9223" width="11.7109375" style="1" bestFit="1" customWidth="1"/>
    <col min="9224" max="9224" width="10" style="1" customWidth="1"/>
    <col min="9225" max="9225" width="10.5703125" style="1" bestFit="1" customWidth="1"/>
    <col min="9226" max="9226" width="10.5703125" style="1" customWidth="1"/>
    <col min="9227" max="9227" width="9.140625" style="1"/>
    <col min="9228" max="9228" width="10.7109375" style="1" customWidth="1"/>
    <col min="9229" max="9229" width="11.7109375" style="1" customWidth="1"/>
    <col min="9230" max="9230" width="13.28515625" style="1" customWidth="1"/>
    <col min="9231" max="9477" width="9.140625" style="1"/>
    <col min="9478" max="9478" width="27.140625" style="1" bestFit="1" customWidth="1"/>
    <col min="9479" max="9479" width="11.7109375" style="1" bestFit="1" customWidth="1"/>
    <col min="9480" max="9480" width="10" style="1" customWidth="1"/>
    <col min="9481" max="9481" width="10.5703125" style="1" bestFit="1" customWidth="1"/>
    <col min="9482" max="9482" width="10.5703125" style="1" customWidth="1"/>
    <col min="9483" max="9483" width="9.140625" style="1"/>
    <col min="9484" max="9484" width="10.7109375" style="1" customWidth="1"/>
    <col min="9485" max="9485" width="11.7109375" style="1" customWidth="1"/>
    <col min="9486" max="9486" width="13.28515625" style="1" customWidth="1"/>
    <col min="9487" max="9733" width="9.140625" style="1"/>
    <col min="9734" max="9734" width="27.140625" style="1" bestFit="1" customWidth="1"/>
    <col min="9735" max="9735" width="11.7109375" style="1" bestFit="1" customWidth="1"/>
    <col min="9736" max="9736" width="10" style="1" customWidth="1"/>
    <col min="9737" max="9737" width="10.5703125" style="1" bestFit="1" customWidth="1"/>
    <col min="9738" max="9738" width="10.5703125" style="1" customWidth="1"/>
    <col min="9739" max="9739" width="9.140625" style="1"/>
    <col min="9740" max="9740" width="10.7109375" style="1" customWidth="1"/>
    <col min="9741" max="9741" width="11.7109375" style="1" customWidth="1"/>
    <col min="9742" max="9742" width="13.28515625" style="1" customWidth="1"/>
    <col min="9743" max="9989" width="9.140625" style="1"/>
    <col min="9990" max="9990" width="27.140625" style="1" bestFit="1" customWidth="1"/>
    <col min="9991" max="9991" width="11.7109375" style="1" bestFit="1" customWidth="1"/>
    <col min="9992" max="9992" width="10" style="1" customWidth="1"/>
    <col min="9993" max="9993" width="10.5703125" style="1" bestFit="1" customWidth="1"/>
    <col min="9994" max="9994" width="10.5703125" style="1" customWidth="1"/>
    <col min="9995" max="9995" width="9.140625" style="1"/>
    <col min="9996" max="9996" width="10.7109375" style="1" customWidth="1"/>
    <col min="9997" max="9997" width="11.7109375" style="1" customWidth="1"/>
    <col min="9998" max="9998" width="13.28515625" style="1" customWidth="1"/>
    <col min="9999" max="10245" width="9.140625" style="1"/>
    <col min="10246" max="10246" width="27.140625" style="1" bestFit="1" customWidth="1"/>
    <col min="10247" max="10247" width="11.7109375" style="1" bestFit="1" customWidth="1"/>
    <col min="10248" max="10248" width="10" style="1" customWidth="1"/>
    <col min="10249" max="10249" width="10.5703125" style="1" bestFit="1" customWidth="1"/>
    <col min="10250" max="10250" width="10.5703125" style="1" customWidth="1"/>
    <col min="10251" max="10251" width="9.140625" style="1"/>
    <col min="10252" max="10252" width="10.7109375" style="1" customWidth="1"/>
    <col min="10253" max="10253" width="11.7109375" style="1" customWidth="1"/>
    <col min="10254" max="10254" width="13.28515625" style="1" customWidth="1"/>
    <col min="10255" max="10501" width="9.140625" style="1"/>
    <col min="10502" max="10502" width="27.140625" style="1" bestFit="1" customWidth="1"/>
    <col min="10503" max="10503" width="11.7109375" style="1" bestFit="1" customWidth="1"/>
    <col min="10504" max="10504" width="10" style="1" customWidth="1"/>
    <col min="10505" max="10505" width="10.5703125" style="1" bestFit="1" customWidth="1"/>
    <col min="10506" max="10506" width="10.5703125" style="1" customWidth="1"/>
    <col min="10507" max="10507" width="9.140625" style="1"/>
    <col min="10508" max="10508" width="10.7109375" style="1" customWidth="1"/>
    <col min="10509" max="10509" width="11.7109375" style="1" customWidth="1"/>
    <col min="10510" max="10510" width="13.28515625" style="1" customWidth="1"/>
    <col min="10511" max="10757" width="9.140625" style="1"/>
    <col min="10758" max="10758" width="27.140625" style="1" bestFit="1" customWidth="1"/>
    <col min="10759" max="10759" width="11.7109375" style="1" bestFit="1" customWidth="1"/>
    <col min="10760" max="10760" width="10" style="1" customWidth="1"/>
    <col min="10761" max="10761" width="10.5703125" style="1" bestFit="1" customWidth="1"/>
    <col min="10762" max="10762" width="10.5703125" style="1" customWidth="1"/>
    <col min="10763" max="10763" width="9.140625" style="1"/>
    <col min="10764" max="10764" width="10.7109375" style="1" customWidth="1"/>
    <col min="10765" max="10765" width="11.7109375" style="1" customWidth="1"/>
    <col min="10766" max="10766" width="13.28515625" style="1" customWidth="1"/>
    <col min="10767" max="11013" width="9.140625" style="1"/>
    <col min="11014" max="11014" width="27.140625" style="1" bestFit="1" customWidth="1"/>
    <col min="11015" max="11015" width="11.7109375" style="1" bestFit="1" customWidth="1"/>
    <col min="11016" max="11016" width="10" style="1" customWidth="1"/>
    <col min="11017" max="11017" width="10.5703125" style="1" bestFit="1" customWidth="1"/>
    <col min="11018" max="11018" width="10.5703125" style="1" customWidth="1"/>
    <col min="11019" max="11019" width="9.140625" style="1"/>
    <col min="11020" max="11020" width="10.7109375" style="1" customWidth="1"/>
    <col min="11021" max="11021" width="11.7109375" style="1" customWidth="1"/>
    <col min="11022" max="11022" width="13.28515625" style="1" customWidth="1"/>
    <col min="11023" max="11269" width="9.140625" style="1"/>
    <col min="11270" max="11270" width="27.140625" style="1" bestFit="1" customWidth="1"/>
    <col min="11271" max="11271" width="11.7109375" style="1" bestFit="1" customWidth="1"/>
    <col min="11272" max="11272" width="10" style="1" customWidth="1"/>
    <col min="11273" max="11273" width="10.5703125" style="1" bestFit="1" customWidth="1"/>
    <col min="11274" max="11274" width="10.5703125" style="1" customWidth="1"/>
    <col min="11275" max="11275" width="9.140625" style="1"/>
    <col min="11276" max="11276" width="10.7109375" style="1" customWidth="1"/>
    <col min="11277" max="11277" width="11.7109375" style="1" customWidth="1"/>
    <col min="11278" max="11278" width="13.28515625" style="1" customWidth="1"/>
    <col min="11279" max="11525" width="9.140625" style="1"/>
    <col min="11526" max="11526" width="27.140625" style="1" bestFit="1" customWidth="1"/>
    <col min="11527" max="11527" width="11.7109375" style="1" bestFit="1" customWidth="1"/>
    <col min="11528" max="11528" width="10" style="1" customWidth="1"/>
    <col min="11529" max="11529" width="10.5703125" style="1" bestFit="1" customWidth="1"/>
    <col min="11530" max="11530" width="10.5703125" style="1" customWidth="1"/>
    <col min="11531" max="11531" width="9.140625" style="1"/>
    <col min="11532" max="11532" width="10.7109375" style="1" customWidth="1"/>
    <col min="11533" max="11533" width="11.7109375" style="1" customWidth="1"/>
    <col min="11534" max="11534" width="13.28515625" style="1" customWidth="1"/>
    <col min="11535" max="11781" width="9.140625" style="1"/>
    <col min="11782" max="11782" width="27.140625" style="1" bestFit="1" customWidth="1"/>
    <col min="11783" max="11783" width="11.7109375" style="1" bestFit="1" customWidth="1"/>
    <col min="11784" max="11784" width="10" style="1" customWidth="1"/>
    <col min="11785" max="11785" width="10.5703125" style="1" bestFit="1" customWidth="1"/>
    <col min="11786" max="11786" width="10.5703125" style="1" customWidth="1"/>
    <col min="11787" max="11787" width="9.140625" style="1"/>
    <col min="11788" max="11788" width="10.7109375" style="1" customWidth="1"/>
    <col min="11789" max="11789" width="11.7109375" style="1" customWidth="1"/>
    <col min="11790" max="11790" width="13.28515625" style="1" customWidth="1"/>
    <col min="11791" max="12037" width="9.140625" style="1"/>
    <col min="12038" max="12038" width="27.140625" style="1" bestFit="1" customWidth="1"/>
    <col min="12039" max="12039" width="11.7109375" style="1" bestFit="1" customWidth="1"/>
    <col min="12040" max="12040" width="10" style="1" customWidth="1"/>
    <col min="12041" max="12041" width="10.5703125" style="1" bestFit="1" customWidth="1"/>
    <col min="12042" max="12042" width="10.5703125" style="1" customWidth="1"/>
    <col min="12043" max="12043" width="9.140625" style="1"/>
    <col min="12044" max="12044" width="10.7109375" style="1" customWidth="1"/>
    <col min="12045" max="12045" width="11.7109375" style="1" customWidth="1"/>
    <col min="12046" max="12046" width="13.28515625" style="1" customWidth="1"/>
    <col min="12047" max="12293" width="9.140625" style="1"/>
    <col min="12294" max="12294" width="27.140625" style="1" bestFit="1" customWidth="1"/>
    <col min="12295" max="12295" width="11.7109375" style="1" bestFit="1" customWidth="1"/>
    <col min="12296" max="12296" width="10" style="1" customWidth="1"/>
    <col min="12297" max="12297" width="10.5703125" style="1" bestFit="1" customWidth="1"/>
    <col min="12298" max="12298" width="10.5703125" style="1" customWidth="1"/>
    <col min="12299" max="12299" width="9.140625" style="1"/>
    <col min="12300" max="12300" width="10.7109375" style="1" customWidth="1"/>
    <col min="12301" max="12301" width="11.7109375" style="1" customWidth="1"/>
    <col min="12302" max="12302" width="13.28515625" style="1" customWidth="1"/>
    <col min="12303" max="12549" width="9.140625" style="1"/>
    <col min="12550" max="12550" width="27.140625" style="1" bestFit="1" customWidth="1"/>
    <col min="12551" max="12551" width="11.7109375" style="1" bestFit="1" customWidth="1"/>
    <col min="12552" max="12552" width="10" style="1" customWidth="1"/>
    <col min="12553" max="12553" width="10.5703125" style="1" bestFit="1" customWidth="1"/>
    <col min="12554" max="12554" width="10.5703125" style="1" customWidth="1"/>
    <col min="12555" max="12555" width="9.140625" style="1"/>
    <col min="12556" max="12556" width="10.7109375" style="1" customWidth="1"/>
    <col min="12557" max="12557" width="11.7109375" style="1" customWidth="1"/>
    <col min="12558" max="12558" width="13.28515625" style="1" customWidth="1"/>
    <col min="12559" max="12805" width="9.140625" style="1"/>
    <col min="12806" max="12806" width="27.140625" style="1" bestFit="1" customWidth="1"/>
    <col min="12807" max="12807" width="11.7109375" style="1" bestFit="1" customWidth="1"/>
    <col min="12808" max="12808" width="10" style="1" customWidth="1"/>
    <col min="12809" max="12809" width="10.5703125" style="1" bestFit="1" customWidth="1"/>
    <col min="12810" max="12810" width="10.5703125" style="1" customWidth="1"/>
    <col min="12811" max="12811" width="9.140625" style="1"/>
    <col min="12812" max="12812" width="10.7109375" style="1" customWidth="1"/>
    <col min="12813" max="12813" width="11.7109375" style="1" customWidth="1"/>
    <col min="12814" max="12814" width="13.28515625" style="1" customWidth="1"/>
    <col min="12815" max="13061" width="9.140625" style="1"/>
    <col min="13062" max="13062" width="27.140625" style="1" bestFit="1" customWidth="1"/>
    <col min="13063" max="13063" width="11.7109375" style="1" bestFit="1" customWidth="1"/>
    <col min="13064" max="13064" width="10" style="1" customWidth="1"/>
    <col min="13065" max="13065" width="10.5703125" style="1" bestFit="1" customWidth="1"/>
    <col min="13066" max="13066" width="10.5703125" style="1" customWidth="1"/>
    <col min="13067" max="13067" width="9.140625" style="1"/>
    <col min="13068" max="13068" width="10.7109375" style="1" customWidth="1"/>
    <col min="13069" max="13069" width="11.7109375" style="1" customWidth="1"/>
    <col min="13070" max="13070" width="13.28515625" style="1" customWidth="1"/>
    <col min="13071" max="13317" width="9.140625" style="1"/>
    <col min="13318" max="13318" width="27.140625" style="1" bestFit="1" customWidth="1"/>
    <col min="13319" max="13319" width="11.7109375" style="1" bestFit="1" customWidth="1"/>
    <col min="13320" max="13320" width="10" style="1" customWidth="1"/>
    <col min="13321" max="13321" width="10.5703125" style="1" bestFit="1" customWidth="1"/>
    <col min="13322" max="13322" width="10.5703125" style="1" customWidth="1"/>
    <col min="13323" max="13323" width="9.140625" style="1"/>
    <col min="13324" max="13324" width="10.7109375" style="1" customWidth="1"/>
    <col min="13325" max="13325" width="11.7109375" style="1" customWidth="1"/>
    <col min="13326" max="13326" width="13.28515625" style="1" customWidth="1"/>
    <col min="13327" max="13573" width="9.140625" style="1"/>
    <col min="13574" max="13574" width="27.140625" style="1" bestFit="1" customWidth="1"/>
    <col min="13575" max="13575" width="11.7109375" style="1" bestFit="1" customWidth="1"/>
    <col min="13576" max="13576" width="10" style="1" customWidth="1"/>
    <col min="13577" max="13577" width="10.5703125" style="1" bestFit="1" customWidth="1"/>
    <col min="13578" max="13578" width="10.5703125" style="1" customWidth="1"/>
    <col min="13579" max="13579" width="9.140625" style="1"/>
    <col min="13580" max="13580" width="10.7109375" style="1" customWidth="1"/>
    <col min="13581" max="13581" width="11.7109375" style="1" customWidth="1"/>
    <col min="13582" max="13582" width="13.28515625" style="1" customWidth="1"/>
    <col min="13583" max="13829" width="9.140625" style="1"/>
    <col min="13830" max="13830" width="27.140625" style="1" bestFit="1" customWidth="1"/>
    <col min="13831" max="13831" width="11.7109375" style="1" bestFit="1" customWidth="1"/>
    <col min="13832" max="13832" width="10" style="1" customWidth="1"/>
    <col min="13833" max="13833" width="10.5703125" style="1" bestFit="1" customWidth="1"/>
    <col min="13834" max="13834" width="10.5703125" style="1" customWidth="1"/>
    <col min="13835" max="13835" width="9.140625" style="1"/>
    <col min="13836" max="13836" width="10.7109375" style="1" customWidth="1"/>
    <col min="13837" max="13837" width="11.7109375" style="1" customWidth="1"/>
    <col min="13838" max="13838" width="13.28515625" style="1" customWidth="1"/>
    <col min="13839" max="14085" width="9.140625" style="1"/>
    <col min="14086" max="14086" width="27.140625" style="1" bestFit="1" customWidth="1"/>
    <col min="14087" max="14087" width="11.7109375" style="1" bestFit="1" customWidth="1"/>
    <col min="14088" max="14088" width="10" style="1" customWidth="1"/>
    <col min="14089" max="14089" width="10.5703125" style="1" bestFit="1" customWidth="1"/>
    <col min="14090" max="14090" width="10.5703125" style="1" customWidth="1"/>
    <col min="14091" max="14091" width="9.140625" style="1"/>
    <col min="14092" max="14092" width="10.7109375" style="1" customWidth="1"/>
    <col min="14093" max="14093" width="11.7109375" style="1" customWidth="1"/>
    <col min="14094" max="14094" width="13.28515625" style="1" customWidth="1"/>
    <col min="14095" max="14341" width="9.140625" style="1"/>
    <col min="14342" max="14342" width="27.140625" style="1" bestFit="1" customWidth="1"/>
    <col min="14343" max="14343" width="11.7109375" style="1" bestFit="1" customWidth="1"/>
    <col min="14344" max="14344" width="10" style="1" customWidth="1"/>
    <col min="14345" max="14345" width="10.5703125" style="1" bestFit="1" customWidth="1"/>
    <col min="14346" max="14346" width="10.5703125" style="1" customWidth="1"/>
    <col min="14347" max="14347" width="9.140625" style="1"/>
    <col min="14348" max="14348" width="10.7109375" style="1" customWidth="1"/>
    <col min="14349" max="14349" width="11.7109375" style="1" customWidth="1"/>
    <col min="14350" max="14350" width="13.28515625" style="1" customWidth="1"/>
    <col min="14351" max="14597" width="9.140625" style="1"/>
    <col min="14598" max="14598" width="27.140625" style="1" bestFit="1" customWidth="1"/>
    <col min="14599" max="14599" width="11.7109375" style="1" bestFit="1" customWidth="1"/>
    <col min="14600" max="14600" width="10" style="1" customWidth="1"/>
    <col min="14601" max="14601" width="10.5703125" style="1" bestFit="1" customWidth="1"/>
    <col min="14602" max="14602" width="10.5703125" style="1" customWidth="1"/>
    <col min="14603" max="14603" width="9.140625" style="1"/>
    <col min="14604" max="14604" width="10.7109375" style="1" customWidth="1"/>
    <col min="14605" max="14605" width="11.7109375" style="1" customWidth="1"/>
    <col min="14606" max="14606" width="13.28515625" style="1" customWidth="1"/>
    <col min="14607" max="14853" width="9.140625" style="1"/>
    <col min="14854" max="14854" width="27.140625" style="1" bestFit="1" customWidth="1"/>
    <col min="14855" max="14855" width="11.7109375" style="1" bestFit="1" customWidth="1"/>
    <col min="14856" max="14856" width="10" style="1" customWidth="1"/>
    <col min="14857" max="14857" width="10.5703125" style="1" bestFit="1" customWidth="1"/>
    <col min="14858" max="14858" width="10.5703125" style="1" customWidth="1"/>
    <col min="14859" max="14859" width="9.140625" style="1"/>
    <col min="14860" max="14860" width="10.7109375" style="1" customWidth="1"/>
    <col min="14861" max="14861" width="11.7109375" style="1" customWidth="1"/>
    <col min="14862" max="14862" width="13.28515625" style="1" customWidth="1"/>
    <col min="14863" max="15109" width="9.140625" style="1"/>
    <col min="15110" max="15110" width="27.140625" style="1" bestFit="1" customWidth="1"/>
    <col min="15111" max="15111" width="11.7109375" style="1" bestFit="1" customWidth="1"/>
    <col min="15112" max="15112" width="10" style="1" customWidth="1"/>
    <col min="15113" max="15113" width="10.5703125" style="1" bestFit="1" customWidth="1"/>
    <col min="15114" max="15114" width="10.5703125" style="1" customWidth="1"/>
    <col min="15115" max="15115" width="9.140625" style="1"/>
    <col min="15116" max="15116" width="10.7109375" style="1" customWidth="1"/>
    <col min="15117" max="15117" width="11.7109375" style="1" customWidth="1"/>
    <col min="15118" max="15118" width="13.28515625" style="1" customWidth="1"/>
    <col min="15119" max="15365" width="9.140625" style="1"/>
    <col min="15366" max="15366" width="27.140625" style="1" bestFit="1" customWidth="1"/>
    <col min="15367" max="15367" width="11.7109375" style="1" bestFit="1" customWidth="1"/>
    <col min="15368" max="15368" width="10" style="1" customWidth="1"/>
    <col min="15369" max="15369" width="10.5703125" style="1" bestFit="1" customWidth="1"/>
    <col min="15370" max="15370" width="10.5703125" style="1" customWidth="1"/>
    <col min="15371" max="15371" width="9.140625" style="1"/>
    <col min="15372" max="15372" width="10.7109375" style="1" customWidth="1"/>
    <col min="15373" max="15373" width="11.7109375" style="1" customWidth="1"/>
    <col min="15374" max="15374" width="13.28515625" style="1" customWidth="1"/>
    <col min="15375" max="15621" width="9.140625" style="1"/>
    <col min="15622" max="15622" width="27.140625" style="1" bestFit="1" customWidth="1"/>
    <col min="15623" max="15623" width="11.7109375" style="1" bestFit="1" customWidth="1"/>
    <col min="15624" max="15624" width="10" style="1" customWidth="1"/>
    <col min="15625" max="15625" width="10.5703125" style="1" bestFit="1" customWidth="1"/>
    <col min="15626" max="15626" width="10.5703125" style="1" customWidth="1"/>
    <col min="15627" max="15627" width="9.140625" style="1"/>
    <col min="15628" max="15628" width="10.7109375" style="1" customWidth="1"/>
    <col min="15629" max="15629" width="11.7109375" style="1" customWidth="1"/>
    <col min="15630" max="15630" width="13.28515625" style="1" customWidth="1"/>
    <col min="15631" max="15877" width="9.140625" style="1"/>
    <col min="15878" max="15878" width="27.140625" style="1" bestFit="1" customWidth="1"/>
    <col min="15879" max="15879" width="11.7109375" style="1" bestFit="1" customWidth="1"/>
    <col min="15880" max="15880" width="10" style="1" customWidth="1"/>
    <col min="15881" max="15881" width="10.5703125" style="1" bestFit="1" customWidth="1"/>
    <col min="15882" max="15882" width="10.5703125" style="1" customWidth="1"/>
    <col min="15883" max="15883" width="9.140625" style="1"/>
    <col min="15884" max="15884" width="10.7109375" style="1" customWidth="1"/>
    <col min="15885" max="15885" width="11.7109375" style="1" customWidth="1"/>
    <col min="15886" max="15886" width="13.28515625" style="1" customWidth="1"/>
    <col min="15887" max="16133" width="9.140625" style="1"/>
    <col min="16134" max="16134" width="27.140625" style="1" bestFit="1" customWidth="1"/>
    <col min="16135" max="16135" width="11.7109375" style="1" bestFit="1" customWidth="1"/>
    <col min="16136" max="16136" width="10" style="1" customWidth="1"/>
    <col min="16137" max="16137" width="10.5703125" style="1" bestFit="1" customWidth="1"/>
    <col min="16138" max="16138" width="10.5703125" style="1" customWidth="1"/>
    <col min="16139" max="16139" width="9.140625" style="1"/>
    <col min="16140" max="16140" width="10.7109375" style="1" customWidth="1"/>
    <col min="16141" max="16141" width="11.7109375" style="1" customWidth="1"/>
    <col min="16142" max="16142" width="13.28515625" style="1" customWidth="1"/>
    <col min="16143" max="16384" width="9.140625" style="1"/>
  </cols>
  <sheetData>
    <row r="1" spans="1:19" ht="18.75" x14ac:dyDescent="0.3">
      <c r="D1" s="2" t="s">
        <v>0</v>
      </c>
      <c r="E1" s="3"/>
      <c r="F1" s="3"/>
      <c r="G1" s="4"/>
      <c r="H1" s="4"/>
      <c r="I1" s="1">
        <f>8*6*4</f>
        <v>192</v>
      </c>
    </row>
    <row r="2" spans="1:19" s="6" customFormat="1" ht="15.75" x14ac:dyDescent="0.25">
      <c r="D2" s="7" t="s">
        <v>229</v>
      </c>
      <c r="E2" s="8"/>
      <c r="F2" s="8"/>
      <c r="J2" s="9"/>
    </row>
    <row r="3" spans="1:19" x14ac:dyDescent="0.25">
      <c r="D3" s="10"/>
      <c r="M3" s="12" t="s">
        <v>2</v>
      </c>
    </row>
    <row r="4" spans="1:19" s="12" customFormat="1" ht="30" x14ac:dyDescent="0.25">
      <c r="C4" s="13" t="s">
        <v>3</v>
      </c>
      <c r="D4" s="14" t="s">
        <v>4</v>
      </c>
      <c r="E4" s="15" t="s">
        <v>5</v>
      </c>
      <c r="F4" s="15" t="s">
        <v>6</v>
      </c>
      <c r="G4" s="16" t="s">
        <v>7</v>
      </c>
      <c r="H4" s="16" t="s">
        <v>7</v>
      </c>
      <c r="I4" s="16" t="s">
        <v>8</v>
      </c>
      <c r="J4" s="17" t="s">
        <v>9</v>
      </c>
      <c r="K4" s="18" t="s">
        <v>10</v>
      </c>
      <c r="L4" s="19" t="s">
        <v>11</v>
      </c>
      <c r="M4" s="16" t="s">
        <v>12</v>
      </c>
      <c r="N4" s="16" t="s">
        <v>13</v>
      </c>
      <c r="O4" s="20" t="s">
        <v>14</v>
      </c>
      <c r="S4" s="21"/>
    </row>
    <row r="5" spans="1:19" s="22" customFormat="1" x14ac:dyDescent="0.25">
      <c r="C5" s="23"/>
      <c r="D5" s="24" t="s">
        <v>15</v>
      </c>
      <c r="E5" s="25" t="s">
        <v>16</v>
      </c>
      <c r="F5" s="25" t="s">
        <v>17</v>
      </c>
      <c r="G5" s="26" t="s">
        <v>18</v>
      </c>
      <c r="H5" s="26" t="s">
        <v>19</v>
      </c>
      <c r="I5" s="27">
        <v>0.1</v>
      </c>
      <c r="J5" s="28" t="s">
        <v>20</v>
      </c>
      <c r="K5" s="29">
        <v>1.2E-2</v>
      </c>
      <c r="L5" s="29">
        <v>1.6E-2</v>
      </c>
      <c r="M5" s="29">
        <v>0.16500000000000001</v>
      </c>
      <c r="N5" s="30"/>
      <c r="O5" s="31"/>
      <c r="S5" s="32"/>
    </row>
    <row r="6" spans="1:19" x14ac:dyDescent="0.25">
      <c r="A6" s="1">
        <v>1</v>
      </c>
      <c r="B6" s="1">
        <v>1</v>
      </c>
      <c r="C6" s="33" t="s">
        <v>21</v>
      </c>
      <c r="D6" s="34">
        <v>50000</v>
      </c>
      <c r="E6" s="35">
        <v>66</v>
      </c>
      <c r="F6" s="35">
        <v>6</v>
      </c>
      <c r="G6" s="34">
        <f t="shared" ref="G6:G16" si="0">D6/192*1.5*E6</f>
        <v>25781.25</v>
      </c>
      <c r="H6" s="34">
        <f>D6/192*2*F6</f>
        <v>3125</v>
      </c>
      <c r="I6" s="36">
        <f t="shared" ref="I6:I16" si="1">D6*$I$5</f>
        <v>5000</v>
      </c>
      <c r="J6" s="37">
        <v>10000</v>
      </c>
      <c r="K6" s="37">
        <f t="shared" ref="K6:K18" si="2">D6*$K$5</f>
        <v>600</v>
      </c>
      <c r="L6" s="36">
        <f t="shared" ref="L6:L18" si="3">D6*$L$5</f>
        <v>800</v>
      </c>
      <c r="M6" s="36">
        <f>(D6*0.5%)*16.5%</f>
        <v>41.25</v>
      </c>
      <c r="N6" s="38">
        <f t="shared" ref="N6:N18" si="4">+D6+G6+H6+I6+J6+K6+L6+M6</f>
        <v>95347.5</v>
      </c>
      <c r="O6" s="39" t="s">
        <v>22</v>
      </c>
      <c r="S6" s="5"/>
    </row>
    <row r="7" spans="1:19" x14ac:dyDescent="0.25">
      <c r="A7" s="1">
        <f>1+A6</f>
        <v>2</v>
      </c>
      <c r="B7" s="1">
        <f t="shared" ref="B7:B18" si="5">1+B6</f>
        <v>2</v>
      </c>
      <c r="C7" s="40" t="s">
        <v>23</v>
      </c>
      <c r="D7" s="34">
        <v>50000</v>
      </c>
      <c r="E7" s="35"/>
      <c r="F7" s="35">
        <v>6</v>
      </c>
      <c r="G7" s="34">
        <f t="shared" si="0"/>
        <v>0</v>
      </c>
      <c r="H7" s="34">
        <f t="shared" ref="H7:H16" si="6">D7/192*2*F7</f>
        <v>3125</v>
      </c>
      <c r="I7" s="36">
        <f t="shared" si="1"/>
        <v>5000</v>
      </c>
      <c r="J7" s="37">
        <v>10000</v>
      </c>
      <c r="K7" s="37">
        <f t="shared" si="2"/>
        <v>600</v>
      </c>
      <c r="L7" s="36">
        <f t="shared" si="3"/>
        <v>800</v>
      </c>
      <c r="M7" s="36">
        <f t="shared" ref="M7:M18" si="7">(D7*0.5%)*16.5%</f>
        <v>41.25</v>
      </c>
      <c r="N7" s="38">
        <f t="shared" si="4"/>
        <v>69566.25</v>
      </c>
      <c r="O7" s="39" t="s">
        <v>22</v>
      </c>
      <c r="S7" s="5"/>
    </row>
    <row r="8" spans="1:19" x14ac:dyDescent="0.25">
      <c r="A8" s="1">
        <f t="shared" ref="A8:A39" si="8">1+A7</f>
        <v>3</v>
      </c>
      <c r="B8" s="1">
        <f t="shared" si="5"/>
        <v>3</v>
      </c>
      <c r="C8" s="40" t="s">
        <v>24</v>
      </c>
      <c r="D8" s="34">
        <v>55650</v>
      </c>
      <c r="E8" s="35"/>
      <c r="F8" s="35"/>
      <c r="G8" s="34">
        <f t="shared" si="0"/>
        <v>0</v>
      </c>
      <c r="H8" s="34">
        <f t="shared" si="6"/>
        <v>0</v>
      </c>
      <c r="I8" s="36">
        <f t="shared" si="1"/>
        <v>5565</v>
      </c>
      <c r="J8" s="37">
        <v>10000</v>
      </c>
      <c r="K8" s="37">
        <f t="shared" si="2"/>
        <v>667.80000000000007</v>
      </c>
      <c r="L8" s="36">
        <f t="shared" si="3"/>
        <v>890.4</v>
      </c>
      <c r="M8" s="36">
        <f t="shared" si="7"/>
        <v>45.911250000000003</v>
      </c>
      <c r="N8" s="38">
        <f t="shared" si="4"/>
        <v>72819.111250000002</v>
      </c>
      <c r="O8" s="39" t="s">
        <v>22</v>
      </c>
      <c r="S8" s="5"/>
    </row>
    <row r="9" spans="1:19" x14ac:dyDescent="0.25">
      <c r="A9" s="1">
        <f t="shared" si="8"/>
        <v>4</v>
      </c>
      <c r="B9" s="1">
        <f t="shared" si="5"/>
        <v>4</v>
      </c>
      <c r="C9" s="40" t="s">
        <v>25</v>
      </c>
      <c r="D9" s="34">
        <v>50000</v>
      </c>
      <c r="E9" s="35"/>
      <c r="F9" s="35">
        <v>6</v>
      </c>
      <c r="G9" s="34">
        <f t="shared" si="0"/>
        <v>0</v>
      </c>
      <c r="H9" s="34">
        <f t="shared" si="6"/>
        <v>3125</v>
      </c>
      <c r="I9" s="36">
        <f t="shared" si="1"/>
        <v>5000</v>
      </c>
      <c r="J9" s="37">
        <v>10000</v>
      </c>
      <c r="K9" s="37">
        <f t="shared" si="2"/>
        <v>600</v>
      </c>
      <c r="L9" s="36">
        <f t="shared" si="3"/>
        <v>800</v>
      </c>
      <c r="M9" s="36">
        <f t="shared" si="7"/>
        <v>41.25</v>
      </c>
      <c r="N9" s="38">
        <f t="shared" si="4"/>
        <v>69566.25</v>
      </c>
      <c r="O9" s="39" t="s">
        <v>22</v>
      </c>
      <c r="S9" s="5"/>
    </row>
    <row r="10" spans="1:19" x14ac:dyDescent="0.25">
      <c r="A10" s="1">
        <f t="shared" si="8"/>
        <v>5</v>
      </c>
      <c r="B10" s="1">
        <f t="shared" si="5"/>
        <v>5</v>
      </c>
      <c r="C10" s="40" t="s">
        <v>26</v>
      </c>
      <c r="D10" s="34">
        <v>50000</v>
      </c>
      <c r="E10" s="35">
        <v>3</v>
      </c>
      <c r="F10" s="35"/>
      <c r="G10" s="34">
        <f t="shared" si="0"/>
        <v>1171.875</v>
      </c>
      <c r="H10" s="34">
        <f t="shared" si="6"/>
        <v>0</v>
      </c>
      <c r="I10" s="36">
        <f t="shared" si="1"/>
        <v>5000</v>
      </c>
      <c r="J10" s="37">
        <v>10000</v>
      </c>
      <c r="K10" s="37">
        <f t="shared" si="2"/>
        <v>600</v>
      </c>
      <c r="L10" s="36">
        <f t="shared" si="3"/>
        <v>800</v>
      </c>
      <c r="M10" s="36">
        <f t="shared" si="7"/>
        <v>41.25</v>
      </c>
      <c r="N10" s="38">
        <f t="shared" si="4"/>
        <v>67613.125</v>
      </c>
      <c r="O10" s="39" t="s">
        <v>22</v>
      </c>
      <c r="S10" s="5"/>
    </row>
    <row r="11" spans="1:19" x14ac:dyDescent="0.25">
      <c r="A11" s="1">
        <f t="shared" si="8"/>
        <v>6</v>
      </c>
      <c r="B11" s="1">
        <f t="shared" si="5"/>
        <v>6</v>
      </c>
      <c r="C11" s="40" t="s">
        <v>27</v>
      </c>
      <c r="D11" s="34">
        <v>77910</v>
      </c>
      <c r="E11" s="35">
        <v>13</v>
      </c>
      <c r="F11" s="35">
        <v>8</v>
      </c>
      <c r="G11" s="34">
        <f t="shared" si="0"/>
        <v>7912.734375</v>
      </c>
      <c r="H11" s="34">
        <f t="shared" si="6"/>
        <v>6492.5</v>
      </c>
      <c r="I11" s="36">
        <f t="shared" si="1"/>
        <v>7791</v>
      </c>
      <c r="J11" s="37">
        <v>10000</v>
      </c>
      <c r="K11" s="37">
        <f t="shared" si="2"/>
        <v>934.92000000000007</v>
      </c>
      <c r="L11" s="36">
        <f t="shared" si="3"/>
        <v>1246.56</v>
      </c>
      <c r="M11" s="36">
        <f t="shared" si="7"/>
        <v>64.275750000000002</v>
      </c>
      <c r="N11" s="38">
        <f t="shared" si="4"/>
        <v>112351.990125</v>
      </c>
      <c r="O11" s="39" t="s">
        <v>22</v>
      </c>
      <c r="S11" s="5"/>
    </row>
    <row r="12" spans="1:19" x14ac:dyDescent="0.25">
      <c r="A12" s="1">
        <f t="shared" si="8"/>
        <v>7</v>
      </c>
      <c r="B12" s="1">
        <v>7</v>
      </c>
      <c r="C12" s="41" t="s">
        <v>28</v>
      </c>
      <c r="D12" s="34">
        <v>50000</v>
      </c>
      <c r="E12" s="35"/>
      <c r="F12" s="35"/>
      <c r="G12" s="34">
        <f t="shared" si="0"/>
        <v>0</v>
      </c>
      <c r="H12" s="34">
        <f t="shared" si="6"/>
        <v>0</v>
      </c>
      <c r="I12" s="36">
        <f t="shared" si="1"/>
        <v>5000</v>
      </c>
      <c r="J12" s="37">
        <f>5000+5000</f>
        <v>10000</v>
      </c>
      <c r="K12" s="37">
        <f t="shared" si="2"/>
        <v>600</v>
      </c>
      <c r="L12" s="36">
        <f t="shared" si="3"/>
        <v>800</v>
      </c>
      <c r="M12" s="36">
        <f t="shared" si="7"/>
        <v>41.25</v>
      </c>
      <c r="N12" s="38">
        <f t="shared" si="4"/>
        <v>66441.25</v>
      </c>
      <c r="O12" s="39" t="s">
        <v>22</v>
      </c>
      <c r="S12" s="5"/>
    </row>
    <row r="13" spans="1:19" x14ac:dyDescent="0.25">
      <c r="A13" s="1">
        <f t="shared" si="8"/>
        <v>8</v>
      </c>
      <c r="B13" s="1">
        <v>8</v>
      </c>
      <c r="C13" s="41" t="s">
        <v>29</v>
      </c>
      <c r="D13" s="34">
        <v>56763</v>
      </c>
      <c r="E13" s="35"/>
      <c r="F13" s="35">
        <v>6</v>
      </c>
      <c r="G13" s="34">
        <f t="shared" si="0"/>
        <v>0</v>
      </c>
      <c r="H13" s="34">
        <f t="shared" si="6"/>
        <v>3547.6875</v>
      </c>
      <c r="I13" s="36">
        <f t="shared" si="1"/>
        <v>5676.3</v>
      </c>
      <c r="J13" s="37">
        <v>10000</v>
      </c>
      <c r="K13" s="37">
        <f t="shared" si="2"/>
        <v>681.15600000000006</v>
      </c>
      <c r="L13" s="36">
        <f t="shared" si="3"/>
        <v>908.20799999999997</v>
      </c>
      <c r="M13" s="36">
        <f t="shared" si="7"/>
        <v>46.829475000000002</v>
      </c>
      <c r="N13" s="38">
        <f t="shared" si="4"/>
        <v>77623.18097500001</v>
      </c>
      <c r="O13" s="39" t="s">
        <v>22</v>
      </c>
    </row>
    <row r="14" spans="1:19" x14ac:dyDescent="0.25">
      <c r="A14" s="1">
        <f t="shared" si="8"/>
        <v>9</v>
      </c>
      <c r="B14" s="1">
        <f t="shared" si="5"/>
        <v>9</v>
      </c>
      <c r="C14" s="41" t="s">
        <v>30</v>
      </c>
      <c r="D14" s="34">
        <v>50000</v>
      </c>
      <c r="E14" s="35">
        <v>5</v>
      </c>
      <c r="F14" s="35"/>
      <c r="G14" s="34">
        <f t="shared" si="0"/>
        <v>1953.125</v>
      </c>
      <c r="H14" s="34">
        <f t="shared" si="6"/>
        <v>0</v>
      </c>
      <c r="I14" s="36">
        <f t="shared" si="1"/>
        <v>5000</v>
      </c>
      <c r="J14" s="37">
        <v>10000</v>
      </c>
      <c r="K14" s="37">
        <f t="shared" si="2"/>
        <v>600</v>
      </c>
      <c r="L14" s="36">
        <f t="shared" si="3"/>
        <v>800</v>
      </c>
      <c r="M14" s="36">
        <f t="shared" si="7"/>
        <v>41.25</v>
      </c>
      <c r="N14" s="38">
        <f t="shared" si="4"/>
        <v>68394.375</v>
      </c>
      <c r="O14" s="39" t="s">
        <v>22</v>
      </c>
    </row>
    <row r="15" spans="1:19" x14ac:dyDescent="0.25">
      <c r="A15" s="1">
        <f t="shared" si="8"/>
        <v>10</v>
      </c>
      <c r="B15" s="1">
        <f t="shared" si="5"/>
        <v>10</v>
      </c>
      <c r="C15" s="41" t="s">
        <v>31</v>
      </c>
      <c r="D15" s="34">
        <v>50000</v>
      </c>
      <c r="E15" s="35">
        <v>66</v>
      </c>
      <c r="F15" s="35">
        <v>6</v>
      </c>
      <c r="G15" s="34">
        <f t="shared" si="0"/>
        <v>25781.25</v>
      </c>
      <c r="H15" s="34">
        <f t="shared" si="6"/>
        <v>3125</v>
      </c>
      <c r="I15" s="36">
        <f t="shared" si="1"/>
        <v>5000</v>
      </c>
      <c r="J15" s="37">
        <v>10000</v>
      </c>
      <c r="K15" s="37">
        <f t="shared" si="2"/>
        <v>600</v>
      </c>
      <c r="L15" s="36">
        <f t="shared" si="3"/>
        <v>800</v>
      </c>
      <c r="M15" s="36">
        <f t="shared" si="7"/>
        <v>41.25</v>
      </c>
      <c r="N15" s="38">
        <f t="shared" si="4"/>
        <v>95347.5</v>
      </c>
      <c r="O15" s="39" t="s">
        <v>22</v>
      </c>
    </row>
    <row r="16" spans="1:19" x14ac:dyDescent="0.25">
      <c r="A16" s="1">
        <f t="shared" si="8"/>
        <v>11</v>
      </c>
      <c r="B16" s="1">
        <f t="shared" si="5"/>
        <v>11</v>
      </c>
      <c r="C16" s="41" t="s">
        <v>32</v>
      </c>
      <c r="D16" s="34">
        <v>62328</v>
      </c>
      <c r="E16" s="35">
        <v>32</v>
      </c>
      <c r="F16" s="35">
        <v>9.5</v>
      </c>
      <c r="G16" s="34">
        <f t="shared" si="0"/>
        <v>15582</v>
      </c>
      <c r="H16" s="34">
        <f t="shared" si="6"/>
        <v>6167.875</v>
      </c>
      <c r="I16" s="36">
        <f t="shared" si="1"/>
        <v>6232.8</v>
      </c>
      <c r="J16" s="37">
        <v>10000</v>
      </c>
      <c r="K16" s="37">
        <f t="shared" si="2"/>
        <v>747.93600000000004</v>
      </c>
      <c r="L16" s="36">
        <f t="shared" si="3"/>
        <v>997.24800000000005</v>
      </c>
      <c r="M16" s="36">
        <f t="shared" si="7"/>
        <v>51.4206</v>
      </c>
      <c r="N16" s="38">
        <f t="shared" si="4"/>
        <v>102107.27960000001</v>
      </c>
      <c r="O16" s="39" t="s">
        <v>22</v>
      </c>
    </row>
    <row r="17" spans="1:19" s="47" customFormat="1" x14ac:dyDescent="0.25">
      <c r="A17" s="1">
        <f t="shared" si="8"/>
        <v>12</v>
      </c>
      <c r="B17" s="1">
        <f t="shared" si="5"/>
        <v>12</v>
      </c>
      <c r="C17" s="42" t="s">
        <v>127</v>
      </c>
      <c r="D17" s="34">
        <f>((50000/192)*E17)+(50000/192)*2*F17</f>
        <v>45572.916666666672</v>
      </c>
      <c r="E17" s="43">
        <v>163</v>
      </c>
      <c r="F17" s="43">
        <v>6</v>
      </c>
      <c r="G17" s="34"/>
      <c r="H17" s="34"/>
      <c r="I17" s="34"/>
      <c r="J17" s="44"/>
      <c r="K17" s="37">
        <f t="shared" si="2"/>
        <v>546.87500000000011</v>
      </c>
      <c r="L17" s="36">
        <f t="shared" si="3"/>
        <v>729.16666666666674</v>
      </c>
      <c r="M17" s="36">
        <f t="shared" si="7"/>
        <v>37.597656250000007</v>
      </c>
      <c r="N17" s="45">
        <f t="shared" si="4"/>
        <v>46886.555989583336</v>
      </c>
      <c r="O17" s="46" t="s">
        <v>22</v>
      </c>
    </row>
    <row r="18" spans="1:19" x14ac:dyDescent="0.25">
      <c r="A18" s="1">
        <f t="shared" si="8"/>
        <v>13</v>
      </c>
      <c r="B18" s="1">
        <f t="shared" si="5"/>
        <v>13</v>
      </c>
      <c r="C18" s="41" t="s">
        <v>126</v>
      </c>
      <c r="D18" s="34">
        <f>((50000/192)*E18)+(50000/192)*2*F18</f>
        <v>17708.333333333336</v>
      </c>
      <c r="E18" s="35">
        <v>68</v>
      </c>
      <c r="F18" s="35">
        <v>0</v>
      </c>
      <c r="G18" s="36"/>
      <c r="H18" s="36"/>
      <c r="I18" s="36"/>
      <c r="J18" s="37"/>
      <c r="K18" s="37">
        <f t="shared" si="2"/>
        <v>212.50000000000003</v>
      </c>
      <c r="L18" s="36">
        <f t="shared" si="3"/>
        <v>283.33333333333337</v>
      </c>
      <c r="M18" s="36">
        <f t="shared" si="7"/>
        <v>14.609375000000004</v>
      </c>
      <c r="N18" s="38">
        <f t="shared" si="4"/>
        <v>18218.776041666668</v>
      </c>
      <c r="O18" s="39" t="s">
        <v>22</v>
      </c>
    </row>
    <row r="19" spans="1:19" s="12" customFormat="1" x14ac:dyDescent="0.25">
      <c r="A19" s="1"/>
      <c r="C19" s="48" t="s">
        <v>33</v>
      </c>
      <c r="D19" s="45">
        <f>SUM(D6:D18)</f>
        <v>665932.25</v>
      </c>
      <c r="E19" s="49"/>
      <c r="F19" s="45"/>
      <c r="G19" s="45">
        <f t="shared" ref="G19:N19" si="9">SUM(G6:G18)</f>
        <v>78182.234375</v>
      </c>
      <c r="H19" s="45">
        <f t="shared" si="9"/>
        <v>28708.0625</v>
      </c>
      <c r="I19" s="45">
        <f t="shared" si="9"/>
        <v>60265.100000000006</v>
      </c>
      <c r="J19" s="45">
        <f t="shared" si="9"/>
        <v>110000</v>
      </c>
      <c r="K19" s="45">
        <f t="shared" si="9"/>
        <v>7991.1869999999999</v>
      </c>
      <c r="L19" s="45">
        <f t="shared" si="9"/>
        <v>10654.915999999999</v>
      </c>
      <c r="M19" s="45">
        <f t="shared" si="9"/>
        <v>549.39410625000005</v>
      </c>
      <c r="N19" s="45">
        <f t="shared" si="9"/>
        <v>962283.14398125012</v>
      </c>
      <c r="O19" s="50"/>
      <c r="Q19" s="51"/>
    </row>
    <row r="20" spans="1:19" x14ac:dyDescent="0.25">
      <c r="C20" s="40"/>
      <c r="D20" s="34"/>
      <c r="E20" s="35"/>
      <c r="F20" s="35"/>
      <c r="G20" s="36"/>
      <c r="H20" s="36"/>
      <c r="I20" s="40"/>
      <c r="J20" s="37"/>
      <c r="K20" s="40"/>
      <c r="L20" s="40"/>
      <c r="M20" s="36"/>
      <c r="N20" s="38"/>
      <c r="O20" s="40"/>
    </row>
    <row r="21" spans="1:19" x14ac:dyDescent="0.25">
      <c r="A21" s="1">
        <f>1+A18</f>
        <v>14</v>
      </c>
      <c r="B21" s="1">
        <v>1</v>
      </c>
      <c r="C21" s="40" t="s">
        <v>34</v>
      </c>
      <c r="D21" s="34">
        <v>50000</v>
      </c>
      <c r="E21" s="35"/>
      <c r="F21" s="35"/>
      <c r="G21" s="36">
        <f>D21/192*1.5*E21</f>
        <v>0</v>
      </c>
      <c r="H21" s="36">
        <f>D21/192*2*F21</f>
        <v>0</v>
      </c>
      <c r="I21" s="36">
        <f>D21*$I$5</f>
        <v>5000</v>
      </c>
      <c r="J21" s="37">
        <v>18000</v>
      </c>
      <c r="K21" s="37">
        <f t="shared" ref="K21:K24" si="10">D21*$K$5</f>
        <v>600</v>
      </c>
      <c r="L21" s="36">
        <f t="shared" ref="L21:L24" si="11">D21*$L$5</f>
        <v>800</v>
      </c>
      <c r="M21" s="36">
        <f t="shared" ref="M21:M24" si="12">(D21*0.5%)*16.5%</f>
        <v>41.25</v>
      </c>
      <c r="N21" s="38">
        <f>+D21+G21+H21+I21+J21+K21+L21+M21</f>
        <v>74441.25</v>
      </c>
      <c r="O21" s="39" t="s">
        <v>22</v>
      </c>
      <c r="S21" s="5"/>
    </row>
    <row r="22" spans="1:19" x14ac:dyDescent="0.25">
      <c r="A22" s="1">
        <f t="shared" si="8"/>
        <v>15</v>
      </c>
      <c r="B22" s="1">
        <f>1+B21</f>
        <v>2</v>
      </c>
      <c r="C22" s="40" t="s">
        <v>35</v>
      </c>
      <c r="D22" s="34">
        <v>66780</v>
      </c>
      <c r="E22" s="35">
        <v>16.3</v>
      </c>
      <c r="F22" s="35"/>
      <c r="G22" s="34">
        <f>D22/192*1.5*E22</f>
        <v>8504.015625</v>
      </c>
      <c r="H22" s="36">
        <f>D22/192*2*F22</f>
        <v>0</v>
      </c>
      <c r="I22" s="36">
        <f>D22*$I$5</f>
        <v>6678</v>
      </c>
      <c r="J22" s="37">
        <v>18000</v>
      </c>
      <c r="K22" s="37">
        <f t="shared" si="10"/>
        <v>801.36</v>
      </c>
      <c r="L22" s="36">
        <f t="shared" si="11"/>
        <v>1068.48</v>
      </c>
      <c r="M22" s="36">
        <f t="shared" si="12"/>
        <v>55.093500000000006</v>
      </c>
      <c r="N22" s="38">
        <f t="shared" ref="N22:N28" si="13">+D22+G22+H22+I22+J22+K22+L22+M22</f>
        <v>101886.949125</v>
      </c>
      <c r="O22" s="39" t="s">
        <v>36</v>
      </c>
    </row>
    <row r="23" spans="1:19" x14ac:dyDescent="0.25">
      <c r="A23" s="1">
        <f t="shared" si="8"/>
        <v>16</v>
      </c>
      <c r="B23" s="1">
        <f>1+B22</f>
        <v>3</v>
      </c>
      <c r="C23" s="40" t="s">
        <v>37</v>
      </c>
      <c r="D23" s="34">
        <v>50000</v>
      </c>
      <c r="E23" s="35">
        <v>12.3</v>
      </c>
      <c r="F23" s="35"/>
      <c r="G23" s="34">
        <f>D23/192*1.5*E23</f>
        <v>4804.6875</v>
      </c>
      <c r="H23" s="36">
        <f>D23/192*2*F23</f>
        <v>0</v>
      </c>
      <c r="I23" s="36">
        <f>D23*$I$5</f>
        <v>5000</v>
      </c>
      <c r="J23" s="37">
        <v>18000</v>
      </c>
      <c r="K23" s="37">
        <f t="shared" si="10"/>
        <v>600</v>
      </c>
      <c r="L23" s="36">
        <f t="shared" si="11"/>
        <v>800</v>
      </c>
      <c r="M23" s="36">
        <f t="shared" si="12"/>
        <v>41.25</v>
      </c>
      <c r="N23" s="38">
        <f t="shared" si="13"/>
        <v>79245.9375</v>
      </c>
      <c r="O23" s="39" t="s">
        <v>36</v>
      </c>
    </row>
    <row r="24" spans="1:19" x14ac:dyDescent="0.25">
      <c r="A24" s="1">
        <f t="shared" si="8"/>
        <v>17</v>
      </c>
      <c r="B24" s="1">
        <f>1+B23</f>
        <v>4</v>
      </c>
      <c r="C24" s="40" t="s">
        <v>38</v>
      </c>
      <c r="D24" s="34">
        <v>50000</v>
      </c>
      <c r="E24" s="35">
        <v>19.3</v>
      </c>
      <c r="F24" s="35"/>
      <c r="G24" s="34">
        <f>D24/192*1.5*E24</f>
        <v>7539.0625</v>
      </c>
      <c r="H24" s="36">
        <f>D24/192*2*F24</f>
        <v>0</v>
      </c>
      <c r="I24" s="36">
        <f>D24*$I$5</f>
        <v>5000</v>
      </c>
      <c r="J24" s="37">
        <v>18000</v>
      </c>
      <c r="K24" s="37">
        <f t="shared" si="10"/>
        <v>600</v>
      </c>
      <c r="L24" s="36">
        <f t="shared" si="11"/>
        <v>800</v>
      </c>
      <c r="M24" s="36">
        <f t="shared" si="12"/>
        <v>41.25</v>
      </c>
      <c r="N24" s="38">
        <f t="shared" si="13"/>
        <v>81980.3125</v>
      </c>
      <c r="O24" s="39" t="s">
        <v>36</v>
      </c>
    </row>
    <row r="25" spans="1:19" x14ac:dyDescent="0.25">
      <c r="C25" s="52" t="s">
        <v>33</v>
      </c>
      <c r="D25" s="45">
        <f>SUM(D21:D24)</f>
        <v>216780</v>
      </c>
      <c r="E25" s="49"/>
      <c r="F25" s="45"/>
      <c r="G25" s="45">
        <f>SUM(G21:G24)</f>
        <v>20847.765625</v>
      </c>
      <c r="H25" s="45">
        <f t="shared" ref="H25:N25" si="14">SUM(H21:H24)</f>
        <v>0</v>
      </c>
      <c r="I25" s="45">
        <f t="shared" si="14"/>
        <v>21678</v>
      </c>
      <c r="J25" s="45">
        <f t="shared" si="14"/>
        <v>72000</v>
      </c>
      <c r="K25" s="45">
        <f t="shared" si="14"/>
        <v>2601.36</v>
      </c>
      <c r="L25" s="45">
        <f t="shared" si="14"/>
        <v>3468.48</v>
      </c>
      <c r="M25" s="45">
        <f t="shared" si="14"/>
        <v>178.84350000000001</v>
      </c>
      <c r="N25" s="45">
        <f t="shared" si="14"/>
        <v>337554.44912499998</v>
      </c>
      <c r="O25" s="39"/>
    </row>
    <row r="26" spans="1:19" x14ac:dyDescent="0.25">
      <c r="C26" s="40"/>
      <c r="D26" s="34"/>
      <c r="E26" s="35"/>
      <c r="F26" s="35"/>
      <c r="G26" s="36"/>
      <c r="H26" s="36"/>
      <c r="I26" s="36"/>
      <c r="J26" s="37"/>
      <c r="K26" s="40"/>
      <c r="L26" s="36"/>
      <c r="M26" s="36"/>
      <c r="N26" s="38"/>
      <c r="O26" s="39"/>
    </row>
    <row r="27" spans="1:19" x14ac:dyDescent="0.25">
      <c r="A27" s="1">
        <f>1+A24</f>
        <v>18</v>
      </c>
      <c r="B27" s="1">
        <v>1</v>
      </c>
      <c r="C27" s="40" t="s">
        <v>39</v>
      </c>
      <c r="D27" s="34">
        <v>50000</v>
      </c>
      <c r="E27" s="35"/>
      <c r="F27" s="35"/>
      <c r="G27" s="34">
        <f>D27/192*1.5*E27</f>
        <v>0</v>
      </c>
      <c r="H27" s="34">
        <f>D27/192*2*F27</f>
        <v>0</v>
      </c>
      <c r="I27" s="36">
        <f>D27*$I$5</f>
        <v>5000</v>
      </c>
      <c r="J27" s="37">
        <v>10000</v>
      </c>
      <c r="K27" s="37">
        <f t="shared" ref="K27:K28" si="15">D27*$K$5</f>
        <v>600</v>
      </c>
      <c r="L27" s="36">
        <f t="shared" ref="L27:L28" si="16">D27*$L$5</f>
        <v>800</v>
      </c>
      <c r="M27" s="36">
        <f t="shared" ref="M27:M28" si="17">(D27*0.5%)*16.5%</f>
        <v>41.25</v>
      </c>
      <c r="N27" s="38">
        <f t="shared" si="13"/>
        <v>66441.25</v>
      </c>
      <c r="O27" s="39" t="s">
        <v>40</v>
      </c>
    </row>
    <row r="28" spans="1:19" x14ac:dyDescent="0.25">
      <c r="A28" s="1">
        <f t="shared" si="8"/>
        <v>19</v>
      </c>
      <c r="B28" s="1">
        <v>2</v>
      </c>
      <c r="C28" s="40" t="s">
        <v>41</v>
      </c>
      <c r="D28" s="34">
        <v>50000</v>
      </c>
      <c r="E28" s="35"/>
      <c r="F28" s="35"/>
      <c r="G28" s="34">
        <f>D28/192*1.5*E28</f>
        <v>0</v>
      </c>
      <c r="H28" s="34">
        <f>D28/192*2*F28</f>
        <v>0</v>
      </c>
      <c r="I28" s="36">
        <f>D28*$I$5</f>
        <v>5000</v>
      </c>
      <c r="J28" s="37">
        <v>10000</v>
      </c>
      <c r="K28" s="37">
        <f t="shared" si="15"/>
        <v>600</v>
      </c>
      <c r="L28" s="36">
        <f t="shared" si="16"/>
        <v>800</v>
      </c>
      <c r="M28" s="36">
        <f t="shared" si="17"/>
        <v>41.25</v>
      </c>
      <c r="N28" s="38">
        <f t="shared" si="13"/>
        <v>66441.25</v>
      </c>
      <c r="O28" s="39" t="s">
        <v>40</v>
      </c>
    </row>
    <row r="29" spans="1:19" x14ac:dyDescent="0.25">
      <c r="C29" s="52" t="s">
        <v>33</v>
      </c>
      <c r="D29" s="45">
        <f>SUM(D27:D28)</f>
        <v>100000</v>
      </c>
      <c r="E29" s="49"/>
      <c r="F29" s="45"/>
      <c r="G29" s="45">
        <f t="shared" ref="G29:N29" si="18">SUM(G27:G28)</f>
        <v>0</v>
      </c>
      <c r="H29" s="45">
        <f t="shared" si="18"/>
        <v>0</v>
      </c>
      <c r="I29" s="45">
        <f t="shared" si="18"/>
        <v>10000</v>
      </c>
      <c r="J29" s="45">
        <f t="shared" si="18"/>
        <v>20000</v>
      </c>
      <c r="K29" s="45">
        <f t="shared" si="18"/>
        <v>1200</v>
      </c>
      <c r="L29" s="45">
        <f t="shared" si="18"/>
        <v>1600</v>
      </c>
      <c r="M29" s="45">
        <f t="shared" si="18"/>
        <v>82.5</v>
      </c>
      <c r="N29" s="45">
        <f t="shared" si="18"/>
        <v>132882.5</v>
      </c>
      <c r="O29" s="39"/>
    </row>
    <row r="30" spans="1:19" x14ac:dyDescent="0.25">
      <c r="C30" s="40"/>
      <c r="D30" s="34"/>
      <c r="E30" s="35"/>
      <c r="F30" s="35"/>
      <c r="G30" s="36"/>
      <c r="H30" s="36"/>
      <c r="I30" s="40"/>
      <c r="J30" s="37"/>
      <c r="K30" s="40"/>
      <c r="L30" s="40"/>
      <c r="M30" s="36"/>
      <c r="N30" s="38"/>
      <c r="O30" s="39"/>
    </row>
    <row r="31" spans="1:19" x14ac:dyDescent="0.25">
      <c r="A31" s="1">
        <f>1+A28</f>
        <v>20</v>
      </c>
      <c r="B31" s="1">
        <v>1</v>
      </c>
      <c r="C31" s="40" t="s">
        <v>42</v>
      </c>
      <c r="D31" s="53">
        <v>210000</v>
      </c>
      <c r="E31" s="54"/>
      <c r="F31" s="55"/>
      <c r="G31" s="34">
        <f>D31/192*1.5*E31</f>
        <v>0</v>
      </c>
      <c r="H31" s="34">
        <f>D31/192*2*F31</f>
        <v>0</v>
      </c>
      <c r="I31" s="36">
        <f>D31*$I$5</f>
        <v>21000</v>
      </c>
      <c r="J31" s="56">
        <v>35000</v>
      </c>
      <c r="K31" s="37">
        <f t="shared" ref="K31" si="19">D31*$K$5</f>
        <v>2520</v>
      </c>
      <c r="L31" s="36">
        <f t="shared" ref="L31" si="20">D31*$L$5</f>
        <v>3360</v>
      </c>
      <c r="M31" s="36">
        <f t="shared" ref="M31" si="21">(D31*0.5%)*16.5%</f>
        <v>173.25</v>
      </c>
      <c r="N31" s="38">
        <f>+D31+G31+H31+I31+J31+K31+L31+M31</f>
        <v>272053.25</v>
      </c>
      <c r="O31" s="39" t="s">
        <v>43</v>
      </c>
    </row>
    <row r="32" spans="1:19" x14ac:dyDescent="0.25">
      <c r="C32" s="40"/>
      <c r="D32" s="34"/>
      <c r="E32" s="35"/>
      <c r="F32" s="35"/>
      <c r="G32" s="36"/>
      <c r="H32" s="36"/>
      <c r="I32" s="36"/>
      <c r="J32" s="37"/>
      <c r="K32" s="36"/>
      <c r="L32" s="36"/>
      <c r="M32" s="36"/>
      <c r="N32" s="38"/>
      <c r="O32" s="39"/>
    </row>
    <row r="33" spans="1:19" x14ac:dyDescent="0.25">
      <c r="A33" s="1">
        <f>1+A31</f>
        <v>21</v>
      </c>
      <c r="B33" s="1">
        <v>1</v>
      </c>
      <c r="C33" s="40" t="s">
        <v>44</v>
      </c>
      <c r="D33" s="34">
        <v>77910</v>
      </c>
      <c r="E33" s="35">
        <v>40</v>
      </c>
      <c r="F33" s="35"/>
      <c r="G33" s="34">
        <f t="shared" ref="G33:G39" si="22">D33/192*1.5*E33</f>
        <v>24346.875</v>
      </c>
      <c r="H33" s="34">
        <f>D33/192*2*F33</f>
        <v>0</v>
      </c>
      <c r="I33" s="36">
        <f t="shared" ref="I33:I39" si="23">D33*$I$5</f>
        <v>7791</v>
      </c>
      <c r="J33" s="37">
        <f>18000+5000</f>
        <v>23000</v>
      </c>
      <c r="K33" s="37">
        <f t="shared" ref="K33:K39" si="24">D33*$K$5</f>
        <v>934.92000000000007</v>
      </c>
      <c r="L33" s="36">
        <f t="shared" ref="L33:L39" si="25">D33*$L$5</f>
        <v>1246.56</v>
      </c>
      <c r="M33" s="36">
        <f t="shared" ref="M33:M39" si="26">(D33*0.5%)*16.5%</f>
        <v>64.275750000000002</v>
      </c>
      <c r="N33" s="38">
        <f t="shared" ref="N33:N44" si="27">+D33+G33+H33+I33+J33+K33+L33+M33</f>
        <v>135293.63075000001</v>
      </c>
      <c r="O33" s="39" t="s">
        <v>45</v>
      </c>
    </row>
    <row r="34" spans="1:19" x14ac:dyDescent="0.25">
      <c r="A34" s="1">
        <f t="shared" si="8"/>
        <v>22</v>
      </c>
      <c r="B34" s="1">
        <v>2</v>
      </c>
      <c r="C34" s="40" t="s">
        <v>46</v>
      </c>
      <c r="D34" s="34">
        <v>50000</v>
      </c>
      <c r="E34" s="35">
        <v>48</v>
      </c>
      <c r="F34" s="35"/>
      <c r="G34" s="34">
        <f t="shared" si="22"/>
        <v>18750</v>
      </c>
      <c r="H34" s="34">
        <f t="shared" ref="H34:H39" si="28">D34/192*2*F34</f>
        <v>0</v>
      </c>
      <c r="I34" s="36">
        <f>D34*$I$5</f>
        <v>5000</v>
      </c>
      <c r="J34" s="37">
        <v>10000</v>
      </c>
      <c r="K34" s="37">
        <f t="shared" si="24"/>
        <v>600</v>
      </c>
      <c r="L34" s="36">
        <f t="shared" si="25"/>
        <v>800</v>
      </c>
      <c r="M34" s="36">
        <f t="shared" si="26"/>
        <v>41.25</v>
      </c>
      <c r="N34" s="38">
        <f>+D34+G34+H34+I34+J34+K34+L34+M34</f>
        <v>85191.25</v>
      </c>
      <c r="O34" s="39" t="s">
        <v>45</v>
      </c>
    </row>
    <row r="35" spans="1:19" x14ac:dyDescent="0.25">
      <c r="A35" s="1">
        <f t="shared" si="8"/>
        <v>23</v>
      </c>
      <c r="B35" s="1">
        <v>3</v>
      </c>
      <c r="C35" s="40" t="s">
        <v>47</v>
      </c>
      <c r="D35" s="34">
        <v>50000</v>
      </c>
      <c r="E35" s="35">
        <v>48</v>
      </c>
      <c r="F35" s="35"/>
      <c r="G35" s="34">
        <f t="shared" si="22"/>
        <v>18750</v>
      </c>
      <c r="H35" s="34">
        <f t="shared" si="28"/>
        <v>0</v>
      </c>
      <c r="I35" s="36">
        <f>D35*$I$5</f>
        <v>5000</v>
      </c>
      <c r="J35" s="37">
        <v>10000</v>
      </c>
      <c r="K35" s="37">
        <f t="shared" si="24"/>
        <v>600</v>
      </c>
      <c r="L35" s="36">
        <f t="shared" si="25"/>
        <v>800</v>
      </c>
      <c r="M35" s="36">
        <f t="shared" si="26"/>
        <v>41.25</v>
      </c>
      <c r="N35" s="38">
        <f>+D35+G35+H35+I35+J35+K35+L35+M35</f>
        <v>85191.25</v>
      </c>
      <c r="O35" s="39" t="s">
        <v>45</v>
      </c>
    </row>
    <row r="36" spans="1:19" x14ac:dyDescent="0.25">
      <c r="A36" s="1">
        <f t="shared" si="8"/>
        <v>24</v>
      </c>
      <c r="B36" s="1">
        <v>4</v>
      </c>
      <c r="C36" s="40" t="s">
        <v>48</v>
      </c>
      <c r="D36" s="34">
        <v>50000</v>
      </c>
      <c r="E36" s="35">
        <v>36</v>
      </c>
      <c r="F36" s="35"/>
      <c r="G36" s="34">
        <f t="shared" si="22"/>
        <v>14062.5</v>
      </c>
      <c r="H36" s="34">
        <f t="shared" si="28"/>
        <v>0</v>
      </c>
      <c r="I36" s="36">
        <f>D36*$I$5</f>
        <v>5000</v>
      </c>
      <c r="J36" s="37">
        <v>10000</v>
      </c>
      <c r="K36" s="37">
        <f t="shared" si="24"/>
        <v>600</v>
      </c>
      <c r="L36" s="36">
        <f t="shared" si="25"/>
        <v>800</v>
      </c>
      <c r="M36" s="36">
        <f t="shared" si="26"/>
        <v>41.25</v>
      </c>
      <c r="N36" s="38">
        <f>+D36+G36+H36+I36+J36+K36+L36+M36</f>
        <v>80503.75</v>
      </c>
      <c r="O36" s="39" t="s">
        <v>45</v>
      </c>
    </row>
    <row r="37" spans="1:19" x14ac:dyDescent="0.25">
      <c r="A37" s="1">
        <f t="shared" si="8"/>
        <v>25</v>
      </c>
      <c r="B37" s="1">
        <v>5</v>
      </c>
      <c r="C37" s="40" t="s">
        <v>49</v>
      </c>
      <c r="D37" s="34">
        <v>50000</v>
      </c>
      <c r="E37" s="35">
        <v>12</v>
      </c>
      <c r="F37" s="35"/>
      <c r="G37" s="34">
        <f t="shared" si="22"/>
        <v>4687.5</v>
      </c>
      <c r="H37" s="34">
        <f t="shared" si="28"/>
        <v>0</v>
      </c>
      <c r="I37" s="36">
        <f t="shared" si="23"/>
        <v>5000</v>
      </c>
      <c r="J37" s="37">
        <v>10000</v>
      </c>
      <c r="K37" s="37">
        <f t="shared" si="24"/>
        <v>600</v>
      </c>
      <c r="L37" s="36">
        <f t="shared" si="25"/>
        <v>800</v>
      </c>
      <c r="M37" s="36">
        <f t="shared" si="26"/>
        <v>41.25</v>
      </c>
      <c r="N37" s="38">
        <f t="shared" si="27"/>
        <v>71128.75</v>
      </c>
      <c r="O37" s="39" t="s">
        <v>45</v>
      </c>
    </row>
    <row r="38" spans="1:19" x14ac:dyDescent="0.25">
      <c r="A38" s="1">
        <f t="shared" si="8"/>
        <v>26</v>
      </c>
      <c r="B38" s="1">
        <v>6</v>
      </c>
      <c r="C38" s="40" t="s">
        <v>50</v>
      </c>
      <c r="D38" s="34">
        <v>50000</v>
      </c>
      <c r="E38" s="35">
        <v>24</v>
      </c>
      <c r="F38" s="35"/>
      <c r="G38" s="34">
        <f t="shared" si="22"/>
        <v>9375</v>
      </c>
      <c r="H38" s="34">
        <f t="shared" si="28"/>
        <v>0</v>
      </c>
      <c r="I38" s="36">
        <f t="shared" si="23"/>
        <v>5000</v>
      </c>
      <c r="J38" s="37">
        <v>10000</v>
      </c>
      <c r="K38" s="37">
        <f t="shared" si="24"/>
        <v>600</v>
      </c>
      <c r="L38" s="36">
        <f t="shared" si="25"/>
        <v>800</v>
      </c>
      <c r="M38" s="36">
        <f t="shared" si="26"/>
        <v>41.25</v>
      </c>
      <c r="N38" s="38">
        <f t="shared" si="27"/>
        <v>75816.25</v>
      </c>
      <c r="O38" s="39" t="s">
        <v>45</v>
      </c>
    </row>
    <row r="39" spans="1:19" x14ac:dyDescent="0.25">
      <c r="A39" s="1">
        <f t="shared" si="8"/>
        <v>27</v>
      </c>
      <c r="B39" s="1">
        <f>1+B38</f>
        <v>7</v>
      </c>
      <c r="C39" s="40" t="s">
        <v>51</v>
      </c>
      <c r="D39" s="34">
        <v>50000</v>
      </c>
      <c r="E39" s="35">
        <v>48</v>
      </c>
      <c r="F39" s="35"/>
      <c r="G39" s="34">
        <f t="shared" si="22"/>
        <v>18750</v>
      </c>
      <c r="H39" s="34">
        <f t="shared" si="28"/>
        <v>0</v>
      </c>
      <c r="I39" s="36">
        <f t="shared" si="23"/>
        <v>5000</v>
      </c>
      <c r="J39" s="37">
        <v>10000</v>
      </c>
      <c r="K39" s="37">
        <f t="shared" si="24"/>
        <v>600</v>
      </c>
      <c r="L39" s="36">
        <f t="shared" si="25"/>
        <v>800</v>
      </c>
      <c r="M39" s="36">
        <f t="shared" si="26"/>
        <v>41.25</v>
      </c>
      <c r="N39" s="38">
        <f t="shared" si="27"/>
        <v>85191.25</v>
      </c>
      <c r="O39" s="39" t="s">
        <v>45</v>
      </c>
    </row>
    <row r="40" spans="1:19" x14ac:dyDescent="0.25">
      <c r="C40" s="52" t="s">
        <v>33</v>
      </c>
      <c r="D40" s="45">
        <f>SUM(D33:D39)</f>
        <v>377910</v>
      </c>
      <c r="E40" s="49"/>
      <c r="F40" s="45"/>
      <c r="G40" s="45">
        <f t="shared" ref="G40:L40" si="29">SUM(G33:G39)</f>
        <v>108721.875</v>
      </c>
      <c r="H40" s="45">
        <f t="shared" si="29"/>
        <v>0</v>
      </c>
      <c r="I40" s="45">
        <f t="shared" si="29"/>
        <v>37791</v>
      </c>
      <c r="J40" s="45">
        <f t="shared" si="29"/>
        <v>83000</v>
      </c>
      <c r="K40" s="45">
        <f t="shared" si="29"/>
        <v>4534.92</v>
      </c>
      <c r="L40" s="45">
        <f t="shared" si="29"/>
        <v>6046.5599999999995</v>
      </c>
      <c r="M40" s="45">
        <f>SUM(M33:M39)</f>
        <v>311.77575000000002</v>
      </c>
      <c r="N40" s="45">
        <f>SUM(N33:N39)</f>
        <v>618316.13075000001</v>
      </c>
      <c r="O40" s="39"/>
    </row>
    <row r="41" spans="1:19" x14ac:dyDescent="0.25">
      <c r="C41" s="40"/>
      <c r="D41" s="34"/>
      <c r="E41" s="35"/>
      <c r="F41" s="35"/>
      <c r="G41" s="36"/>
      <c r="H41" s="36"/>
      <c r="I41" s="36"/>
      <c r="J41" s="37"/>
      <c r="K41" s="40"/>
      <c r="L41" s="36"/>
      <c r="M41" s="36"/>
      <c r="N41" s="38"/>
      <c r="O41" s="39"/>
    </row>
    <row r="42" spans="1:19" s="47" customFormat="1" x14ac:dyDescent="0.25">
      <c r="A42" s="1">
        <f>1+A39</f>
        <v>28</v>
      </c>
      <c r="B42" s="47">
        <v>1</v>
      </c>
      <c r="C42" s="41" t="s">
        <v>52</v>
      </c>
      <c r="D42" s="34">
        <v>50000</v>
      </c>
      <c r="E42" s="122">
        <f>13-9+12</f>
        <v>16</v>
      </c>
      <c r="F42" s="122">
        <f>23+19</f>
        <v>42</v>
      </c>
      <c r="G42" s="34">
        <f>D42/192*1.5*E43</f>
        <v>4687.5</v>
      </c>
      <c r="H42" s="34">
        <f>D42/192*2*F43</f>
        <v>21875</v>
      </c>
      <c r="I42" s="36">
        <f>D42*$I$5</f>
        <v>5000</v>
      </c>
      <c r="J42" s="44">
        <f>18000+5000</f>
        <v>23000</v>
      </c>
      <c r="K42" s="37">
        <f t="shared" ref="K42:K44" si="30">D42*$K$5</f>
        <v>600</v>
      </c>
      <c r="L42" s="36">
        <f t="shared" ref="L42:L44" si="31">D42*$L$5</f>
        <v>800</v>
      </c>
      <c r="M42" s="36">
        <f t="shared" ref="M42:M44" si="32">(D42*0.5%)*16.5%</f>
        <v>41.25</v>
      </c>
      <c r="N42" s="38">
        <f t="shared" si="27"/>
        <v>106003.75</v>
      </c>
      <c r="O42" s="46" t="s">
        <v>53</v>
      </c>
      <c r="S42" s="57"/>
    </row>
    <row r="43" spans="1:19" s="47" customFormat="1" x14ac:dyDescent="0.25">
      <c r="A43" s="1">
        <f t="shared" ref="A43:A55" si="33">1+A42</f>
        <v>29</v>
      </c>
      <c r="B43" s="47">
        <v>2</v>
      </c>
      <c r="C43" s="41" t="s">
        <v>54</v>
      </c>
      <c r="D43" s="34">
        <v>50000</v>
      </c>
      <c r="E43" s="35">
        <f>13-9+8</f>
        <v>12</v>
      </c>
      <c r="F43" s="35">
        <f>23+19</f>
        <v>42</v>
      </c>
      <c r="G43" s="34">
        <f>D43/192*1.5*E43</f>
        <v>4687.5</v>
      </c>
      <c r="H43" s="34">
        <f>D43/192*2*F43</f>
        <v>21875</v>
      </c>
      <c r="I43" s="36">
        <f>D43*$I$5</f>
        <v>5000</v>
      </c>
      <c r="J43" s="44">
        <f>18000+5000</f>
        <v>23000</v>
      </c>
      <c r="K43" s="37">
        <f t="shared" si="30"/>
        <v>600</v>
      </c>
      <c r="L43" s="36">
        <f t="shared" si="31"/>
        <v>800</v>
      </c>
      <c r="M43" s="36">
        <f t="shared" si="32"/>
        <v>41.25</v>
      </c>
      <c r="N43" s="38">
        <f t="shared" si="27"/>
        <v>106003.75</v>
      </c>
      <c r="O43" s="46" t="s">
        <v>53</v>
      </c>
    </row>
    <row r="44" spans="1:19" s="47" customFormat="1" x14ac:dyDescent="0.25">
      <c r="A44" s="1">
        <f t="shared" si="33"/>
        <v>30</v>
      </c>
      <c r="B44" s="47">
        <v>3</v>
      </c>
      <c r="C44" s="41" t="s">
        <v>55</v>
      </c>
      <c r="D44" s="34">
        <v>56317.8</v>
      </c>
      <c r="E44" s="35">
        <f>13-9+10</f>
        <v>14</v>
      </c>
      <c r="F44" s="35">
        <f>19-4+23</f>
        <v>38</v>
      </c>
      <c r="G44" s="34">
        <f>D44/192*1.5*E44</f>
        <v>6159.7593750000005</v>
      </c>
      <c r="H44" s="34">
        <f>D44/192*2*F44</f>
        <v>22292.462500000001</v>
      </c>
      <c r="I44" s="36">
        <f>D44*$I$5</f>
        <v>5631.7800000000007</v>
      </c>
      <c r="J44" s="44">
        <f>18000+5000</f>
        <v>23000</v>
      </c>
      <c r="K44" s="37">
        <f t="shared" si="30"/>
        <v>675.81360000000006</v>
      </c>
      <c r="L44" s="36">
        <f t="shared" si="31"/>
        <v>901.08480000000009</v>
      </c>
      <c r="M44" s="36">
        <f t="shared" si="32"/>
        <v>46.462185000000005</v>
      </c>
      <c r="N44" s="38">
        <f t="shared" si="27"/>
        <v>115025.16245999999</v>
      </c>
      <c r="O44" s="46" t="s">
        <v>53</v>
      </c>
    </row>
    <row r="45" spans="1:19" s="22" customFormat="1" x14ac:dyDescent="0.25">
      <c r="A45" s="1">
        <f t="shared" si="33"/>
        <v>31</v>
      </c>
      <c r="C45" s="52"/>
      <c r="D45" s="53">
        <f>SUM(D42:D44)</f>
        <v>156317.79999999999</v>
      </c>
      <c r="E45" s="58"/>
      <c r="F45" s="53"/>
      <c r="G45" s="53">
        <f t="shared" ref="G45:N45" si="34">SUM(G42:G44)</f>
        <v>15534.759375000001</v>
      </c>
      <c r="H45" s="53">
        <f t="shared" si="34"/>
        <v>66042.462499999994</v>
      </c>
      <c r="I45" s="53">
        <f t="shared" si="34"/>
        <v>15631.78</v>
      </c>
      <c r="J45" s="53">
        <f t="shared" si="34"/>
        <v>69000</v>
      </c>
      <c r="K45" s="53">
        <f t="shared" si="34"/>
        <v>1875.8136</v>
      </c>
      <c r="L45" s="53">
        <f t="shared" si="34"/>
        <v>2501.0848000000001</v>
      </c>
      <c r="M45" s="53">
        <f t="shared" si="34"/>
        <v>128.96218500000001</v>
      </c>
      <c r="N45" s="53">
        <f t="shared" si="34"/>
        <v>327032.66246000002</v>
      </c>
      <c r="O45" s="59"/>
    </row>
    <row r="46" spans="1:19" x14ac:dyDescent="0.25">
      <c r="A46" s="1">
        <f t="shared" si="33"/>
        <v>32</v>
      </c>
      <c r="C46" s="40"/>
      <c r="D46" s="34"/>
      <c r="E46" s="35"/>
      <c r="F46" s="35"/>
      <c r="G46" s="36"/>
      <c r="H46" s="36"/>
      <c r="I46" s="36"/>
      <c r="J46" s="37"/>
      <c r="K46" s="40"/>
      <c r="L46" s="36"/>
      <c r="M46" s="36"/>
      <c r="N46" s="38"/>
      <c r="O46" s="39"/>
    </row>
    <row r="47" spans="1:19" x14ac:dyDescent="0.25">
      <c r="A47" s="1">
        <f t="shared" si="33"/>
        <v>33</v>
      </c>
      <c r="B47" s="1">
        <v>1</v>
      </c>
      <c r="C47" s="40" t="s">
        <v>56</v>
      </c>
      <c r="D47" s="34">
        <v>50000</v>
      </c>
      <c r="E47" s="35"/>
      <c r="F47" s="35"/>
      <c r="G47" s="34">
        <f>D47/192*1.5*E47</f>
        <v>0</v>
      </c>
      <c r="H47" s="34">
        <f>D47/192*2*F47</f>
        <v>0</v>
      </c>
      <c r="I47" s="36">
        <f>D47*$I$5</f>
        <v>5000</v>
      </c>
      <c r="J47" s="37">
        <f>18000+5000</f>
        <v>23000</v>
      </c>
      <c r="K47" s="37">
        <f t="shared" ref="K47:K48" si="35">D47*$K$5</f>
        <v>600</v>
      </c>
      <c r="L47" s="36">
        <f t="shared" ref="L47:L48" si="36">D47*$L$5</f>
        <v>800</v>
      </c>
      <c r="M47" s="36">
        <f t="shared" ref="M47:M48" si="37">(D47*0.5%)*16.5%</f>
        <v>41.25</v>
      </c>
      <c r="N47" s="38">
        <f>+D47+G47+H47+I47+J47+K47+L47+M47</f>
        <v>79441.25</v>
      </c>
      <c r="O47" s="39" t="s">
        <v>57</v>
      </c>
    </row>
    <row r="48" spans="1:19" x14ac:dyDescent="0.25">
      <c r="A48" s="1">
        <f t="shared" si="33"/>
        <v>34</v>
      </c>
      <c r="B48" s="1">
        <f>1+B33</f>
        <v>2</v>
      </c>
      <c r="C48" s="40" t="s">
        <v>58</v>
      </c>
      <c r="D48" s="34">
        <v>50000</v>
      </c>
      <c r="E48" s="35"/>
      <c r="F48" s="35"/>
      <c r="G48" s="34">
        <f>D48/192*1.5*E48</f>
        <v>0</v>
      </c>
      <c r="H48" s="34">
        <f>D48/192*2*F48</f>
        <v>0</v>
      </c>
      <c r="I48" s="36">
        <f>D48*$I$5</f>
        <v>5000</v>
      </c>
      <c r="J48" s="37">
        <f>18000+5000</f>
        <v>23000</v>
      </c>
      <c r="K48" s="37">
        <f t="shared" si="35"/>
        <v>600</v>
      </c>
      <c r="L48" s="36">
        <f t="shared" si="36"/>
        <v>800</v>
      </c>
      <c r="M48" s="36">
        <f t="shared" si="37"/>
        <v>41.25</v>
      </c>
      <c r="N48" s="38">
        <f>+D48+G48+H48+I48+J48+K48+L48+M48</f>
        <v>79441.25</v>
      </c>
      <c r="O48" s="39" t="s">
        <v>57</v>
      </c>
    </row>
    <row r="49" spans="1:15" x14ac:dyDescent="0.25">
      <c r="C49" s="52" t="s">
        <v>33</v>
      </c>
      <c r="D49" s="45">
        <f t="shared" ref="D49:N49" si="38">SUM(D47:D48)</f>
        <v>100000</v>
      </c>
      <c r="E49" s="49"/>
      <c r="F49" s="45"/>
      <c r="G49" s="45">
        <f t="shared" si="38"/>
        <v>0</v>
      </c>
      <c r="H49" s="45">
        <f t="shared" si="38"/>
        <v>0</v>
      </c>
      <c r="I49" s="45">
        <f t="shared" si="38"/>
        <v>10000</v>
      </c>
      <c r="J49" s="45">
        <f t="shared" si="38"/>
        <v>46000</v>
      </c>
      <c r="K49" s="45">
        <f t="shared" si="38"/>
        <v>1200</v>
      </c>
      <c r="L49" s="45">
        <f t="shared" si="38"/>
        <v>1600</v>
      </c>
      <c r="M49" s="45">
        <f t="shared" si="38"/>
        <v>82.5</v>
      </c>
      <c r="N49" s="38">
        <f t="shared" si="38"/>
        <v>158882.5</v>
      </c>
      <c r="O49" s="39"/>
    </row>
    <row r="50" spans="1:15" x14ac:dyDescent="0.25">
      <c r="A50" s="40">
        <v>36</v>
      </c>
      <c r="B50" s="40"/>
      <c r="C50" s="40"/>
      <c r="D50" s="41"/>
      <c r="E50" s="35"/>
      <c r="F50" s="35"/>
      <c r="G50" s="40"/>
      <c r="H50" s="34"/>
      <c r="I50" s="40"/>
      <c r="J50" s="37"/>
      <c r="K50" s="40"/>
      <c r="L50" s="40"/>
      <c r="M50" s="36"/>
      <c r="N50" s="38"/>
      <c r="O50" s="39"/>
    </row>
    <row r="51" spans="1:15" x14ac:dyDescent="0.25">
      <c r="A51" s="40">
        <f>1+A48</f>
        <v>35</v>
      </c>
      <c r="B51" s="40">
        <v>1</v>
      </c>
      <c r="C51" s="40" t="s">
        <v>59</v>
      </c>
      <c r="D51" s="34">
        <v>115500</v>
      </c>
      <c r="E51" s="35"/>
      <c r="F51" s="35"/>
      <c r="G51" s="34">
        <f>D51/192*1.5*E51</f>
        <v>0</v>
      </c>
      <c r="H51" s="34">
        <f>D51/192*2*F51</f>
        <v>0</v>
      </c>
      <c r="I51" s="36">
        <f>D51*$I$5</f>
        <v>11550</v>
      </c>
      <c r="J51" s="37">
        <f>18000+17000</f>
        <v>35000</v>
      </c>
      <c r="K51" s="37">
        <f t="shared" ref="K51:K55" si="39">D51*$K$5</f>
        <v>1386</v>
      </c>
      <c r="L51" s="36">
        <f t="shared" ref="L51:L55" si="40">D51*$L$5</f>
        <v>1848</v>
      </c>
      <c r="M51" s="36">
        <f t="shared" ref="M51:M55" si="41">(D51*0.5%)*16.5%</f>
        <v>95.287500000000009</v>
      </c>
      <c r="N51" s="38">
        <f t="shared" ref="N51:N56" si="42">+D51+G51+H51+I51+J51+K51+L51+M51</f>
        <v>165379.28750000001</v>
      </c>
      <c r="O51" s="39" t="s">
        <v>60</v>
      </c>
    </row>
    <row r="52" spans="1:15" s="65" customFormat="1" x14ac:dyDescent="0.25">
      <c r="A52" s="60">
        <v>36</v>
      </c>
      <c r="B52" s="60">
        <v>2</v>
      </c>
      <c r="C52" s="60" t="s">
        <v>61</v>
      </c>
      <c r="D52" s="61">
        <v>210000</v>
      </c>
      <c r="E52" s="62"/>
      <c r="F52" s="62"/>
      <c r="G52" s="61">
        <f>D52/192*1.5*E52</f>
        <v>0</v>
      </c>
      <c r="H52" s="61">
        <f>D52/192*2*F52</f>
        <v>0</v>
      </c>
      <c r="I52" s="61">
        <f>D52*$I$5</f>
        <v>21000</v>
      </c>
      <c r="J52" s="63">
        <f>36000+18000</f>
        <v>54000</v>
      </c>
      <c r="K52" s="37">
        <f t="shared" si="39"/>
        <v>2520</v>
      </c>
      <c r="L52" s="36">
        <f t="shared" si="40"/>
        <v>3360</v>
      </c>
      <c r="M52" s="36">
        <f t="shared" si="41"/>
        <v>173.25</v>
      </c>
      <c r="N52" s="64">
        <f t="shared" si="42"/>
        <v>291053.25</v>
      </c>
      <c r="O52" s="39" t="s">
        <v>60</v>
      </c>
    </row>
    <row r="53" spans="1:15" x14ac:dyDescent="0.25">
      <c r="A53" s="40">
        <f>1+A52</f>
        <v>37</v>
      </c>
      <c r="B53" s="40">
        <v>3</v>
      </c>
      <c r="C53" s="40" t="s">
        <v>62</v>
      </c>
      <c r="D53" s="34">
        <v>50000</v>
      </c>
      <c r="E53" s="35"/>
      <c r="F53" s="35"/>
      <c r="G53" s="34">
        <f>D53/192*1.5*E53</f>
        <v>0</v>
      </c>
      <c r="H53" s="34">
        <f>D53/192*2*F53</f>
        <v>0</v>
      </c>
      <c r="I53" s="36">
        <f>D53*$I$5</f>
        <v>5000</v>
      </c>
      <c r="J53" s="37">
        <v>0</v>
      </c>
      <c r="K53" s="37">
        <f t="shared" si="39"/>
        <v>600</v>
      </c>
      <c r="L53" s="36">
        <f t="shared" si="40"/>
        <v>800</v>
      </c>
      <c r="M53" s="36">
        <f t="shared" si="41"/>
        <v>41.25</v>
      </c>
      <c r="N53" s="38">
        <f t="shared" si="42"/>
        <v>56441.25</v>
      </c>
      <c r="O53" s="39" t="s">
        <v>60</v>
      </c>
    </row>
    <row r="54" spans="1:15" x14ac:dyDescent="0.25">
      <c r="A54" s="40">
        <f t="shared" si="33"/>
        <v>38</v>
      </c>
      <c r="B54" s="40">
        <v>4</v>
      </c>
      <c r="C54" s="40" t="s">
        <v>63</v>
      </c>
      <c r="D54" s="34">
        <v>55093.5</v>
      </c>
      <c r="E54" s="35"/>
      <c r="F54" s="35"/>
      <c r="G54" s="34">
        <f>D54/192*1.5*E54</f>
        <v>0</v>
      </c>
      <c r="H54" s="34">
        <f>D54/192*2*F54</f>
        <v>0</v>
      </c>
      <c r="I54" s="36">
        <f>D54*$I$5</f>
        <v>5509.35</v>
      </c>
      <c r="J54" s="37">
        <f>18000+5000</f>
        <v>23000</v>
      </c>
      <c r="K54" s="37">
        <f t="shared" si="39"/>
        <v>661.12199999999996</v>
      </c>
      <c r="L54" s="36">
        <f t="shared" si="40"/>
        <v>881.49599999999998</v>
      </c>
      <c r="M54" s="36">
        <f t="shared" si="41"/>
        <v>45.452137500000006</v>
      </c>
      <c r="N54" s="38">
        <f t="shared" si="42"/>
        <v>85190.920137500012</v>
      </c>
      <c r="O54" s="39" t="s">
        <v>60</v>
      </c>
    </row>
    <row r="55" spans="1:15" x14ac:dyDescent="0.25">
      <c r="A55" s="40">
        <f t="shared" si="33"/>
        <v>39</v>
      </c>
      <c r="B55" s="40">
        <v>5</v>
      </c>
      <c r="C55" s="40" t="s">
        <v>64</v>
      </c>
      <c r="D55" s="34">
        <v>50000</v>
      </c>
      <c r="E55" s="35"/>
      <c r="F55" s="35"/>
      <c r="G55" s="34">
        <f>D55/192*1.5*E55</f>
        <v>0</v>
      </c>
      <c r="H55" s="34">
        <f>D55/192*2*F55</f>
        <v>0</v>
      </c>
      <c r="I55" s="36">
        <f>D55*$I$5</f>
        <v>5000</v>
      </c>
      <c r="J55" s="37">
        <v>18000</v>
      </c>
      <c r="K55" s="37">
        <f t="shared" si="39"/>
        <v>600</v>
      </c>
      <c r="L55" s="36">
        <f t="shared" si="40"/>
        <v>800</v>
      </c>
      <c r="M55" s="36">
        <f t="shared" si="41"/>
        <v>41.25</v>
      </c>
      <c r="N55" s="38">
        <f t="shared" si="42"/>
        <v>74441.25</v>
      </c>
      <c r="O55" s="39" t="s">
        <v>60</v>
      </c>
    </row>
    <row r="56" spans="1:15" x14ac:dyDescent="0.25">
      <c r="C56" s="52" t="s">
        <v>33</v>
      </c>
      <c r="D56" s="45">
        <f>SUM(D51:D55)</f>
        <v>480593.5</v>
      </c>
      <c r="E56" s="49"/>
      <c r="F56" s="45"/>
      <c r="G56" s="45">
        <f t="shared" ref="G56:M56" si="43">SUM(G51:G55)</f>
        <v>0</v>
      </c>
      <c r="H56" s="45">
        <f t="shared" si="43"/>
        <v>0</v>
      </c>
      <c r="I56" s="45">
        <f t="shared" si="43"/>
        <v>48059.35</v>
      </c>
      <c r="J56" s="45">
        <f t="shared" si="43"/>
        <v>130000</v>
      </c>
      <c r="K56" s="45">
        <f t="shared" si="43"/>
        <v>5767.1220000000003</v>
      </c>
      <c r="L56" s="45">
        <f t="shared" si="43"/>
        <v>7689.4960000000001</v>
      </c>
      <c r="M56" s="45">
        <f t="shared" si="43"/>
        <v>396.48963750000001</v>
      </c>
      <c r="N56" s="38">
        <f t="shared" si="42"/>
        <v>672505.95763750002</v>
      </c>
      <c r="O56" s="39"/>
    </row>
    <row r="57" spans="1:15" s="66" customFormat="1" x14ac:dyDescent="0.25">
      <c r="A57" s="1"/>
      <c r="C57" s="67"/>
      <c r="D57" s="68"/>
      <c r="E57" s="69"/>
      <c r="F57" s="69"/>
      <c r="G57" s="68"/>
      <c r="H57" s="68"/>
      <c r="I57" s="68"/>
      <c r="J57" s="70"/>
      <c r="K57" s="67"/>
      <c r="L57" s="68"/>
      <c r="M57" s="68"/>
      <c r="N57" s="71"/>
      <c r="O57" s="72"/>
    </row>
    <row r="58" spans="1:15" x14ac:dyDescent="0.25">
      <c r="A58" s="1">
        <f>1+A55</f>
        <v>40</v>
      </c>
      <c r="B58" s="1">
        <v>1</v>
      </c>
      <c r="C58" s="33" t="s">
        <v>65</v>
      </c>
      <c r="D58" s="34">
        <v>160000</v>
      </c>
      <c r="E58" s="35"/>
      <c r="F58" s="35"/>
      <c r="G58" s="34">
        <f t="shared" ref="G58:G70" si="44">D58/192*1.5*E58</f>
        <v>0</v>
      </c>
      <c r="H58" s="34">
        <f>D58/192*2*F58</f>
        <v>0</v>
      </c>
      <c r="I58" s="36">
        <f t="shared" ref="I58:I70" si="45">D58*$I$5</f>
        <v>16000</v>
      </c>
      <c r="J58" s="37">
        <f>18000+5000+5000+5000+5000+5000</f>
        <v>43000</v>
      </c>
      <c r="K58" s="37">
        <f t="shared" ref="K58:K70" si="46">D58*$K$5</f>
        <v>1920</v>
      </c>
      <c r="L58" s="36">
        <f t="shared" ref="L58:L70" si="47">D58*$L$5</f>
        <v>2560</v>
      </c>
      <c r="M58" s="36">
        <f t="shared" ref="M58:M70" si="48">(D58*0.5%)*16.5%</f>
        <v>132</v>
      </c>
      <c r="N58" s="38">
        <f t="shared" ref="N58:N76" si="49">+D58+G58+H58+I58+J58+K58+L58+M58</f>
        <v>223612</v>
      </c>
      <c r="O58" s="39" t="s">
        <v>66</v>
      </c>
    </row>
    <row r="59" spans="1:15" x14ac:dyDescent="0.25">
      <c r="A59" s="1">
        <f t="shared" ref="A59:B70" si="50">1+A58</f>
        <v>41</v>
      </c>
      <c r="B59" s="1">
        <f>1+B58</f>
        <v>2</v>
      </c>
      <c r="C59" s="40" t="s">
        <v>67</v>
      </c>
      <c r="D59" s="34">
        <v>120000</v>
      </c>
      <c r="E59" s="35"/>
      <c r="F59" s="35"/>
      <c r="G59" s="34">
        <f t="shared" si="44"/>
        <v>0</v>
      </c>
      <c r="H59" s="34">
        <f t="shared" ref="H59:H70" si="51">D59/192*2*F59</f>
        <v>0</v>
      </c>
      <c r="I59" s="36">
        <f t="shared" si="45"/>
        <v>12000</v>
      </c>
      <c r="J59" s="37">
        <f>5000+5000+5000+5000</f>
        <v>20000</v>
      </c>
      <c r="K59" s="37">
        <f t="shared" si="46"/>
        <v>1440</v>
      </c>
      <c r="L59" s="36">
        <f t="shared" si="47"/>
        <v>1920</v>
      </c>
      <c r="M59" s="36">
        <f t="shared" si="48"/>
        <v>99</v>
      </c>
      <c r="N59" s="38">
        <f t="shared" si="49"/>
        <v>155459</v>
      </c>
      <c r="O59" s="39" t="s">
        <v>66</v>
      </c>
    </row>
    <row r="60" spans="1:15" x14ac:dyDescent="0.25">
      <c r="A60" s="1">
        <f t="shared" si="50"/>
        <v>42</v>
      </c>
      <c r="B60" s="1">
        <f t="shared" si="50"/>
        <v>3</v>
      </c>
      <c r="C60" s="40" t="s">
        <v>68</v>
      </c>
      <c r="D60" s="34">
        <v>70000</v>
      </c>
      <c r="E60" s="35"/>
      <c r="F60" s="35"/>
      <c r="G60" s="34">
        <f t="shared" si="44"/>
        <v>0</v>
      </c>
      <c r="H60" s="34">
        <f t="shared" si="51"/>
        <v>0</v>
      </c>
      <c r="I60" s="36">
        <f t="shared" si="45"/>
        <v>7000</v>
      </c>
      <c r="J60" s="37">
        <v>10000</v>
      </c>
      <c r="K60" s="37">
        <f t="shared" si="46"/>
        <v>840</v>
      </c>
      <c r="L60" s="36">
        <f t="shared" si="47"/>
        <v>1120</v>
      </c>
      <c r="M60" s="36">
        <f t="shared" si="48"/>
        <v>57.75</v>
      </c>
      <c r="N60" s="38">
        <f t="shared" si="49"/>
        <v>89017.75</v>
      </c>
      <c r="O60" s="39" t="s">
        <v>66</v>
      </c>
    </row>
    <row r="61" spans="1:15" x14ac:dyDescent="0.25">
      <c r="A61" s="1">
        <f t="shared" si="50"/>
        <v>43</v>
      </c>
      <c r="B61" s="1">
        <f t="shared" si="50"/>
        <v>4</v>
      </c>
      <c r="C61" s="40" t="s">
        <v>69</v>
      </c>
      <c r="D61" s="34">
        <v>70000</v>
      </c>
      <c r="E61" s="35"/>
      <c r="F61" s="35"/>
      <c r="G61" s="34">
        <f t="shared" si="44"/>
        <v>0</v>
      </c>
      <c r="H61" s="34">
        <f t="shared" si="51"/>
        <v>0</v>
      </c>
      <c r="I61" s="36">
        <f t="shared" si="45"/>
        <v>7000</v>
      </c>
      <c r="J61" s="37">
        <v>10000</v>
      </c>
      <c r="K61" s="37">
        <f t="shared" si="46"/>
        <v>840</v>
      </c>
      <c r="L61" s="36">
        <f t="shared" si="47"/>
        <v>1120</v>
      </c>
      <c r="M61" s="36">
        <f t="shared" si="48"/>
        <v>57.75</v>
      </c>
      <c r="N61" s="38">
        <f t="shared" si="49"/>
        <v>89017.75</v>
      </c>
      <c r="O61" s="39" t="s">
        <v>66</v>
      </c>
    </row>
    <row r="62" spans="1:15" x14ac:dyDescent="0.25">
      <c r="A62" s="1">
        <f t="shared" si="50"/>
        <v>44</v>
      </c>
      <c r="B62" s="1">
        <f t="shared" si="50"/>
        <v>5</v>
      </c>
      <c r="C62" s="40" t="s">
        <v>70</v>
      </c>
      <c r="D62" s="34">
        <v>70000</v>
      </c>
      <c r="E62" s="35"/>
      <c r="F62" s="35"/>
      <c r="G62" s="34">
        <v>0</v>
      </c>
      <c r="H62" s="34">
        <f t="shared" si="51"/>
        <v>0</v>
      </c>
      <c r="I62" s="36">
        <f t="shared" si="45"/>
        <v>7000</v>
      </c>
      <c r="J62" s="37">
        <v>5000</v>
      </c>
      <c r="K62" s="37">
        <f t="shared" si="46"/>
        <v>840</v>
      </c>
      <c r="L62" s="36">
        <f t="shared" si="47"/>
        <v>1120</v>
      </c>
      <c r="M62" s="36">
        <f t="shared" si="48"/>
        <v>57.75</v>
      </c>
      <c r="N62" s="38">
        <f t="shared" si="49"/>
        <v>84017.75</v>
      </c>
      <c r="O62" s="39" t="s">
        <v>66</v>
      </c>
    </row>
    <row r="63" spans="1:15" x14ac:dyDescent="0.25">
      <c r="A63" s="1">
        <f t="shared" si="50"/>
        <v>45</v>
      </c>
      <c r="B63" s="1">
        <f t="shared" si="50"/>
        <v>6</v>
      </c>
      <c r="C63" s="40" t="s">
        <v>71</v>
      </c>
      <c r="D63" s="34">
        <v>70000</v>
      </c>
      <c r="E63" s="35"/>
      <c r="F63" s="35"/>
      <c r="G63" s="34">
        <f t="shared" si="44"/>
        <v>0</v>
      </c>
      <c r="H63" s="34">
        <f t="shared" si="51"/>
        <v>0</v>
      </c>
      <c r="I63" s="36">
        <f t="shared" si="45"/>
        <v>7000</v>
      </c>
      <c r="J63" s="37">
        <v>10000</v>
      </c>
      <c r="K63" s="37">
        <f t="shared" si="46"/>
        <v>840</v>
      </c>
      <c r="L63" s="36">
        <f t="shared" si="47"/>
        <v>1120</v>
      </c>
      <c r="M63" s="36">
        <f t="shared" si="48"/>
        <v>57.75</v>
      </c>
      <c r="N63" s="38">
        <f t="shared" si="49"/>
        <v>89017.75</v>
      </c>
      <c r="O63" s="39" t="s">
        <v>66</v>
      </c>
    </row>
    <row r="64" spans="1:15" x14ac:dyDescent="0.25">
      <c r="A64" s="1">
        <f t="shared" si="50"/>
        <v>46</v>
      </c>
      <c r="B64" s="1">
        <f t="shared" si="50"/>
        <v>7</v>
      </c>
      <c r="C64" s="40" t="s">
        <v>72</v>
      </c>
      <c r="D64" s="34">
        <v>70000</v>
      </c>
      <c r="E64" s="35"/>
      <c r="F64" s="35"/>
      <c r="G64" s="34">
        <f t="shared" si="44"/>
        <v>0</v>
      </c>
      <c r="H64" s="34">
        <f t="shared" si="51"/>
        <v>0</v>
      </c>
      <c r="I64" s="36">
        <f t="shared" si="45"/>
        <v>7000</v>
      </c>
      <c r="J64" s="37">
        <v>10000</v>
      </c>
      <c r="K64" s="37">
        <f t="shared" si="46"/>
        <v>840</v>
      </c>
      <c r="L64" s="36">
        <f t="shared" si="47"/>
        <v>1120</v>
      </c>
      <c r="M64" s="36">
        <f t="shared" si="48"/>
        <v>57.75</v>
      </c>
      <c r="N64" s="38">
        <f t="shared" si="49"/>
        <v>89017.75</v>
      </c>
      <c r="O64" s="39" t="s">
        <v>66</v>
      </c>
    </row>
    <row r="65" spans="1:24" x14ac:dyDescent="0.25">
      <c r="A65" s="1">
        <f t="shared" si="50"/>
        <v>47</v>
      </c>
      <c r="B65" s="1">
        <v>8</v>
      </c>
      <c r="C65" s="40" t="s">
        <v>151</v>
      </c>
      <c r="D65" s="34">
        <v>70000</v>
      </c>
      <c r="E65" s="35"/>
      <c r="F65" s="35"/>
      <c r="G65" s="34">
        <f t="shared" si="44"/>
        <v>0</v>
      </c>
      <c r="H65" s="34">
        <f t="shared" si="51"/>
        <v>0</v>
      </c>
      <c r="I65" s="36">
        <f t="shared" si="45"/>
        <v>7000</v>
      </c>
      <c r="J65" s="37">
        <v>5000</v>
      </c>
      <c r="K65" s="37">
        <f t="shared" si="46"/>
        <v>840</v>
      </c>
      <c r="L65" s="36">
        <f t="shared" si="47"/>
        <v>1120</v>
      </c>
      <c r="M65" s="36">
        <f t="shared" si="48"/>
        <v>57.75</v>
      </c>
      <c r="N65" s="38">
        <f t="shared" si="49"/>
        <v>84017.75</v>
      </c>
      <c r="O65" s="39" t="s">
        <v>66</v>
      </c>
    </row>
    <row r="66" spans="1:24" x14ac:dyDescent="0.25">
      <c r="A66" s="1">
        <f t="shared" si="50"/>
        <v>48</v>
      </c>
      <c r="B66" s="1">
        <v>9</v>
      </c>
      <c r="C66" s="40" t="s">
        <v>150</v>
      </c>
      <c r="D66" s="34">
        <v>70000</v>
      </c>
      <c r="E66" s="35"/>
      <c r="F66" s="35"/>
      <c r="G66" s="34">
        <f t="shared" si="44"/>
        <v>0</v>
      </c>
      <c r="H66" s="34">
        <f t="shared" si="51"/>
        <v>0</v>
      </c>
      <c r="I66" s="36">
        <f t="shared" si="45"/>
        <v>7000</v>
      </c>
      <c r="J66" s="37">
        <v>5000</v>
      </c>
      <c r="K66" s="37">
        <f t="shared" si="46"/>
        <v>840</v>
      </c>
      <c r="L66" s="36">
        <f t="shared" si="47"/>
        <v>1120</v>
      </c>
      <c r="M66" s="36">
        <f t="shared" si="48"/>
        <v>57.75</v>
      </c>
      <c r="N66" s="38">
        <f t="shared" si="49"/>
        <v>84017.75</v>
      </c>
      <c r="O66" s="39" t="s">
        <v>66</v>
      </c>
    </row>
    <row r="67" spans="1:24" x14ac:dyDescent="0.25">
      <c r="A67" s="1">
        <f t="shared" si="50"/>
        <v>49</v>
      </c>
      <c r="B67" s="1">
        <v>10</v>
      </c>
      <c r="C67" s="40" t="s">
        <v>74</v>
      </c>
      <c r="D67" s="34">
        <v>70000</v>
      </c>
      <c r="E67" s="35"/>
      <c r="F67" s="35"/>
      <c r="G67" s="34">
        <f t="shared" si="44"/>
        <v>0</v>
      </c>
      <c r="H67" s="34">
        <f t="shared" si="51"/>
        <v>0</v>
      </c>
      <c r="I67" s="36">
        <f t="shared" si="45"/>
        <v>7000</v>
      </c>
      <c r="J67" s="37">
        <v>10000</v>
      </c>
      <c r="K67" s="37">
        <f t="shared" si="46"/>
        <v>840</v>
      </c>
      <c r="L67" s="36">
        <f t="shared" si="47"/>
        <v>1120</v>
      </c>
      <c r="M67" s="36">
        <f t="shared" si="48"/>
        <v>57.75</v>
      </c>
      <c r="N67" s="38">
        <f t="shared" si="49"/>
        <v>89017.75</v>
      </c>
      <c r="O67" s="39" t="s">
        <v>66</v>
      </c>
    </row>
    <row r="68" spans="1:24" x14ac:dyDescent="0.25">
      <c r="A68" s="1">
        <f t="shared" si="50"/>
        <v>50</v>
      </c>
      <c r="B68" s="1">
        <f t="shared" si="50"/>
        <v>11</v>
      </c>
      <c r="C68" s="40" t="s">
        <v>75</v>
      </c>
      <c r="D68" s="34">
        <v>70000</v>
      </c>
      <c r="E68" s="35"/>
      <c r="F68" s="35"/>
      <c r="G68" s="34">
        <f t="shared" si="44"/>
        <v>0</v>
      </c>
      <c r="H68" s="34">
        <f t="shared" si="51"/>
        <v>0</v>
      </c>
      <c r="I68" s="36">
        <f t="shared" si="45"/>
        <v>7000</v>
      </c>
      <c r="J68" s="37">
        <v>10000</v>
      </c>
      <c r="K68" s="37">
        <f t="shared" si="46"/>
        <v>840</v>
      </c>
      <c r="L68" s="36">
        <f t="shared" si="47"/>
        <v>1120</v>
      </c>
      <c r="M68" s="36">
        <f t="shared" si="48"/>
        <v>57.75</v>
      </c>
      <c r="N68" s="38">
        <f t="shared" si="49"/>
        <v>89017.75</v>
      </c>
      <c r="O68" s="39" t="s">
        <v>66</v>
      </c>
    </row>
    <row r="69" spans="1:24" x14ac:dyDescent="0.25">
      <c r="A69" s="1">
        <f t="shared" si="50"/>
        <v>51</v>
      </c>
      <c r="B69" s="1">
        <f t="shared" si="50"/>
        <v>12</v>
      </c>
      <c r="C69" s="42" t="s">
        <v>76</v>
      </c>
      <c r="D69" s="34">
        <v>70000</v>
      </c>
      <c r="E69" s="35"/>
      <c r="F69" s="35"/>
      <c r="G69" s="34">
        <f t="shared" si="44"/>
        <v>0</v>
      </c>
      <c r="H69" s="34">
        <f t="shared" si="51"/>
        <v>0</v>
      </c>
      <c r="I69" s="36">
        <f t="shared" si="45"/>
        <v>7000</v>
      </c>
      <c r="J69" s="37">
        <v>10000</v>
      </c>
      <c r="K69" s="37">
        <f t="shared" si="46"/>
        <v>840</v>
      </c>
      <c r="L69" s="36">
        <f t="shared" si="47"/>
        <v>1120</v>
      </c>
      <c r="M69" s="36">
        <f t="shared" si="48"/>
        <v>57.75</v>
      </c>
      <c r="N69" s="38">
        <f t="shared" si="49"/>
        <v>89017.75</v>
      </c>
      <c r="O69" s="39" t="s">
        <v>66</v>
      </c>
    </row>
    <row r="70" spans="1:24" x14ac:dyDescent="0.25">
      <c r="A70" s="1">
        <f t="shared" si="50"/>
        <v>52</v>
      </c>
      <c r="B70" s="1">
        <f t="shared" si="50"/>
        <v>13</v>
      </c>
      <c r="C70" s="40" t="s">
        <v>77</v>
      </c>
      <c r="D70" s="73">
        <v>70000</v>
      </c>
      <c r="E70" s="49"/>
      <c r="F70" s="35"/>
      <c r="G70" s="34">
        <f t="shared" si="44"/>
        <v>0</v>
      </c>
      <c r="H70" s="34">
        <f t="shared" si="51"/>
        <v>0</v>
      </c>
      <c r="I70" s="36">
        <f t="shared" si="45"/>
        <v>7000</v>
      </c>
      <c r="J70" s="73">
        <v>10000</v>
      </c>
      <c r="K70" s="37">
        <f t="shared" si="46"/>
        <v>840</v>
      </c>
      <c r="L70" s="36">
        <f t="shared" si="47"/>
        <v>1120</v>
      </c>
      <c r="M70" s="36">
        <f t="shared" si="48"/>
        <v>57.75</v>
      </c>
      <c r="N70" s="38">
        <f t="shared" si="49"/>
        <v>89017.75</v>
      </c>
      <c r="O70" s="39" t="s">
        <v>66</v>
      </c>
    </row>
    <row r="71" spans="1:24" x14ac:dyDescent="0.25">
      <c r="C71" s="67"/>
      <c r="D71" s="45">
        <f>SUM(D58:D70)</f>
        <v>1050000</v>
      </c>
      <c r="E71" s="49"/>
      <c r="F71" s="45"/>
      <c r="G71" s="45">
        <f t="shared" ref="G71:N71" si="52">SUM(G58:G70)</f>
        <v>0</v>
      </c>
      <c r="H71" s="45">
        <f t="shared" si="52"/>
        <v>0</v>
      </c>
      <c r="I71" s="45">
        <f t="shared" si="52"/>
        <v>105000</v>
      </c>
      <c r="J71" s="45">
        <f t="shared" si="52"/>
        <v>158000</v>
      </c>
      <c r="K71" s="45">
        <f t="shared" si="52"/>
        <v>12600</v>
      </c>
      <c r="L71" s="45">
        <f t="shared" si="52"/>
        <v>16800</v>
      </c>
      <c r="M71" s="45">
        <f t="shared" si="52"/>
        <v>866.25</v>
      </c>
      <c r="N71" s="38">
        <f t="shared" si="52"/>
        <v>1343266.25</v>
      </c>
      <c r="O71" s="39"/>
    </row>
    <row r="72" spans="1:24" x14ac:dyDescent="0.25">
      <c r="C72" s="40"/>
      <c r="D72" s="34"/>
      <c r="E72" s="35"/>
      <c r="F72" s="35"/>
      <c r="G72" s="36"/>
      <c r="H72" s="36"/>
      <c r="I72" s="40"/>
      <c r="J72" s="37"/>
      <c r="K72" s="40"/>
      <c r="L72" s="40"/>
      <c r="M72" s="40"/>
      <c r="N72" s="38"/>
      <c r="O72" s="39"/>
    </row>
    <row r="73" spans="1:24" x14ac:dyDescent="0.25">
      <c r="A73" s="1">
        <f>1+A70</f>
        <v>53</v>
      </c>
      <c r="B73" s="1">
        <v>1</v>
      </c>
      <c r="C73" s="40" t="s">
        <v>78</v>
      </c>
      <c r="D73" s="34">
        <v>50000</v>
      </c>
      <c r="E73" s="35">
        <v>104</v>
      </c>
      <c r="F73" s="35"/>
      <c r="G73" s="34">
        <f>D73/192*1.5*E73</f>
        <v>40625</v>
      </c>
      <c r="H73" s="34">
        <f>D73/192*2*F73</f>
        <v>0</v>
      </c>
      <c r="I73" s="36">
        <f>D73*$I$5</f>
        <v>5000</v>
      </c>
      <c r="J73" s="37">
        <v>5000</v>
      </c>
      <c r="K73" s="37">
        <f t="shared" ref="K73:K75" si="53">D73*$K$5</f>
        <v>600</v>
      </c>
      <c r="L73" s="36">
        <f t="shared" ref="L73:L75" si="54">D73*$L$5</f>
        <v>800</v>
      </c>
      <c r="M73" s="36">
        <f t="shared" ref="M73:M75" si="55">(D73*0.5%)*16.5%</f>
        <v>41.25</v>
      </c>
      <c r="N73" s="38">
        <f t="shared" si="49"/>
        <v>102066.25</v>
      </c>
      <c r="O73" s="39" t="s">
        <v>79</v>
      </c>
    </row>
    <row r="74" spans="1:24" x14ac:dyDescent="0.25">
      <c r="A74" s="1">
        <f t="shared" ref="A74:A75" si="56">1+A73</f>
        <v>54</v>
      </c>
      <c r="C74" s="40" t="s">
        <v>80</v>
      </c>
      <c r="D74" s="34">
        <v>50000</v>
      </c>
      <c r="E74" s="35">
        <v>52</v>
      </c>
      <c r="F74" s="35">
        <v>12</v>
      </c>
      <c r="G74" s="34">
        <f>D74/192*1.5*E74</f>
        <v>20312.5</v>
      </c>
      <c r="H74" s="34">
        <f>D74/192*2*F74</f>
        <v>6250</v>
      </c>
      <c r="I74" s="36">
        <f>D74*$I$5</f>
        <v>5000</v>
      </c>
      <c r="J74" s="37">
        <v>5000</v>
      </c>
      <c r="K74" s="37">
        <f t="shared" si="53"/>
        <v>600</v>
      </c>
      <c r="L74" s="36">
        <f t="shared" si="54"/>
        <v>800</v>
      </c>
      <c r="M74" s="36">
        <f t="shared" si="55"/>
        <v>41.25</v>
      </c>
      <c r="N74" s="38">
        <f t="shared" si="49"/>
        <v>88003.75</v>
      </c>
      <c r="O74" s="39" t="s">
        <v>79</v>
      </c>
    </row>
    <row r="75" spans="1:24" x14ac:dyDescent="0.25">
      <c r="A75" s="1">
        <f t="shared" si="56"/>
        <v>55</v>
      </c>
      <c r="B75" s="1">
        <v>3</v>
      </c>
      <c r="C75" s="40" t="s">
        <v>81</v>
      </c>
      <c r="D75" s="34">
        <v>50000</v>
      </c>
      <c r="E75" s="35">
        <v>84</v>
      </c>
      <c r="F75" s="35"/>
      <c r="G75" s="34">
        <f>D75/192*1.5*E75</f>
        <v>32812.5</v>
      </c>
      <c r="H75" s="34">
        <f>D75/192*2*F75</f>
        <v>0</v>
      </c>
      <c r="I75" s="36">
        <f>D75*$I$5</f>
        <v>5000</v>
      </c>
      <c r="J75" s="37">
        <v>10000</v>
      </c>
      <c r="K75" s="37">
        <f t="shared" si="53"/>
        <v>600</v>
      </c>
      <c r="L75" s="36">
        <f t="shared" si="54"/>
        <v>800</v>
      </c>
      <c r="M75" s="36">
        <f t="shared" si="55"/>
        <v>41.25</v>
      </c>
      <c r="N75" s="38">
        <f t="shared" si="49"/>
        <v>99253.75</v>
      </c>
      <c r="O75" s="39" t="s">
        <v>79</v>
      </c>
    </row>
    <row r="76" spans="1:24" x14ac:dyDescent="0.25">
      <c r="C76" s="40" t="s">
        <v>33</v>
      </c>
      <c r="D76" s="45">
        <f>SUM(D73:D75)</f>
        <v>150000</v>
      </c>
      <c r="E76" s="49"/>
      <c r="F76" s="45"/>
      <c r="G76" s="45">
        <f t="shared" ref="G76:M76" si="57">SUM(G73:G75)</f>
        <v>93750</v>
      </c>
      <c r="H76" s="45">
        <f t="shared" si="57"/>
        <v>6250</v>
      </c>
      <c r="I76" s="45">
        <f t="shared" si="57"/>
        <v>15000</v>
      </c>
      <c r="J76" s="45">
        <f t="shared" si="57"/>
        <v>20000</v>
      </c>
      <c r="K76" s="45">
        <f t="shared" si="57"/>
        <v>1800</v>
      </c>
      <c r="L76" s="45">
        <f t="shared" si="57"/>
        <v>2400</v>
      </c>
      <c r="M76" s="45">
        <f t="shared" si="57"/>
        <v>123.75</v>
      </c>
      <c r="N76" s="38">
        <f t="shared" si="49"/>
        <v>289323.75</v>
      </c>
      <c r="O76" s="39"/>
    </row>
    <row r="77" spans="1:24" x14ac:dyDescent="0.25">
      <c r="C77" s="40"/>
      <c r="D77" s="45"/>
      <c r="E77" s="35"/>
      <c r="F77" s="74"/>
      <c r="G77" s="38"/>
      <c r="H77" s="38"/>
      <c r="I77" s="38"/>
      <c r="J77" s="56"/>
      <c r="K77" s="38"/>
      <c r="L77" s="38"/>
      <c r="M77" s="38"/>
      <c r="N77" s="38"/>
      <c r="O77" s="39"/>
      <c r="X77" s="1" t="s">
        <v>160</v>
      </c>
    </row>
    <row r="78" spans="1:24" s="75" customFormat="1" ht="15.75" x14ac:dyDescent="0.25">
      <c r="C78" s="76" t="s">
        <v>82</v>
      </c>
      <c r="D78" s="77">
        <f>+D76+D71+D56+D49+D45+D40+D31+D29+D25+D19</f>
        <v>3507533.55</v>
      </c>
      <c r="E78" s="78"/>
      <c r="F78" s="77"/>
      <c r="G78" s="77">
        <f>+G76+G70+G56+G49+G45+G40+G31+G29+G25+G19</f>
        <v>317036.63437500002</v>
      </c>
      <c r="H78" s="77">
        <f>+H76+H70+H56+H49+H45+H40+H31+H29+H25+H19</f>
        <v>101000.52499999999</v>
      </c>
      <c r="I78" s="77">
        <f>+I76+I70+I56+I49+I45+I40+I31+I29+I25+I19</f>
        <v>246425.23</v>
      </c>
      <c r="J78" s="77">
        <f>+J76+J71+J56+J49+J45+J40+J31+J29+J25+J19</f>
        <v>743000</v>
      </c>
      <c r="K78" s="77">
        <f>+K76+K71+K56+K49+K45+K40+K31+K29+K25+K19</f>
        <v>42090.402600000001</v>
      </c>
      <c r="L78" s="77">
        <f>+L76+L71+L56+L49+L45+L40+L31+L29+L25+L19</f>
        <v>56120.536800000002</v>
      </c>
      <c r="M78" s="77">
        <f>+M76+M71+M56+M49+M45+M40+M31+M29+M25+M19</f>
        <v>2893.7151787499997</v>
      </c>
      <c r="N78" s="77">
        <f>SUM(D78:M78)</f>
        <v>5016100.5939537501</v>
      </c>
      <c r="O78" s="79" t="s">
        <v>83</v>
      </c>
    </row>
    <row r="79" spans="1:24" x14ac:dyDescent="0.25">
      <c r="N79" s="51"/>
      <c r="Q79" s="51"/>
    </row>
    <row r="80" spans="1:24" s="22" customFormat="1" x14ac:dyDescent="0.25">
      <c r="D80" s="80">
        <v>1</v>
      </c>
      <c r="E80" s="81"/>
      <c r="F80" s="81"/>
      <c r="G80" s="81">
        <v>2</v>
      </c>
      <c r="H80" s="81">
        <v>3</v>
      </c>
      <c r="I80" s="81">
        <v>4</v>
      </c>
      <c r="J80" s="82">
        <v>5</v>
      </c>
      <c r="K80" s="81">
        <v>6</v>
      </c>
      <c r="L80" s="81">
        <v>7</v>
      </c>
      <c r="M80" s="81">
        <v>8</v>
      </c>
      <c r="N80" s="51"/>
    </row>
    <row r="81" spans="3:19" x14ac:dyDescent="0.25">
      <c r="N81" s="51"/>
    </row>
    <row r="82" spans="3:19" ht="15.75" x14ac:dyDescent="0.25">
      <c r="C82" s="83" t="s">
        <v>84</v>
      </c>
      <c r="D82" s="84">
        <f>+D78+G78+H78</f>
        <v>3925570.7093749996</v>
      </c>
      <c r="G82" s="85"/>
      <c r="H82" s="85"/>
      <c r="N82" s="51"/>
    </row>
    <row r="83" spans="3:19" ht="15.75" x14ac:dyDescent="0.25">
      <c r="C83" s="83" t="s">
        <v>85</v>
      </c>
      <c r="D83" s="84">
        <f>+I78</f>
        <v>246425.23</v>
      </c>
      <c r="G83" s="85"/>
      <c r="H83" s="85"/>
      <c r="N83" s="51"/>
    </row>
    <row r="84" spans="3:19" ht="15.75" x14ac:dyDescent="0.25">
      <c r="C84" s="83" t="s">
        <v>86</v>
      </c>
      <c r="D84" s="84">
        <f>+K78+L78</f>
        <v>98210.939400000003</v>
      </c>
      <c r="G84" s="85"/>
      <c r="H84" s="85"/>
      <c r="N84" s="51"/>
    </row>
    <row r="85" spans="3:19" ht="15.75" x14ac:dyDescent="0.25">
      <c r="C85" s="83" t="s">
        <v>87</v>
      </c>
      <c r="D85" s="84">
        <f>+M78</f>
        <v>2893.7151787499997</v>
      </c>
      <c r="G85" s="85"/>
      <c r="H85" s="85"/>
      <c r="N85" s="51"/>
    </row>
    <row r="86" spans="3:19" ht="15.75" x14ac:dyDescent="0.25">
      <c r="C86" s="83" t="s">
        <v>88</v>
      </c>
      <c r="D86" s="86">
        <f>+J78</f>
        <v>743000</v>
      </c>
      <c r="G86" s="85"/>
      <c r="H86" s="85"/>
      <c r="N86" s="51"/>
    </row>
    <row r="87" spans="3:19" ht="15.75" x14ac:dyDescent="0.25">
      <c r="C87" s="83" t="s">
        <v>232</v>
      </c>
      <c r="D87" s="86">
        <v>120400</v>
      </c>
      <c r="G87" s="85"/>
      <c r="H87" s="85"/>
      <c r="N87" s="51"/>
    </row>
    <row r="88" spans="3:19" ht="15.75" x14ac:dyDescent="0.25">
      <c r="C88" s="83" t="s">
        <v>233</v>
      </c>
      <c r="D88" s="86">
        <v>12000</v>
      </c>
      <c r="G88" s="85"/>
      <c r="H88" s="85"/>
      <c r="N88" s="51"/>
    </row>
    <row r="89" spans="3:19" ht="15.75" x14ac:dyDescent="0.25">
      <c r="C89" s="83" t="s">
        <v>235</v>
      </c>
      <c r="D89" s="86">
        <v>10000</v>
      </c>
      <c r="G89" s="85"/>
      <c r="H89" s="85"/>
      <c r="N89" s="51"/>
    </row>
    <row r="90" spans="3:19" ht="15.75" x14ac:dyDescent="0.25">
      <c r="C90" s="94" t="s">
        <v>155</v>
      </c>
      <c r="D90" s="88">
        <v>79000</v>
      </c>
      <c r="E90" s="95" t="s">
        <v>234</v>
      </c>
      <c r="F90" s="96">
        <v>1</v>
      </c>
      <c r="G90" s="97"/>
      <c r="H90" s="98"/>
      <c r="N90" s="51"/>
    </row>
    <row r="91" spans="3:19" ht="15.75" x14ac:dyDescent="0.25">
      <c r="C91" s="94" t="s">
        <v>96</v>
      </c>
      <c r="D91" s="88">
        <f>13110+41610</f>
        <v>54720</v>
      </c>
      <c r="E91" s="95" t="s">
        <v>234</v>
      </c>
      <c r="F91" s="96">
        <v>2</v>
      </c>
      <c r="G91" s="97"/>
      <c r="H91" s="98"/>
      <c r="N91" s="51"/>
    </row>
    <row r="92" spans="3:19" ht="15.75" x14ac:dyDescent="0.25">
      <c r="C92" s="94" t="s">
        <v>230</v>
      </c>
      <c r="D92" s="88">
        <v>58000</v>
      </c>
      <c r="E92" s="95" t="s">
        <v>234</v>
      </c>
      <c r="F92" s="96">
        <v>3</v>
      </c>
      <c r="G92" s="97"/>
      <c r="H92" s="98"/>
      <c r="N92" s="51"/>
    </row>
    <row r="93" spans="3:19" s="5" customFormat="1" ht="15.75" x14ac:dyDescent="0.25">
      <c r="C93" s="83" t="s">
        <v>231</v>
      </c>
      <c r="D93" s="86">
        <v>120000</v>
      </c>
      <c r="E93" s="95" t="s">
        <v>234</v>
      </c>
      <c r="F93" s="11">
        <v>4</v>
      </c>
      <c r="G93" s="99"/>
      <c r="I93" s="1"/>
      <c r="K93" s="1"/>
      <c r="L93" s="1"/>
      <c r="M93" s="1"/>
      <c r="N93" s="51"/>
      <c r="O93" s="1"/>
      <c r="P93" s="1"/>
      <c r="Q93" s="1"/>
      <c r="R93" s="1"/>
      <c r="S93" s="1"/>
    </row>
    <row r="94" spans="3:19" s="5" customFormat="1" ht="15.75" x14ac:dyDescent="0.25">
      <c r="C94" s="83" t="s">
        <v>98</v>
      </c>
      <c r="D94" s="86">
        <v>1050000</v>
      </c>
      <c r="E94" s="11"/>
      <c r="F94" s="11"/>
      <c r="I94" s="1"/>
      <c r="K94" s="1"/>
      <c r="L94" s="1"/>
      <c r="M94" s="1"/>
      <c r="N94" s="51"/>
      <c r="O94" s="1"/>
      <c r="P94" s="1"/>
      <c r="Q94" s="1"/>
      <c r="R94" s="1"/>
      <c r="S94" s="1"/>
    </row>
    <row r="95" spans="3:19" ht="15.75" x14ac:dyDescent="0.25">
      <c r="C95" s="83" t="s">
        <v>99</v>
      </c>
      <c r="D95" s="88">
        <f>SUM(D82:D94)</f>
        <v>6520220.5939537501</v>
      </c>
      <c r="E95" s="101"/>
      <c r="F95" s="101"/>
      <c r="G95" s="21"/>
      <c r="H95" s="21"/>
      <c r="N95" s="51"/>
    </row>
    <row r="96" spans="3:19" ht="15.75" x14ac:dyDescent="0.25">
      <c r="C96" s="12"/>
      <c r="D96" s="102"/>
      <c r="E96" s="101"/>
      <c r="F96" s="101"/>
      <c r="G96" s="21"/>
      <c r="H96" s="21"/>
      <c r="N96" s="51"/>
    </row>
    <row r="97" spans="2:16" ht="15.75" x14ac:dyDescent="0.25">
      <c r="C97" s="12"/>
      <c r="D97" s="102"/>
      <c r="E97" s="101"/>
      <c r="F97" s="101"/>
      <c r="G97" s="21"/>
      <c r="H97" s="21"/>
      <c r="N97" s="51"/>
    </row>
    <row r="98" spans="2:16" x14ac:dyDescent="0.25">
      <c r="C98" s="12" t="s">
        <v>100</v>
      </c>
      <c r="D98" s="103"/>
      <c r="E98" s="101"/>
      <c r="F98" s="101"/>
      <c r="G98" s="21"/>
      <c r="H98" s="21"/>
      <c r="N98" s="51"/>
    </row>
    <row r="99" spans="2:16" x14ac:dyDescent="0.25">
      <c r="C99" s="125">
        <v>44609</v>
      </c>
      <c r="D99" s="103"/>
      <c r="E99" s="101"/>
      <c r="F99" s="101"/>
      <c r="G99" s="21"/>
      <c r="H99" s="21"/>
    </row>
    <row r="100" spans="2:16" x14ac:dyDescent="0.25">
      <c r="C100" s="12"/>
      <c r="D100" s="103"/>
      <c r="E100" s="101"/>
      <c r="F100" s="101"/>
      <c r="G100" s="21"/>
      <c r="H100" s="21"/>
    </row>
    <row r="101" spans="2:16" x14ac:dyDescent="0.25">
      <c r="C101" s="12"/>
      <c r="D101" s="103"/>
      <c r="E101" s="101"/>
      <c r="F101" s="101"/>
      <c r="G101" s="21"/>
      <c r="H101" s="21"/>
    </row>
    <row r="102" spans="2:16" ht="18.75" x14ac:dyDescent="0.3">
      <c r="C102" s="4" t="s">
        <v>0</v>
      </c>
      <c r="D102" s="103"/>
      <c r="E102" s="101"/>
      <c r="F102" s="101"/>
      <c r="G102" s="21"/>
      <c r="H102" s="21"/>
      <c r="P102" s="12"/>
    </row>
    <row r="103" spans="2:16" ht="21" x14ac:dyDescent="0.35">
      <c r="C103" s="105" t="str">
        <f>+D2</f>
        <v>PAYROLL FOR FEBRUARY.2022</v>
      </c>
      <c r="D103" s="103"/>
      <c r="E103" s="101"/>
      <c r="F103" s="106" t="s">
        <v>101</v>
      </c>
      <c r="G103" s="21"/>
      <c r="H103" s="21"/>
      <c r="P103" s="22"/>
    </row>
    <row r="104" spans="2:16" x14ac:dyDescent="0.25">
      <c r="C104" s="12"/>
      <c r="D104" s="103"/>
      <c r="E104" s="101"/>
      <c r="F104" s="101"/>
      <c r="G104" s="21"/>
      <c r="H104" s="21"/>
    </row>
    <row r="105" spans="2:16" x14ac:dyDescent="0.25">
      <c r="D105" s="103"/>
      <c r="E105" s="101"/>
      <c r="F105" s="101"/>
      <c r="G105" s="21"/>
      <c r="H105" s="21"/>
      <c r="M105" s="22" t="s">
        <v>102</v>
      </c>
      <c r="N105" s="51"/>
    </row>
    <row r="106" spans="2:16" ht="30" x14ac:dyDescent="0.25">
      <c r="C106" s="12" t="s">
        <v>3</v>
      </c>
      <c r="D106" s="10" t="s">
        <v>73</v>
      </c>
      <c r="E106" s="101" t="s">
        <v>5</v>
      </c>
      <c r="F106" s="101" t="s">
        <v>6</v>
      </c>
      <c r="G106" s="12" t="s">
        <v>7</v>
      </c>
      <c r="H106" s="12" t="s">
        <v>7</v>
      </c>
      <c r="I106" s="12" t="s">
        <v>8</v>
      </c>
      <c r="J106" s="107" t="s">
        <v>9</v>
      </c>
      <c r="K106" s="108" t="s">
        <v>103</v>
      </c>
      <c r="L106" s="109" t="s">
        <v>11</v>
      </c>
      <c r="M106" s="12" t="s">
        <v>12</v>
      </c>
      <c r="N106" s="110" t="s">
        <v>33</v>
      </c>
      <c r="O106" s="12" t="s">
        <v>14</v>
      </c>
    </row>
    <row r="107" spans="2:16" x14ac:dyDescent="0.25">
      <c r="C107" s="22"/>
      <c r="D107" s="111" t="s">
        <v>104</v>
      </c>
      <c r="E107" s="81" t="s">
        <v>16</v>
      </c>
      <c r="F107" s="81" t="s">
        <v>17</v>
      </c>
      <c r="G107" s="112" t="s">
        <v>18</v>
      </c>
      <c r="H107" s="112" t="s">
        <v>19</v>
      </c>
      <c r="I107" s="113">
        <v>0.1</v>
      </c>
      <c r="J107" s="32"/>
      <c r="K107" s="114">
        <v>1.2E-2</v>
      </c>
      <c r="L107" s="114">
        <v>1.6E-2</v>
      </c>
      <c r="M107" s="114">
        <v>0.16500000000000001</v>
      </c>
      <c r="N107" s="51"/>
      <c r="O107" s="22"/>
    </row>
    <row r="108" spans="2:16" x14ac:dyDescent="0.25">
      <c r="B108" s="1">
        <v>1</v>
      </c>
      <c r="C108" s="1" t="s">
        <v>105</v>
      </c>
      <c r="D108" s="98">
        <v>73500</v>
      </c>
      <c r="F108" s="100"/>
      <c r="G108" s="85">
        <f>D108/192*1.5*E108</f>
        <v>0</v>
      </c>
      <c r="H108" s="85">
        <f>D108/192*2*F108</f>
        <v>0</v>
      </c>
      <c r="I108" s="85">
        <f>D108*$I$5</f>
        <v>7350</v>
      </c>
      <c r="J108" s="5">
        <v>5000</v>
      </c>
      <c r="K108" s="5">
        <f>D108*$K$5</f>
        <v>882</v>
      </c>
      <c r="L108" s="85">
        <f>D108*$L$107</f>
        <v>1176</v>
      </c>
      <c r="M108" s="85">
        <f>(D108*0.5%)*16.5%</f>
        <v>60.637500000000003</v>
      </c>
      <c r="N108" s="51">
        <f>+M108+L108+K108+J108+I108+H108+G108+D108</f>
        <v>87968.637499999997</v>
      </c>
      <c r="O108" s="1" t="s">
        <v>43</v>
      </c>
    </row>
    <row r="109" spans="2:16" x14ac:dyDescent="0.25">
      <c r="B109" s="1">
        <v>2</v>
      </c>
      <c r="C109" s="1" t="s">
        <v>106</v>
      </c>
      <c r="D109" s="98">
        <v>73500</v>
      </c>
      <c r="F109" s="100"/>
      <c r="G109" s="85">
        <f>D109/192*1.5*E109</f>
        <v>0</v>
      </c>
      <c r="H109" s="85">
        <f>D109/192*2*F109</f>
        <v>0</v>
      </c>
      <c r="I109" s="85">
        <f>D109*$I$5</f>
        <v>7350</v>
      </c>
      <c r="J109" s="5">
        <v>5000</v>
      </c>
      <c r="K109" s="5">
        <f>D109*$K$5</f>
        <v>882</v>
      </c>
      <c r="L109" s="85">
        <f t="shared" ref="L109:L110" si="58">D109*$L$107</f>
        <v>1176</v>
      </c>
      <c r="M109" s="85">
        <f t="shared" ref="M109:M110" si="59">(D109*0.5%)*16.5%</f>
        <v>60.637500000000003</v>
      </c>
      <c r="N109" s="51">
        <f t="shared" ref="N109:N130" si="60">+M109+L109+K109+J109+I109+H109+G109+D109</f>
        <v>87968.637499999997</v>
      </c>
      <c r="O109" s="1" t="s">
        <v>43</v>
      </c>
    </row>
    <row r="110" spans="2:16" x14ac:dyDescent="0.25">
      <c r="B110" s="1">
        <v>3</v>
      </c>
      <c r="C110" s="1" t="s">
        <v>107</v>
      </c>
      <c r="D110" s="98">
        <v>73500</v>
      </c>
      <c r="F110" s="100"/>
      <c r="G110" s="85">
        <f>D110/192*1.5*E110</f>
        <v>0</v>
      </c>
      <c r="H110" s="85">
        <f>D110/192*2*F110</f>
        <v>0</v>
      </c>
      <c r="I110" s="85">
        <f>D110*$I$5</f>
        <v>7350</v>
      </c>
      <c r="J110" s="5">
        <v>5000</v>
      </c>
      <c r="K110" s="5">
        <f>D110*$K$5</f>
        <v>882</v>
      </c>
      <c r="L110" s="85">
        <f t="shared" si="58"/>
        <v>1176</v>
      </c>
      <c r="M110" s="85">
        <f t="shared" si="59"/>
        <v>60.637500000000003</v>
      </c>
      <c r="N110" s="51">
        <f t="shared" si="60"/>
        <v>87968.637499999997</v>
      </c>
      <c r="O110" s="1" t="s">
        <v>43</v>
      </c>
    </row>
    <row r="111" spans="2:16" x14ac:dyDescent="0.25">
      <c r="D111" s="98"/>
      <c r="F111" s="100"/>
      <c r="G111" s="85"/>
      <c r="H111" s="85"/>
      <c r="I111" s="85"/>
      <c r="K111" s="5"/>
      <c r="L111" s="85"/>
      <c r="M111" s="85"/>
      <c r="N111" s="51"/>
    </row>
    <row r="112" spans="2:16" x14ac:dyDescent="0.25">
      <c r="D112" s="98"/>
      <c r="F112" s="100"/>
      <c r="G112" s="85"/>
      <c r="H112" s="85"/>
      <c r="I112" s="85"/>
      <c r="K112" s="5"/>
      <c r="L112" s="85"/>
      <c r="M112" s="85"/>
      <c r="N112" s="51"/>
    </row>
    <row r="113" spans="2:16" x14ac:dyDescent="0.25">
      <c r="B113" s="1">
        <v>1</v>
      </c>
      <c r="C113" s="115" t="s">
        <v>108</v>
      </c>
      <c r="D113" s="98">
        <v>50000</v>
      </c>
      <c r="E113" s="11">
        <v>20</v>
      </c>
      <c r="F113" s="100"/>
      <c r="G113" s="85">
        <f>D113/192*1.5*E113</f>
        <v>7812.5</v>
      </c>
      <c r="H113" s="85">
        <f>D113/192*2*F113</f>
        <v>0</v>
      </c>
      <c r="I113" s="85">
        <f>D113*$I$5</f>
        <v>5000</v>
      </c>
      <c r="J113" s="5">
        <v>5000</v>
      </c>
      <c r="K113" s="5">
        <f>D113*$K$5</f>
        <v>600</v>
      </c>
      <c r="L113" s="85">
        <f t="shared" ref="L113:L114" si="61">D113*$L$107</f>
        <v>800</v>
      </c>
      <c r="M113" s="85">
        <f t="shared" ref="M113:M114" si="62">(D113*0.5%)*16.5%</f>
        <v>41.25</v>
      </c>
      <c r="N113" s="51">
        <f t="shared" si="60"/>
        <v>69253.75</v>
      </c>
      <c r="O113" s="1" t="s">
        <v>36</v>
      </c>
    </row>
    <row r="114" spans="2:16" x14ac:dyDescent="0.25">
      <c r="B114" s="1">
        <v>2</v>
      </c>
      <c r="C114" s="1" t="s">
        <v>109</v>
      </c>
      <c r="D114" s="98">
        <v>50000</v>
      </c>
      <c r="E114" s="11">
        <v>24</v>
      </c>
      <c r="F114" s="100"/>
      <c r="G114" s="85">
        <f>D114/192*1.5*E114</f>
        <v>9375</v>
      </c>
      <c r="H114" s="85">
        <f>D114/192*2*F114</f>
        <v>0</v>
      </c>
      <c r="I114" s="85">
        <f>D114*$I$5</f>
        <v>5000</v>
      </c>
      <c r="J114" s="5">
        <v>5000</v>
      </c>
      <c r="K114" s="5">
        <f>D114*$K$5</f>
        <v>600</v>
      </c>
      <c r="L114" s="85">
        <f t="shared" si="61"/>
        <v>800</v>
      </c>
      <c r="M114" s="85">
        <f t="shared" si="62"/>
        <v>41.25</v>
      </c>
      <c r="N114" s="51">
        <f t="shared" si="60"/>
        <v>70816.25</v>
      </c>
      <c r="O114" s="1" t="s">
        <v>36</v>
      </c>
    </row>
    <row r="115" spans="2:16" x14ac:dyDescent="0.25">
      <c r="B115" s="1" t="s">
        <v>110</v>
      </c>
      <c r="D115" s="98"/>
      <c r="F115" s="100"/>
      <c r="G115" s="85"/>
      <c r="H115" s="85"/>
      <c r="I115" s="85"/>
      <c r="K115" s="5"/>
      <c r="L115" s="85"/>
      <c r="M115" s="85"/>
      <c r="N115" s="51"/>
    </row>
    <row r="116" spans="2:16" x14ac:dyDescent="0.25">
      <c r="D116" s="116"/>
      <c r="F116" s="100"/>
      <c r="G116" s="85"/>
      <c r="H116" s="85"/>
      <c r="I116" s="85"/>
      <c r="K116" s="5"/>
      <c r="L116" s="85"/>
      <c r="M116" s="85"/>
      <c r="N116" s="51"/>
    </row>
    <row r="117" spans="2:16" x14ac:dyDescent="0.25">
      <c r="B117" s="1">
        <v>1</v>
      </c>
      <c r="C117" s="1" t="s">
        <v>111</v>
      </c>
      <c r="D117" s="98">
        <v>50000</v>
      </c>
      <c r="F117" s="100"/>
      <c r="G117" s="85">
        <f>D117/192*1.5*E117</f>
        <v>0</v>
      </c>
      <c r="H117" s="85">
        <f>D117/192*2*F117</f>
        <v>0</v>
      </c>
      <c r="I117" s="85">
        <f>D117*$I$5</f>
        <v>5000</v>
      </c>
      <c r="J117" s="5">
        <v>5000</v>
      </c>
      <c r="K117" s="5">
        <f>D117*$K$5</f>
        <v>600</v>
      </c>
      <c r="L117" s="85">
        <f t="shared" ref="L117" si="63">D117*$L$107</f>
        <v>800</v>
      </c>
      <c r="M117" s="85">
        <f t="shared" ref="M117" si="64">(D117*0.5%)*16.5%</f>
        <v>41.25</v>
      </c>
      <c r="N117" s="51">
        <f t="shared" si="60"/>
        <v>61441.25</v>
      </c>
      <c r="O117" s="1" t="s">
        <v>22</v>
      </c>
    </row>
    <row r="118" spans="2:16" x14ac:dyDescent="0.25">
      <c r="D118" s="116"/>
      <c r="F118" s="100"/>
      <c r="G118" s="85"/>
      <c r="H118" s="85"/>
      <c r="I118" s="85"/>
      <c r="L118" s="85"/>
      <c r="M118" s="85"/>
      <c r="N118" s="51"/>
    </row>
    <row r="119" spans="2:16" x14ac:dyDescent="0.25">
      <c r="B119" s="1">
        <v>1</v>
      </c>
      <c r="C119" s="1" t="s">
        <v>112</v>
      </c>
      <c r="D119" s="98">
        <v>68250</v>
      </c>
      <c r="F119" s="100"/>
      <c r="G119" s="85">
        <f>D119/192*1.5*E119</f>
        <v>0</v>
      </c>
      <c r="H119" s="85">
        <f>D119/192*2*F119</f>
        <v>0</v>
      </c>
      <c r="I119" s="85">
        <f>D119*$I$5</f>
        <v>6825</v>
      </c>
      <c r="J119" s="5">
        <v>5000</v>
      </c>
      <c r="K119" s="5">
        <f>D119*$K$5</f>
        <v>819</v>
      </c>
      <c r="L119" s="85">
        <f t="shared" ref="L119" si="65">D119*$L$107</f>
        <v>1092</v>
      </c>
      <c r="M119" s="85">
        <f t="shared" ref="M119" si="66">(D119*0.5%)*16.5%</f>
        <v>56.306250000000006</v>
      </c>
      <c r="N119" s="51">
        <f t="shared" si="60"/>
        <v>82042.306249999994</v>
      </c>
      <c r="O119" s="1" t="s">
        <v>113</v>
      </c>
    </row>
    <row r="120" spans="2:16" x14ac:dyDescent="0.25">
      <c r="C120" s="1" t="s">
        <v>114</v>
      </c>
      <c r="D120" s="98">
        <f>50000/22*8</f>
        <v>18181.81818181818</v>
      </c>
      <c r="F120" s="100"/>
      <c r="G120" s="85"/>
      <c r="H120" s="85"/>
      <c r="I120" s="85"/>
      <c r="K120" s="5"/>
      <c r="L120" s="85"/>
      <c r="M120" s="85"/>
      <c r="N120" s="51">
        <f>+D120</f>
        <v>18181.81818181818</v>
      </c>
    </row>
    <row r="121" spans="2:16" x14ac:dyDescent="0.25">
      <c r="D121" s="116"/>
      <c r="F121" s="100"/>
      <c r="G121" s="85"/>
      <c r="H121" s="85"/>
      <c r="I121" s="85"/>
      <c r="N121" s="51"/>
    </row>
    <row r="122" spans="2:16" x14ac:dyDescent="0.25">
      <c r="B122" s="1">
        <v>1</v>
      </c>
      <c r="C122" s="1" t="s">
        <v>115</v>
      </c>
      <c r="D122" s="98">
        <v>50000</v>
      </c>
      <c r="E122" s="11">
        <v>20</v>
      </c>
      <c r="F122" s="100"/>
      <c r="G122" s="85">
        <f>D122/192*1.5*E122</f>
        <v>7812.5</v>
      </c>
      <c r="H122" s="85">
        <f>D122/192*2*F122</f>
        <v>0</v>
      </c>
      <c r="I122" s="85">
        <f>D122*$I$5</f>
        <v>5000</v>
      </c>
      <c r="J122" s="5">
        <v>5000</v>
      </c>
      <c r="K122" s="5">
        <f>D122*$K$5</f>
        <v>600</v>
      </c>
      <c r="L122" s="85">
        <f t="shared" ref="L122:L123" si="67">D122*$L$107</f>
        <v>800</v>
      </c>
      <c r="M122" s="85">
        <f t="shared" ref="M122:M123" si="68">(D122*0.5%)*16.5%</f>
        <v>41.25</v>
      </c>
      <c r="N122" s="51">
        <f t="shared" si="60"/>
        <v>69253.75</v>
      </c>
      <c r="O122" s="1" t="s">
        <v>53</v>
      </c>
    </row>
    <row r="123" spans="2:16" x14ac:dyDescent="0.25">
      <c r="B123" s="1">
        <v>2</v>
      </c>
      <c r="C123" s="1" t="s">
        <v>116</v>
      </c>
      <c r="D123" s="98">
        <v>50000</v>
      </c>
      <c r="E123" s="11">
        <v>20</v>
      </c>
      <c r="F123" s="100"/>
      <c r="G123" s="85">
        <f>D123/192*1.5*E123</f>
        <v>7812.5</v>
      </c>
      <c r="H123" s="85">
        <f>D123/192*2*F123</f>
        <v>0</v>
      </c>
      <c r="I123" s="85">
        <f>D123*$I$5</f>
        <v>5000</v>
      </c>
      <c r="J123" s="5">
        <v>5000</v>
      </c>
      <c r="K123" s="5">
        <f>D123*$K$5</f>
        <v>600</v>
      </c>
      <c r="L123" s="85">
        <f t="shared" si="67"/>
        <v>800</v>
      </c>
      <c r="M123" s="85">
        <f t="shared" si="68"/>
        <v>41.25</v>
      </c>
      <c r="N123" s="51">
        <f t="shared" si="60"/>
        <v>69253.75</v>
      </c>
      <c r="O123" s="1" t="s">
        <v>53</v>
      </c>
    </row>
    <row r="124" spans="2:16" x14ac:dyDescent="0.25">
      <c r="D124" s="98"/>
      <c r="F124" s="100"/>
      <c r="G124" s="85"/>
      <c r="H124" s="85"/>
      <c r="I124" s="85"/>
      <c r="K124" s="5"/>
      <c r="L124" s="85"/>
      <c r="M124" s="85"/>
      <c r="N124" s="51"/>
    </row>
    <row r="125" spans="2:16" x14ac:dyDescent="0.25">
      <c r="B125" s="1">
        <v>1</v>
      </c>
      <c r="C125" s="1" t="s">
        <v>117</v>
      </c>
      <c r="D125" s="98">
        <v>50000</v>
      </c>
      <c r="F125" s="100"/>
      <c r="G125" s="85">
        <f>D125/192*1.5*E125</f>
        <v>0</v>
      </c>
      <c r="H125" s="85">
        <f>D125/192*2*F125</f>
        <v>0</v>
      </c>
      <c r="I125" s="85">
        <f>D125*$I$5</f>
        <v>5000</v>
      </c>
      <c r="J125" s="5">
        <v>5000</v>
      </c>
      <c r="K125" s="5">
        <f>D125*$K$5</f>
        <v>600</v>
      </c>
      <c r="L125" s="85">
        <f t="shared" ref="L125" si="69">D125*$L$107</f>
        <v>800</v>
      </c>
      <c r="M125" s="85">
        <f t="shared" ref="M125" si="70">(D125*0.5%)*16.5%</f>
        <v>41.25</v>
      </c>
      <c r="N125" s="51">
        <f t="shared" si="60"/>
        <v>61441.25</v>
      </c>
      <c r="O125" s="1" t="s">
        <v>118</v>
      </c>
    </row>
    <row r="126" spans="2:16" x14ac:dyDescent="0.25">
      <c r="D126" s="98"/>
      <c r="F126" s="100"/>
      <c r="G126" s="85"/>
      <c r="H126" s="85"/>
      <c r="I126" s="85"/>
      <c r="K126" s="5"/>
      <c r="L126" s="85"/>
      <c r="M126" s="85"/>
      <c r="N126" s="51"/>
    </row>
    <row r="127" spans="2:16" x14ac:dyDescent="0.25">
      <c r="B127" s="1">
        <v>1</v>
      </c>
      <c r="C127" s="1" t="s">
        <v>119</v>
      </c>
      <c r="D127" s="98">
        <v>52500</v>
      </c>
      <c r="F127" s="100"/>
      <c r="G127" s="85">
        <f>D127/192*1.5*E127</f>
        <v>0</v>
      </c>
      <c r="H127" s="85">
        <f>D127/192*2*F127</f>
        <v>0</v>
      </c>
      <c r="I127" s="85">
        <f>D127*$I$5</f>
        <v>5250</v>
      </c>
      <c r="J127" s="5">
        <v>5000</v>
      </c>
      <c r="K127" s="5">
        <f>D127*$K$5</f>
        <v>630</v>
      </c>
      <c r="L127" s="85">
        <f t="shared" ref="L127:L128" si="71">D127*$L$107</f>
        <v>840</v>
      </c>
      <c r="M127" s="85">
        <f t="shared" ref="M127:M128" si="72">(D127*0.5%)*16.5%</f>
        <v>43.3125</v>
      </c>
      <c r="N127" s="51">
        <f t="shared" si="60"/>
        <v>64263.3125</v>
      </c>
      <c r="O127" s="1" t="s">
        <v>57</v>
      </c>
    </row>
    <row r="128" spans="2:16" s="117" customFormat="1" ht="15.75" x14ac:dyDescent="0.25">
      <c r="B128" s="1">
        <v>2</v>
      </c>
      <c r="C128" s="1" t="s">
        <v>120</v>
      </c>
      <c r="D128" s="98">
        <v>50000</v>
      </c>
      <c r="E128" s="11"/>
      <c r="F128" s="100"/>
      <c r="G128" s="85">
        <f>D128/192*1.5*E128</f>
        <v>0</v>
      </c>
      <c r="H128" s="85">
        <f>D128/192*2*F128</f>
        <v>0</v>
      </c>
      <c r="I128" s="85">
        <f>D128*$I$5</f>
        <v>5000</v>
      </c>
      <c r="J128" s="5">
        <v>5000</v>
      </c>
      <c r="K128" s="5">
        <f>D128*$K$5</f>
        <v>600</v>
      </c>
      <c r="L128" s="85">
        <f t="shared" si="71"/>
        <v>800</v>
      </c>
      <c r="M128" s="85">
        <f t="shared" si="72"/>
        <v>41.25</v>
      </c>
      <c r="N128" s="51">
        <f t="shared" si="60"/>
        <v>61441.25</v>
      </c>
      <c r="O128" s="1" t="s">
        <v>57</v>
      </c>
      <c r="P128" s="1"/>
    </row>
    <row r="129" spans="2:16" x14ac:dyDescent="0.25">
      <c r="D129" s="98"/>
      <c r="F129" s="100"/>
      <c r="G129" s="85"/>
      <c r="H129" s="85"/>
      <c r="I129" s="85"/>
      <c r="K129" s="5"/>
      <c r="L129" s="85"/>
      <c r="M129" s="85"/>
      <c r="N129" s="51"/>
    </row>
    <row r="130" spans="2:16" x14ac:dyDescent="0.25">
      <c r="B130" s="1">
        <v>1</v>
      </c>
      <c r="C130" s="1" t="s">
        <v>121</v>
      </c>
      <c r="D130" s="98">
        <v>50000</v>
      </c>
      <c r="F130" s="100"/>
      <c r="G130" s="85">
        <f>D130/192*1.5*E130</f>
        <v>0</v>
      </c>
      <c r="H130" s="85">
        <f>D130/192*2*F130</f>
        <v>0</v>
      </c>
      <c r="I130" s="85">
        <f>D130*$I$5</f>
        <v>5000</v>
      </c>
      <c r="J130" s="5">
        <v>5000</v>
      </c>
      <c r="K130" s="5">
        <f>D130*$K$5</f>
        <v>600</v>
      </c>
      <c r="L130" s="85">
        <f t="shared" ref="L130" si="73">D130*$L$107</f>
        <v>800</v>
      </c>
      <c r="M130" s="85">
        <f t="shared" ref="M130" si="74">(D130*0.5%)*16.5%</f>
        <v>41.25</v>
      </c>
      <c r="N130" s="51">
        <f t="shared" si="60"/>
        <v>61441.25</v>
      </c>
      <c r="O130" s="1" t="s">
        <v>122</v>
      </c>
    </row>
    <row r="131" spans="2:16" x14ac:dyDescent="0.25">
      <c r="D131" s="116"/>
      <c r="F131" s="100"/>
      <c r="G131" s="85"/>
      <c r="H131" s="85"/>
      <c r="I131" s="85"/>
      <c r="K131" s="5"/>
      <c r="L131" s="85"/>
      <c r="M131" s="85"/>
      <c r="N131" s="51"/>
    </row>
    <row r="132" spans="2:16" ht="16.5" thickBot="1" x14ac:dyDescent="0.3">
      <c r="B132" s="117"/>
      <c r="C132" s="118" t="s">
        <v>33</v>
      </c>
      <c r="D132" s="119">
        <f>SUM(D108:D131)</f>
        <v>759431.81818181812</v>
      </c>
      <c r="E132" s="120"/>
      <c r="F132" s="121"/>
      <c r="G132" s="119">
        <f t="shared" ref="G132:N132" si="75">SUM(G108:G131)</f>
        <v>32812.5</v>
      </c>
      <c r="H132" s="119">
        <f t="shared" si="75"/>
        <v>0</v>
      </c>
      <c r="I132" s="119">
        <f t="shared" si="75"/>
        <v>74125</v>
      </c>
      <c r="J132" s="119">
        <f t="shared" si="75"/>
        <v>65000</v>
      </c>
      <c r="K132" s="119">
        <f t="shared" si="75"/>
        <v>8895</v>
      </c>
      <c r="L132" s="119">
        <f t="shared" si="75"/>
        <v>11860</v>
      </c>
      <c r="M132" s="119">
        <f t="shared" si="75"/>
        <v>611.53125</v>
      </c>
      <c r="N132" s="119">
        <f t="shared" si="75"/>
        <v>952735.84943181823</v>
      </c>
      <c r="O132" s="118"/>
      <c r="P132" s="117"/>
    </row>
    <row r="133" spans="2:16" ht="15.75" thickTop="1" x14ac:dyDescent="0.25">
      <c r="D133" s="122">
        <v>1</v>
      </c>
      <c r="F133" s="100"/>
      <c r="G133" s="123">
        <v>2</v>
      </c>
      <c r="H133" s="123">
        <v>3</v>
      </c>
      <c r="I133" s="123">
        <v>4</v>
      </c>
      <c r="J133" s="99">
        <v>5</v>
      </c>
      <c r="K133" s="123">
        <v>6</v>
      </c>
      <c r="L133" s="123">
        <v>7</v>
      </c>
      <c r="M133" s="123">
        <v>8</v>
      </c>
      <c r="N133" s="51"/>
    </row>
    <row r="134" spans="2:16" ht="15.75" x14ac:dyDescent="0.25">
      <c r="C134" s="124" t="s">
        <v>123</v>
      </c>
      <c r="D134" s="117"/>
      <c r="N134" s="51"/>
    </row>
    <row r="135" spans="2:16" ht="15.75" x14ac:dyDescent="0.25">
      <c r="C135" s="75" t="s">
        <v>124</v>
      </c>
      <c r="D135" s="84">
        <f>+D132+G132+H132</f>
        <v>792244.31818181812</v>
      </c>
      <c r="G135" s="85"/>
      <c r="H135" s="85"/>
      <c r="L135" s="85"/>
      <c r="M135" s="85"/>
      <c r="N135" s="51"/>
    </row>
    <row r="136" spans="2:16" ht="15.75" x14ac:dyDescent="0.25">
      <c r="C136" s="75" t="s">
        <v>85</v>
      </c>
      <c r="D136" s="84">
        <f>+I132</f>
        <v>74125</v>
      </c>
      <c r="G136" s="85"/>
      <c r="H136" s="85"/>
      <c r="N136" s="51"/>
    </row>
    <row r="137" spans="2:16" ht="15.75" x14ac:dyDescent="0.25">
      <c r="C137" s="75" t="s">
        <v>86</v>
      </c>
      <c r="D137" s="84">
        <f>+K132+L132</f>
        <v>20755</v>
      </c>
      <c r="G137" s="85"/>
      <c r="H137" s="85"/>
      <c r="N137" s="51"/>
    </row>
    <row r="138" spans="2:16" ht="15.75" x14ac:dyDescent="0.25">
      <c r="C138" s="75" t="s">
        <v>87</v>
      </c>
      <c r="D138" s="84">
        <f>+M132</f>
        <v>611.53125</v>
      </c>
      <c r="G138" s="85"/>
      <c r="H138" s="85"/>
      <c r="N138" s="51"/>
    </row>
    <row r="139" spans="2:16" ht="15.75" x14ac:dyDescent="0.25">
      <c r="C139" s="75" t="s">
        <v>88</v>
      </c>
      <c r="D139" s="84">
        <f>+J132</f>
        <v>65000</v>
      </c>
      <c r="G139" s="85"/>
      <c r="H139" s="85"/>
      <c r="N139" s="51"/>
    </row>
    <row r="140" spans="2:16" ht="15.75" x14ac:dyDescent="0.25">
      <c r="C140" s="75" t="s">
        <v>125</v>
      </c>
      <c r="D140" s="84">
        <f>155000+53840+43974.96+4800</f>
        <v>257614.96</v>
      </c>
      <c r="E140" s="11" t="s">
        <v>234</v>
      </c>
      <c r="G140" s="85"/>
      <c r="H140" s="85"/>
      <c r="N140" s="51"/>
    </row>
    <row r="141" spans="2:16" ht="15.75" x14ac:dyDescent="0.25">
      <c r="C141" s="75" t="s">
        <v>98</v>
      </c>
      <c r="D141" s="84">
        <v>531300</v>
      </c>
      <c r="E141" s="123"/>
      <c r="G141" s="5"/>
      <c r="H141" s="5"/>
      <c r="N141" s="51"/>
    </row>
    <row r="142" spans="2:16" ht="15.75" x14ac:dyDescent="0.25">
      <c r="C142" s="12" t="s">
        <v>99</v>
      </c>
      <c r="D142" s="88">
        <f>SUM(D135:E141)</f>
        <v>1741650.8094318181</v>
      </c>
      <c r="E142" s="101"/>
      <c r="F142" s="101"/>
      <c r="G142" s="21"/>
      <c r="H142" s="21"/>
      <c r="N142" s="51"/>
    </row>
    <row r="143" spans="2:16" x14ac:dyDescent="0.25">
      <c r="C143" s="12"/>
      <c r="D143" s="103"/>
      <c r="E143" s="101"/>
      <c r="F143" s="101"/>
      <c r="G143" s="21"/>
      <c r="H143" s="21"/>
      <c r="N143" s="51"/>
    </row>
    <row r="144" spans="2:16" x14ac:dyDescent="0.25">
      <c r="C144" s="12"/>
      <c r="D144" s="103"/>
      <c r="E144" s="101"/>
      <c r="F144" s="101"/>
      <c r="G144" s="21"/>
      <c r="H144" s="21"/>
      <c r="N144" s="51"/>
    </row>
    <row r="145" spans="3:14" x14ac:dyDescent="0.25">
      <c r="C145" s="12" t="s">
        <v>100</v>
      </c>
      <c r="D145" s="103"/>
      <c r="E145" s="101"/>
      <c r="F145" s="101"/>
      <c r="G145" s="21"/>
      <c r="H145" s="21"/>
      <c r="N145" s="51"/>
    </row>
    <row r="146" spans="3:14" x14ac:dyDescent="0.25">
      <c r="C146" s="125">
        <v>44580</v>
      </c>
      <c r="D146" s="103"/>
      <c r="E146" s="101"/>
      <c r="F146" s="101"/>
      <c r="G146" s="21"/>
      <c r="H146" s="21"/>
      <c r="N146" s="51"/>
    </row>
    <row r="147" spans="3:14" x14ac:dyDescent="0.25">
      <c r="N147" s="51"/>
    </row>
    <row r="148" spans="3:14" x14ac:dyDescent="0.25">
      <c r="N148" s="51"/>
    </row>
    <row r="149" spans="3:14" x14ac:dyDescent="0.25">
      <c r="N149" s="51"/>
    </row>
    <row r="150" spans="3:14" x14ac:dyDescent="0.25">
      <c r="N150" s="51"/>
    </row>
    <row r="151" spans="3:14" x14ac:dyDescent="0.25">
      <c r="N151" s="51"/>
    </row>
    <row r="152" spans="3:14" x14ac:dyDescent="0.25">
      <c r="N152" s="51"/>
    </row>
  </sheetData>
  <pageMargins left="0.70866141732283472" right="0.70866141732283472" top="0.74803149606299213" bottom="0.74803149606299213" header="0.31496062992125984" footer="0.31496062992125984"/>
  <pageSetup paperSize="9" scale="57" orientation="landscape" verticalDpi="0" r:id="rId1"/>
  <rowBreaks count="1" manualBreakCount="1">
    <brk id="100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3"/>
  <sheetViews>
    <sheetView topLeftCell="D1" workbookViewId="0">
      <selection activeCell="D58" sqref="D58:D59"/>
    </sheetView>
  </sheetViews>
  <sheetFormatPr defaultRowHeight="15" x14ac:dyDescent="0.25"/>
  <cols>
    <col min="1" max="1" width="5" style="1" customWidth="1"/>
    <col min="2" max="2" width="5.28515625" style="1" customWidth="1"/>
    <col min="3" max="3" width="33" style="1" customWidth="1"/>
    <col min="4" max="4" width="22.28515625" style="47" customWidth="1"/>
    <col min="5" max="5" width="13.5703125" style="11" customWidth="1"/>
    <col min="6" max="6" width="12.7109375" style="11" customWidth="1"/>
    <col min="7" max="8" width="11.7109375" style="1" customWidth="1"/>
    <col min="9" max="9" width="11.5703125" style="1" customWidth="1"/>
    <col min="10" max="10" width="11.42578125" style="5" customWidth="1"/>
    <col min="11" max="11" width="10.85546875" style="1" customWidth="1"/>
    <col min="12" max="12" width="13.140625" style="1" customWidth="1"/>
    <col min="13" max="13" width="9.85546875" style="1" customWidth="1"/>
    <col min="14" max="14" width="17.28515625" style="1" customWidth="1"/>
    <col min="15" max="15" width="12.5703125" style="1" customWidth="1"/>
    <col min="16" max="16" width="9.140625" style="1"/>
    <col min="17" max="17" width="18" style="1" customWidth="1"/>
    <col min="18" max="18" width="9.140625" style="1" customWidth="1"/>
    <col min="19" max="19" width="12.140625" style="1" customWidth="1"/>
    <col min="20" max="261" width="9.140625" style="1"/>
    <col min="262" max="262" width="27.140625" style="1" bestFit="1" customWidth="1"/>
    <col min="263" max="263" width="11.7109375" style="1" bestFit="1" customWidth="1"/>
    <col min="264" max="264" width="10" style="1" customWidth="1"/>
    <col min="265" max="265" width="10.5703125" style="1" bestFit="1" customWidth="1"/>
    <col min="266" max="266" width="10.5703125" style="1" customWidth="1"/>
    <col min="267" max="267" width="9.140625" style="1"/>
    <col min="268" max="268" width="10.7109375" style="1" customWidth="1"/>
    <col min="269" max="269" width="11.7109375" style="1" customWidth="1"/>
    <col min="270" max="270" width="13.28515625" style="1" customWidth="1"/>
    <col min="271" max="517" width="9.140625" style="1"/>
    <col min="518" max="518" width="27.140625" style="1" bestFit="1" customWidth="1"/>
    <col min="519" max="519" width="11.7109375" style="1" bestFit="1" customWidth="1"/>
    <col min="520" max="520" width="10" style="1" customWidth="1"/>
    <col min="521" max="521" width="10.5703125" style="1" bestFit="1" customWidth="1"/>
    <col min="522" max="522" width="10.5703125" style="1" customWidth="1"/>
    <col min="523" max="523" width="9.140625" style="1"/>
    <col min="524" max="524" width="10.7109375" style="1" customWidth="1"/>
    <col min="525" max="525" width="11.7109375" style="1" customWidth="1"/>
    <col min="526" max="526" width="13.28515625" style="1" customWidth="1"/>
    <col min="527" max="773" width="9.140625" style="1"/>
    <col min="774" max="774" width="27.140625" style="1" bestFit="1" customWidth="1"/>
    <col min="775" max="775" width="11.7109375" style="1" bestFit="1" customWidth="1"/>
    <col min="776" max="776" width="10" style="1" customWidth="1"/>
    <col min="777" max="777" width="10.5703125" style="1" bestFit="1" customWidth="1"/>
    <col min="778" max="778" width="10.5703125" style="1" customWidth="1"/>
    <col min="779" max="779" width="9.140625" style="1"/>
    <col min="780" max="780" width="10.7109375" style="1" customWidth="1"/>
    <col min="781" max="781" width="11.7109375" style="1" customWidth="1"/>
    <col min="782" max="782" width="13.28515625" style="1" customWidth="1"/>
    <col min="783" max="1029" width="9.140625" style="1"/>
    <col min="1030" max="1030" width="27.140625" style="1" bestFit="1" customWidth="1"/>
    <col min="1031" max="1031" width="11.7109375" style="1" bestFit="1" customWidth="1"/>
    <col min="1032" max="1032" width="10" style="1" customWidth="1"/>
    <col min="1033" max="1033" width="10.5703125" style="1" bestFit="1" customWidth="1"/>
    <col min="1034" max="1034" width="10.5703125" style="1" customWidth="1"/>
    <col min="1035" max="1035" width="9.140625" style="1"/>
    <col min="1036" max="1036" width="10.7109375" style="1" customWidth="1"/>
    <col min="1037" max="1037" width="11.7109375" style="1" customWidth="1"/>
    <col min="1038" max="1038" width="13.28515625" style="1" customWidth="1"/>
    <col min="1039" max="1285" width="9.140625" style="1"/>
    <col min="1286" max="1286" width="27.140625" style="1" bestFit="1" customWidth="1"/>
    <col min="1287" max="1287" width="11.7109375" style="1" bestFit="1" customWidth="1"/>
    <col min="1288" max="1288" width="10" style="1" customWidth="1"/>
    <col min="1289" max="1289" width="10.5703125" style="1" bestFit="1" customWidth="1"/>
    <col min="1290" max="1290" width="10.5703125" style="1" customWidth="1"/>
    <col min="1291" max="1291" width="9.140625" style="1"/>
    <col min="1292" max="1292" width="10.7109375" style="1" customWidth="1"/>
    <col min="1293" max="1293" width="11.7109375" style="1" customWidth="1"/>
    <col min="1294" max="1294" width="13.28515625" style="1" customWidth="1"/>
    <col min="1295" max="1541" width="9.140625" style="1"/>
    <col min="1542" max="1542" width="27.140625" style="1" bestFit="1" customWidth="1"/>
    <col min="1543" max="1543" width="11.7109375" style="1" bestFit="1" customWidth="1"/>
    <col min="1544" max="1544" width="10" style="1" customWidth="1"/>
    <col min="1545" max="1545" width="10.5703125" style="1" bestFit="1" customWidth="1"/>
    <col min="1546" max="1546" width="10.5703125" style="1" customWidth="1"/>
    <col min="1547" max="1547" width="9.140625" style="1"/>
    <col min="1548" max="1548" width="10.7109375" style="1" customWidth="1"/>
    <col min="1549" max="1549" width="11.7109375" style="1" customWidth="1"/>
    <col min="1550" max="1550" width="13.28515625" style="1" customWidth="1"/>
    <col min="1551" max="1797" width="9.140625" style="1"/>
    <col min="1798" max="1798" width="27.140625" style="1" bestFit="1" customWidth="1"/>
    <col min="1799" max="1799" width="11.7109375" style="1" bestFit="1" customWidth="1"/>
    <col min="1800" max="1800" width="10" style="1" customWidth="1"/>
    <col min="1801" max="1801" width="10.5703125" style="1" bestFit="1" customWidth="1"/>
    <col min="1802" max="1802" width="10.5703125" style="1" customWidth="1"/>
    <col min="1803" max="1803" width="9.140625" style="1"/>
    <col min="1804" max="1804" width="10.7109375" style="1" customWidth="1"/>
    <col min="1805" max="1805" width="11.7109375" style="1" customWidth="1"/>
    <col min="1806" max="1806" width="13.28515625" style="1" customWidth="1"/>
    <col min="1807" max="2053" width="9.140625" style="1"/>
    <col min="2054" max="2054" width="27.140625" style="1" bestFit="1" customWidth="1"/>
    <col min="2055" max="2055" width="11.7109375" style="1" bestFit="1" customWidth="1"/>
    <col min="2056" max="2056" width="10" style="1" customWidth="1"/>
    <col min="2057" max="2057" width="10.5703125" style="1" bestFit="1" customWidth="1"/>
    <col min="2058" max="2058" width="10.5703125" style="1" customWidth="1"/>
    <col min="2059" max="2059" width="9.140625" style="1"/>
    <col min="2060" max="2060" width="10.7109375" style="1" customWidth="1"/>
    <col min="2061" max="2061" width="11.7109375" style="1" customWidth="1"/>
    <col min="2062" max="2062" width="13.28515625" style="1" customWidth="1"/>
    <col min="2063" max="2309" width="9.140625" style="1"/>
    <col min="2310" max="2310" width="27.140625" style="1" bestFit="1" customWidth="1"/>
    <col min="2311" max="2311" width="11.7109375" style="1" bestFit="1" customWidth="1"/>
    <col min="2312" max="2312" width="10" style="1" customWidth="1"/>
    <col min="2313" max="2313" width="10.5703125" style="1" bestFit="1" customWidth="1"/>
    <col min="2314" max="2314" width="10.5703125" style="1" customWidth="1"/>
    <col min="2315" max="2315" width="9.140625" style="1"/>
    <col min="2316" max="2316" width="10.7109375" style="1" customWidth="1"/>
    <col min="2317" max="2317" width="11.7109375" style="1" customWidth="1"/>
    <col min="2318" max="2318" width="13.28515625" style="1" customWidth="1"/>
    <col min="2319" max="2565" width="9.140625" style="1"/>
    <col min="2566" max="2566" width="27.140625" style="1" bestFit="1" customWidth="1"/>
    <col min="2567" max="2567" width="11.7109375" style="1" bestFit="1" customWidth="1"/>
    <col min="2568" max="2568" width="10" style="1" customWidth="1"/>
    <col min="2569" max="2569" width="10.5703125" style="1" bestFit="1" customWidth="1"/>
    <col min="2570" max="2570" width="10.5703125" style="1" customWidth="1"/>
    <col min="2571" max="2571" width="9.140625" style="1"/>
    <col min="2572" max="2572" width="10.7109375" style="1" customWidth="1"/>
    <col min="2573" max="2573" width="11.7109375" style="1" customWidth="1"/>
    <col min="2574" max="2574" width="13.28515625" style="1" customWidth="1"/>
    <col min="2575" max="2821" width="9.140625" style="1"/>
    <col min="2822" max="2822" width="27.140625" style="1" bestFit="1" customWidth="1"/>
    <col min="2823" max="2823" width="11.7109375" style="1" bestFit="1" customWidth="1"/>
    <col min="2824" max="2824" width="10" style="1" customWidth="1"/>
    <col min="2825" max="2825" width="10.5703125" style="1" bestFit="1" customWidth="1"/>
    <col min="2826" max="2826" width="10.5703125" style="1" customWidth="1"/>
    <col min="2827" max="2827" width="9.140625" style="1"/>
    <col min="2828" max="2828" width="10.7109375" style="1" customWidth="1"/>
    <col min="2829" max="2829" width="11.7109375" style="1" customWidth="1"/>
    <col min="2830" max="2830" width="13.28515625" style="1" customWidth="1"/>
    <col min="2831" max="3077" width="9.140625" style="1"/>
    <col min="3078" max="3078" width="27.140625" style="1" bestFit="1" customWidth="1"/>
    <col min="3079" max="3079" width="11.7109375" style="1" bestFit="1" customWidth="1"/>
    <col min="3080" max="3080" width="10" style="1" customWidth="1"/>
    <col min="3081" max="3081" width="10.5703125" style="1" bestFit="1" customWidth="1"/>
    <col min="3082" max="3082" width="10.5703125" style="1" customWidth="1"/>
    <col min="3083" max="3083" width="9.140625" style="1"/>
    <col min="3084" max="3084" width="10.7109375" style="1" customWidth="1"/>
    <col min="3085" max="3085" width="11.7109375" style="1" customWidth="1"/>
    <col min="3086" max="3086" width="13.28515625" style="1" customWidth="1"/>
    <col min="3087" max="3333" width="9.140625" style="1"/>
    <col min="3334" max="3334" width="27.140625" style="1" bestFit="1" customWidth="1"/>
    <col min="3335" max="3335" width="11.7109375" style="1" bestFit="1" customWidth="1"/>
    <col min="3336" max="3336" width="10" style="1" customWidth="1"/>
    <col min="3337" max="3337" width="10.5703125" style="1" bestFit="1" customWidth="1"/>
    <col min="3338" max="3338" width="10.5703125" style="1" customWidth="1"/>
    <col min="3339" max="3339" width="9.140625" style="1"/>
    <col min="3340" max="3340" width="10.7109375" style="1" customWidth="1"/>
    <col min="3341" max="3341" width="11.7109375" style="1" customWidth="1"/>
    <col min="3342" max="3342" width="13.28515625" style="1" customWidth="1"/>
    <col min="3343" max="3589" width="9.140625" style="1"/>
    <col min="3590" max="3590" width="27.140625" style="1" bestFit="1" customWidth="1"/>
    <col min="3591" max="3591" width="11.7109375" style="1" bestFit="1" customWidth="1"/>
    <col min="3592" max="3592" width="10" style="1" customWidth="1"/>
    <col min="3593" max="3593" width="10.5703125" style="1" bestFit="1" customWidth="1"/>
    <col min="3594" max="3594" width="10.5703125" style="1" customWidth="1"/>
    <col min="3595" max="3595" width="9.140625" style="1"/>
    <col min="3596" max="3596" width="10.7109375" style="1" customWidth="1"/>
    <col min="3597" max="3597" width="11.7109375" style="1" customWidth="1"/>
    <col min="3598" max="3598" width="13.28515625" style="1" customWidth="1"/>
    <col min="3599" max="3845" width="9.140625" style="1"/>
    <col min="3846" max="3846" width="27.140625" style="1" bestFit="1" customWidth="1"/>
    <col min="3847" max="3847" width="11.7109375" style="1" bestFit="1" customWidth="1"/>
    <col min="3848" max="3848" width="10" style="1" customWidth="1"/>
    <col min="3849" max="3849" width="10.5703125" style="1" bestFit="1" customWidth="1"/>
    <col min="3850" max="3850" width="10.5703125" style="1" customWidth="1"/>
    <col min="3851" max="3851" width="9.140625" style="1"/>
    <col min="3852" max="3852" width="10.7109375" style="1" customWidth="1"/>
    <col min="3853" max="3853" width="11.7109375" style="1" customWidth="1"/>
    <col min="3854" max="3854" width="13.28515625" style="1" customWidth="1"/>
    <col min="3855" max="4101" width="9.140625" style="1"/>
    <col min="4102" max="4102" width="27.140625" style="1" bestFit="1" customWidth="1"/>
    <col min="4103" max="4103" width="11.7109375" style="1" bestFit="1" customWidth="1"/>
    <col min="4104" max="4104" width="10" style="1" customWidth="1"/>
    <col min="4105" max="4105" width="10.5703125" style="1" bestFit="1" customWidth="1"/>
    <col min="4106" max="4106" width="10.5703125" style="1" customWidth="1"/>
    <col min="4107" max="4107" width="9.140625" style="1"/>
    <col min="4108" max="4108" width="10.7109375" style="1" customWidth="1"/>
    <col min="4109" max="4109" width="11.7109375" style="1" customWidth="1"/>
    <col min="4110" max="4110" width="13.28515625" style="1" customWidth="1"/>
    <col min="4111" max="4357" width="9.140625" style="1"/>
    <col min="4358" max="4358" width="27.140625" style="1" bestFit="1" customWidth="1"/>
    <col min="4359" max="4359" width="11.7109375" style="1" bestFit="1" customWidth="1"/>
    <col min="4360" max="4360" width="10" style="1" customWidth="1"/>
    <col min="4361" max="4361" width="10.5703125" style="1" bestFit="1" customWidth="1"/>
    <col min="4362" max="4362" width="10.5703125" style="1" customWidth="1"/>
    <col min="4363" max="4363" width="9.140625" style="1"/>
    <col min="4364" max="4364" width="10.7109375" style="1" customWidth="1"/>
    <col min="4365" max="4365" width="11.7109375" style="1" customWidth="1"/>
    <col min="4366" max="4366" width="13.28515625" style="1" customWidth="1"/>
    <col min="4367" max="4613" width="9.140625" style="1"/>
    <col min="4614" max="4614" width="27.140625" style="1" bestFit="1" customWidth="1"/>
    <col min="4615" max="4615" width="11.7109375" style="1" bestFit="1" customWidth="1"/>
    <col min="4616" max="4616" width="10" style="1" customWidth="1"/>
    <col min="4617" max="4617" width="10.5703125" style="1" bestFit="1" customWidth="1"/>
    <col min="4618" max="4618" width="10.5703125" style="1" customWidth="1"/>
    <col min="4619" max="4619" width="9.140625" style="1"/>
    <col min="4620" max="4620" width="10.7109375" style="1" customWidth="1"/>
    <col min="4621" max="4621" width="11.7109375" style="1" customWidth="1"/>
    <col min="4622" max="4622" width="13.28515625" style="1" customWidth="1"/>
    <col min="4623" max="4869" width="9.140625" style="1"/>
    <col min="4870" max="4870" width="27.140625" style="1" bestFit="1" customWidth="1"/>
    <col min="4871" max="4871" width="11.7109375" style="1" bestFit="1" customWidth="1"/>
    <col min="4872" max="4872" width="10" style="1" customWidth="1"/>
    <col min="4873" max="4873" width="10.5703125" style="1" bestFit="1" customWidth="1"/>
    <col min="4874" max="4874" width="10.5703125" style="1" customWidth="1"/>
    <col min="4875" max="4875" width="9.140625" style="1"/>
    <col min="4876" max="4876" width="10.7109375" style="1" customWidth="1"/>
    <col min="4877" max="4877" width="11.7109375" style="1" customWidth="1"/>
    <col min="4878" max="4878" width="13.28515625" style="1" customWidth="1"/>
    <col min="4879" max="5125" width="9.140625" style="1"/>
    <col min="5126" max="5126" width="27.140625" style="1" bestFit="1" customWidth="1"/>
    <col min="5127" max="5127" width="11.7109375" style="1" bestFit="1" customWidth="1"/>
    <col min="5128" max="5128" width="10" style="1" customWidth="1"/>
    <col min="5129" max="5129" width="10.5703125" style="1" bestFit="1" customWidth="1"/>
    <col min="5130" max="5130" width="10.5703125" style="1" customWidth="1"/>
    <col min="5131" max="5131" width="9.140625" style="1"/>
    <col min="5132" max="5132" width="10.7109375" style="1" customWidth="1"/>
    <col min="5133" max="5133" width="11.7109375" style="1" customWidth="1"/>
    <col min="5134" max="5134" width="13.28515625" style="1" customWidth="1"/>
    <col min="5135" max="5381" width="9.140625" style="1"/>
    <col min="5382" max="5382" width="27.140625" style="1" bestFit="1" customWidth="1"/>
    <col min="5383" max="5383" width="11.7109375" style="1" bestFit="1" customWidth="1"/>
    <col min="5384" max="5384" width="10" style="1" customWidth="1"/>
    <col min="5385" max="5385" width="10.5703125" style="1" bestFit="1" customWidth="1"/>
    <col min="5386" max="5386" width="10.5703125" style="1" customWidth="1"/>
    <col min="5387" max="5387" width="9.140625" style="1"/>
    <col min="5388" max="5388" width="10.7109375" style="1" customWidth="1"/>
    <col min="5389" max="5389" width="11.7109375" style="1" customWidth="1"/>
    <col min="5390" max="5390" width="13.28515625" style="1" customWidth="1"/>
    <col min="5391" max="5637" width="9.140625" style="1"/>
    <col min="5638" max="5638" width="27.140625" style="1" bestFit="1" customWidth="1"/>
    <col min="5639" max="5639" width="11.7109375" style="1" bestFit="1" customWidth="1"/>
    <col min="5640" max="5640" width="10" style="1" customWidth="1"/>
    <col min="5641" max="5641" width="10.5703125" style="1" bestFit="1" customWidth="1"/>
    <col min="5642" max="5642" width="10.5703125" style="1" customWidth="1"/>
    <col min="5643" max="5643" width="9.140625" style="1"/>
    <col min="5644" max="5644" width="10.7109375" style="1" customWidth="1"/>
    <col min="5645" max="5645" width="11.7109375" style="1" customWidth="1"/>
    <col min="5646" max="5646" width="13.28515625" style="1" customWidth="1"/>
    <col min="5647" max="5893" width="9.140625" style="1"/>
    <col min="5894" max="5894" width="27.140625" style="1" bestFit="1" customWidth="1"/>
    <col min="5895" max="5895" width="11.7109375" style="1" bestFit="1" customWidth="1"/>
    <col min="5896" max="5896" width="10" style="1" customWidth="1"/>
    <col min="5897" max="5897" width="10.5703125" style="1" bestFit="1" customWidth="1"/>
    <col min="5898" max="5898" width="10.5703125" style="1" customWidth="1"/>
    <col min="5899" max="5899" width="9.140625" style="1"/>
    <col min="5900" max="5900" width="10.7109375" style="1" customWidth="1"/>
    <col min="5901" max="5901" width="11.7109375" style="1" customWidth="1"/>
    <col min="5902" max="5902" width="13.28515625" style="1" customWidth="1"/>
    <col min="5903" max="6149" width="9.140625" style="1"/>
    <col min="6150" max="6150" width="27.140625" style="1" bestFit="1" customWidth="1"/>
    <col min="6151" max="6151" width="11.7109375" style="1" bestFit="1" customWidth="1"/>
    <col min="6152" max="6152" width="10" style="1" customWidth="1"/>
    <col min="6153" max="6153" width="10.5703125" style="1" bestFit="1" customWidth="1"/>
    <col min="6154" max="6154" width="10.5703125" style="1" customWidth="1"/>
    <col min="6155" max="6155" width="9.140625" style="1"/>
    <col min="6156" max="6156" width="10.7109375" style="1" customWidth="1"/>
    <col min="6157" max="6157" width="11.7109375" style="1" customWidth="1"/>
    <col min="6158" max="6158" width="13.28515625" style="1" customWidth="1"/>
    <col min="6159" max="6405" width="9.140625" style="1"/>
    <col min="6406" max="6406" width="27.140625" style="1" bestFit="1" customWidth="1"/>
    <col min="6407" max="6407" width="11.7109375" style="1" bestFit="1" customWidth="1"/>
    <col min="6408" max="6408" width="10" style="1" customWidth="1"/>
    <col min="6409" max="6409" width="10.5703125" style="1" bestFit="1" customWidth="1"/>
    <col min="6410" max="6410" width="10.5703125" style="1" customWidth="1"/>
    <col min="6411" max="6411" width="9.140625" style="1"/>
    <col min="6412" max="6412" width="10.7109375" style="1" customWidth="1"/>
    <col min="6413" max="6413" width="11.7109375" style="1" customWidth="1"/>
    <col min="6414" max="6414" width="13.28515625" style="1" customWidth="1"/>
    <col min="6415" max="6661" width="9.140625" style="1"/>
    <col min="6662" max="6662" width="27.140625" style="1" bestFit="1" customWidth="1"/>
    <col min="6663" max="6663" width="11.7109375" style="1" bestFit="1" customWidth="1"/>
    <col min="6664" max="6664" width="10" style="1" customWidth="1"/>
    <col min="6665" max="6665" width="10.5703125" style="1" bestFit="1" customWidth="1"/>
    <col min="6666" max="6666" width="10.5703125" style="1" customWidth="1"/>
    <col min="6667" max="6667" width="9.140625" style="1"/>
    <col min="6668" max="6668" width="10.7109375" style="1" customWidth="1"/>
    <col min="6669" max="6669" width="11.7109375" style="1" customWidth="1"/>
    <col min="6670" max="6670" width="13.28515625" style="1" customWidth="1"/>
    <col min="6671" max="6917" width="9.140625" style="1"/>
    <col min="6918" max="6918" width="27.140625" style="1" bestFit="1" customWidth="1"/>
    <col min="6919" max="6919" width="11.7109375" style="1" bestFit="1" customWidth="1"/>
    <col min="6920" max="6920" width="10" style="1" customWidth="1"/>
    <col min="6921" max="6921" width="10.5703125" style="1" bestFit="1" customWidth="1"/>
    <col min="6922" max="6922" width="10.5703125" style="1" customWidth="1"/>
    <col min="6923" max="6923" width="9.140625" style="1"/>
    <col min="6924" max="6924" width="10.7109375" style="1" customWidth="1"/>
    <col min="6925" max="6925" width="11.7109375" style="1" customWidth="1"/>
    <col min="6926" max="6926" width="13.28515625" style="1" customWidth="1"/>
    <col min="6927" max="7173" width="9.140625" style="1"/>
    <col min="7174" max="7174" width="27.140625" style="1" bestFit="1" customWidth="1"/>
    <col min="7175" max="7175" width="11.7109375" style="1" bestFit="1" customWidth="1"/>
    <col min="7176" max="7176" width="10" style="1" customWidth="1"/>
    <col min="7177" max="7177" width="10.5703125" style="1" bestFit="1" customWidth="1"/>
    <col min="7178" max="7178" width="10.5703125" style="1" customWidth="1"/>
    <col min="7179" max="7179" width="9.140625" style="1"/>
    <col min="7180" max="7180" width="10.7109375" style="1" customWidth="1"/>
    <col min="7181" max="7181" width="11.7109375" style="1" customWidth="1"/>
    <col min="7182" max="7182" width="13.28515625" style="1" customWidth="1"/>
    <col min="7183" max="7429" width="9.140625" style="1"/>
    <col min="7430" max="7430" width="27.140625" style="1" bestFit="1" customWidth="1"/>
    <col min="7431" max="7431" width="11.7109375" style="1" bestFit="1" customWidth="1"/>
    <col min="7432" max="7432" width="10" style="1" customWidth="1"/>
    <col min="7433" max="7433" width="10.5703125" style="1" bestFit="1" customWidth="1"/>
    <col min="7434" max="7434" width="10.5703125" style="1" customWidth="1"/>
    <col min="7435" max="7435" width="9.140625" style="1"/>
    <col min="7436" max="7436" width="10.7109375" style="1" customWidth="1"/>
    <col min="7437" max="7437" width="11.7109375" style="1" customWidth="1"/>
    <col min="7438" max="7438" width="13.28515625" style="1" customWidth="1"/>
    <col min="7439" max="7685" width="9.140625" style="1"/>
    <col min="7686" max="7686" width="27.140625" style="1" bestFit="1" customWidth="1"/>
    <col min="7687" max="7687" width="11.7109375" style="1" bestFit="1" customWidth="1"/>
    <col min="7688" max="7688" width="10" style="1" customWidth="1"/>
    <col min="7689" max="7689" width="10.5703125" style="1" bestFit="1" customWidth="1"/>
    <col min="7690" max="7690" width="10.5703125" style="1" customWidth="1"/>
    <col min="7691" max="7691" width="9.140625" style="1"/>
    <col min="7692" max="7692" width="10.7109375" style="1" customWidth="1"/>
    <col min="7693" max="7693" width="11.7109375" style="1" customWidth="1"/>
    <col min="7694" max="7694" width="13.28515625" style="1" customWidth="1"/>
    <col min="7695" max="7941" width="9.140625" style="1"/>
    <col min="7942" max="7942" width="27.140625" style="1" bestFit="1" customWidth="1"/>
    <col min="7943" max="7943" width="11.7109375" style="1" bestFit="1" customWidth="1"/>
    <col min="7944" max="7944" width="10" style="1" customWidth="1"/>
    <col min="7945" max="7945" width="10.5703125" style="1" bestFit="1" customWidth="1"/>
    <col min="7946" max="7946" width="10.5703125" style="1" customWidth="1"/>
    <col min="7947" max="7947" width="9.140625" style="1"/>
    <col min="7948" max="7948" width="10.7109375" style="1" customWidth="1"/>
    <col min="7949" max="7949" width="11.7109375" style="1" customWidth="1"/>
    <col min="7950" max="7950" width="13.28515625" style="1" customWidth="1"/>
    <col min="7951" max="8197" width="9.140625" style="1"/>
    <col min="8198" max="8198" width="27.140625" style="1" bestFit="1" customWidth="1"/>
    <col min="8199" max="8199" width="11.7109375" style="1" bestFit="1" customWidth="1"/>
    <col min="8200" max="8200" width="10" style="1" customWidth="1"/>
    <col min="8201" max="8201" width="10.5703125" style="1" bestFit="1" customWidth="1"/>
    <col min="8202" max="8202" width="10.5703125" style="1" customWidth="1"/>
    <col min="8203" max="8203" width="9.140625" style="1"/>
    <col min="8204" max="8204" width="10.7109375" style="1" customWidth="1"/>
    <col min="8205" max="8205" width="11.7109375" style="1" customWidth="1"/>
    <col min="8206" max="8206" width="13.28515625" style="1" customWidth="1"/>
    <col min="8207" max="8453" width="9.140625" style="1"/>
    <col min="8454" max="8454" width="27.140625" style="1" bestFit="1" customWidth="1"/>
    <col min="8455" max="8455" width="11.7109375" style="1" bestFit="1" customWidth="1"/>
    <col min="8456" max="8456" width="10" style="1" customWidth="1"/>
    <col min="8457" max="8457" width="10.5703125" style="1" bestFit="1" customWidth="1"/>
    <col min="8458" max="8458" width="10.5703125" style="1" customWidth="1"/>
    <col min="8459" max="8459" width="9.140625" style="1"/>
    <col min="8460" max="8460" width="10.7109375" style="1" customWidth="1"/>
    <col min="8461" max="8461" width="11.7109375" style="1" customWidth="1"/>
    <col min="8462" max="8462" width="13.28515625" style="1" customWidth="1"/>
    <col min="8463" max="8709" width="9.140625" style="1"/>
    <col min="8710" max="8710" width="27.140625" style="1" bestFit="1" customWidth="1"/>
    <col min="8711" max="8711" width="11.7109375" style="1" bestFit="1" customWidth="1"/>
    <col min="8712" max="8712" width="10" style="1" customWidth="1"/>
    <col min="8713" max="8713" width="10.5703125" style="1" bestFit="1" customWidth="1"/>
    <col min="8714" max="8714" width="10.5703125" style="1" customWidth="1"/>
    <col min="8715" max="8715" width="9.140625" style="1"/>
    <col min="8716" max="8716" width="10.7109375" style="1" customWidth="1"/>
    <col min="8717" max="8717" width="11.7109375" style="1" customWidth="1"/>
    <col min="8718" max="8718" width="13.28515625" style="1" customWidth="1"/>
    <col min="8719" max="8965" width="9.140625" style="1"/>
    <col min="8966" max="8966" width="27.140625" style="1" bestFit="1" customWidth="1"/>
    <col min="8967" max="8967" width="11.7109375" style="1" bestFit="1" customWidth="1"/>
    <col min="8968" max="8968" width="10" style="1" customWidth="1"/>
    <col min="8969" max="8969" width="10.5703125" style="1" bestFit="1" customWidth="1"/>
    <col min="8970" max="8970" width="10.5703125" style="1" customWidth="1"/>
    <col min="8971" max="8971" width="9.140625" style="1"/>
    <col min="8972" max="8972" width="10.7109375" style="1" customWidth="1"/>
    <col min="8973" max="8973" width="11.7109375" style="1" customWidth="1"/>
    <col min="8974" max="8974" width="13.28515625" style="1" customWidth="1"/>
    <col min="8975" max="9221" width="9.140625" style="1"/>
    <col min="9222" max="9222" width="27.140625" style="1" bestFit="1" customWidth="1"/>
    <col min="9223" max="9223" width="11.7109375" style="1" bestFit="1" customWidth="1"/>
    <col min="9224" max="9224" width="10" style="1" customWidth="1"/>
    <col min="9225" max="9225" width="10.5703125" style="1" bestFit="1" customWidth="1"/>
    <col min="9226" max="9226" width="10.5703125" style="1" customWidth="1"/>
    <col min="9227" max="9227" width="9.140625" style="1"/>
    <col min="9228" max="9228" width="10.7109375" style="1" customWidth="1"/>
    <col min="9229" max="9229" width="11.7109375" style="1" customWidth="1"/>
    <col min="9230" max="9230" width="13.28515625" style="1" customWidth="1"/>
    <col min="9231" max="9477" width="9.140625" style="1"/>
    <col min="9478" max="9478" width="27.140625" style="1" bestFit="1" customWidth="1"/>
    <col min="9479" max="9479" width="11.7109375" style="1" bestFit="1" customWidth="1"/>
    <col min="9480" max="9480" width="10" style="1" customWidth="1"/>
    <col min="9481" max="9481" width="10.5703125" style="1" bestFit="1" customWidth="1"/>
    <col min="9482" max="9482" width="10.5703125" style="1" customWidth="1"/>
    <col min="9483" max="9483" width="9.140625" style="1"/>
    <col min="9484" max="9484" width="10.7109375" style="1" customWidth="1"/>
    <col min="9485" max="9485" width="11.7109375" style="1" customWidth="1"/>
    <col min="9486" max="9486" width="13.28515625" style="1" customWidth="1"/>
    <col min="9487" max="9733" width="9.140625" style="1"/>
    <col min="9734" max="9734" width="27.140625" style="1" bestFit="1" customWidth="1"/>
    <col min="9735" max="9735" width="11.7109375" style="1" bestFit="1" customWidth="1"/>
    <col min="9736" max="9736" width="10" style="1" customWidth="1"/>
    <col min="9737" max="9737" width="10.5703125" style="1" bestFit="1" customWidth="1"/>
    <col min="9738" max="9738" width="10.5703125" style="1" customWidth="1"/>
    <col min="9739" max="9739" width="9.140625" style="1"/>
    <col min="9740" max="9740" width="10.7109375" style="1" customWidth="1"/>
    <col min="9741" max="9741" width="11.7109375" style="1" customWidth="1"/>
    <col min="9742" max="9742" width="13.28515625" style="1" customWidth="1"/>
    <col min="9743" max="9989" width="9.140625" style="1"/>
    <col min="9990" max="9990" width="27.140625" style="1" bestFit="1" customWidth="1"/>
    <col min="9991" max="9991" width="11.7109375" style="1" bestFit="1" customWidth="1"/>
    <col min="9992" max="9992" width="10" style="1" customWidth="1"/>
    <col min="9993" max="9993" width="10.5703125" style="1" bestFit="1" customWidth="1"/>
    <col min="9994" max="9994" width="10.5703125" style="1" customWidth="1"/>
    <col min="9995" max="9995" width="9.140625" style="1"/>
    <col min="9996" max="9996" width="10.7109375" style="1" customWidth="1"/>
    <col min="9997" max="9997" width="11.7109375" style="1" customWidth="1"/>
    <col min="9998" max="9998" width="13.28515625" style="1" customWidth="1"/>
    <col min="9999" max="10245" width="9.140625" style="1"/>
    <col min="10246" max="10246" width="27.140625" style="1" bestFit="1" customWidth="1"/>
    <col min="10247" max="10247" width="11.7109375" style="1" bestFit="1" customWidth="1"/>
    <col min="10248" max="10248" width="10" style="1" customWidth="1"/>
    <col min="10249" max="10249" width="10.5703125" style="1" bestFit="1" customWidth="1"/>
    <col min="10250" max="10250" width="10.5703125" style="1" customWidth="1"/>
    <col min="10251" max="10251" width="9.140625" style="1"/>
    <col min="10252" max="10252" width="10.7109375" style="1" customWidth="1"/>
    <col min="10253" max="10253" width="11.7109375" style="1" customWidth="1"/>
    <col min="10254" max="10254" width="13.28515625" style="1" customWidth="1"/>
    <col min="10255" max="10501" width="9.140625" style="1"/>
    <col min="10502" max="10502" width="27.140625" style="1" bestFit="1" customWidth="1"/>
    <col min="10503" max="10503" width="11.7109375" style="1" bestFit="1" customWidth="1"/>
    <col min="10504" max="10504" width="10" style="1" customWidth="1"/>
    <col min="10505" max="10505" width="10.5703125" style="1" bestFit="1" customWidth="1"/>
    <col min="10506" max="10506" width="10.5703125" style="1" customWidth="1"/>
    <col min="10507" max="10507" width="9.140625" style="1"/>
    <col min="10508" max="10508" width="10.7109375" style="1" customWidth="1"/>
    <col min="10509" max="10509" width="11.7109375" style="1" customWidth="1"/>
    <col min="10510" max="10510" width="13.28515625" style="1" customWidth="1"/>
    <col min="10511" max="10757" width="9.140625" style="1"/>
    <col min="10758" max="10758" width="27.140625" style="1" bestFit="1" customWidth="1"/>
    <col min="10759" max="10759" width="11.7109375" style="1" bestFit="1" customWidth="1"/>
    <col min="10760" max="10760" width="10" style="1" customWidth="1"/>
    <col min="10761" max="10761" width="10.5703125" style="1" bestFit="1" customWidth="1"/>
    <col min="10762" max="10762" width="10.5703125" style="1" customWidth="1"/>
    <col min="10763" max="10763" width="9.140625" style="1"/>
    <col min="10764" max="10764" width="10.7109375" style="1" customWidth="1"/>
    <col min="10765" max="10765" width="11.7109375" style="1" customWidth="1"/>
    <col min="10766" max="10766" width="13.28515625" style="1" customWidth="1"/>
    <col min="10767" max="11013" width="9.140625" style="1"/>
    <col min="11014" max="11014" width="27.140625" style="1" bestFit="1" customWidth="1"/>
    <col min="11015" max="11015" width="11.7109375" style="1" bestFit="1" customWidth="1"/>
    <col min="11016" max="11016" width="10" style="1" customWidth="1"/>
    <col min="11017" max="11017" width="10.5703125" style="1" bestFit="1" customWidth="1"/>
    <col min="11018" max="11018" width="10.5703125" style="1" customWidth="1"/>
    <col min="11019" max="11019" width="9.140625" style="1"/>
    <col min="11020" max="11020" width="10.7109375" style="1" customWidth="1"/>
    <col min="11021" max="11021" width="11.7109375" style="1" customWidth="1"/>
    <col min="11022" max="11022" width="13.28515625" style="1" customWidth="1"/>
    <col min="11023" max="11269" width="9.140625" style="1"/>
    <col min="11270" max="11270" width="27.140625" style="1" bestFit="1" customWidth="1"/>
    <col min="11271" max="11271" width="11.7109375" style="1" bestFit="1" customWidth="1"/>
    <col min="11272" max="11272" width="10" style="1" customWidth="1"/>
    <col min="11273" max="11273" width="10.5703125" style="1" bestFit="1" customWidth="1"/>
    <col min="11274" max="11274" width="10.5703125" style="1" customWidth="1"/>
    <col min="11275" max="11275" width="9.140625" style="1"/>
    <col min="11276" max="11276" width="10.7109375" style="1" customWidth="1"/>
    <col min="11277" max="11277" width="11.7109375" style="1" customWidth="1"/>
    <col min="11278" max="11278" width="13.28515625" style="1" customWidth="1"/>
    <col min="11279" max="11525" width="9.140625" style="1"/>
    <col min="11526" max="11526" width="27.140625" style="1" bestFit="1" customWidth="1"/>
    <col min="11527" max="11527" width="11.7109375" style="1" bestFit="1" customWidth="1"/>
    <col min="11528" max="11528" width="10" style="1" customWidth="1"/>
    <col min="11529" max="11529" width="10.5703125" style="1" bestFit="1" customWidth="1"/>
    <col min="11530" max="11530" width="10.5703125" style="1" customWidth="1"/>
    <col min="11531" max="11531" width="9.140625" style="1"/>
    <col min="11532" max="11532" width="10.7109375" style="1" customWidth="1"/>
    <col min="11533" max="11533" width="11.7109375" style="1" customWidth="1"/>
    <col min="11534" max="11534" width="13.28515625" style="1" customWidth="1"/>
    <col min="11535" max="11781" width="9.140625" style="1"/>
    <col min="11782" max="11782" width="27.140625" style="1" bestFit="1" customWidth="1"/>
    <col min="11783" max="11783" width="11.7109375" style="1" bestFit="1" customWidth="1"/>
    <col min="11784" max="11784" width="10" style="1" customWidth="1"/>
    <col min="11785" max="11785" width="10.5703125" style="1" bestFit="1" customWidth="1"/>
    <col min="11786" max="11786" width="10.5703125" style="1" customWidth="1"/>
    <col min="11787" max="11787" width="9.140625" style="1"/>
    <col min="11788" max="11788" width="10.7109375" style="1" customWidth="1"/>
    <col min="11789" max="11789" width="11.7109375" style="1" customWidth="1"/>
    <col min="11790" max="11790" width="13.28515625" style="1" customWidth="1"/>
    <col min="11791" max="12037" width="9.140625" style="1"/>
    <col min="12038" max="12038" width="27.140625" style="1" bestFit="1" customWidth="1"/>
    <col min="12039" max="12039" width="11.7109375" style="1" bestFit="1" customWidth="1"/>
    <col min="12040" max="12040" width="10" style="1" customWidth="1"/>
    <col min="12041" max="12041" width="10.5703125" style="1" bestFit="1" customWidth="1"/>
    <col min="12042" max="12042" width="10.5703125" style="1" customWidth="1"/>
    <col min="12043" max="12043" width="9.140625" style="1"/>
    <col min="12044" max="12044" width="10.7109375" style="1" customWidth="1"/>
    <col min="12045" max="12045" width="11.7109375" style="1" customWidth="1"/>
    <col min="12046" max="12046" width="13.28515625" style="1" customWidth="1"/>
    <col min="12047" max="12293" width="9.140625" style="1"/>
    <col min="12294" max="12294" width="27.140625" style="1" bestFit="1" customWidth="1"/>
    <col min="12295" max="12295" width="11.7109375" style="1" bestFit="1" customWidth="1"/>
    <col min="12296" max="12296" width="10" style="1" customWidth="1"/>
    <col min="12297" max="12297" width="10.5703125" style="1" bestFit="1" customWidth="1"/>
    <col min="12298" max="12298" width="10.5703125" style="1" customWidth="1"/>
    <col min="12299" max="12299" width="9.140625" style="1"/>
    <col min="12300" max="12300" width="10.7109375" style="1" customWidth="1"/>
    <col min="12301" max="12301" width="11.7109375" style="1" customWidth="1"/>
    <col min="12302" max="12302" width="13.28515625" style="1" customWidth="1"/>
    <col min="12303" max="12549" width="9.140625" style="1"/>
    <col min="12550" max="12550" width="27.140625" style="1" bestFit="1" customWidth="1"/>
    <col min="12551" max="12551" width="11.7109375" style="1" bestFit="1" customWidth="1"/>
    <col min="12552" max="12552" width="10" style="1" customWidth="1"/>
    <col min="12553" max="12553" width="10.5703125" style="1" bestFit="1" customWidth="1"/>
    <col min="12554" max="12554" width="10.5703125" style="1" customWidth="1"/>
    <col min="12555" max="12555" width="9.140625" style="1"/>
    <col min="12556" max="12556" width="10.7109375" style="1" customWidth="1"/>
    <col min="12557" max="12557" width="11.7109375" style="1" customWidth="1"/>
    <col min="12558" max="12558" width="13.28515625" style="1" customWidth="1"/>
    <col min="12559" max="12805" width="9.140625" style="1"/>
    <col min="12806" max="12806" width="27.140625" style="1" bestFit="1" customWidth="1"/>
    <col min="12807" max="12807" width="11.7109375" style="1" bestFit="1" customWidth="1"/>
    <col min="12808" max="12808" width="10" style="1" customWidth="1"/>
    <col min="12809" max="12809" width="10.5703125" style="1" bestFit="1" customWidth="1"/>
    <col min="12810" max="12810" width="10.5703125" style="1" customWidth="1"/>
    <col min="12811" max="12811" width="9.140625" style="1"/>
    <col min="12812" max="12812" width="10.7109375" style="1" customWidth="1"/>
    <col min="12813" max="12813" width="11.7109375" style="1" customWidth="1"/>
    <col min="12814" max="12814" width="13.28515625" style="1" customWidth="1"/>
    <col min="12815" max="13061" width="9.140625" style="1"/>
    <col min="13062" max="13062" width="27.140625" style="1" bestFit="1" customWidth="1"/>
    <col min="13063" max="13063" width="11.7109375" style="1" bestFit="1" customWidth="1"/>
    <col min="13064" max="13064" width="10" style="1" customWidth="1"/>
    <col min="13065" max="13065" width="10.5703125" style="1" bestFit="1" customWidth="1"/>
    <col min="13066" max="13066" width="10.5703125" style="1" customWidth="1"/>
    <col min="13067" max="13067" width="9.140625" style="1"/>
    <col min="13068" max="13068" width="10.7109375" style="1" customWidth="1"/>
    <col min="13069" max="13069" width="11.7109375" style="1" customWidth="1"/>
    <col min="13070" max="13070" width="13.28515625" style="1" customWidth="1"/>
    <col min="13071" max="13317" width="9.140625" style="1"/>
    <col min="13318" max="13318" width="27.140625" style="1" bestFit="1" customWidth="1"/>
    <col min="13319" max="13319" width="11.7109375" style="1" bestFit="1" customWidth="1"/>
    <col min="13320" max="13320" width="10" style="1" customWidth="1"/>
    <col min="13321" max="13321" width="10.5703125" style="1" bestFit="1" customWidth="1"/>
    <col min="13322" max="13322" width="10.5703125" style="1" customWidth="1"/>
    <col min="13323" max="13323" width="9.140625" style="1"/>
    <col min="13324" max="13324" width="10.7109375" style="1" customWidth="1"/>
    <col min="13325" max="13325" width="11.7109375" style="1" customWidth="1"/>
    <col min="13326" max="13326" width="13.28515625" style="1" customWidth="1"/>
    <col min="13327" max="13573" width="9.140625" style="1"/>
    <col min="13574" max="13574" width="27.140625" style="1" bestFit="1" customWidth="1"/>
    <col min="13575" max="13575" width="11.7109375" style="1" bestFit="1" customWidth="1"/>
    <col min="13576" max="13576" width="10" style="1" customWidth="1"/>
    <col min="13577" max="13577" width="10.5703125" style="1" bestFit="1" customWidth="1"/>
    <col min="13578" max="13578" width="10.5703125" style="1" customWidth="1"/>
    <col min="13579" max="13579" width="9.140625" style="1"/>
    <col min="13580" max="13580" width="10.7109375" style="1" customWidth="1"/>
    <col min="13581" max="13581" width="11.7109375" style="1" customWidth="1"/>
    <col min="13582" max="13582" width="13.28515625" style="1" customWidth="1"/>
    <col min="13583" max="13829" width="9.140625" style="1"/>
    <col min="13830" max="13830" width="27.140625" style="1" bestFit="1" customWidth="1"/>
    <col min="13831" max="13831" width="11.7109375" style="1" bestFit="1" customWidth="1"/>
    <col min="13832" max="13832" width="10" style="1" customWidth="1"/>
    <col min="13833" max="13833" width="10.5703125" style="1" bestFit="1" customWidth="1"/>
    <col min="13834" max="13834" width="10.5703125" style="1" customWidth="1"/>
    <col min="13835" max="13835" width="9.140625" style="1"/>
    <col min="13836" max="13836" width="10.7109375" style="1" customWidth="1"/>
    <col min="13837" max="13837" width="11.7109375" style="1" customWidth="1"/>
    <col min="13838" max="13838" width="13.28515625" style="1" customWidth="1"/>
    <col min="13839" max="14085" width="9.140625" style="1"/>
    <col min="14086" max="14086" width="27.140625" style="1" bestFit="1" customWidth="1"/>
    <col min="14087" max="14087" width="11.7109375" style="1" bestFit="1" customWidth="1"/>
    <col min="14088" max="14088" width="10" style="1" customWidth="1"/>
    <col min="14089" max="14089" width="10.5703125" style="1" bestFit="1" customWidth="1"/>
    <col min="14090" max="14090" width="10.5703125" style="1" customWidth="1"/>
    <col min="14091" max="14091" width="9.140625" style="1"/>
    <col min="14092" max="14092" width="10.7109375" style="1" customWidth="1"/>
    <col min="14093" max="14093" width="11.7109375" style="1" customWidth="1"/>
    <col min="14094" max="14094" width="13.28515625" style="1" customWidth="1"/>
    <col min="14095" max="14341" width="9.140625" style="1"/>
    <col min="14342" max="14342" width="27.140625" style="1" bestFit="1" customWidth="1"/>
    <col min="14343" max="14343" width="11.7109375" style="1" bestFit="1" customWidth="1"/>
    <col min="14344" max="14344" width="10" style="1" customWidth="1"/>
    <col min="14345" max="14345" width="10.5703125" style="1" bestFit="1" customWidth="1"/>
    <col min="14346" max="14346" width="10.5703125" style="1" customWidth="1"/>
    <col min="14347" max="14347" width="9.140625" style="1"/>
    <col min="14348" max="14348" width="10.7109375" style="1" customWidth="1"/>
    <col min="14349" max="14349" width="11.7109375" style="1" customWidth="1"/>
    <col min="14350" max="14350" width="13.28515625" style="1" customWidth="1"/>
    <col min="14351" max="14597" width="9.140625" style="1"/>
    <col min="14598" max="14598" width="27.140625" style="1" bestFit="1" customWidth="1"/>
    <col min="14599" max="14599" width="11.7109375" style="1" bestFit="1" customWidth="1"/>
    <col min="14600" max="14600" width="10" style="1" customWidth="1"/>
    <col min="14601" max="14601" width="10.5703125" style="1" bestFit="1" customWidth="1"/>
    <col min="14602" max="14602" width="10.5703125" style="1" customWidth="1"/>
    <col min="14603" max="14603" width="9.140625" style="1"/>
    <col min="14604" max="14604" width="10.7109375" style="1" customWidth="1"/>
    <col min="14605" max="14605" width="11.7109375" style="1" customWidth="1"/>
    <col min="14606" max="14606" width="13.28515625" style="1" customWidth="1"/>
    <col min="14607" max="14853" width="9.140625" style="1"/>
    <col min="14854" max="14854" width="27.140625" style="1" bestFit="1" customWidth="1"/>
    <col min="14855" max="14855" width="11.7109375" style="1" bestFit="1" customWidth="1"/>
    <col min="14856" max="14856" width="10" style="1" customWidth="1"/>
    <col min="14857" max="14857" width="10.5703125" style="1" bestFit="1" customWidth="1"/>
    <col min="14858" max="14858" width="10.5703125" style="1" customWidth="1"/>
    <col min="14859" max="14859" width="9.140625" style="1"/>
    <col min="14860" max="14860" width="10.7109375" style="1" customWidth="1"/>
    <col min="14861" max="14861" width="11.7109375" style="1" customWidth="1"/>
    <col min="14862" max="14862" width="13.28515625" style="1" customWidth="1"/>
    <col min="14863" max="15109" width="9.140625" style="1"/>
    <col min="15110" max="15110" width="27.140625" style="1" bestFit="1" customWidth="1"/>
    <col min="15111" max="15111" width="11.7109375" style="1" bestFit="1" customWidth="1"/>
    <col min="15112" max="15112" width="10" style="1" customWidth="1"/>
    <col min="15113" max="15113" width="10.5703125" style="1" bestFit="1" customWidth="1"/>
    <col min="15114" max="15114" width="10.5703125" style="1" customWidth="1"/>
    <col min="15115" max="15115" width="9.140625" style="1"/>
    <col min="15116" max="15116" width="10.7109375" style="1" customWidth="1"/>
    <col min="15117" max="15117" width="11.7109375" style="1" customWidth="1"/>
    <col min="15118" max="15118" width="13.28515625" style="1" customWidth="1"/>
    <col min="15119" max="15365" width="9.140625" style="1"/>
    <col min="15366" max="15366" width="27.140625" style="1" bestFit="1" customWidth="1"/>
    <col min="15367" max="15367" width="11.7109375" style="1" bestFit="1" customWidth="1"/>
    <col min="15368" max="15368" width="10" style="1" customWidth="1"/>
    <col min="15369" max="15369" width="10.5703125" style="1" bestFit="1" customWidth="1"/>
    <col min="15370" max="15370" width="10.5703125" style="1" customWidth="1"/>
    <col min="15371" max="15371" width="9.140625" style="1"/>
    <col min="15372" max="15372" width="10.7109375" style="1" customWidth="1"/>
    <col min="15373" max="15373" width="11.7109375" style="1" customWidth="1"/>
    <col min="15374" max="15374" width="13.28515625" style="1" customWidth="1"/>
    <col min="15375" max="15621" width="9.140625" style="1"/>
    <col min="15622" max="15622" width="27.140625" style="1" bestFit="1" customWidth="1"/>
    <col min="15623" max="15623" width="11.7109375" style="1" bestFit="1" customWidth="1"/>
    <col min="15624" max="15624" width="10" style="1" customWidth="1"/>
    <col min="15625" max="15625" width="10.5703125" style="1" bestFit="1" customWidth="1"/>
    <col min="15626" max="15626" width="10.5703125" style="1" customWidth="1"/>
    <col min="15627" max="15627" width="9.140625" style="1"/>
    <col min="15628" max="15628" width="10.7109375" style="1" customWidth="1"/>
    <col min="15629" max="15629" width="11.7109375" style="1" customWidth="1"/>
    <col min="15630" max="15630" width="13.28515625" style="1" customWidth="1"/>
    <col min="15631" max="15877" width="9.140625" style="1"/>
    <col min="15878" max="15878" width="27.140625" style="1" bestFit="1" customWidth="1"/>
    <col min="15879" max="15879" width="11.7109375" style="1" bestFit="1" customWidth="1"/>
    <col min="15880" max="15880" width="10" style="1" customWidth="1"/>
    <col min="15881" max="15881" width="10.5703125" style="1" bestFit="1" customWidth="1"/>
    <col min="15882" max="15882" width="10.5703125" style="1" customWidth="1"/>
    <col min="15883" max="15883" width="9.140625" style="1"/>
    <col min="15884" max="15884" width="10.7109375" style="1" customWidth="1"/>
    <col min="15885" max="15885" width="11.7109375" style="1" customWidth="1"/>
    <col min="15886" max="15886" width="13.28515625" style="1" customWidth="1"/>
    <col min="15887" max="16133" width="9.140625" style="1"/>
    <col min="16134" max="16134" width="27.140625" style="1" bestFit="1" customWidth="1"/>
    <col min="16135" max="16135" width="11.7109375" style="1" bestFit="1" customWidth="1"/>
    <col min="16136" max="16136" width="10" style="1" customWidth="1"/>
    <col min="16137" max="16137" width="10.5703125" style="1" bestFit="1" customWidth="1"/>
    <col min="16138" max="16138" width="10.5703125" style="1" customWidth="1"/>
    <col min="16139" max="16139" width="9.140625" style="1"/>
    <col min="16140" max="16140" width="10.7109375" style="1" customWidth="1"/>
    <col min="16141" max="16141" width="11.7109375" style="1" customWidth="1"/>
    <col min="16142" max="16142" width="13.28515625" style="1" customWidth="1"/>
    <col min="16143" max="16384" width="9.140625" style="1"/>
  </cols>
  <sheetData>
    <row r="1" spans="1:19" ht="18.75" x14ac:dyDescent="0.3">
      <c r="D1" s="2" t="s">
        <v>0</v>
      </c>
      <c r="E1" s="3"/>
      <c r="F1" s="3"/>
      <c r="G1" s="4"/>
      <c r="H1" s="4"/>
      <c r="I1" s="1">
        <f>8*6*4</f>
        <v>192</v>
      </c>
    </row>
    <row r="2" spans="1:19" s="6" customFormat="1" ht="15.75" x14ac:dyDescent="0.25">
      <c r="D2" s="7" t="s">
        <v>241</v>
      </c>
      <c r="E2" s="8"/>
      <c r="F2" s="8"/>
      <c r="J2" s="9"/>
    </row>
    <row r="3" spans="1:19" ht="15.75" thickBot="1" x14ac:dyDescent="0.3">
      <c r="D3" s="10"/>
      <c r="M3" s="12" t="s">
        <v>2</v>
      </c>
    </row>
    <row r="4" spans="1:19" s="12" customFormat="1" ht="30" x14ac:dyDescent="0.25">
      <c r="C4" s="155" t="s">
        <v>3</v>
      </c>
      <c r="D4" s="156" t="s">
        <v>4</v>
      </c>
      <c r="E4" s="157" t="s">
        <v>5</v>
      </c>
      <c r="F4" s="157" t="s">
        <v>6</v>
      </c>
      <c r="G4" s="158" t="s">
        <v>7</v>
      </c>
      <c r="H4" s="158" t="s">
        <v>7</v>
      </c>
      <c r="I4" s="158" t="s">
        <v>8</v>
      </c>
      <c r="J4" s="159" t="s">
        <v>9</v>
      </c>
      <c r="K4" s="160" t="s">
        <v>10</v>
      </c>
      <c r="L4" s="161" t="s">
        <v>11</v>
      </c>
      <c r="M4" s="158" t="s">
        <v>12</v>
      </c>
      <c r="N4" s="162" t="s">
        <v>13</v>
      </c>
      <c r="O4" s="20" t="s">
        <v>14</v>
      </c>
      <c r="S4" s="21"/>
    </row>
    <row r="5" spans="1:19" s="22" customFormat="1" ht="15.75" thickBot="1" x14ac:dyDescent="0.3">
      <c r="C5" s="163"/>
      <c r="D5" s="164" t="s">
        <v>15</v>
      </c>
      <c r="E5" s="165" t="s">
        <v>16</v>
      </c>
      <c r="F5" s="165" t="s">
        <v>17</v>
      </c>
      <c r="G5" s="166" t="s">
        <v>18</v>
      </c>
      <c r="H5" s="166" t="s">
        <v>19</v>
      </c>
      <c r="I5" s="167">
        <v>0.1</v>
      </c>
      <c r="J5" s="168" t="s">
        <v>20</v>
      </c>
      <c r="K5" s="169">
        <v>1.2E-2</v>
      </c>
      <c r="L5" s="169">
        <v>1.6E-2</v>
      </c>
      <c r="M5" s="169">
        <v>0.16500000000000001</v>
      </c>
      <c r="N5" s="170"/>
      <c r="O5" s="31"/>
      <c r="S5" s="32"/>
    </row>
    <row r="6" spans="1:19" x14ac:dyDescent="0.25">
      <c r="A6" s="1">
        <v>1</v>
      </c>
      <c r="B6" s="1">
        <v>1</v>
      </c>
      <c r="C6" s="33" t="s">
        <v>21</v>
      </c>
      <c r="D6" s="34">
        <v>50000</v>
      </c>
      <c r="E6" s="35">
        <v>68</v>
      </c>
      <c r="F6" s="35"/>
      <c r="G6" s="34">
        <f t="shared" ref="G6:G16" si="0">D6/192*1.5*E6</f>
        <v>26562.5</v>
      </c>
      <c r="H6" s="34">
        <f>D6/192*2*F6</f>
        <v>0</v>
      </c>
      <c r="I6" s="36">
        <f t="shared" ref="I6:I16" si="1">D6*$I$5</f>
        <v>5000</v>
      </c>
      <c r="J6" s="37">
        <v>10000</v>
      </c>
      <c r="K6" s="37">
        <f t="shared" ref="K6:K18" si="2">D6*$K$5</f>
        <v>600</v>
      </c>
      <c r="L6" s="36">
        <f t="shared" ref="L6:L18" si="3">D6*$L$5</f>
        <v>800</v>
      </c>
      <c r="M6" s="36">
        <f>(D6*0.5%)*16.5%</f>
        <v>41.25</v>
      </c>
      <c r="N6" s="38">
        <f t="shared" ref="N6:N18" si="4">+D6+G6+H6+I6+J6+K6+L6+M6</f>
        <v>93003.75</v>
      </c>
      <c r="O6" s="39" t="s">
        <v>22</v>
      </c>
      <c r="S6" s="5"/>
    </row>
    <row r="7" spans="1:19" x14ac:dyDescent="0.25">
      <c r="A7" s="1">
        <f>1+A6</f>
        <v>2</v>
      </c>
      <c r="B7" s="1">
        <f t="shared" ref="B7:B18" si="5">1+B6</f>
        <v>2</v>
      </c>
      <c r="C7" s="40" t="s">
        <v>23</v>
      </c>
      <c r="D7" s="34">
        <v>50000</v>
      </c>
      <c r="E7" s="35">
        <v>12</v>
      </c>
      <c r="F7" s="35">
        <v>6</v>
      </c>
      <c r="G7" s="34">
        <f t="shared" si="0"/>
        <v>4687.5</v>
      </c>
      <c r="H7" s="34">
        <f t="shared" ref="H7:H16" si="6">D7/192*2*F7</f>
        <v>3125</v>
      </c>
      <c r="I7" s="36">
        <f t="shared" si="1"/>
        <v>5000</v>
      </c>
      <c r="J7" s="37">
        <v>10000</v>
      </c>
      <c r="K7" s="37">
        <f t="shared" si="2"/>
        <v>600</v>
      </c>
      <c r="L7" s="36">
        <f t="shared" si="3"/>
        <v>800</v>
      </c>
      <c r="M7" s="36">
        <f t="shared" ref="M7:M18" si="7">(D7*0.5%)*16.5%</f>
        <v>41.25</v>
      </c>
      <c r="N7" s="38">
        <f t="shared" si="4"/>
        <v>74253.75</v>
      </c>
      <c r="O7" s="39" t="s">
        <v>22</v>
      </c>
      <c r="S7" s="5"/>
    </row>
    <row r="8" spans="1:19" x14ac:dyDescent="0.25">
      <c r="A8" s="1">
        <f t="shared" ref="A8:A39" si="8">1+A7</f>
        <v>3</v>
      </c>
      <c r="B8" s="1">
        <f t="shared" si="5"/>
        <v>3</v>
      </c>
      <c r="C8" s="40" t="s">
        <v>24</v>
      </c>
      <c r="D8" s="34">
        <v>55650</v>
      </c>
      <c r="E8" s="35"/>
      <c r="F8" s="35">
        <v>8</v>
      </c>
      <c r="G8" s="34">
        <f t="shared" si="0"/>
        <v>0</v>
      </c>
      <c r="H8" s="34">
        <f t="shared" si="6"/>
        <v>4637.5</v>
      </c>
      <c r="I8" s="36">
        <f t="shared" si="1"/>
        <v>5565</v>
      </c>
      <c r="J8" s="37">
        <v>10000</v>
      </c>
      <c r="K8" s="37">
        <f t="shared" si="2"/>
        <v>667.80000000000007</v>
      </c>
      <c r="L8" s="36">
        <f t="shared" si="3"/>
        <v>890.4</v>
      </c>
      <c r="M8" s="36">
        <f t="shared" si="7"/>
        <v>45.911250000000003</v>
      </c>
      <c r="N8" s="38">
        <f t="shared" si="4"/>
        <v>77456.611250000002</v>
      </c>
      <c r="O8" s="39" t="s">
        <v>22</v>
      </c>
      <c r="S8" s="5"/>
    </row>
    <row r="9" spans="1:19" x14ac:dyDescent="0.25">
      <c r="A9" s="1">
        <f t="shared" si="8"/>
        <v>4</v>
      </c>
      <c r="B9" s="1">
        <f t="shared" si="5"/>
        <v>4</v>
      </c>
      <c r="C9" s="40" t="s">
        <v>25</v>
      </c>
      <c r="D9" s="34">
        <v>50000</v>
      </c>
      <c r="E9" s="35"/>
      <c r="F9" s="35"/>
      <c r="G9" s="34">
        <f t="shared" si="0"/>
        <v>0</v>
      </c>
      <c r="H9" s="34">
        <f t="shared" si="6"/>
        <v>0</v>
      </c>
      <c r="I9" s="36">
        <f t="shared" si="1"/>
        <v>5000</v>
      </c>
      <c r="J9" s="37">
        <v>10000</v>
      </c>
      <c r="K9" s="37">
        <f t="shared" si="2"/>
        <v>600</v>
      </c>
      <c r="L9" s="36">
        <f t="shared" si="3"/>
        <v>800</v>
      </c>
      <c r="M9" s="36">
        <f t="shared" si="7"/>
        <v>41.25</v>
      </c>
      <c r="N9" s="38">
        <f t="shared" si="4"/>
        <v>66441.25</v>
      </c>
      <c r="O9" s="39" t="s">
        <v>22</v>
      </c>
      <c r="S9" s="5"/>
    </row>
    <row r="10" spans="1:19" x14ac:dyDescent="0.25">
      <c r="A10" s="1">
        <f t="shared" si="8"/>
        <v>5</v>
      </c>
      <c r="B10" s="1">
        <f t="shared" si="5"/>
        <v>5</v>
      </c>
      <c r="C10" s="40" t="s">
        <v>26</v>
      </c>
      <c r="D10" s="34">
        <v>50000</v>
      </c>
      <c r="E10" s="35"/>
      <c r="F10" s="35"/>
      <c r="G10" s="34">
        <f t="shared" si="0"/>
        <v>0</v>
      </c>
      <c r="H10" s="34">
        <f t="shared" si="6"/>
        <v>0</v>
      </c>
      <c r="I10" s="36">
        <f t="shared" si="1"/>
        <v>5000</v>
      </c>
      <c r="J10" s="37">
        <v>10000</v>
      </c>
      <c r="K10" s="37">
        <f t="shared" si="2"/>
        <v>600</v>
      </c>
      <c r="L10" s="36">
        <f t="shared" si="3"/>
        <v>800</v>
      </c>
      <c r="M10" s="36">
        <f t="shared" si="7"/>
        <v>41.25</v>
      </c>
      <c r="N10" s="38">
        <f t="shared" si="4"/>
        <v>66441.25</v>
      </c>
      <c r="O10" s="39" t="s">
        <v>22</v>
      </c>
      <c r="S10" s="5"/>
    </row>
    <row r="11" spans="1:19" x14ac:dyDescent="0.25">
      <c r="A11" s="1">
        <f t="shared" si="8"/>
        <v>6</v>
      </c>
      <c r="B11" s="1">
        <f t="shared" si="5"/>
        <v>6</v>
      </c>
      <c r="C11" s="40" t="s">
        <v>27</v>
      </c>
      <c r="D11" s="34">
        <v>77910</v>
      </c>
      <c r="E11" s="35">
        <v>12</v>
      </c>
      <c r="F11" s="35">
        <v>6</v>
      </c>
      <c r="G11" s="34">
        <f t="shared" si="0"/>
        <v>7304.0625</v>
      </c>
      <c r="H11" s="34">
        <f t="shared" si="6"/>
        <v>4869.375</v>
      </c>
      <c r="I11" s="36">
        <f t="shared" si="1"/>
        <v>7791</v>
      </c>
      <c r="J11" s="37">
        <v>10000</v>
      </c>
      <c r="K11" s="37">
        <f t="shared" si="2"/>
        <v>934.92000000000007</v>
      </c>
      <c r="L11" s="36">
        <f t="shared" si="3"/>
        <v>1246.56</v>
      </c>
      <c r="M11" s="36">
        <f t="shared" si="7"/>
        <v>64.275750000000002</v>
      </c>
      <c r="N11" s="38">
        <f t="shared" si="4"/>
        <v>110120.19325</v>
      </c>
      <c r="O11" s="39" t="s">
        <v>22</v>
      </c>
      <c r="S11" s="5"/>
    </row>
    <row r="12" spans="1:19" x14ac:dyDescent="0.25">
      <c r="A12" s="1">
        <f t="shared" si="8"/>
        <v>7</v>
      </c>
      <c r="B12" s="1">
        <v>7</v>
      </c>
      <c r="C12" s="41" t="s">
        <v>28</v>
      </c>
      <c r="D12" s="34">
        <v>50000</v>
      </c>
      <c r="E12" s="35"/>
      <c r="F12" s="35">
        <v>8</v>
      </c>
      <c r="G12" s="34">
        <f t="shared" si="0"/>
        <v>0</v>
      </c>
      <c r="H12" s="34">
        <f t="shared" si="6"/>
        <v>4166.666666666667</v>
      </c>
      <c r="I12" s="36">
        <f t="shared" si="1"/>
        <v>5000</v>
      </c>
      <c r="J12" s="37">
        <f>5000+5000</f>
        <v>10000</v>
      </c>
      <c r="K12" s="37">
        <f t="shared" si="2"/>
        <v>600</v>
      </c>
      <c r="L12" s="36">
        <f t="shared" si="3"/>
        <v>800</v>
      </c>
      <c r="M12" s="36">
        <f t="shared" si="7"/>
        <v>41.25</v>
      </c>
      <c r="N12" s="38">
        <f t="shared" si="4"/>
        <v>70607.916666666657</v>
      </c>
      <c r="O12" s="39" t="s">
        <v>22</v>
      </c>
      <c r="S12" s="5"/>
    </row>
    <row r="13" spans="1:19" x14ac:dyDescent="0.25">
      <c r="A13" s="1">
        <f t="shared" si="8"/>
        <v>8</v>
      </c>
      <c r="B13" s="1">
        <v>8</v>
      </c>
      <c r="C13" s="41" t="s">
        <v>29</v>
      </c>
      <c r="D13" s="34">
        <v>56763</v>
      </c>
      <c r="E13" s="35">
        <v>9</v>
      </c>
      <c r="F13" s="35">
        <v>8</v>
      </c>
      <c r="G13" s="34">
        <f t="shared" si="0"/>
        <v>3991.1484375</v>
      </c>
      <c r="H13" s="34">
        <f t="shared" si="6"/>
        <v>4730.25</v>
      </c>
      <c r="I13" s="36">
        <f t="shared" si="1"/>
        <v>5676.3</v>
      </c>
      <c r="J13" s="37">
        <v>10000</v>
      </c>
      <c r="K13" s="37">
        <f t="shared" si="2"/>
        <v>681.15600000000006</v>
      </c>
      <c r="L13" s="36">
        <f t="shared" si="3"/>
        <v>908.20799999999997</v>
      </c>
      <c r="M13" s="36">
        <f t="shared" si="7"/>
        <v>46.829475000000002</v>
      </c>
      <c r="N13" s="38">
        <f t="shared" si="4"/>
        <v>82796.89191250001</v>
      </c>
      <c r="O13" s="39" t="s">
        <v>22</v>
      </c>
    </row>
    <row r="14" spans="1:19" x14ac:dyDescent="0.25">
      <c r="A14" s="1">
        <f t="shared" si="8"/>
        <v>9</v>
      </c>
      <c r="B14" s="1">
        <f t="shared" si="5"/>
        <v>9</v>
      </c>
      <c r="C14" s="41" t="s">
        <v>30</v>
      </c>
      <c r="D14" s="34">
        <v>50000</v>
      </c>
      <c r="E14" s="35">
        <v>3</v>
      </c>
      <c r="F14" s="35">
        <v>8</v>
      </c>
      <c r="G14" s="34">
        <f t="shared" si="0"/>
        <v>1171.875</v>
      </c>
      <c r="H14" s="34">
        <f t="shared" si="6"/>
        <v>4166.666666666667</v>
      </c>
      <c r="I14" s="36">
        <f t="shared" si="1"/>
        <v>5000</v>
      </c>
      <c r="J14" s="37">
        <v>10000</v>
      </c>
      <c r="K14" s="37">
        <f t="shared" si="2"/>
        <v>600</v>
      </c>
      <c r="L14" s="36">
        <f t="shared" si="3"/>
        <v>800</v>
      </c>
      <c r="M14" s="36">
        <f t="shared" si="7"/>
        <v>41.25</v>
      </c>
      <c r="N14" s="38">
        <f t="shared" si="4"/>
        <v>71779.791666666657</v>
      </c>
      <c r="O14" s="39" t="s">
        <v>22</v>
      </c>
    </row>
    <row r="15" spans="1:19" x14ac:dyDescent="0.25">
      <c r="A15" s="1">
        <f t="shared" si="8"/>
        <v>10</v>
      </c>
      <c r="B15" s="1">
        <f t="shared" si="5"/>
        <v>10</v>
      </c>
      <c r="C15" s="41" t="s">
        <v>31</v>
      </c>
      <c r="D15" s="34">
        <v>50000</v>
      </c>
      <c r="E15" s="35">
        <v>51</v>
      </c>
      <c r="F15" s="35">
        <v>11</v>
      </c>
      <c r="G15" s="34">
        <f t="shared" si="0"/>
        <v>19921.875</v>
      </c>
      <c r="H15" s="34">
        <f t="shared" si="6"/>
        <v>5729.166666666667</v>
      </c>
      <c r="I15" s="36">
        <f t="shared" si="1"/>
        <v>5000</v>
      </c>
      <c r="J15" s="37">
        <v>10000</v>
      </c>
      <c r="K15" s="37">
        <f t="shared" si="2"/>
        <v>600</v>
      </c>
      <c r="L15" s="36">
        <f t="shared" si="3"/>
        <v>800</v>
      </c>
      <c r="M15" s="36">
        <f t="shared" si="7"/>
        <v>41.25</v>
      </c>
      <c r="N15" s="38">
        <f t="shared" si="4"/>
        <v>92092.291666666672</v>
      </c>
      <c r="O15" s="39" t="s">
        <v>22</v>
      </c>
    </row>
    <row r="16" spans="1:19" x14ac:dyDescent="0.25">
      <c r="A16" s="1">
        <f t="shared" si="8"/>
        <v>11</v>
      </c>
      <c r="B16" s="1">
        <f t="shared" si="5"/>
        <v>11</v>
      </c>
      <c r="C16" s="41" t="s">
        <v>32</v>
      </c>
      <c r="D16" s="34">
        <v>62328</v>
      </c>
      <c r="E16" s="35">
        <v>12</v>
      </c>
      <c r="F16" s="35"/>
      <c r="G16" s="34">
        <f t="shared" si="0"/>
        <v>5843.25</v>
      </c>
      <c r="H16" s="34">
        <f t="shared" si="6"/>
        <v>0</v>
      </c>
      <c r="I16" s="36">
        <f t="shared" si="1"/>
        <v>6232.8</v>
      </c>
      <c r="J16" s="37">
        <v>10000</v>
      </c>
      <c r="K16" s="37">
        <f t="shared" si="2"/>
        <v>747.93600000000004</v>
      </c>
      <c r="L16" s="36">
        <f t="shared" si="3"/>
        <v>997.24800000000005</v>
      </c>
      <c r="M16" s="36">
        <f t="shared" si="7"/>
        <v>51.4206</v>
      </c>
      <c r="N16" s="38">
        <f t="shared" si="4"/>
        <v>86200.654600000009</v>
      </c>
      <c r="O16" s="39" t="s">
        <v>22</v>
      </c>
    </row>
    <row r="17" spans="1:19" s="47" customFormat="1" x14ac:dyDescent="0.25">
      <c r="A17" s="1">
        <f t="shared" si="8"/>
        <v>12</v>
      </c>
      <c r="B17" s="1">
        <f t="shared" si="5"/>
        <v>12</v>
      </c>
      <c r="C17" s="42" t="s">
        <v>127</v>
      </c>
      <c r="D17" s="34">
        <f>((50000/192)*E17)+(50000/192)*2*F17</f>
        <v>0</v>
      </c>
      <c r="E17" s="43"/>
      <c r="F17" s="43"/>
      <c r="G17" s="34"/>
      <c r="H17" s="34"/>
      <c r="I17" s="34"/>
      <c r="J17" s="44"/>
      <c r="K17" s="37">
        <f t="shared" si="2"/>
        <v>0</v>
      </c>
      <c r="L17" s="36">
        <f t="shared" si="3"/>
        <v>0</v>
      </c>
      <c r="M17" s="36">
        <f t="shared" si="7"/>
        <v>0</v>
      </c>
      <c r="N17" s="45">
        <f t="shared" si="4"/>
        <v>0</v>
      </c>
      <c r="O17" s="46" t="s">
        <v>22</v>
      </c>
    </row>
    <row r="18" spans="1:19" x14ac:dyDescent="0.25">
      <c r="A18" s="1">
        <f t="shared" si="8"/>
        <v>13</v>
      </c>
      <c r="B18" s="1">
        <f t="shared" si="5"/>
        <v>13</v>
      </c>
      <c r="C18" s="41" t="s">
        <v>126</v>
      </c>
      <c r="D18" s="34">
        <f>((50000/192)*E18)+(50000/192)*2*F18</f>
        <v>0</v>
      </c>
      <c r="E18" s="35"/>
      <c r="F18" s="35"/>
      <c r="G18" s="36"/>
      <c r="H18" s="36"/>
      <c r="I18" s="36"/>
      <c r="J18" s="37"/>
      <c r="K18" s="37">
        <f t="shared" si="2"/>
        <v>0</v>
      </c>
      <c r="L18" s="36">
        <f t="shared" si="3"/>
        <v>0</v>
      </c>
      <c r="M18" s="36">
        <f t="shared" si="7"/>
        <v>0</v>
      </c>
      <c r="N18" s="38">
        <f t="shared" si="4"/>
        <v>0</v>
      </c>
      <c r="O18" s="39" t="s">
        <v>22</v>
      </c>
    </row>
    <row r="19" spans="1:19" s="12" customFormat="1" x14ac:dyDescent="0.25">
      <c r="A19" s="1"/>
      <c r="C19" s="48" t="s">
        <v>33</v>
      </c>
      <c r="D19" s="45">
        <f>SUM(D6:D18)</f>
        <v>602651</v>
      </c>
      <c r="E19" s="49"/>
      <c r="F19" s="45"/>
      <c r="G19" s="45">
        <f t="shared" ref="G19:N19" si="9">SUM(G6:G18)</f>
        <v>69482.2109375</v>
      </c>
      <c r="H19" s="45">
        <f t="shared" si="9"/>
        <v>31424.625000000004</v>
      </c>
      <c r="I19" s="45">
        <f t="shared" si="9"/>
        <v>60265.100000000006</v>
      </c>
      <c r="J19" s="45">
        <f t="shared" si="9"/>
        <v>110000</v>
      </c>
      <c r="K19" s="45">
        <f t="shared" si="9"/>
        <v>7231.8119999999999</v>
      </c>
      <c r="L19" s="45">
        <f t="shared" si="9"/>
        <v>9642.4159999999993</v>
      </c>
      <c r="M19" s="45">
        <f t="shared" si="9"/>
        <v>497.18707499999999</v>
      </c>
      <c r="N19" s="45">
        <f t="shared" si="9"/>
        <v>891194.3510125</v>
      </c>
      <c r="O19" s="50"/>
      <c r="Q19" s="51"/>
    </row>
    <row r="20" spans="1:19" x14ac:dyDescent="0.25">
      <c r="C20" s="40"/>
      <c r="D20" s="34"/>
      <c r="E20" s="35"/>
      <c r="F20" s="35"/>
      <c r="G20" s="36"/>
      <c r="H20" s="36"/>
      <c r="I20" s="40"/>
      <c r="J20" s="37"/>
      <c r="K20" s="40"/>
      <c r="L20" s="40"/>
      <c r="M20" s="36"/>
      <c r="N20" s="38"/>
      <c r="O20" s="40"/>
    </row>
    <row r="21" spans="1:19" x14ac:dyDescent="0.25">
      <c r="A21" s="1">
        <f>1+A18</f>
        <v>14</v>
      </c>
      <c r="B21" s="1">
        <v>1</v>
      </c>
      <c r="C21" s="40" t="s">
        <v>34</v>
      </c>
      <c r="D21" s="34">
        <v>50000</v>
      </c>
      <c r="E21" s="35">
        <v>7</v>
      </c>
      <c r="F21" s="35"/>
      <c r="G21" s="36">
        <f>D21/192*1.5*E21</f>
        <v>2734.375</v>
      </c>
      <c r="H21" s="36">
        <f>D21/192*2*F21</f>
        <v>0</v>
      </c>
      <c r="I21" s="36">
        <f>D21*$I$5</f>
        <v>5000</v>
      </c>
      <c r="J21" s="37">
        <v>18000</v>
      </c>
      <c r="K21" s="37">
        <f t="shared" ref="K21:K24" si="10">D21*$K$5</f>
        <v>600</v>
      </c>
      <c r="L21" s="36">
        <f t="shared" ref="L21:L24" si="11">D21*$L$5</f>
        <v>800</v>
      </c>
      <c r="M21" s="36">
        <f t="shared" ref="M21:M24" si="12">(D21*0.5%)*16.5%</f>
        <v>41.25</v>
      </c>
      <c r="N21" s="38">
        <f>+D21+G21+H21+I21+J21+K21+L21+M21</f>
        <v>77175.625</v>
      </c>
      <c r="O21" s="39" t="s">
        <v>22</v>
      </c>
      <c r="S21" s="5"/>
    </row>
    <row r="22" spans="1:19" x14ac:dyDescent="0.25">
      <c r="A22" s="1">
        <f t="shared" si="8"/>
        <v>15</v>
      </c>
      <c r="B22" s="1">
        <f>1+B21</f>
        <v>2</v>
      </c>
      <c r="C22" s="40" t="s">
        <v>35</v>
      </c>
      <c r="D22" s="34">
        <v>66780</v>
      </c>
      <c r="E22" s="35">
        <v>12</v>
      </c>
      <c r="F22" s="35"/>
      <c r="G22" s="34">
        <f>D22/192*1.5*E22</f>
        <v>6260.625</v>
      </c>
      <c r="H22" s="36">
        <f>D22/192*2*F22</f>
        <v>0</v>
      </c>
      <c r="I22" s="36">
        <f>D22*$I$5</f>
        <v>6678</v>
      </c>
      <c r="J22" s="37">
        <v>18000</v>
      </c>
      <c r="K22" s="37">
        <f t="shared" si="10"/>
        <v>801.36</v>
      </c>
      <c r="L22" s="36">
        <f t="shared" si="11"/>
        <v>1068.48</v>
      </c>
      <c r="M22" s="36">
        <f t="shared" si="12"/>
        <v>55.093500000000006</v>
      </c>
      <c r="N22" s="38">
        <f t="shared" ref="N22:N28" si="13">+D22+G22+H22+I22+J22+K22+L22+M22</f>
        <v>99643.558499999999</v>
      </c>
      <c r="O22" s="39" t="s">
        <v>36</v>
      </c>
    </row>
    <row r="23" spans="1:19" x14ac:dyDescent="0.25">
      <c r="A23" s="1">
        <f t="shared" si="8"/>
        <v>16</v>
      </c>
      <c r="B23" s="1">
        <f>1+B22</f>
        <v>3</v>
      </c>
      <c r="C23" s="40" t="s">
        <v>37</v>
      </c>
      <c r="D23" s="34">
        <v>50000</v>
      </c>
      <c r="E23" s="35">
        <v>9</v>
      </c>
      <c r="F23" s="35"/>
      <c r="G23" s="34">
        <f>D23/192*1.5*E23</f>
        <v>3515.625</v>
      </c>
      <c r="H23" s="36">
        <f>D23/192*2*F23</f>
        <v>0</v>
      </c>
      <c r="I23" s="36">
        <f>D23*$I$5</f>
        <v>5000</v>
      </c>
      <c r="J23" s="37">
        <v>18000</v>
      </c>
      <c r="K23" s="37">
        <f t="shared" si="10"/>
        <v>600</v>
      </c>
      <c r="L23" s="36">
        <f t="shared" si="11"/>
        <v>800</v>
      </c>
      <c r="M23" s="36">
        <f t="shared" si="12"/>
        <v>41.25</v>
      </c>
      <c r="N23" s="38">
        <f t="shared" si="13"/>
        <v>77956.875</v>
      </c>
      <c r="O23" s="39" t="s">
        <v>36</v>
      </c>
    </row>
    <row r="24" spans="1:19" x14ac:dyDescent="0.25">
      <c r="A24" s="1">
        <f t="shared" si="8"/>
        <v>17</v>
      </c>
      <c r="B24" s="1">
        <f>1+B23</f>
        <v>4</v>
      </c>
      <c r="C24" s="40" t="s">
        <v>38</v>
      </c>
      <c r="D24" s="34">
        <v>50000</v>
      </c>
      <c r="E24" s="35"/>
      <c r="F24" s="35"/>
      <c r="G24" s="34">
        <f>D24/192*1.5*E24</f>
        <v>0</v>
      </c>
      <c r="H24" s="36">
        <f>D24/192*2*F24</f>
        <v>0</v>
      </c>
      <c r="I24" s="36">
        <f>D24*$I$5</f>
        <v>5000</v>
      </c>
      <c r="J24" s="37">
        <v>18000</v>
      </c>
      <c r="K24" s="37">
        <f t="shared" si="10"/>
        <v>600</v>
      </c>
      <c r="L24" s="36">
        <f t="shared" si="11"/>
        <v>800</v>
      </c>
      <c r="M24" s="36">
        <f t="shared" si="12"/>
        <v>41.25</v>
      </c>
      <c r="N24" s="38">
        <f t="shared" si="13"/>
        <v>74441.25</v>
      </c>
      <c r="O24" s="39" t="s">
        <v>36</v>
      </c>
    </row>
    <row r="25" spans="1:19" x14ac:dyDescent="0.25">
      <c r="C25" s="52" t="s">
        <v>33</v>
      </c>
      <c r="D25" s="45">
        <f>SUM(D21:D24)</f>
        <v>216780</v>
      </c>
      <c r="E25" s="49"/>
      <c r="F25" s="45"/>
      <c r="G25" s="45">
        <f>SUM(G21:G24)</f>
        <v>12510.625</v>
      </c>
      <c r="H25" s="45">
        <f t="shared" ref="H25:N25" si="14">SUM(H21:H24)</f>
        <v>0</v>
      </c>
      <c r="I25" s="45">
        <f t="shared" si="14"/>
        <v>21678</v>
      </c>
      <c r="J25" s="45">
        <f t="shared" si="14"/>
        <v>72000</v>
      </c>
      <c r="K25" s="45">
        <f t="shared" si="14"/>
        <v>2601.36</v>
      </c>
      <c r="L25" s="45">
        <f t="shared" si="14"/>
        <v>3468.48</v>
      </c>
      <c r="M25" s="45">
        <f t="shared" si="14"/>
        <v>178.84350000000001</v>
      </c>
      <c r="N25" s="45">
        <f t="shared" si="14"/>
        <v>329217.30849999998</v>
      </c>
      <c r="O25" s="39"/>
    </row>
    <row r="26" spans="1:19" x14ac:dyDescent="0.25">
      <c r="C26" s="40"/>
      <c r="D26" s="34"/>
      <c r="E26" s="35"/>
      <c r="F26" s="35"/>
      <c r="G26" s="36"/>
      <c r="H26" s="36"/>
      <c r="I26" s="36"/>
      <c r="J26" s="37"/>
      <c r="K26" s="40"/>
      <c r="L26" s="36"/>
      <c r="M26" s="36"/>
      <c r="N26" s="38"/>
      <c r="O26" s="39"/>
    </row>
    <row r="27" spans="1:19" x14ac:dyDescent="0.25">
      <c r="A27" s="1">
        <f>1+A24</f>
        <v>18</v>
      </c>
      <c r="B27" s="1">
        <v>1</v>
      </c>
      <c r="C27" s="40" t="s">
        <v>39</v>
      </c>
      <c r="D27" s="34">
        <v>50000</v>
      </c>
      <c r="E27" s="35">
        <f>42</f>
        <v>42</v>
      </c>
      <c r="F27" s="35"/>
      <c r="G27" s="34">
        <f>D27/192*1.5*E27</f>
        <v>16406.25</v>
      </c>
      <c r="H27" s="34">
        <f>D27/192*2*F27</f>
        <v>0</v>
      </c>
      <c r="I27" s="36">
        <f>D27*$I$5</f>
        <v>5000</v>
      </c>
      <c r="J27" s="37">
        <v>10000</v>
      </c>
      <c r="K27" s="37">
        <f t="shared" ref="K27:K28" si="15">D27*$K$5</f>
        <v>600</v>
      </c>
      <c r="L27" s="36">
        <f t="shared" ref="L27:L28" si="16">D27*$L$5</f>
        <v>800</v>
      </c>
      <c r="M27" s="36">
        <f t="shared" ref="M27:M28" si="17">(D27*0.5%)*16.5%</f>
        <v>41.25</v>
      </c>
      <c r="N27" s="38">
        <f t="shared" si="13"/>
        <v>82847.5</v>
      </c>
      <c r="O27" s="39" t="s">
        <v>40</v>
      </c>
    </row>
    <row r="28" spans="1:19" x14ac:dyDescent="0.25">
      <c r="A28" s="1">
        <f t="shared" si="8"/>
        <v>19</v>
      </c>
      <c r="B28" s="1">
        <v>2</v>
      </c>
      <c r="C28" s="40" t="s">
        <v>41</v>
      </c>
      <c r="D28" s="34">
        <v>50000</v>
      </c>
      <c r="E28" s="35">
        <v>2</v>
      </c>
      <c r="F28" s="35"/>
      <c r="G28" s="34">
        <f>D28/192*1.5*E28</f>
        <v>781.25</v>
      </c>
      <c r="H28" s="34">
        <f>D28/192*2*F28</f>
        <v>0</v>
      </c>
      <c r="I28" s="36">
        <f>D28*$I$5</f>
        <v>5000</v>
      </c>
      <c r="J28" s="37">
        <v>10000</v>
      </c>
      <c r="K28" s="37">
        <f t="shared" si="15"/>
        <v>600</v>
      </c>
      <c r="L28" s="36">
        <f t="shared" si="16"/>
        <v>800</v>
      </c>
      <c r="M28" s="36">
        <f t="shared" si="17"/>
        <v>41.25</v>
      </c>
      <c r="N28" s="38">
        <f t="shared" si="13"/>
        <v>67222.5</v>
      </c>
      <c r="O28" s="39" t="s">
        <v>40</v>
      </c>
    </row>
    <row r="29" spans="1:19" x14ac:dyDescent="0.25">
      <c r="C29" s="52" t="s">
        <v>33</v>
      </c>
      <c r="D29" s="45">
        <f>SUM(D27:D28)</f>
        <v>100000</v>
      </c>
      <c r="E29" s="49"/>
      <c r="F29" s="45"/>
      <c r="G29" s="45">
        <f t="shared" ref="G29:N29" si="18">SUM(G27:G28)</f>
        <v>17187.5</v>
      </c>
      <c r="H29" s="45">
        <f t="shared" si="18"/>
        <v>0</v>
      </c>
      <c r="I29" s="45">
        <f t="shared" si="18"/>
        <v>10000</v>
      </c>
      <c r="J29" s="45">
        <f t="shared" si="18"/>
        <v>20000</v>
      </c>
      <c r="K29" s="45">
        <f t="shared" si="18"/>
        <v>1200</v>
      </c>
      <c r="L29" s="45">
        <f t="shared" si="18"/>
        <v>1600</v>
      </c>
      <c r="M29" s="45">
        <f t="shared" si="18"/>
        <v>82.5</v>
      </c>
      <c r="N29" s="45">
        <f t="shared" si="18"/>
        <v>150070</v>
      </c>
      <c r="O29" s="39"/>
    </row>
    <row r="30" spans="1:19" x14ac:dyDescent="0.25">
      <c r="C30" s="40"/>
      <c r="D30" s="34"/>
      <c r="E30" s="35"/>
      <c r="F30" s="35"/>
      <c r="G30" s="36"/>
      <c r="H30" s="36"/>
      <c r="I30" s="40"/>
      <c r="J30" s="37"/>
      <c r="K30" s="40"/>
      <c r="L30" s="40"/>
      <c r="M30" s="36"/>
      <c r="N30" s="38"/>
      <c r="O30" s="39"/>
    </row>
    <row r="31" spans="1:19" x14ac:dyDescent="0.25">
      <c r="A31" s="47">
        <f>1+A28</f>
        <v>20</v>
      </c>
      <c r="B31" s="47">
        <v>1</v>
      </c>
      <c r="C31" s="41" t="s">
        <v>42</v>
      </c>
      <c r="D31" s="53">
        <v>210000</v>
      </c>
      <c r="E31" s="54">
        <f>36+28+76</f>
        <v>140</v>
      </c>
      <c r="F31" s="171"/>
      <c r="G31" s="34">
        <f>D31/192*1.5*E31</f>
        <v>229687.5</v>
      </c>
      <c r="H31" s="34">
        <f>D31/192*2*F31</f>
        <v>0</v>
      </c>
      <c r="I31" s="36">
        <f>D31*$I$5</f>
        <v>21000</v>
      </c>
      <c r="J31" s="56">
        <v>35000</v>
      </c>
      <c r="K31" s="37">
        <f t="shared" ref="K31" si="19">D31*$K$5</f>
        <v>2520</v>
      </c>
      <c r="L31" s="36">
        <f t="shared" ref="L31" si="20">D31*$L$5</f>
        <v>3360</v>
      </c>
      <c r="M31" s="36">
        <f t="shared" ref="M31" si="21">(D31*0.5%)*16.5%</f>
        <v>173.25</v>
      </c>
      <c r="N31" s="38">
        <f>+D31+G31+H31+I31+J31+K31+L31+M31</f>
        <v>501740.75</v>
      </c>
      <c r="O31" s="39" t="s">
        <v>43</v>
      </c>
    </row>
    <row r="32" spans="1:19" x14ac:dyDescent="0.25">
      <c r="C32" s="40"/>
      <c r="D32" s="34"/>
      <c r="E32" s="35"/>
      <c r="F32" s="35"/>
      <c r="G32" s="36"/>
      <c r="H32" s="36"/>
      <c r="I32" s="36"/>
      <c r="J32" s="37"/>
      <c r="K32" s="36"/>
      <c r="L32" s="36"/>
      <c r="M32" s="36"/>
      <c r="N32" s="38"/>
      <c r="O32" s="39"/>
    </row>
    <row r="33" spans="1:19" x14ac:dyDescent="0.25">
      <c r="A33" s="1">
        <f>1+A31</f>
        <v>21</v>
      </c>
      <c r="B33" s="1">
        <v>1</v>
      </c>
      <c r="C33" s="40" t="s">
        <v>44</v>
      </c>
      <c r="D33" s="34">
        <v>77910</v>
      </c>
      <c r="E33" s="35">
        <v>14</v>
      </c>
      <c r="F33" s="35"/>
      <c r="G33" s="34">
        <f t="shared" ref="G33:G39" si="22">D33/192*1.5*E33</f>
        <v>8521.40625</v>
      </c>
      <c r="H33" s="34">
        <f>D33/192*2*F33</f>
        <v>0</v>
      </c>
      <c r="I33" s="36">
        <f t="shared" ref="I33:I39" si="23">D33*$I$5</f>
        <v>7791</v>
      </c>
      <c r="J33" s="37">
        <f>18000+5000</f>
        <v>23000</v>
      </c>
      <c r="K33" s="37">
        <f t="shared" ref="K33:K39" si="24">D33*$K$5</f>
        <v>934.92000000000007</v>
      </c>
      <c r="L33" s="36">
        <f t="shared" ref="L33:L39" si="25">D33*$L$5</f>
        <v>1246.56</v>
      </c>
      <c r="M33" s="36">
        <f t="shared" ref="M33:M39" si="26">(D33*0.5%)*16.5%</f>
        <v>64.275750000000002</v>
      </c>
      <c r="N33" s="38">
        <f t="shared" ref="N33:N44" si="27">+D33+G33+H33+I33+J33+K33+L33+M33</f>
        <v>119468.162</v>
      </c>
      <c r="O33" s="39" t="s">
        <v>45</v>
      </c>
    </row>
    <row r="34" spans="1:19" x14ac:dyDescent="0.25">
      <c r="A34" s="1">
        <f t="shared" si="8"/>
        <v>22</v>
      </c>
      <c r="B34" s="1">
        <v>2</v>
      </c>
      <c r="C34" s="40" t="s">
        <v>46</v>
      </c>
      <c r="D34" s="34">
        <v>50000</v>
      </c>
      <c r="E34" s="35">
        <v>48</v>
      </c>
      <c r="F34" s="35"/>
      <c r="G34" s="34">
        <f t="shared" si="22"/>
        <v>18750</v>
      </c>
      <c r="H34" s="34">
        <f t="shared" ref="H34:H39" si="28">D34/192*2*F34</f>
        <v>0</v>
      </c>
      <c r="I34" s="36">
        <f>D34*$I$5</f>
        <v>5000</v>
      </c>
      <c r="J34" s="37">
        <v>10000</v>
      </c>
      <c r="K34" s="37">
        <f t="shared" si="24"/>
        <v>600</v>
      </c>
      <c r="L34" s="36">
        <f t="shared" si="25"/>
        <v>800</v>
      </c>
      <c r="M34" s="36">
        <f t="shared" si="26"/>
        <v>41.25</v>
      </c>
      <c r="N34" s="38">
        <f>+D34+G34+H34+I34+J34+K34+L34+M34</f>
        <v>85191.25</v>
      </c>
      <c r="O34" s="39" t="s">
        <v>45</v>
      </c>
    </row>
    <row r="35" spans="1:19" x14ac:dyDescent="0.25">
      <c r="A35" s="1">
        <f t="shared" si="8"/>
        <v>23</v>
      </c>
      <c r="B35" s="1">
        <v>3</v>
      </c>
      <c r="C35" s="40" t="s">
        <v>47</v>
      </c>
      <c r="D35" s="34">
        <v>50000</v>
      </c>
      <c r="E35" s="35">
        <v>48</v>
      </c>
      <c r="F35" s="35"/>
      <c r="G35" s="34">
        <f t="shared" si="22"/>
        <v>18750</v>
      </c>
      <c r="H35" s="34">
        <f t="shared" si="28"/>
        <v>0</v>
      </c>
      <c r="I35" s="36">
        <f>D35*$I$5</f>
        <v>5000</v>
      </c>
      <c r="J35" s="37">
        <v>10000</v>
      </c>
      <c r="K35" s="37">
        <f t="shared" si="24"/>
        <v>600</v>
      </c>
      <c r="L35" s="36">
        <f t="shared" si="25"/>
        <v>800</v>
      </c>
      <c r="M35" s="36">
        <f t="shared" si="26"/>
        <v>41.25</v>
      </c>
      <c r="N35" s="38">
        <f>+D35+G35+H35+I35+J35+K35+L35+M35</f>
        <v>85191.25</v>
      </c>
      <c r="O35" s="39" t="s">
        <v>45</v>
      </c>
    </row>
    <row r="36" spans="1:19" x14ac:dyDescent="0.25">
      <c r="A36" s="1">
        <f t="shared" si="8"/>
        <v>24</v>
      </c>
      <c r="B36" s="1">
        <v>4</v>
      </c>
      <c r="C36" s="40" t="s">
        <v>48</v>
      </c>
      <c r="D36" s="34">
        <v>50000</v>
      </c>
      <c r="E36" s="35">
        <v>36</v>
      </c>
      <c r="F36" s="35"/>
      <c r="G36" s="34">
        <f t="shared" si="22"/>
        <v>14062.5</v>
      </c>
      <c r="H36" s="34">
        <f t="shared" si="28"/>
        <v>0</v>
      </c>
      <c r="I36" s="36">
        <f>D36*$I$5</f>
        <v>5000</v>
      </c>
      <c r="J36" s="37">
        <v>10000</v>
      </c>
      <c r="K36" s="37">
        <f t="shared" si="24"/>
        <v>600</v>
      </c>
      <c r="L36" s="36">
        <f t="shared" si="25"/>
        <v>800</v>
      </c>
      <c r="M36" s="36">
        <f t="shared" si="26"/>
        <v>41.25</v>
      </c>
      <c r="N36" s="38">
        <f>+D36+G36+H36+I36+J36+K36+L36+M36</f>
        <v>80503.75</v>
      </c>
      <c r="O36" s="39" t="s">
        <v>45</v>
      </c>
    </row>
    <row r="37" spans="1:19" x14ac:dyDescent="0.25">
      <c r="A37" s="1">
        <f t="shared" si="8"/>
        <v>25</v>
      </c>
      <c r="B37" s="1">
        <v>5</v>
      </c>
      <c r="C37" s="40" t="s">
        <v>49</v>
      </c>
      <c r="D37" s="34">
        <v>50000</v>
      </c>
      <c r="E37" s="35">
        <v>48</v>
      </c>
      <c r="F37" s="35"/>
      <c r="G37" s="34">
        <f t="shared" si="22"/>
        <v>18750</v>
      </c>
      <c r="H37" s="34">
        <f t="shared" si="28"/>
        <v>0</v>
      </c>
      <c r="I37" s="36">
        <f t="shared" si="23"/>
        <v>5000</v>
      </c>
      <c r="J37" s="37">
        <v>10000</v>
      </c>
      <c r="K37" s="37">
        <f t="shared" si="24"/>
        <v>600</v>
      </c>
      <c r="L37" s="36">
        <f t="shared" si="25"/>
        <v>800</v>
      </c>
      <c r="M37" s="36">
        <f t="shared" si="26"/>
        <v>41.25</v>
      </c>
      <c r="N37" s="38">
        <f t="shared" si="27"/>
        <v>85191.25</v>
      </c>
      <c r="O37" s="39" t="s">
        <v>45</v>
      </c>
    </row>
    <row r="38" spans="1:19" x14ac:dyDescent="0.25">
      <c r="A38" s="1">
        <f t="shared" si="8"/>
        <v>26</v>
      </c>
      <c r="B38" s="1">
        <v>6</v>
      </c>
      <c r="C38" s="40" t="s">
        <v>50</v>
      </c>
      <c r="D38" s="34">
        <v>50000</v>
      </c>
      <c r="E38" s="35">
        <v>60</v>
      </c>
      <c r="F38" s="35"/>
      <c r="G38" s="34">
        <f t="shared" si="22"/>
        <v>23437.5</v>
      </c>
      <c r="H38" s="34">
        <f t="shared" si="28"/>
        <v>0</v>
      </c>
      <c r="I38" s="36">
        <f t="shared" si="23"/>
        <v>5000</v>
      </c>
      <c r="J38" s="37">
        <v>10000</v>
      </c>
      <c r="K38" s="37">
        <f t="shared" si="24"/>
        <v>600</v>
      </c>
      <c r="L38" s="36">
        <f t="shared" si="25"/>
        <v>800</v>
      </c>
      <c r="M38" s="36">
        <f t="shared" si="26"/>
        <v>41.25</v>
      </c>
      <c r="N38" s="38">
        <f t="shared" si="27"/>
        <v>89878.75</v>
      </c>
      <c r="O38" s="39" t="s">
        <v>45</v>
      </c>
    </row>
    <row r="39" spans="1:19" x14ac:dyDescent="0.25">
      <c r="A39" s="1">
        <f t="shared" si="8"/>
        <v>27</v>
      </c>
      <c r="B39" s="1">
        <f>1+B38</f>
        <v>7</v>
      </c>
      <c r="C39" s="40" t="s">
        <v>51</v>
      </c>
      <c r="D39" s="34">
        <v>50000</v>
      </c>
      <c r="E39" s="35"/>
      <c r="F39" s="35"/>
      <c r="G39" s="34">
        <f t="shared" si="22"/>
        <v>0</v>
      </c>
      <c r="H39" s="34">
        <f t="shared" si="28"/>
        <v>0</v>
      </c>
      <c r="I39" s="36">
        <f t="shared" si="23"/>
        <v>5000</v>
      </c>
      <c r="J39" s="37">
        <v>10000</v>
      </c>
      <c r="K39" s="37">
        <f t="shared" si="24"/>
        <v>600</v>
      </c>
      <c r="L39" s="36">
        <f t="shared" si="25"/>
        <v>800</v>
      </c>
      <c r="M39" s="36">
        <f t="shared" si="26"/>
        <v>41.25</v>
      </c>
      <c r="N39" s="38">
        <f t="shared" si="27"/>
        <v>66441.25</v>
      </c>
      <c r="O39" s="39" t="s">
        <v>45</v>
      </c>
    </row>
    <row r="40" spans="1:19" x14ac:dyDescent="0.25">
      <c r="C40" s="52" t="s">
        <v>33</v>
      </c>
      <c r="D40" s="45">
        <f>SUM(D33:D39)</f>
        <v>377910</v>
      </c>
      <c r="E40" s="49"/>
      <c r="F40" s="45"/>
      <c r="G40" s="45">
        <f t="shared" ref="G40:L40" si="29">SUM(G33:G39)</f>
        <v>102271.40625</v>
      </c>
      <c r="H40" s="45">
        <f t="shared" si="29"/>
        <v>0</v>
      </c>
      <c r="I40" s="45">
        <f t="shared" si="29"/>
        <v>37791</v>
      </c>
      <c r="J40" s="45">
        <f t="shared" si="29"/>
        <v>83000</v>
      </c>
      <c r="K40" s="45">
        <f t="shared" si="29"/>
        <v>4534.92</v>
      </c>
      <c r="L40" s="45">
        <f t="shared" si="29"/>
        <v>6046.5599999999995</v>
      </c>
      <c r="M40" s="45">
        <f>SUM(M33:M39)</f>
        <v>311.77575000000002</v>
      </c>
      <c r="N40" s="45">
        <f>SUM(N33:N39)</f>
        <v>611865.66200000001</v>
      </c>
      <c r="O40" s="39"/>
    </row>
    <row r="41" spans="1:19" x14ac:dyDescent="0.25">
      <c r="C41" s="40"/>
      <c r="D41" s="34"/>
      <c r="E41" s="35"/>
      <c r="F41" s="35"/>
      <c r="G41" s="36"/>
      <c r="H41" s="36"/>
      <c r="I41" s="36"/>
      <c r="J41" s="37"/>
      <c r="K41" s="40"/>
      <c r="L41" s="36"/>
      <c r="M41" s="36"/>
      <c r="N41" s="38"/>
      <c r="O41" s="39"/>
    </row>
    <row r="42" spans="1:19" s="47" customFormat="1" x14ac:dyDescent="0.25">
      <c r="A42" s="1">
        <f>1+A39</f>
        <v>28</v>
      </c>
      <c r="B42" s="47">
        <v>1</v>
      </c>
      <c r="C42" s="41" t="s">
        <v>52</v>
      </c>
      <c r="D42" s="34">
        <v>50000</v>
      </c>
      <c r="E42" s="172">
        <v>21</v>
      </c>
      <c r="F42" s="122"/>
      <c r="G42" s="34">
        <f>D42/192*1.5*E43</f>
        <v>8398.4375</v>
      </c>
      <c r="H42" s="34">
        <f>D42/192*2*F43</f>
        <v>0</v>
      </c>
      <c r="I42" s="36">
        <f>D42*$I$5</f>
        <v>5000</v>
      </c>
      <c r="J42" s="44">
        <f>18000+5000</f>
        <v>23000</v>
      </c>
      <c r="K42" s="37">
        <f t="shared" ref="K42:K44" si="30">D42*$K$5</f>
        <v>600</v>
      </c>
      <c r="L42" s="36">
        <f t="shared" ref="L42:L44" si="31">D42*$L$5</f>
        <v>800</v>
      </c>
      <c r="M42" s="36">
        <f t="shared" ref="M42:M44" si="32">(D42*0.5%)*16.5%</f>
        <v>41.25</v>
      </c>
      <c r="N42" s="38">
        <f t="shared" si="27"/>
        <v>87839.6875</v>
      </c>
      <c r="O42" s="46" t="s">
        <v>53</v>
      </c>
      <c r="S42" s="57"/>
    </row>
    <row r="43" spans="1:19" s="47" customFormat="1" x14ac:dyDescent="0.25">
      <c r="A43" s="1">
        <f t="shared" ref="A43:A55" si="33">1+A42</f>
        <v>29</v>
      </c>
      <c r="B43" s="47">
        <v>2</v>
      </c>
      <c r="C43" s="41" t="s">
        <v>54</v>
      </c>
      <c r="D43" s="34">
        <v>50000</v>
      </c>
      <c r="E43" s="146">
        <v>21.5</v>
      </c>
      <c r="F43" s="35"/>
      <c r="G43" s="34">
        <f>D43/192*1.5*E43</f>
        <v>8398.4375</v>
      </c>
      <c r="H43" s="34">
        <f>D43/192*2*F43</f>
        <v>0</v>
      </c>
      <c r="I43" s="36">
        <f>D43*$I$5</f>
        <v>5000</v>
      </c>
      <c r="J43" s="44">
        <f>18000+5000</f>
        <v>23000</v>
      </c>
      <c r="K43" s="37">
        <f t="shared" si="30"/>
        <v>600</v>
      </c>
      <c r="L43" s="36">
        <f t="shared" si="31"/>
        <v>800</v>
      </c>
      <c r="M43" s="36">
        <f t="shared" si="32"/>
        <v>41.25</v>
      </c>
      <c r="N43" s="38">
        <f t="shared" si="27"/>
        <v>87839.6875</v>
      </c>
      <c r="O43" s="46" t="s">
        <v>53</v>
      </c>
    </row>
    <row r="44" spans="1:19" s="47" customFormat="1" x14ac:dyDescent="0.25">
      <c r="A44" s="1">
        <f t="shared" si="33"/>
        <v>30</v>
      </c>
      <c r="B44" s="47">
        <v>3</v>
      </c>
      <c r="C44" s="41" t="s">
        <v>55</v>
      </c>
      <c r="D44" s="34">
        <v>56317.8</v>
      </c>
      <c r="E44" s="146">
        <v>22</v>
      </c>
      <c r="F44" s="35"/>
      <c r="G44" s="34">
        <f>D44/192*1.5*E44</f>
        <v>9679.6218750000007</v>
      </c>
      <c r="H44" s="34">
        <f>D44/192*2*F44</f>
        <v>0</v>
      </c>
      <c r="I44" s="36">
        <f>D44*$I$5</f>
        <v>5631.7800000000007</v>
      </c>
      <c r="J44" s="44">
        <f>18000+5000</f>
        <v>23000</v>
      </c>
      <c r="K44" s="37">
        <f t="shared" si="30"/>
        <v>675.81360000000006</v>
      </c>
      <c r="L44" s="36">
        <f t="shared" si="31"/>
        <v>901.08480000000009</v>
      </c>
      <c r="M44" s="36">
        <f t="shared" si="32"/>
        <v>46.462185000000005</v>
      </c>
      <c r="N44" s="38">
        <f t="shared" si="27"/>
        <v>96252.562459999986</v>
      </c>
      <c r="O44" s="46" t="s">
        <v>53</v>
      </c>
    </row>
    <row r="45" spans="1:19" s="22" customFormat="1" x14ac:dyDescent="0.25">
      <c r="A45" s="1">
        <f t="shared" si="33"/>
        <v>31</v>
      </c>
      <c r="C45" s="52"/>
      <c r="D45" s="53">
        <f>SUM(D42:D44)</f>
        <v>156317.79999999999</v>
      </c>
      <c r="E45" s="58"/>
      <c r="F45" s="53"/>
      <c r="G45" s="53">
        <f t="shared" ref="G45:N45" si="34">SUM(G42:G44)</f>
        <v>26476.496875000001</v>
      </c>
      <c r="H45" s="53">
        <f t="shared" si="34"/>
        <v>0</v>
      </c>
      <c r="I45" s="53">
        <f t="shared" si="34"/>
        <v>15631.78</v>
      </c>
      <c r="J45" s="53">
        <f t="shared" si="34"/>
        <v>69000</v>
      </c>
      <c r="K45" s="53">
        <f t="shared" si="34"/>
        <v>1875.8136</v>
      </c>
      <c r="L45" s="53">
        <f t="shared" si="34"/>
        <v>2501.0848000000001</v>
      </c>
      <c r="M45" s="53">
        <f t="shared" si="34"/>
        <v>128.96218500000001</v>
      </c>
      <c r="N45" s="53">
        <f t="shared" si="34"/>
        <v>271931.93745999999</v>
      </c>
      <c r="O45" s="59"/>
    </row>
    <row r="46" spans="1:19" x14ac:dyDescent="0.25">
      <c r="A46" s="1">
        <f t="shared" si="33"/>
        <v>32</v>
      </c>
      <c r="C46" s="40"/>
      <c r="D46" s="34"/>
      <c r="E46" s="35"/>
      <c r="F46" s="35"/>
      <c r="G46" s="36"/>
      <c r="H46" s="36"/>
      <c r="I46" s="36"/>
      <c r="J46" s="37"/>
      <c r="K46" s="40"/>
      <c r="L46" s="36"/>
      <c r="M46" s="36"/>
      <c r="N46" s="38"/>
      <c r="O46" s="39"/>
    </row>
    <row r="47" spans="1:19" x14ac:dyDescent="0.25">
      <c r="A47" s="1">
        <f t="shared" si="33"/>
        <v>33</v>
      </c>
      <c r="B47" s="1">
        <v>1</v>
      </c>
      <c r="C47" s="40" t="s">
        <v>56</v>
      </c>
      <c r="D47" s="34">
        <v>50000</v>
      </c>
      <c r="E47" s="35"/>
      <c r="F47" s="35"/>
      <c r="G47" s="34">
        <f>D47/192*1.5*E47</f>
        <v>0</v>
      </c>
      <c r="H47" s="34">
        <f>D47/192*2*F47</f>
        <v>0</v>
      </c>
      <c r="I47" s="36">
        <f>D47*$I$5</f>
        <v>5000</v>
      </c>
      <c r="J47" s="37">
        <f>18000+5000</f>
        <v>23000</v>
      </c>
      <c r="K47" s="37">
        <f t="shared" ref="K47:K48" si="35">D47*$K$5</f>
        <v>600</v>
      </c>
      <c r="L47" s="36">
        <f t="shared" ref="L47:L48" si="36">D47*$L$5</f>
        <v>800</v>
      </c>
      <c r="M47" s="36">
        <f t="shared" ref="M47:M48" si="37">(D47*0.5%)*16.5%</f>
        <v>41.25</v>
      </c>
      <c r="N47" s="38">
        <f>+D47+G47+H47+I47+J47+K47+L47+M47</f>
        <v>79441.25</v>
      </c>
      <c r="O47" s="39" t="s">
        <v>57</v>
      </c>
    </row>
    <row r="48" spans="1:19" x14ac:dyDescent="0.25">
      <c r="A48" s="1">
        <f t="shared" si="33"/>
        <v>34</v>
      </c>
      <c r="B48" s="1">
        <f>1+B33</f>
        <v>2</v>
      </c>
      <c r="C48" s="40" t="s">
        <v>58</v>
      </c>
      <c r="D48" s="34">
        <v>50000</v>
      </c>
      <c r="E48" s="35"/>
      <c r="F48" s="35"/>
      <c r="G48" s="34">
        <f>D48/192*1.5*E48</f>
        <v>0</v>
      </c>
      <c r="H48" s="34">
        <f>D48/192*2*F48</f>
        <v>0</v>
      </c>
      <c r="I48" s="36">
        <f>D48*$I$5</f>
        <v>5000</v>
      </c>
      <c r="J48" s="37">
        <f>18000+5000</f>
        <v>23000</v>
      </c>
      <c r="K48" s="37">
        <f t="shared" si="35"/>
        <v>600</v>
      </c>
      <c r="L48" s="36">
        <f t="shared" si="36"/>
        <v>800</v>
      </c>
      <c r="M48" s="36">
        <f t="shared" si="37"/>
        <v>41.25</v>
      </c>
      <c r="N48" s="38">
        <f>+D48+G48+H48+I48+J48+K48+L48+M48</f>
        <v>79441.25</v>
      </c>
      <c r="O48" s="39" t="s">
        <v>57</v>
      </c>
    </row>
    <row r="49" spans="1:15" x14ac:dyDescent="0.25">
      <c r="C49" s="52" t="s">
        <v>33</v>
      </c>
      <c r="D49" s="45">
        <f t="shared" ref="D49:N49" si="38">SUM(D47:D48)</f>
        <v>100000</v>
      </c>
      <c r="E49" s="49"/>
      <c r="F49" s="45"/>
      <c r="G49" s="45">
        <f t="shared" si="38"/>
        <v>0</v>
      </c>
      <c r="H49" s="45">
        <f t="shared" si="38"/>
        <v>0</v>
      </c>
      <c r="I49" s="45">
        <f t="shared" si="38"/>
        <v>10000</v>
      </c>
      <c r="J49" s="45">
        <f t="shared" si="38"/>
        <v>46000</v>
      </c>
      <c r="K49" s="45">
        <f t="shared" si="38"/>
        <v>1200</v>
      </c>
      <c r="L49" s="45">
        <f t="shared" si="38"/>
        <v>1600</v>
      </c>
      <c r="M49" s="45">
        <f t="shared" si="38"/>
        <v>82.5</v>
      </c>
      <c r="N49" s="38">
        <f t="shared" si="38"/>
        <v>158882.5</v>
      </c>
      <c r="O49" s="39"/>
    </row>
    <row r="50" spans="1:15" x14ac:dyDescent="0.25">
      <c r="A50" s="40">
        <v>36</v>
      </c>
      <c r="B50" s="40"/>
      <c r="C50" s="40"/>
      <c r="D50" s="41"/>
      <c r="E50" s="35"/>
      <c r="F50" s="35"/>
      <c r="G50" s="40"/>
      <c r="H50" s="34"/>
      <c r="I50" s="40"/>
      <c r="J50" s="37"/>
      <c r="K50" s="40"/>
      <c r="L50" s="40"/>
      <c r="M50" s="36"/>
      <c r="N50" s="38"/>
      <c r="O50" s="39"/>
    </row>
    <row r="51" spans="1:15" x14ac:dyDescent="0.25">
      <c r="A51" s="40">
        <f>1+A48</f>
        <v>35</v>
      </c>
      <c r="B51" s="40">
        <v>1</v>
      </c>
      <c r="C51" s="40" t="s">
        <v>59</v>
      </c>
      <c r="D51" s="34">
        <v>115500</v>
      </c>
      <c r="E51" s="35"/>
      <c r="F51" s="35"/>
      <c r="G51" s="34">
        <f>D51/192*1.5*E51</f>
        <v>0</v>
      </c>
      <c r="H51" s="34">
        <f>D51/192*2*F51</f>
        <v>0</v>
      </c>
      <c r="I51" s="36">
        <f>D51*$I$5</f>
        <v>11550</v>
      </c>
      <c r="J51" s="37">
        <f>18000+17000</f>
        <v>35000</v>
      </c>
      <c r="K51" s="37">
        <f t="shared" ref="K51:K55" si="39">D51*$K$5</f>
        <v>1386</v>
      </c>
      <c r="L51" s="36">
        <f t="shared" ref="L51:L55" si="40">D51*$L$5</f>
        <v>1848</v>
      </c>
      <c r="M51" s="36">
        <f t="shared" ref="M51:M55" si="41">(D51*0.5%)*16.5%</f>
        <v>95.287500000000009</v>
      </c>
      <c r="N51" s="38">
        <f t="shared" ref="N51:N56" si="42">+D51+G51+H51+I51+J51+K51+L51+M51</f>
        <v>165379.28750000001</v>
      </c>
      <c r="O51" s="39" t="s">
        <v>60</v>
      </c>
    </row>
    <row r="52" spans="1:15" s="65" customFormat="1" x14ac:dyDescent="0.25">
      <c r="A52" s="60">
        <v>36</v>
      </c>
      <c r="B52" s="60">
        <v>2</v>
      </c>
      <c r="C52" s="60" t="s">
        <v>61</v>
      </c>
      <c r="D52" s="61">
        <v>210000</v>
      </c>
      <c r="E52" s="62"/>
      <c r="F52" s="62"/>
      <c r="G52" s="61">
        <f>D52/192*1.5*E52</f>
        <v>0</v>
      </c>
      <c r="H52" s="61">
        <f>D52/192*2*F52</f>
        <v>0</v>
      </c>
      <c r="I52" s="61">
        <f>D52*$I$5</f>
        <v>21000</v>
      </c>
      <c r="J52" s="63">
        <f>36000+18000</f>
        <v>54000</v>
      </c>
      <c r="K52" s="37">
        <f t="shared" si="39"/>
        <v>2520</v>
      </c>
      <c r="L52" s="36">
        <f t="shared" si="40"/>
        <v>3360</v>
      </c>
      <c r="M52" s="36">
        <f t="shared" si="41"/>
        <v>173.25</v>
      </c>
      <c r="N52" s="64">
        <f t="shared" si="42"/>
        <v>291053.25</v>
      </c>
      <c r="O52" s="39" t="s">
        <v>60</v>
      </c>
    </row>
    <row r="53" spans="1:15" x14ac:dyDescent="0.25">
      <c r="A53" s="40">
        <f>1+A52</f>
        <v>37</v>
      </c>
      <c r="B53" s="40">
        <v>3</v>
      </c>
      <c r="C53" s="40" t="s">
        <v>62</v>
      </c>
      <c r="D53" s="34">
        <v>50000</v>
      </c>
      <c r="E53" s="35"/>
      <c r="F53" s="35"/>
      <c r="G53" s="34">
        <f>D53/192*1.5*E53</f>
        <v>0</v>
      </c>
      <c r="H53" s="34">
        <f>D53/192*2*F53</f>
        <v>0</v>
      </c>
      <c r="I53" s="36">
        <f>D53*$I$5</f>
        <v>5000</v>
      </c>
      <c r="J53" s="37">
        <v>0</v>
      </c>
      <c r="K53" s="37">
        <f t="shared" si="39"/>
        <v>600</v>
      </c>
      <c r="L53" s="36">
        <f t="shared" si="40"/>
        <v>800</v>
      </c>
      <c r="M53" s="36">
        <f t="shared" si="41"/>
        <v>41.25</v>
      </c>
      <c r="N53" s="38">
        <f t="shared" si="42"/>
        <v>56441.25</v>
      </c>
      <c r="O53" s="39" t="s">
        <v>60</v>
      </c>
    </row>
    <row r="54" spans="1:15" x14ac:dyDescent="0.25">
      <c r="A54" s="40">
        <f t="shared" si="33"/>
        <v>38</v>
      </c>
      <c r="B54" s="40">
        <v>4</v>
      </c>
      <c r="C54" s="40" t="s">
        <v>63</v>
      </c>
      <c r="D54" s="34">
        <v>55093.5</v>
      </c>
      <c r="E54" s="35"/>
      <c r="F54" s="35"/>
      <c r="G54" s="34">
        <f>D54/192*1.5*E54</f>
        <v>0</v>
      </c>
      <c r="H54" s="34">
        <f>D54/192*2*F54</f>
        <v>0</v>
      </c>
      <c r="I54" s="36">
        <f>D54*$I$5</f>
        <v>5509.35</v>
      </c>
      <c r="J54" s="37">
        <f>18000+5000</f>
        <v>23000</v>
      </c>
      <c r="K54" s="37">
        <f t="shared" si="39"/>
        <v>661.12199999999996</v>
      </c>
      <c r="L54" s="36">
        <f t="shared" si="40"/>
        <v>881.49599999999998</v>
      </c>
      <c r="M54" s="36">
        <f t="shared" si="41"/>
        <v>45.452137500000006</v>
      </c>
      <c r="N54" s="38">
        <f t="shared" si="42"/>
        <v>85190.920137500012</v>
      </c>
      <c r="O54" s="39" t="s">
        <v>60</v>
      </c>
    </row>
    <row r="55" spans="1:15" x14ac:dyDescent="0.25">
      <c r="A55" s="40">
        <f t="shared" si="33"/>
        <v>39</v>
      </c>
      <c r="B55" s="40">
        <v>5</v>
      </c>
      <c r="C55" s="40" t="s">
        <v>64</v>
      </c>
      <c r="D55" s="34">
        <v>50000</v>
      </c>
      <c r="E55" s="35"/>
      <c r="F55" s="35"/>
      <c r="G55" s="34">
        <f>D55/192*1.5*E55</f>
        <v>0</v>
      </c>
      <c r="H55" s="34">
        <f>D55/192*2*F55</f>
        <v>0</v>
      </c>
      <c r="I55" s="36">
        <f>D55*$I$5</f>
        <v>5000</v>
      </c>
      <c r="J55" s="37">
        <v>18000</v>
      </c>
      <c r="K55" s="37">
        <f t="shared" si="39"/>
        <v>600</v>
      </c>
      <c r="L55" s="36">
        <f t="shared" si="40"/>
        <v>800</v>
      </c>
      <c r="M55" s="36">
        <f t="shared" si="41"/>
        <v>41.25</v>
      </c>
      <c r="N55" s="38">
        <f t="shared" si="42"/>
        <v>74441.25</v>
      </c>
      <c r="O55" s="39" t="s">
        <v>60</v>
      </c>
    </row>
    <row r="56" spans="1:15" x14ac:dyDescent="0.25">
      <c r="C56" s="52" t="s">
        <v>33</v>
      </c>
      <c r="D56" s="45">
        <f>SUM(D51:D55)</f>
        <v>480593.5</v>
      </c>
      <c r="E56" s="49"/>
      <c r="F56" s="45"/>
      <c r="G56" s="45">
        <f t="shared" ref="G56:M56" si="43">SUM(G51:G55)</f>
        <v>0</v>
      </c>
      <c r="H56" s="45">
        <f t="shared" si="43"/>
        <v>0</v>
      </c>
      <c r="I56" s="45">
        <f t="shared" si="43"/>
        <v>48059.35</v>
      </c>
      <c r="J56" s="45">
        <f t="shared" si="43"/>
        <v>130000</v>
      </c>
      <c r="K56" s="45">
        <f t="shared" si="43"/>
        <v>5767.1220000000003</v>
      </c>
      <c r="L56" s="45">
        <f t="shared" si="43"/>
        <v>7689.4960000000001</v>
      </c>
      <c r="M56" s="45">
        <f t="shared" si="43"/>
        <v>396.48963750000001</v>
      </c>
      <c r="N56" s="38">
        <f t="shared" si="42"/>
        <v>672505.95763750002</v>
      </c>
      <c r="O56" s="39"/>
    </row>
    <row r="57" spans="1:15" s="66" customFormat="1" x14ac:dyDescent="0.25">
      <c r="A57" s="1"/>
      <c r="C57" s="67"/>
      <c r="D57" s="68"/>
      <c r="E57" s="69"/>
      <c r="F57" s="69"/>
      <c r="G57" s="68"/>
      <c r="H57" s="68"/>
      <c r="I57" s="68"/>
      <c r="J57" s="70"/>
      <c r="K57" s="67"/>
      <c r="L57" s="68"/>
      <c r="M57" s="68"/>
      <c r="N57" s="71"/>
      <c r="O57" s="72"/>
    </row>
    <row r="58" spans="1:15" x14ac:dyDescent="0.25">
      <c r="A58" s="1">
        <f>1+A55</f>
        <v>40</v>
      </c>
      <c r="B58" s="1">
        <v>1</v>
      </c>
      <c r="C58" s="33" t="s">
        <v>65</v>
      </c>
      <c r="D58" s="34">
        <v>160000</v>
      </c>
      <c r="E58" s="35"/>
      <c r="F58" s="35">
        <v>26</v>
      </c>
      <c r="G58" s="34">
        <f t="shared" ref="G58:G70" si="44">D58/192*1.5*E58</f>
        <v>0</v>
      </c>
      <c r="H58" s="34">
        <f>D58/192*2*F58</f>
        <v>43333.333333333336</v>
      </c>
      <c r="I58" s="36">
        <f t="shared" ref="I58:I70" si="45">D58*$I$5</f>
        <v>16000</v>
      </c>
      <c r="J58" s="37">
        <f>18000+5000+5000+5000+5000+5000</f>
        <v>43000</v>
      </c>
      <c r="K58" s="37">
        <f t="shared" ref="K58:K70" si="46">D58*$K$5</f>
        <v>1920</v>
      </c>
      <c r="L58" s="36">
        <f t="shared" ref="L58:L70" si="47">D58*$L$5</f>
        <v>2560</v>
      </c>
      <c r="M58" s="36">
        <f t="shared" ref="M58:M70" si="48">(D58*0.5%)*16.5%</f>
        <v>132</v>
      </c>
      <c r="N58" s="38">
        <f t="shared" ref="N58:N76" si="49">+D58+G58+H58+I58+J58+K58+L58+M58</f>
        <v>266945.33333333337</v>
      </c>
      <c r="O58" s="39" t="s">
        <v>66</v>
      </c>
    </row>
    <row r="59" spans="1:15" x14ac:dyDescent="0.25">
      <c r="A59" s="1">
        <f t="shared" ref="A59:B70" si="50">1+A58</f>
        <v>41</v>
      </c>
      <c r="B59" s="1">
        <f>1+B58</f>
        <v>2</v>
      </c>
      <c r="C59" s="40" t="s">
        <v>67</v>
      </c>
      <c r="D59" s="34">
        <v>120000</v>
      </c>
      <c r="E59" s="35"/>
      <c r="F59" s="35">
        <v>26</v>
      </c>
      <c r="G59" s="34">
        <f t="shared" si="44"/>
        <v>0</v>
      </c>
      <c r="H59" s="34">
        <f t="shared" ref="H59:H70" si="51">D59/192*2*F59</f>
        <v>32500</v>
      </c>
      <c r="I59" s="36">
        <f t="shared" si="45"/>
        <v>12000</v>
      </c>
      <c r="J59" s="37">
        <f>5000+5000+5000+5000</f>
        <v>20000</v>
      </c>
      <c r="K59" s="37">
        <f t="shared" si="46"/>
        <v>1440</v>
      </c>
      <c r="L59" s="36">
        <f t="shared" si="47"/>
        <v>1920</v>
      </c>
      <c r="M59" s="36">
        <f t="shared" si="48"/>
        <v>99</v>
      </c>
      <c r="N59" s="38">
        <f t="shared" si="49"/>
        <v>187959</v>
      </c>
      <c r="O59" s="39" t="s">
        <v>66</v>
      </c>
    </row>
    <row r="60" spans="1:15" x14ac:dyDescent="0.25">
      <c r="A60" s="1">
        <f t="shared" si="50"/>
        <v>42</v>
      </c>
      <c r="B60" s="1">
        <f t="shared" si="50"/>
        <v>3</v>
      </c>
      <c r="C60" s="40" t="s">
        <v>68</v>
      </c>
      <c r="D60" s="34">
        <v>70000</v>
      </c>
      <c r="E60" s="35"/>
      <c r="F60" s="35">
        <v>26</v>
      </c>
      <c r="G60" s="34">
        <f t="shared" si="44"/>
        <v>0</v>
      </c>
      <c r="H60" s="34">
        <f t="shared" si="51"/>
        <v>18958.333333333332</v>
      </c>
      <c r="I60" s="36">
        <f t="shared" si="45"/>
        <v>7000</v>
      </c>
      <c r="J60" s="37">
        <v>10000</v>
      </c>
      <c r="K60" s="37">
        <f t="shared" si="46"/>
        <v>840</v>
      </c>
      <c r="L60" s="36">
        <f t="shared" si="47"/>
        <v>1120</v>
      </c>
      <c r="M60" s="36">
        <f t="shared" si="48"/>
        <v>57.75</v>
      </c>
      <c r="N60" s="38">
        <f t="shared" si="49"/>
        <v>107976.08333333333</v>
      </c>
      <c r="O60" s="39" t="s">
        <v>66</v>
      </c>
    </row>
    <row r="61" spans="1:15" x14ac:dyDescent="0.25">
      <c r="A61" s="1">
        <f t="shared" si="50"/>
        <v>43</v>
      </c>
      <c r="B61" s="1">
        <f t="shared" si="50"/>
        <v>4</v>
      </c>
      <c r="C61" s="40" t="s">
        <v>69</v>
      </c>
      <c r="D61" s="34">
        <v>70000</v>
      </c>
      <c r="E61" s="35"/>
      <c r="F61" s="35"/>
      <c r="G61" s="34">
        <f t="shared" si="44"/>
        <v>0</v>
      </c>
      <c r="H61" s="34">
        <f t="shared" si="51"/>
        <v>0</v>
      </c>
      <c r="I61" s="36">
        <f t="shared" si="45"/>
        <v>7000</v>
      </c>
      <c r="J61" s="37">
        <v>10000</v>
      </c>
      <c r="K61" s="37">
        <f t="shared" si="46"/>
        <v>840</v>
      </c>
      <c r="L61" s="36">
        <f t="shared" si="47"/>
        <v>1120</v>
      </c>
      <c r="M61" s="36">
        <f t="shared" si="48"/>
        <v>57.75</v>
      </c>
      <c r="N61" s="38">
        <f t="shared" si="49"/>
        <v>89017.75</v>
      </c>
      <c r="O61" s="39" t="s">
        <v>66</v>
      </c>
    </row>
    <row r="62" spans="1:15" x14ac:dyDescent="0.25">
      <c r="A62" s="1">
        <f t="shared" si="50"/>
        <v>44</v>
      </c>
      <c r="B62" s="1">
        <f t="shared" si="50"/>
        <v>5</v>
      </c>
      <c r="C62" s="40" t="s">
        <v>70</v>
      </c>
      <c r="D62" s="34">
        <v>70000</v>
      </c>
      <c r="E62" s="35"/>
      <c r="F62" s="35">
        <v>26</v>
      </c>
      <c r="G62" s="34">
        <v>0</v>
      </c>
      <c r="H62" s="34">
        <f t="shared" si="51"/>
        <v>18958.333333333332</v>
      </c>
      <c r="I62" s="36">
        <f t="shared" si="45"/>
        <v>7000</v>
      </c>
      <c r="J62" s="37">
        <v>5000</v>
      </c>
      <c r="K62" s="37">
        <f t="shared" si="46"/>
        <v>840</v>
      </c>
      <c r="L62" s="36">
        <f t="shared" si="47"/>
        <v>1120</v>
      </c>
      <c r="M62" s="36">
        <f t="shared" si="48"/>
        <v>57.75</v>
      </c>
      <c r="N62" s="38">
        <f t="shared" si="49"/>
        <v>102976.08333333333</v>
      </c>
      <c r="O62" s="39" t="s">
        <v>66</v>
      </c>
    </row>
    <row r="63" spans="1:15" x14ac:dyDescent="0.25">
      <c r="A63" s="1">
        <f t="shared" si="50"/>
        <v>45</v>
      </c>
      <c r="B63" s="1">
        <f t="shared" si="50"/>
        <v>6</v>
      </c>
      <c r="C63" s="40" t="s">
        <v>71</v>
      </c>
      <c r="D63" s="34">
        <v>70000</v>
      </c>
      <c r="E63" s="35"/>
      <c r="F63" s="35"/>
      <c r="G63" s="34">
        <f t="shared" si="44"/>
        <v>0</v>
      </c>
      <c r="H63" s="34">
        <f t="shared" si="51"/>
        <v>0</v>
      </c>
      <c r="I63" s="36">
        <f t="shared" si="45"/>
        <v>7000</v>
      </c>
      <c r="J63" s="37">
        <v>10000</v>
      </c>
      <c r="K63" s="37">
        <f t="shared" si="46"/>
        <v>840</v>
      </c>
      <c r="L63" s="36">
        <f t="shared" si="47"/>
        <v>1120</v>
      </c>
      <c r="M63" s="36">
        <f t="shared" si="48"/>
        <v>57.75</v>
      </c>
      <c r="N63" s="38">
        <f t="shared" si="49"/>
        <v>89017.75</v>
      </c>
      <c r="O63" s="39" t="s">
        <v>66</v>
      </c>
    </row>
    <row r="64" spans="1:15" x14ac:dyDescent="0.25">
      <c r="A64" s="1">
        <f t="shared" si="50"/>
        <v>46</v>
      </c>
      <c r="B64" s="1">
        <f t="shared" si="50"/>
        <v>7</v>
      </c>
      <c r="C64" s="40" t="s">
        <v>72</v>
      </c>
      <c r="D64" s="34">
        <v>70000</v>
      </c>
      <c r="E64" s="35"/>
      <c r="F64" s="35">
        <v>26</v>
      </c>
      <c r="G64" s="34">
        <f t="shared" si="44"/>
        <v>0</v>
      </c>
      <c r="H64" s="34">
        <f t="shared" si="51"/>
        <v>18958.333333333332</v>
      </c>
      <c r="I64" s="36">
        <f t="shared" si="45"/>
        <v>7000</v>
      </c>
      <c r="J64" s="37">
        <v>10000</v>
      </c>
      <c r="K64" s="37">
        <f t="shared" si="46"/>
        <v>840</v>
      </c>
      <c r="L64" s="36">
        <f t="shared" si="47"/>
        <v>1120</v>
      </c>
      <c r="M64" s="36">
        <f t="shared" si="48"/>
        <v>57.75</v>
      </c>
      <c r="N64" s="38">
        <f t="shared" si="49"/>
        <v>107976.08333333333</v>
      </c>
      <c r="O64" s="39" t="s">
        <v>66</v>
      </c>
    </row>
    <row r="65" spans="1:24" x14ac:dyDescent="0.25">
      <c r="A65" s="1">
        <f t="shared" si="50"/>
        <v>47</v>
      </c>
      <c r="B65" s="1">
        <v>8</v>
      </c>
      <c r="C65" s="40" t="s">
        <v>151</v>
      </c>
      <c r="D65" s="34">
        <v>70000</v>
      </c>
      <c r="E65" s="35"/>
      <c r="F65" s="35">
        <v>13</v>
      </c>
      <c r="G65" s="34">
        <f t="shared" si="44"/>
        <v>0</v>
      </c>
      <c r="H65" s="34">
        <f t="shared" si="51"/>
        <v>9479.1666666666661</v>
      </c>
      <c r="I65" s="36">
        <f t="shared" si="45"/>
        <v>7000</v>
      </c>
      <c r="J65" s="37">
        <v>10000</v>
      </c>
      <c r="K65" s="37">
        <f t="shared" si="46"/>
        <v>840</v>
      </c>
      <c r="L65" s="36">
        <f t="shared" si="47"/>
        <v>1120</v>
      </c>
      <c r="M65" s="36">
        <f t="shared" si="48"/>
        <v>57.75</v>
      </c>
      <c r="N65" s="38">
        <f t="shared" si="49"/>
        <v>98496.916666666672</v>
      </c>
      <c r="O65" s="39" t="s">
        <v>66</v>
      </c>
    </row>
    <row r="66" spans="1:24" x14ac:dyDescent="0.25">
      <c r="A66" s="1">
        <f t="shared" si="50"/>
        <v>48</v>
      </c>
      <c r="B66" s="1">
        <v>9</v>
      </c>
      <c r="C66" s="40" t="s">
        <v>150</v>
      </c>
      <c r="D66" s="34">
        <v>70000</v>
      </c>
      <c r="E66" s="35"/>
      <c r="F66" s="35">
        <v>26</v>
      </c>
      <c r="G66" s="34">
        <f t="shared" si="44"/>
        <v>0</v>
      </c>
      <c r="H66" s="34">
        <f t="shared" si="51"/>
        <v>18958.333333333332</v>
      </c>
      <c r="I66" s="36">
        <f t="shared" si="45"/>
        <v>7000</v>
      </c>
      <c r="J66" s="37">
        <v>5000</v>
      </c>
      <c r="K66" s="37">
        <f t="shared" si="46"/>
        <v>840</v>
      </c>
      <c r="L66" s="36">
        <f t="shared" si="47"/>
        <v>1120</v>
      </c>
      <c r="M66" s="36">
        <f t="shared" si="48"/>
        <v>57.75</v>
      </c>
      <c r="N66" s="38">
        <f t="shared" si="49"/>
        <v>102976.08333333333</v>
      </c>
      <c r="O66" s="39" t="s">
        <v>66</v>
      </c>
    </row>
    <row r="67" spans="1:24" x14ac:dyDescent="0.25">
      <c r="A67" s="1">
        <f t="shared" si="50"/>
        <v>49</v>
      </c>
      <c r="B67" s="1">
        <v>10</v>
      </c>
      <c r="C67" s="40" t="s">
        <v>74</v>
      </c>
      <c r="D67" s="34">
        <v>70000</v>
      </c>
      <c r="E67" s="35"/>
      <c r="F67" s="35">
        <v>26</v>
      </c>
      <c r="G67" s="34">
        <f t="shared" si="44"/>
        <v>0</v>
      </c>
      <c r="H67" s="34">
        <f t="shared" si="51"/>
        <v>18958.333333333332</v>
      </c>
      <c r="I67" s="36">
        <f t="shared" si="45"/>
        <v>7000</v>
      </c>
      <c r="J67" s="37">
        <v>10000</v>
      </c>
      <c r="K67" s="37">
        <f t="shared" si="46"/>
        <v>840</v>
      </c>
      <c r="L67" s="36">
        <f t="shared" si="47"/>
        <v>1120</v>
      </c>
      <c r="M67" s="36">
        <f t="shared" si="48"/>
        <v>57.75</v>
      </c>
      <c r="N67" s="38">
        <f t="shared" si="49"/>
        <v>107976.08333333333</v>
      </c>
      <c r="O67" s="39" t="s">
        <v>66</v>
      </c>
    </row>
    <row r="68" spans="1:24" x14ac:dyDescent="0.25">
      <c r="A68" s="1">
        <f t="shared" si="50"/>
        <v>50</v>
      </c>
      <c r="B68" s="1">
        <f t="shared" si="50"/>
        <v>11</v>
      </c>
      <c r="C68" s="40" t="s">
        <v>75</v>
      </c>
      <c r="D68" s="34">
        <v>70000</v>
      </c>
      <c r="E68" s="35"/>
      <c r="F68" s="35"/>
      <c r="G68" s="34">
        <f t="shared" si="44"/>
        <v>0</v>
      </c>
      <c r="H68" s="34">
        <f t="shared" si="51"/>
        <v>0</v>
      </c>
      <c r="I68" s="36">
        <f t="shared" si="45"/>
        <v>7000</v>
      </c>
      <c r="J68" s="37">
        <v>10000</v>
      </c>
      <c r="K68" s="37">
        <f t="shared" si="46"/>
        <v>840</v>
      </c>
      <c r="L68" s="36">
        <f t="shared" si="47"/>
        <v>1120</v>
      </c>
      <c r="M68" s="36">
        <f t="shared" si="48"/>
        <v>57.75</v>
      </c>
      <c r="N68" s="38">
        <f t="shared" si="49"/>
        <v>89017.75</v>
      </c>
      <c r="O68" s="39" t="s">
        <v>66</v>
      </c>
    </row>
    <row r="69" spans="1:24" x14ac:dyDescent="0.25">
      <c r="A69" s="1">
        <f t="shared" si="50"/>
        <v>51</v>
      </c>
      <c r="B69" s="1">
        <f t="shared" si="50"/>
        <v>12</v>
      </c>
      <c r="C69" s="42" t="s">
        <v>76</v>
      </c>
      <c r="D69" s="34">
        <v>70000</v>
      </c>
      <c r="E69" s="35"/>
      <c r="F69" s="35">
        <v>13</v>
      </c>
      <c r="G69" s="34">
        <f t="shared" si="44"/>
        <v>0</v>
      </c>
      <c r="H69" s="34">
        <f t="shared" si="51"/>
        <v>9479.1666666666661</v>
      </c>
      <c r="I69" s="36">
        <f t="shared" si="45"/>
        <v>7000</v>
      </c>
      <c r="J69" s="37">
        <v>10000</v>
      </c>
      <c r="K69" s="37">
        <f t="shared" si="46"/>
        <v>840</v>
      </c>
      <c r="L69" s="36">
        <f t="shared" si="47"/>
        <v>1120</v>
      </c>
      <c r="M69" s="36">
        <f t="shared" si="48"/>
        <v>57.75</v>
      </c>
      <c r="N69" s="38">
        <f t="shared" si="49"/>
        <v>98496.916666666672</v>
      </c>
      <c r="O69" s="39" t="s">
        <v>66</v>
      </c>
    </row>
    <row r="70" spans="1:24" x14ac:dyDescent="0.25">
      <c r="A70" s="1">
        <f t="shared" si="50"/>
        <v>52</v>
      </c>
      <c r="B70" s="1">
        <f t="shared" si="50"/>
        <v>13</v>
      </c>
      <c r="C70" s="40" t="s">
        <v>77</v>
      </c>
      <c r="D70" s="73">
        <v>70000</v>
      </c>
      <c r="E70" s="49"/>
      <c r="F70" s="35">
        <v>26</v>
      </c>
      <c r="G70" s="34">
        <f t="shared" si="44"/>
        <v>0</v>
      </c>
      <c r="H70" s="34">
        <f t="shared" si="51"/>
        <v>18958.333333333332</v>
      </c>
      <c r="I70" s="36">
        <f t="shared" si="45"/>
        <v>7000</v>
      </c>
      <c r="J70" s="73">
        <v>10000</v>
      </c>
      <c r="K70" s="37">
        <f t="shared" si="46"/>
        <v>840</v>
      </c>
      <c r="L70" s="36">
        <f t="shared" si="47"/>
        <v>1120</v>
      </c>
      <c r="M70" s="36">
        <f t="shared" si="48"/>
        <v>57.75</v>
      </c>
      <c r="N70" s="38">
        <f t="shared" si="49"/>
        <v>107976.08333333333</v>
      </c>
      <c r="O70" s="39" t="s">
        <v>66</v>
      </c>
    </row>
    <row r="71" spans="1:24" x14ac:dyDescent="0.25">
      <c r="C71" s="67"/>
      <c r="D71" s="45">
        <f>SUM(D58:D70)</f>
        <v>1050000</v>
      </c>
      <c r="E71" s="49"/>
      <c r="F71" s="45"/>
      <c r="G71" s="45">
        <f t="shared" ref="G71:N71" si="52">SUM(G58:G70)</f>
        <v>0</v>
      </c>
      <c r="H71" s="45">
        <f t="shared" si="52"/>
        <v>208541.66666666669</v>
      </c>
      <c r="I71" s="45">
        <f t="shared" si="52"/>
        <v>105000</v>
      </c>
      <c r="J71" s="45">
        <f t="shared" si="52"/>
        <v>163000</v>
      </c>
      <c r="K71" s="45">
        <f t="shared" si="52"/>
        <v>12600</v>
      </c>
      <c r="L71" s="45">
        <f t="shared" si="52"/>
        <v>16800</v>
      </c>
      <c r="M71" s="45">
        <f t="shared" si="52"/>
        <v>866.25</v>
      </c>
      <c r="N71" s="38">
        <f t="shared" si="52"/>
        <v>1556807.9166666667</v>
      </c>
      <c r="O71" s="39"/>
    </row>
    <row r="72" spans="1:24" x14ac:dyDescent="0.25">
      <c r="C72" s="40"/>
      <c r="D72" s="34"/>
      <c r="E72" s="35"/>
      <c r="F72" s="35"/>
      <c r="G72" s="36"/>
      <c r="H72" s="36"/>
      <c r="I72" s="40"/>
      <c r="J72" s="37"/>
      <c r="K72" s="40"/>
      <c r="L72" s="40"/>
      <c r="M72" s="40"/>
      <c r="N72" s="38"/>
      <c r="O72" s="39"/>
    </row>
    <row r="73" spans="1:24" x14ac:dyDescent="0.25">
      <c r="A73" s="1">
        <f>1+A70</f>
        <v>53</v>
      </c>
      <c r="B73" s="1">
        <v>1</v>
      </c>
      <c r="C73" s="40" t="s">
        <v>78</v>
      </c>
      <c r="D73" s="34">
        <v>50000</v>
      </c>
      <c r="E73" s="35">
        <v>96</v>
      </c>
      <c r="F73" s="35">
        <v>12</v>
      </c>
      <c r="G73" s="34">
        <f>D73/192*1.5*E73</f>
        <v>37500</v>
      </c>
      <c r="H73" s="34">
        <f>D73/192*2*F73</f>
        <v>6250</v>
      </c>
      <c r="I73" s="36">
        <f>D73*$I$5</f>
        <v>5000</v>
      </c>
      <c r="J73" s="37">
        <v>5000</v>
      </c>
      <c r="K73" s="37">
        <f t="shared" ref="K73:K75" si="53">D73*$K$5</f>
        <v>600</v>
      </c>
      <c r="L73" s="36">
        <f t="shared" ref="L73:L75" si="54">D73*$L$5</f>
        <v>800</v>
      </c>
      <c r="M73" s="36">
        <f t="shared" ref="M73:M75" si="55">(D73*0.5%)*16.5%</f>
        <v>41.25</v>
      </c>
      <c r="N73" s="38">
        <f t="shared" si="49"/>
        <v>105191.25</v>
      </c>
      <c r="O73" s="39" t="s">
        <v>79</v>
      </c>
    </row>
    <row r="74" spans="1:24" x14ac:dyDescent="0.25">
      <c r="A74" s="1">
        <f t="shared" ref="A74:A75" si="56">1+A73</f>
        <v>54</v>
      </c>
      <c r="C74" s="40" t="s">
        <v>80</v>
      </c>
      <c r="D74" s="34">
        <v>50000</v>
      </c>
      <c r="E74" s="35">
        <v>40</v>
      </c>
      <c r="F74" s="35"/>
      <c r="G74" s="34">
        <f>D74/192*1.5*E74</f>
        <v>15625</v>
      </c>
      <c r="H74" s="34">
        <f>D74/192*2*F74</f>
        <v>0</v>
      </c>
      <c r="I74" s="36">
        <f>D74*$I$5</f>
        <v>5000</v>
      </c>
      <c r="J74" s="37">
        <v>5000</v>
      </c>
      <c r="K74" s="37">
        <f t="shared" si="53"/>
        <v>600</v>
      </c>
      <c r="L74" s="36">
        <f t="shared" si="54"/>
        <v>800</v>
      </c>
      <c r="M74" s="36">
        <f t="shared" si="55"/>
        <v>41.25</v>
      </c>
      <c r="N74" s="38">
        <f t="shared" si="49"/>
        <v>77066.25</v>
      </c>
      <c r="O74" s="39" t="s">
        <v>79</v>
      </c>
    </row>
    <row r="75" spans="1:24" x14ac:dyDescent="0.25">
      <c r="A75" s="1">
        <f t="shared" si="56"/>
        <v>55</v>
      </c>
      <c r="B75" s="1">
        <v>3</v>
      </c>
      <c r="C75" s="40" t="s">
        <v>81</v>
      </c>
      <c r="D75" s="34">
        <v>50000</v>
      </c>
      <c r="E75" s="35">
        <v>96</v>
      </c>
      <c r="F75" s="35">
        <v>12</v>
      </c>
      <c r="G75" s="34">
        <f>D75/192*1.5*E75</f>
        <v>37500</v>
      </c>
      <c r="H75" s="34">
        <f>D75/192*2*F75</f>
        <v>6250</v>
      </c>
      <c r="I75" s="36">
        <f>D75*$I$5</f>
        <v>5000</v>
      </c>
      <c r="J75" s="37">
        <v>10000</v>
      </c>
      <c r="K75" s="37">
        <f t="shared" si="53"/>
        <v>600</v>
      </c>
      <c r="L75" s="36">
        <f t="shared" si="54"/>
        <v>800</v>
      </c>
      <c r="M75" s="36">
        <f t="shared" si="55"/>
        <v>41.25</v>
      </c>
      <c r="N75" s="38">
        <f t="shared" si="49"/>
        <v>110191.25</v>
      </c>
      <c r="O75" s="39" t="s">
        <v>79</v>
      </c>
    </row>
    <row r="76" spans="1:24" x14ac:dyDescent="0.25">
      <c r="C76" s="40" t="s">
        <v>33</v>
      </c>
      <c r="D76" s="45">
        <f>SUM(D73:D75)</f>
        <v>150000</v>
      </c>
      <c r="E76" s="49"/>
      <c r="F76" s="45"/>
      <c r="G76" s="45">
        <f t="shared" ref="G76:M76" si="57">SUM(G73:G75)</f>
        <v>90625</v>
      </c>
      <c r="H76" s="45">
        <f t="shared" si="57"/>
        <v>12500</v>
      </c>
      <c r="I76" s="45">
        <f t="shared" si="57"/>
        <v>15000</v>
      </c>
      <c r="J76" s="45">
        <f t="shared" si="57"/>
        <v>20000</v>
      </c>
      <c r="K76" s="45">
        <f t="shared" si="57"/>
        <v>1800</v>
      </c>
      <c r="L76" s="45">
        <f t="shared" si="57"/>
        <v>2400</v>
      </c>
      <c r="M76" s="45">
        <f t="shared" si="57"/>
        <v>123.75</v>
      </c>
      <c r="N76" s="38">
        <f t="shared" si="49"/>
        <v>292448.75</v>
      </c>
      <c r="O76" s="39"/>
    </row>
    <row r="77" spans="1:24" x14ac:dyDescent="0.25">
      <c r="C77" s="40"/>
      <c r="D77" s="45"/>
      <c r="E77" s="35"/>
      <c r="F77" s="74"/>
      <c r="G77" s="38"/>
      <c r="H77" s="38"/>
      <c r="I77" s="38"/>
      <c r="J77" s="56"/>
      <c r="K77" s="38"/>
      <c r="L77" s="38"/>
      <c r="M77" s="38"/>
      <c r="N77" s="38"/>
      <c r="O77" s="39"/>
      <c r="X77" s="1" t="s">
        <v>160</v>
      </c>
    </row>
    <row r="78" spans="1:24" s="75" customFormat="1" ht="15.75" x14ac:dyDescent="0.25">
      <c r="C78" s="76" t="s">
        <v>82</v>
      </c>
      <c r="D78" s="77">
        <f>+D76+D71+D56+D49+D45+D40+D31+D29+D25+D19</f>
        <v>3444252.3</v>
      </c>
      <c r="E78" s="78"/>
      <c r="F78" s="77"/>
      <c r="G78" s="77">
        <f>+G76+G70+G56+G49+G45+G40+G31+G29+G25+G19</f>
        <v>548240.73906249995</v>
      </c>
      <c r="H78" s="77">
        <f>+H76+H70+H56+H49+H45+H40+H31+H29+H25+H19</f>
        <v>62882.958333333336</v>
      </c>
      <c r="I78" s="77">
        <f>+I76+I70+I56+I49+I45+I40+I31+I29+I25+I19</f>
        <v>246425.23</v>
      </c>
      <c r="J78" s="77">
        <f>+J76+J71+J56+J49+J45+J40+J31+J29+J25+J19</f>
        <v>748000</v>
      </c>
      <c r="K78" s="77">
        <f>+K76+K71+K56+K49+K45+K40+K31+K29+K25+K19</f>
        <v>41331.027600000001</v>
      </c>
      <c r="L78" s="77">
        <f>+L76+L71+L56+L49+L45+L40+L31+L29+L25+L19</f>
        <v>55108.036800000002</v>
      </c>
      <c r="M78" s="77">
        <f>+M76+M71+M56+M49+M45+M40+M31+M29+M25+M19</f>
        <v>2841.5081474999997</v>
      </c>
      <c r="N78" s="77">
        <f>SUM(D78:M78)</f>
        <v>5149081.7999433335</v>
      </c>
      <c r="O78" s="79" t="s">
        <v>83</v>
      </c>
    </row>
    <row r="79" spans="1:24" x14ac:dyDescent="0.25">
      <c r="N79" s="51"/>
      <c r="Q79" s="51"/>
    </row>
    <row r="80" spans="1:24" s="22" customFormat="1" x14ac:dyDescent="0.25">
      <c r="D80" s="80">
        <v>1</v>
      </c>
      <c r="E80" s="81"/>
      <c r="F80" s="81"/>
      <c r="G80" s="81">
        <v>2</v>
      </c>
      <c r="H80" s="81">
        <v>3</v>
      </c>
      <c r="I80" s="81">
        <v>4</v>
      </c>
      <c r="J80" s="82">
        <v>5</v>
      </c>
      <c r="K80" s="81">
        <v>6</v>
      </c>
      <c r="L80" s="81">
        <v>7</v>
      </c>
      <c r="M80" s="81">
        <v>8</v>
      </c>
      <c r="N80" s="51"/>
    </row>
    <row r="81" spans="3:19" x14ac:dyDescent="0.25">
      <c r="N81" s="51"/>
    </row>
    <row r="82" spans="3:19" ht="15.75" x14ac:dyDescent="0.25">
      <c r="C82" s="83" t="s">
        <v>84</v>
      </c>
      <c r="D82" s="84">
        <f>+D78+G78+H78</f>
        <v>4055375.9973958335</v>
      </c>
      <c r="G82" s="85"/>
      <c r="H82" s="85"/>
      <c r="N82" s="51"/>
    </row>
    <row r="83" spans="3:19" ht="15.75" x14ac:dyDescent="0.25">
      <c r="C83" s="83" t="s">
        <v>85</v>
      </c>
      <c r="D83" s="84">
        <f>+I78</f>
        <v>246425.23</v>
      </c>
      <c r="G83" s="85"/>
      <c r="H83" s="85"/>
      <c r="N83" s="51"/>
    </row>
    <row r="84" spans="3:19" ht="15.75" x14ac:dyDescent="0.25">
      <c r="C84" s="83" t="s">
        <v>86</v>
      </c>
      <c r="D84" s="84">
        <f>+K78+L78</f>
        <v>96439.064400000003</v>
      </c>
      <c r="G84" s="85"/>
      <c r="H84" s="85"/>
      <c r="N84" s="51"/>
    </row>
    <row r="85" spans="3:19" ht="15.75" x14ac:dyDescent="0.25">
      <c r="C85" s="83" t="s">
        <v>87</v>
      </c>
      <c r="D85" s="84">
        <f>+M78</f>
        <v>2841.5081474999997</v>
      </c>
      <c r="G85" s="85"/>
      <c r="H85" s="85"/>
      <c r="N85" s="51"/>
    </row>
    <row r="86" spans="3:19" ht="15.75" x14ac:dyDescent="0.25">
      <c r="C86" s="83" t="s">
        <v>88</v>
      </c>
      <c r="D86" s="86">
        <f>+J78</f>
        <v>748000</v>
      </c>
      <c r="G86" s="85"/>
      <c r="H86" s="85"/>
      <c r="N86" s="51"/>
    </row>
    <row r="87" spans="3:19" ht="15.75" x14ac:dyDescent="0.25">
      <c r="C87" s="83" t="s">
        <v>232</v>
      </c>
      <c r="D87" s="86">
        <v>0</v>
      </c>
      <c r="G87" s="85"/>
      <c r="H87" s="85"/>
      <c r="N87" s="51"/>
    </row>
    <row r="88" spans="3:19" ht="15.75" x14ac:dyDescent="0.25">
      <c r="C88" s="83" t="s">
        <v>235</v>
      </c>
      <c r="D88" s="86">
        <v>30000</v>
      </c>
      <c r="F88" s="11">
        <v>1</v>
      </c>
      <c r="G88" s="85"/>
      <c r="H88" s="85"/>
      <c r="N88" s="51"/>
    </row>
    <row r="89" spans="3:19" ht="15.75" x14ac:dyDescent="0.25">
      <c r="C89" s="94" t="s">
        <v>155</v>
      </c>
      <c r="D89" s="88">
        <v>47000</v>
      </c>
      <c r="E89" s="95" t="s">
        <v>234</v>
      </c>
      <c r="F89" s="96">
        <v>2</v>
      </c>
      <c r="G89" s="97"/>
      <c r="H89" s="98"/>
      <c r="N89" s="51"/>
    </row>
    <row r="90" spans="3:19" ht="15.75" x14ac:dyDescent="0.25">
      <c r="C90" s="94" t="s">
        <v>242</v>
      </c>
      <c r="D90" s="88">
        <v>14000</v>
      </c>
      <c r="E90" s="95" t="s">
        <v>234</v>
      </c>
      <c r="F90" s="96">
        <v>3</v>
      </c>
      <c r="G90" s="97"/>
      <c r="H90" s="98"/>
      <c r="N90" s="51"/>
    </row>
    <row r="91" spans="3:19" ht="30" x14ac:dyDescent="0.25">
      <c r="C91" s="94" t="s">
        <v>243</v>
      </c>
      <c r="D91" s="88">
        <v>98900</v>
      </c>
      <c r="E91" s="95" t="s">
        <v>234</v>
      </c>
      <c r="F91" s="96">
        <v>4</v>
      </c>
      <c r="G91" s="97"/>
      <c r="H91" s="98"/>
      <c r="N91" s="51"/>
    </row>
    <row r="92" spans="3:19" ht="15.75" x14ac:dyDescent="0.25">
      <c r="C92" s="94" t="s">
        <v>96</v>
      </c>
      <c r="D92" s="88">
        <v>59850</v>
      </c>
      <c r="E92" s="95" t="s">
        <v>234</v>
      </c>
      <c r="F92" s="96">
        <v>5</v>
      </c>
      <c r="G92" s="97"/>
      <c r="H92" s="98"/>
      <c r="N92" s="51"/>
    </row>
    <row r="93" spans="3:19" ht="30" x14ac:dyDescent="0.25">
      <c r="C93" s="94" t="s">
        <v>244</v>
      </c>
      <c r="D93" s="88">
        <v>100950</v>
      </c>
      <c r="E93" s="95"/>
      <c r="F93" s="96">
        <v>6</v>
      </c>
      <c r="G93" s="97"/>
      <c r="H93" s="98"/>
      <c r="N93" s="51"/>
    </row>
    <row r="94" spans="3:19" s="5" customFormat="1" ht="15.75" x14ac:dyDescent="0.25">
      <c r="C94" s="83" t="s">
        <v>231</v>
      </c>
      <c r="D94" s="86">
        <v>123000</v>
      </c>
      <c r="E94" s="95" t="s">
        <v>234</v>
      </c>
      <c r="F94" s="11">
        <v>7</v>
      </c>
      <c r="G94" s="99"/>
      <c r="I94" s="1"/>
      <c r="K94" s="1"/>
      <c r="L94" s="1"/>
      <c r="M94" s="1"/>
      <c r="N94" s="51"/>
      <c r="O94" s="1"/>
      <c r="P94" s="1"/>
      <c r="Q94" s="1"/>
      <c r="R94" s="1"/>
      <c r="S94" s="1"/>
    </row>
    <row r="95" spans="3:19" s="5" customFormat="1" ht="15.75" x14ac:dyDescent="0.25">
      <c r="C95" s="83" t="s">
        <v>98</v>
      </c>
      <c r="D95" s="86">
        <v>1050000</v>
      </c>
      <c r="E95" s="11"/>
      <c r="F95" s="11"/>
      <c r="I95" s="1"/>
      <c r="K95" s="1"/>
      <c r="L95" s="1"/>
      <c r="M95" s="1"/>
      <c r="N95" s="51"/>
      <c r="O95" s="1"/>
      <c r="P95" s="1"/>
      <c r="Q95" s="1"/>
      <c r="R95" s="1"/>
      <c r="S95" s="1"/>
    </row>
    <row r="96" spans="3:19" ht="15.75" x14ac:dyDescent="0.25">
      <c r="C96" s="83" t="s">
        <v>99</v>
      </c>
      <c r="D96" s="88">
        <f>SUM(D82:D95)</f>
        <v>6672781.7999433335</v>
      </c>
      <c r="E96" s="101"/>
      <c r="F96" s="101"/>
      <c r="G96" s="21"/>
      <c r="H96" s="21"/>
      <c r="N96" s="51"/>
    </row>
    <row r="97" spans="2:16" ht="15.75" x14ac:dyDescent="0.25">
      <c r="C97" s="12"/>
      <c r="D97" s="102"/>
      <c r="E97" s="101"/>
      <c r="F97" s="101"/>
      <c r="G97" s="21"/>
      <c r="H97" s="21"/>
      <c r="N97" s="51"/>
    </row>
    <row r="98" spans="2:16" ht="15.75" x14ac:dyDescent="0.25">
      <c r="C98" s="12"/>
      <c r="D98" s="102"/>
      <c r="E98" s="101"/>
      <c r="F98" s="101"/>
      <c r="G98" s="21"/>
      <c r="H98" s="21"/>
      <c r="N98" s="51"/>
    </row>
    <row r="99" spans="2:16" x14ac:dyDescent="0.25">
      <c r="C99" s="12" t="s">
        <v>100</v>
      </c>
      <c r="D99" s="103"/>
      <c r="E99" s="101"/>
      <c r="F99" s="101"/>
      <c r="G99" s="21"/>
      <c r="H99" s="21"/>
      <c r="N99" s="51"/>
    </row>
    <row r="100" spans="2:16" x14ac:dyDescent="0.25">
      <c r="C100" s="125">
        <v>44637</v>
      </c>
      <c r="D100" s="103"/>
      <c r="E100" s="101"/>
      <c r="F100" s="101"/>
      <c r="G100" s="21"/>
      <c r="H100" s="21"/>
    </row>
    <row r="101" spans="2:16" x14ac:dyDescent="0.25">
      <c r="C101" s="12"/>
      <c r="D101" s="103"/>
      <c r="E101" s="101"/>
      <c r="F101" s="101"/>
      <c r="G101" s="21"/>
      <c r="H101" s="21"/>
    </row>
    <row r="102" spans="2:16" x14ac:dyDescent="0.25">
      <c r="C102" s="12"/>
      <c r="D102" s="103"/>
      <c r="E102" s="101"/>
      <c r="F102" s="101"/>
      <c r="G102" s="21"/>
      <c r="H102" s="21"/>
    </row>
    <row r="103" spans="2:16" ht="18.75" x14ac:dyDescent="0.3">
      <c r="C103" s="4" t="s">
        <v>0</v>
      </c>
      <c r="D103" s="103"/>
      <c r="E103" s="101"/>
      <c r="F103" s="101"/>
      <c r="G103" s="21"/>
      <c r="H103" s="21"/>
      <c r="P103" s="12"/>
    </row>
    <row r="104" spans="2:16" ht="21" x14ac:dyDescent="0.35">
      <c r="C104" s="105" t="str">
        <f>+D2</f>
        <v>PAYROLL FOR MARCH.2022</v>
      </c>
      <c r="D104" s="103"/>
      <c r="E104" s="101"/>
      <c r="F104" s="106" t="s">
        <v>101</v>
      </c>
      <c r="G104" s="21"/>
      <c r="H104" s="21"/>
      <c r="P104" s="22"/>
    </row>
    <row r="105" spans="2:16" x14ac:dyDescent="0.25">
      <c r="C105" s="12"/>
      <c r="D105" s="103"/>
      <c r="E105" s="101"/>
      <c r="F105" s="101"/>
      <c r="G105" s="21"/>
      <c r="H105" s="21"/>
    </row>
    <row r="106" spans="2:16" x14ac:dyDescent="0.25">
      <c r="D106" s="103"/>
      <c r="E106" s="101"/>
      <c r="F106" s="101"/>
      <c r="G106" s="21"/>
      <c r="H106" s="21"/>
      <c r="M106" s="22" t="s">
        <v>102</v>
      </c>
      <c r="N106" s="51"/>
    </row>
    <row r="107" spans="2:16" ht="30" x14ac:dyDescent="0.25">
      <c r="C107" s="12" t="s">
        <v>3</v>
      </c>
      <c r="D107" s="10" t="s">
        <v>73</v>
      </c>
      <c r="E107" s="101" t="s">
        <v>5</v>
      </c>
      <c r="F107" s="101" t="s">
        <v>6</v>
      </c>
      <c r="G107" s="12" t="s">
        <v>7</v>
      </c>
      <c r="H107" s="12" t="s">
        <v>7</v>
      </c>
      <c r="I107" s="12" t="s">
        <v>8</v>
      </c>
      <c r="J107" s="107" t="s">
        <v>9</v>
      </c>
      <c r="K107" s="108" t="s">
        <v>103</v>
      </c>
      <c r="L107" s="109" t="s">
        <v>11</v>
      </c>
      <c r="M107" s="12" t="s">
        <v>12</v>
      </c>
      <c r="N107" s="110" t="s">
        <v>33</v>
      </c>
      <c r="O107" s="12" t="s">
        <v>14</v>
      </c>
    </row>
    <row r="108" spans="2:16" x14ac:dyDescent="0.25">
      <c r="C108" s="22"/>
      <c r="D108" s="111" t="s">
        <v>104</v>
      </c>
      <c r="E108" s="81" t="s">
        <v>16</v>
      </c>
      <c r="F108" s="81" t="s">
        <v>17</v>
      </c>
      <c r="G108" s="112" t="s">
        <v>18</v>
      </c>
      <c r="H108" s="112" t="s">
        <v>19</v>
      </c>
      <c r="I108" s="113">
        <v>0.1</v>
      </c>
      <c r="J108" s="32"/>
      <c r="K108" s="114">
        <v>1.2E-2</v>
      </c>
      <c r="L108" s="114">
        <v>1.6E-2</v>
      </c>
      <c r="M108" s="114">
        <v>0.16500000000000001</v>
      </c>
      <c r="N108" s="51"/>
      <c r="O108" s="22"/>
    </row>
    <row r="109" spans="2:16" x14ac:dyDescent="0.25">
      <c r="B109" s="1">
        <v>1</v>
      </c>
      <c r="C109" s="1" t="s">
        <v>105</v>
      </c>
      <c r="D109" s="98">
        <v>73500</v>
      </c>
      <c r="F109" s="100"/>
      <c r="G109" s="85">
        <f>D109/192*1.5*E109</f>
        <v>0</v>
      </c>
      <c r="H109" s="85">
        <f>D109/192*2*F109</f>
        <v>0</v>
      </c>
      <c r="I109" s="85">
        <f>D109*$I$5</f>
        <v>7350</v>
      </c>
      <c r="J109" s="5">
        <v>5000</v>
      </c>
      <c r="K109" s="5">
        <f>D109*$K$5</f>
        <v>882</v>
      </c>
      <c r="L109" s="85">
        <f>D109*$L$108</f>
        <v>1176</v>
      </c>
      <c r="M109" s="85">
        <f>(D109*0.5%)*16.5%</f>
        <v>60.637500000000003</v>
      </c>
      <c r="N109" s="51">
        <f>+M109+L109+K109+J109+I109+H109+G109+D109</f>
        <v>87968.637499999997</v>
      </c>
      <c r="O109" s="1" t="s">
        <v>43</v>
      </c>
    </row>
    <row r="110" spans="2:16" x14ac:dyDescent="0.25">
      <c r="B110" s="1">
        <v>2</v>
      </c>
      <c r="C110" s="1" t="s">
        <v>106</v>
      </c>
      <c r="D110" s="98">
        <v>73500</v>
      </c>
      <c r="F110" s="100"/>
      <c r="G110" s="85">
        <f>D110/192*1.5*E110</f>
        <v>0</v>
      </c>
      <c r="H110" s="85">
        <f>D110/192*2*F110</f>
        <v>0</v>
      </c>
      <c r="I110" s="85">
        <f>D110*$I$5</f>
        <v>7350</v>
      </c>
      <c r="J110" s="5">
        <v>5000</v>
      </c>
      <c r="K110" s="5">
        <f>D110*$K$5</f>
        <v>882</v>
      </c>
      <c r="L110" s="85">
        <f t="shared" ref="L110:L111" si="58">D110*$L$108</f>
        <v>1176</v>
      </c>
      <c r="M110" s="85">
        <f t="shared" ref="M110:M111" si="59">(D110*0.5%)*16.5%</f>
        <v>60.637500000000003</v>
      </c>
      <c r="N110" s="51">
        <f t="shared" ref="N110:N131" si="60">+M110+L110+K110+J110+I110+H110+G110+D110</f>
        <v>87968.637499999997</v>
      </c>
      <c r="O110" s="1" t="s">
        <v>43</v>
      </c>
    </row>
    <row r="111" spans="2:16" x14ac:dyDescent="0.25">
      <c r="B111" s="1">
        <v>3</v>
      </c>
      <c r="C111" s="1" t="s">
        <v>107</v>
      </c>
      <c r="D111" s="98">
        <v>73500</v>
      </c>
      <c r="F111" s="100"/>
      <c r="G111" s="85">
        <f>D111/192*1.5*E111</f>
        <v>0</v>
      </c>
      <c r="H111" s="85">
        <f>D111/192*2*F111</f>
        <v>0</v>
      </c>
      <c r="I111" s="85">
        <f>D111*$I$5</f>
        <v>7350</v>
      </c>
      <c r="J111" s="5">
        <v>5000</v>
      </c>
      <c r="K111" s="5">
        <f>D111*$K$5</f>
        <v>882</v>
      </c>
      <c r="L111" s="85">
        <f t="shared" si="58"/>
        <v>1176</v>
      </c>
      <c r="M111" s="85">
        <f t="shared" si="59"/>
        <v>60.637500000000003</v>
      </c>
      <c r="N111" s="51">
        <f t="shared" si="60"/>
        <v>87968.637499999997</v>
      </c>
      <c r="O111" s="1" t="s">
        <v>43</v>
      </c>
    </row>
    <row r="112" spans="2:16" x14ac:dyDescent="0.25">
      <c r="D112" s="98"/>
      <c r="F112" s="100"/>
      <c r="G112" s="85"/>
      <c r="H112" s="85"/>
      <c r="I112" s="85"/>
      <c r="K112" s="5"/>
      <c r="L112" s="85"/>
      <c r="M112" s="85"/>
      <c r="N112" s="51"/>
    </row>
    <row r="113" spans="2:15" x14ac:dyDescent="0.25">
      <c r="D113" s="98"/>
      <c r="F113" s="100"/>
      <c r="G113" s="85"/>
      <c r="H113" s="85"/>
      <c r="I113" s="85"/>
      <c r="K113" s="5"/>
      <c r="L113" s="85"/>
      <c r="M113" s="85"/>
      <c r="N113" s="51"/>
    </row>
    <row r="114" spans="2:15" x14ac:dyDescent="0.25">
      <c r="B114" s="1">
        <v>1</v>
      </c>
      <c r="C114" s="115" t="s">
        <v>108</v>
      </c>
      <c r="D114" s="98">
        <v>50000</v>
      </c>
      <c r="F114" s="100"/>
      <c r="G114" s="85">
        <f>D114/192*1.5*E114</f>
        <v>0</v>
      </c>
      <c r="H114" s="85">
        <f>D114/192*2*F114</f>
        <v>0</v>
      </c>
      <c r="I114" s="85">
        <f>D114*$I$5</f>
        <v>5000</v>
      </c>
      <c r="J114" s="5">
        <v>5000</v>
      </c>
      <c r="K114" s="5">
        <f>D114*$K$5</f>
        <v>600</v>
      </c>
      <c r="L114" s="85">
        <f t="shared" ref="L114:L115" si="61">D114*$L$108</f>
        <v>800</v>
      </c>
      <c r="M114" s="85">
        <f t="shared" ref="M114:M115" si="62">(D114*0.5%)*16.5%</f>
        <v>41.25</v>
      </c>
      <c r="N114" s="51">
        <f t="shared" si="60"/>
        <v>61441.25</v>
      </c>
      <c r="O114" s="1" t="s">
        <v>36</v>
      </c>
    </row>
    <row r="115" spans="2:15" x14ac:dyDescent="0.25">
      <c r="B115" s="1">
        <v>2</v>
      </c>
      <c r="C115" s="1" t="s">
        <v>109</v>
      </c>
      <c r="D115" s="98">
        <v>50000</v>
      </c>
      <c r="F115" s="100"/>
      <c r="G115" s="85">
        <f>D115/192*1.5*E115</f>
        <v>0</v>
      </c>
      <c r="H115" s="85">
        <f>D115/192*2*F115</f>
        <v>0</v>
      </c>
      <c r="I115" s="85">
        <f>D115*$I$5</f>
        <v>5000</v>
      </c>
      <c r="J115" s="5">
        <v>5000</v>
      </c>
      <c r="K115" s="5">
        <f>D115*$K$5</f>
        <v>600</v>
      </c>
      <c r="L115" s="85">
        <f t="shared" si="61"/>
        <v>800</v>
      </c>
      <c r="M115" s="85">
        <f t="shared" si="62"/>
        <v>41.25</v>
      </c>
      <c r="N115" s="51">
        <f t="shared" si="60"/>
        <v>61441.25</v>
      </c>
      <c r="O115" s="1" t="s">
        <v>36</v>
      </c>
    </row>
    <row r="116" spans="2:15" x14ac:dyDescent="0.25">
      <c r="B116" s="1" t="s">
        <v>110</v>
      </c>
      <c r="D116" s="98"/>
      <c r="F116" s="100"/>
      <c r="G116" s="85"/>
      <c r="H116" s="85"/>
      <c r="I116" s="85"/>
      <c r="K116" s="5"/>
      <c r="L116" s="85"/>
      <c r="M116" s="85"/>
      <c r="N116" s="51"/>
    </row>
    <row r="117" spans="2:15" x14ac:dyDescent="0.25">
      <c r="D117" s="116"/>
      <c r="F117" s="100"/>
      <c r="G117" s="85"/>
      <c r="H117" s="85"/>
      <c r="I117" s="85"/>
      <c r="K117" s="5"/>
      <c r="L117" s="85"/>
      <c r="M117" s="85"/>
      <c r="N117" s="51"/>
    </row>
    <row r="118" spans="2:15" x14ac:dyDescent="0.25">
      <c r="B118" s="1">
        <v>1</v>
      </c>
      <c r="C118" s="1" t="s">
        <v>111</v>
      </c>
      <c r="D118" s="98">
        <v>50000</v>
      </c>
      <c r="F118" s="100"/>
      <c r="G118" s="85">
        <f>D118/192*1.5*E118</f>
        <v>0</v>
      </c>
      <c r="H118" s="85">
        <f>D118/192*2*F118</f>
        <v>0</v>
      </c>
      <c r="I118" s="85">
        <f>D118*$I$5</f>
        <v>5000</v>
      </c>
      <c r="J118" s="5">
        <v>5000</v>
      </c>
      <c r="K118" s="5">
        <f>D118*$K$5</f>
        <v>600</v>
      </c>
      <c r="L118" s="85">
        <f t="shared" ref="L118" si="63">D118*$L$108</f>
        <v>800</v>
      </c>
      <c r="M118" s="85">
        <f t="shared" ref="M118" si="64">(D118*0.5%)*16.5%</f>
        <v>41.25</v>
      </c>
      <c r="N118" s="51">
        <f t="shared" si="60"/>
        <v>61441.25</v>
      </c>
      <c r="O118" s="1" t="s">
        <v>22</v>
      </c>
    </row>
    <row r="119" spans="2:15" x14ac:dyDescent="0.25">
      <c r="D119" s="116"/>
      <c r="F119" s="100"/>
      <c r="G119" s="85"/>
      <c r="H119" s="85"/>
      <c r="I119" s="85"/>
      <c r="L119" s="85"/>
      <c r="M119" s="85"/>
      <c r="N119" s="51"/>
    </row>
    <row r="120" spans="2:15" x14ac:dyDescent="0.25">
      <c r="B120" s="1">
        <v>1</v>
      </c>
      <c r="C120" s="1" t="s">
        <v>112</v>
      </c>
      <c r="D120" s="98">
        <v>68250</v>
      </c>
      <c r="F120" s="100"/>
      <c r="G120" s="85">
        <f>D120/192*1.5*E120</f>
        <v>0</v>
      </c>
      <c r="H120" s="85">
        <f>D120/192*2*F120</f>
        <v>0</v>
      </c>
      <c r="I120" s="85">
        <f>D120*$I$5</f>
        <v>6825</v>
      </c>
      <c r="J120" s="5">
        <v>5000</v>
      </c>
      <c r="K120" s="5">
        <f>D120*$K$5</f>
        <v>819</v>
      </c>
      <c r="L120" s="85">
        <f t="shared" ref="L120" si="65">D120*$L$108</f>
        <v>1092</v>
      </c>
      <c r="M120" s="85">
        <f t="shared" ref="M120" si="66">(D120*0.5%)*16.5%</f>
        <v>56.306250000000006</v>
      </c>
      <c r="N120" s="51">
        <f t="shared" si="60"/>
        <v>82042.306249999994</v>
      </c>
      <c r="O120" s="1" t="s">
        <v>113</v>
      </c>
    </row>
    <row r="121" spans="2:15" x14ac:dyDescent="0.25">
      <c r="C121" s="1" t="s">
        <v>114</v>
      </c>
      <c r="D121" s="98">
        <f>50000/22*8</f>
        <v>18181.81818181818</v>
      </c>
      <c r="F121" s="100"/>
      <c r="G121" s="85"/>
      <c r="H121" s="85"/>
      <c r="I121" s="85"/>
      <c r="K121" s="5"/>
      <c r="L121" s="85"/>
      <c r="M121" s="85"/>
      <c r="N121" s="51">
        <f>+D121</f>
        <v>18181.81818181818</v>
      </c>
    </row>
    <row r="122" spans="2:15" x14ac:dyDescent="0.25">
      <c r="D122" s="116"/>
      <c r="F122" s="100"/>
      <c r="G122" s="85"/>
      <c r="H122" s="85"/>
      <c r="I122" s="85"/>
      <c r="N122" s="51"/>
    </row>
    <row r="123" spans="2:15" x14ac:dyDescent="0.25">
      <c r="B123" s="1">
        <v>1</v>
      </c>
      <c r="C123" s="1" t="s">
        <v>115</v>
      </c>
      <c r="D123" s="98">
        <v>50000</v>
      </c>
      <c r="E123" s="11">
        <v>20</v>
      </c>
      <c r="F123" s="100"/>
      <c r="G123" s="85">
        <f>D123/192*1.5*E123</f>
        <v>7812.5</v>
      </c>
      <c r="H123" s="85">
        <f>D123/192*2*F123</f>
        <v>0</v>
      </c>
      <c r="I123" s="85">
        <f>D123*$I$5</f>
        <v>5000</v>
      </c>
      <c r="J123" s="5">
        <v>5000</v>
      </c>
      <c r="K123" s="5">
        <f>D123*$K$5</f>
        <v>600</v>
      </c>
      <c r="L123" s="85">
        <f t="shared" ref="L123:L124" si="67">D123*$L$108</f>
        <v>800</v>
      </c>
      <c r="M123" s="85">
        <f t="shared" ref="M123:M124" si="68">(D123*0.5%)*16.5%</f>
        <v>41.25</v>
      </c>
      <c r="N123" s="51">
        <f t="shared" si="60"/>
        <v>69253.75</v>
      </c>
      <c r="O123" s="1" t="s">
        <v>53</v>
      </c>
    </row>
    <row r="124" spans="2:15" x14ac:dyDescent="0.25">
      <c r="B124" s="1">
        <v>2</v>
      </c>
      <c r="C124" s="1" t="s">
        <v>116</v>
      </c>
      <c r="D124" s="98">
        <v>50000</v>
      </c>
      <c r="E124" s="11">
        <v>20</v>
      </c>
      <c r="F124" s="100"/>
      <c r="G124" s="85">
        <f>D124/192*1.5*E124</f>
        <v>7812.5</v>
      </c>
      <c r="H124" s="85">
        <f>D124/192*2*F124</f>
        <v>0</v>
      </c>
      <c r="I124" s="85">
        <f>D124*$I$5</f>
        <v>5000</v>
      </c>
      <c r="J124" s="5">
        <v>5000</v>
      </c>
      <c r="K124" s="5">
        <f>D124*$K$5</f>
        <v>600</v>
      </c>
      <c r="L124" s="85">
        <f t="shared" si="67"/>
        <v>800</v>
      </c>
      <c r="M124" s="85">
        <f t="shared" si="68"/>
        <v>41.25</v>
      </c>
      <c r="N124" s="51">
        <f t="shared" si="60"/>
        <v>69253.75</v>
      </c>
      <c r="O124" s="1" t="s">
        <v>53</v>
      </c>
    </row>
    <row r="125" spans="2:15" x14ac:dyDescent="0.25">
      <c r="D125" s="98"/>
      <c r="F125" s="100"/>
      <c r="G125" s="85"/>
      <c r="H125" s="85"/>
      <c r="I125" s="85"/>
      <c r="K125" s="5"/>
      <c r="L125" s="85"/>
      <c r="M125" s="85"/>
      <c r="N125" s="51"/>
    </row>
    <row r="126" spans="2:15" x14ac:dyDescent="0.25">
      <c r="B126" s="1">
        <v>1</v>
      </c>
      <c r="C126" s="1" t="s">
        <v>117</v>
      </c>
      <c r="D126" s="98">
        <v>50000</v>
      </c>
      <c r="F126" s="100"/>
      <c r="G126" s="85">
        <f>D126/192*1.5*E126</f>
        <v>0</v>
      </c>
      <c r="H126" s="85">
        <f>D126/192*2*F126</f>
        <v>0</v>
      </c>
      <c r="I126" s="85">
        <f>D126*$I$5</f>
        <v>5000</v>
      </c>
      <c r="J126" s="5">
        <v>5000</v>
      </c>
      <c r="K126" s="5">
        <f>D126*$K$5</f>
        <v>600</v>
      </c>
      <c r="L126" s="85">
        <f t="shared" ref="L126" si="69">D126*$L$108</f>
        <v>800</v>
      </c>
      <c r="M126" s="85">
        <f t="shared" ref="M126" si="70">(D126*0.5%)*16.5%</f>
        <v>41.25</v>
      </c>
      <c r="N126" s="51">
        <f t="shared" si="60"/>
        <v>61441.25</v>
      </c>
      <c r="O126" s="1" t="s">
        <v>118</v>
      </c>
    </row>
    <row r="127" spans="2:15" x14ac:dyDescent="0.25">
      <c r="D127" s="98"/>
      <c r="F127" s="100"/>
      <c r="G127" s="85"/>
      <c r="H127" s="85"/>
      <c r="I127" s="85"/>
      <c r="K127" s="5"/>
      <c r="L127" s="85"/>
      <c r="M127" s="85"/>
      <c r="N127" s="51"/>
    </row>
    <row r="128" spans="2:15" x14ac:dyDescent="0.25">
      <c r="B128" s="1">
        <v>1</v>
      </c>
      <c r="C128" s="1" t="s">
        <v>119</v>
      </c>
      <c r="D128" s="98">
        <v>52500</v>
      </c>
      <c r="F128" s="100"/>
      <c r="G128" s="85">
        <f>D128/192*1.5*E128</f>
        <v>0</v>
      </c>
      <c r="H128" s="85">
        <f>D128/192*2*F128</f>
        <v>0</v>
      </c>
      <c r="I128" s="85">
        <f>D128*$I$5</f>
        <v>5250</v>
      </c>
      <c r="J128" s="5">
        <v>5000</v>
      </c>
      <c r="K128" s="5">
        <f>D128*$K$5</f>
        <v>630</v>
      </c>
      <c r="L128" s="85">
        <f t="shared" ref="L128:L129" si="71">D128*$L$108</f>
        <v>840</v>
      </c>
      <c r="M128" s="85">
        <f t="shared" ref="M128:M129" si="72">(D128*0.5%)*16.5%</f>
        <v>43.3125</v>
      </c>
      <c r="N128" s="51">
        <f t="shared" si="60"/>
        <v>64263.3125</v>
      </c>
      <c r="O128" s="1" t="s">
        <v>57</v>
      </c>
    </row>
    <row r="129" spans="2:16" s="117" customFormat="1" ht="15.75" x14ac:dyDescent="0.25">
      <c r="B129" s="1">
        <v>2</v>
      </c>
      <c r="C129" s="1" t="s">
        <v>120</v>
      </c>
      <c r="D129" s="98">
        <v>50000</v>
      </c>
      <c r="E129" s="11"/>
      <c r="F129" s="100"/>
      <c r="G129" s="85">
        <f>D129/192*1.5*E129</f>
        <v>0</v>
      </c>
      <c r="H129" s="85">
        <f>D129/192*2*F129</f>
        <v>0</v>
      </c>
      <c r="I129" s="85">
        <f>D129*$I$5</f>
        <v>5000</v>
      </c>
      <c r="J129" s="5">
        <v>5000</v>
      </c>
      <c r="K129" s="5">
        <f>D129*$K$5</f>
        <v>600</v>
      </c>
      <c r="L129" s="85">
        <f t="shared" si="71"/>
        <v>800</v>
      </c>
      <c r="M129" s="85">
        <f t="shared" si="72"/>
        <v>41.25</v>
      </c>
      <c r="N129" s="51">
        <f t="shared" si="60"/>
        <v>61441.25</v>
      </c>
      <c r="O129" s="1" t="s">
        <v>57</v>
      </c>
      <c r="P129" s="1"/>
    </row>
    <row r="130" spans="2:16" x14ac:dyDescent="0.25">
      <c r="D130" s="98"/>
      <c r="F130" s="100"/>
      <c r="G130" s="85"/>
      <c r="H130" s="85"/>
      <c r="I130" s="85"/>
      <c r="K130" s="5"/>
      <c r="L130" s="85"/>
      <c r="M130" s="85"/>
      <c r="N130" s="51"/>
    </row>
    <row r="131" spans="2:16" x14ac:dyDescent="0.25">
      <c r="B131" s="1">
        <v>1</v>
      </c>
      <c r="C131" s="1" t="s">
        <v>121</v>
      </c>
      <c r="D131" s="98">
        <v>50000</v>
      </c>
      <c r="F131" s="100">
        <v>22</v>
      </c>
      <c r="G131" s="85">
        <f>D131/192*1.5*E131</f>
        <v>0</v>
      </c>
      <c r="H131" s="85">
        <f>D131/192*2*F131</f>
        <v>11458.333333333334</v>
      </c>
      <c r="I131" s="85">
        <f>D131*$I$5</f>
        <v>5000</v>
      </c>
      <c r="J131" s="5">
        <v>5000</v>
      </c>
      <c r="K131" s="5">
        <f>D131*$K$5</f>
        <v>600</v>
      </c>
      <c r="L131" s="85">
        <f t="shared" ref="L131" si="73">D131*$L$108</f>
        <v>800</v>
      </c>
      <c r="M131" s="85">
        <f t="shared" ref="M131" si="74">(D131*0.5%)*16.5%</f>
        <v>41.25</v>
      </c>
      <c r="N131" s="51">
        <f t="shared" si="60"/>
        <v>72899.583333333343</v>
      </c>
      <c r="O131" s="1" t="s">
        <v>122</v>
      </c>
    </row>
    <row r="132" spans="2:16" x14ac:dyDescent="0.25">
      <c r="D132" s="116"/>
      <c r="F132" s="100"/>
      <c r="G132" s="85"/>
      <c r="H132" s="85"/>
      <c r="I132" s="85"/>
      <c r="K132" s="5"/>
      <c r="L132" s="85"/>
      <c r="M132" s="85"/>
      <c r="N132" s="51"/>
    </row>
    <row r="133" spans="2:16" ht="16.5" thickBot="1" x14ac:dyDescent="0.3">
      <c r="B133" s="117"/>
      <c r="C133" s="118" t="s">
        <v>33</v>
      </c>
      <c r="D133" s="119">
        <f>SUM(D109:D132)</f>
        <v>759431.81818181812</v>
      </c>
      <c r="E133" s="120"/>
      <c r="F133" s="121"/>
      <c r="G133" s="119">
        <f t="shared" ref="G133:N133" si="75">SUM(G109:G132)</f>
        <v>15625</v>
      </c>
      <c r="H133" s="119">
        <f t="shared" si="75"/>
        <v>11458.333333333334</v>
      </c>
      <c r="I133" s="119">
        <f t="shared" si="75"/>
        <v>74125</v>
      </c>
      <c r="J133" s="119">
        <f t="shared" si="75"/>
        <v>65000</v>
      </c>
      <c r="K133" s="119">
        <f t="shared" si="75"/>
        <v>8895</v>
      </c>
      <c r="L133" s="119">
        <f t="shared" si="75"/>
        <v>11860</v>
      </c>
      <c r="M133" s="119">
        <f t="shared" si="75"/>
        <v>611.53125</v>
      </c>
      <c r="N133" s="119">
        <f t="shared" si="75"/>
        <v>947006.68276515161</v>
      </c>
      <c r="O133" s="118"/>
      <c r="P133" s="117"/>
    </row>
    <row r="134" spans="2:16" ht="15.75" thickTop="1" x14ac:dyDescent="0.25">
      <c r="D134" s="122">
        <v>1</v>
      </c>
      <c r="F134" s="100"/>
      <c r="G134" s="123">
        <v>2</v>
      </c>
      <c r="H134" s="123">
        <v>3</v>
      </c>
      <c r="I134" s="123">
        <v>4</v>
      </c>
      <c r="J134" s="99">
        <v>5</v>
      </c>
      <c r="K134" s="123">
        <v>6</v>
      </c>
      <c r="L134" s="123">
        <v>7</v>
      </c>
      <c r="M134" s="123">
        <v>8</v>
      </c>
      <c r="N134" s="51"/>
    </row>
    <row r="135" spans="2:16" ht="15.75" x14ac:dyDescent="0.25">
      <c r="C135" s="124" t="s">
        <v>123</v>
      </c>
      <c r="D135" s="117"/>
      <c r="N135" s="51"/>
    </row>
    <row r="136" spans="2:16" ht="15.75" x14ac:dyDescent="0.25">
      <c r="C136" s="75" t="s">
        <v>124</v>
      </c>
      <c r="D136" s="84">
        <f>+D133+G133+H133</f>
        <v>786515.15151515149</v>
      </c>
      <c r="G136" s="85"/>
      <c r="H136" s="85"/>
      <c r="L136" s="85"/>
      <c r="M136" s="85"/>
      <c r="N136" s="51"/>
    </row>
    <row r="137" spans="2:16" ht="15.75" x14ac:dyDescent="0.25">
      <c r="C137" s="75" t="s">
        <v>85</v>
      </c>
      <c r="D137" s="84">
        <f>+I133</f>
        <v>74125</v>
      </c>
      <c r="G137" s="85"/>
      <c r="H137" s="85"/>
      <c r="N137" s="51"/>
    </row>
    <row r="138" spans="2:16" ht="15.75" x14ac:dyDescent="0.25">
      <c r="C138" s="75" t="s">
        <v>86</v>
      </c>
      <c r="D138" s="84">
        <f>+K133+L133</f>
        <v>20755</v>
      </c>
      <c r="G138" s="85"/>
      <c r="H138" s="85"/>
      <c r="N138" s="51"/>
    </row>
    <row r="139" spans="2:16" ht="15.75" x14ac:dyDescent="0.25">
      <c r="C139" s="75" t="s">
        <v>87</v>
      </c>
      <c r="D139" s="84">
        <f>+M133</f>
        <v>611.53125</v>
      </c>
      <c r="G139" s="85"/>
      <c r="H139" s="85"/>
      <c r="N139" s="51"/>
    </row>
    <row r="140" spans="2:16" ht="15.75" x14ac:dyDescent="0.25">
      <c r="C140" s="75" t="s">
        <v>88</v>
      </c>
      <c r="D140" s="84">
        <f>+J133</f>
        <v>65000</v>
      </c>
      <c r="G140" s="85"/>
      <c r="H140" s="85"/>
      <c r="N140" s="51"/>
    </row>
    <row r="141" spans="2:16" ht="15.75" x14ac:dyDescent="0.25">
      <c r="C141" s="75" t="s">
        <v>125</v>
      </c>
      <c r="D141" s="84">
        <f>12000+51174.97+125000</f>
        <v>188174.97</v>
      </c>
      <c r="E141" s="11" t="s">
        <v>234</v>
      </c>
      <c r="G141" s="85"/>
      <c r="H141" s="85"/>
      <c r="N141" s="51"/>
    </row>
    <row r="142" spans="2:16" ht="15.75" x14ac:dyDescent="0.25">
      <c r="C142" s="75" t="s">
        <v>98</v>
      </c>
      <c r="D142" s="84">
        <v>531300</v>
      </c>
      <c r="E142" s="123"/>
      <c r="G142" s="5"/>
      <c r="H142" s="5"/>
      <c r="N142" s="51"/>
    </row>
    <row r="143" spans="2:16" ht="15.75" x14ac:dyDescent="0.25">
      <c r="C143" s="12" t="s">
        <v>99</v>
      </c>
      <c r="D143" s="88">
        <f>SUM(D136:E142)</f>
        <v>1666481.6527651516</v>
      </c>
      <c r="E143" s="101"/>
      <c r="F143" s="101"/>
      <c r="G143" s="21"/>
      <c r="H143" s="21"/>
      <c r="N143" s="51"/>
    </row>
    <row r="144" spans="2:16" x14ac:dyDescent="0.25">
      <c r="C144" s="12"/>
      <c r="D144" s="103"/>
      <c r="E144" s="101"/>
      <c r="F144" s="101"/>
      <c r="G144" s="21"/>
      <c r="H144" s="21"/>
      <c r="N144" s="51"/>
    </row>
    <row r="145" spans="3:14" x14ac:dyDescent="0.25">
      <c r="C145" s="12"/>
      <c r="D145" s="103"/>
      <c r="E145" s="101"/>
      <c r="F145" s="101"/>
      <c r="G145" s="21"/>
      <c r="H145" s="21"/>
      <c r="N145" s="51"/>
    </row>
    <row r="146" spans="3:14" x14ac:dyDescent="0.25">
      <c r="C146" s="12" t="s">
        <v>100</v>
      </c>
      <c r="D146" s="103"/>
      <c r="E146" s="101"/>
      <c r="F146" s="101"/>
      <c r="G146" s="21"/>
      <c r="H146" s="21"/>
      <c r="N146" s="51"/>
    </row>
    <row r="147" spans="3:14" x14ac:dyDescent="0.25">
      <c r="C147" s="125">
        <v>44637</v>
      </c>
      <c r="D147" s="103"/>
      <c r="E147" s="101"/>
      <c r="F147" s="101"/>
      <c r="G147" s="21"/>
      <c r="H147" s="21"/>
      <c r="N147" s="51"/>
    </row>
    <row r="148" spans="3:14" x14ac:dyDescent="0.25">
      <c r="N148" s="51"/>
    </row>
    <row r="149" spans="3:14" x14ac:dyDescent="0.25">
      <c r="N149" s="51"/>
    </row>
    <row r="150" spans="3:14" x14ac:dyDescent="0.25">
      <c r="N150" s="51"/>
    </row>
    <row r="151" spans="3:14" x14ac:dyDescent="0.25">
      <c r="N151" s="51"/>
    </row>
    <row r="152" spans="3:14" x14ac:dyDescent="0.25">
      <c r="N152" s="51"/>
    </row>
    <row r="153" spans="3:14" x14ac:dyDescent="0.25">
      <c r="N153" s="5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"/>
  <sheetViews>
    <sheetView tabSelected="1" view="pageBreakPreview" topLeftCell="C9" zoomScale="60" zoomScaleNormal="100" workbookViewId="0">
      <selection activeCell="AA105" sqref="AA105"/>
    </sheetView>
  </sheetViews>
  <sheetFormatPr defaultRowHeight="15" x14ac:dyDescent="0.25"/>
  <cols>
    <col min="1" max="1" width="22.7109375" style="1" customWidth="1"/>
    <col min="2" max="2" width="15" style="1" customWidth="1"/>
    <col min="3" max="3" width="12.42578125" style="150" customWidth="1"/>
    <col min="4" max="4" width="16.7109375" style="47" customWidth="1"/>
    <col min="5" max="5" width="13.5703125" style="11" customWidth="1"/>
    <col min="6" max="6" width="12.7109375" style="11" customWidth="1"/>
    <col min="7" max="8" width="11.7109375" style="1" customWidth="1"/>
    <col min="9" max="9" width="11.5703125" style="1" customWidth="1"/>
    <col min="10" max="10" width="11.42578125" style="5" customWidth="1"/>
    <col min="11" max="11" width="10.85546875" style="1" customWidth="1"/>
    <col min="12" max="12" width="13.140625" style="1" customWidth="1"/>
    <col min="13" max="13" width="9.85546875" style="1" customWidth="1"/>
    <col min="14" max="14" width="11.5703125" style="1" customWidth="1"/>
    <col min="15" max="15" width="17.28515625" style="1" customWidth="1"/>
    <col min="16" max="16" width="12.5703125" style="1" customWidth="1"/>
    <col min="17" max="17" width="9.140625" style="1"/>
    <col min="18" max="18" width="18" style="1" customWidth="1"/>
    <col min="19" max="19" width="9.140625" style="1" customWidth="1"/>
    <col min="20" max="20" width="12.140625" style="1" customWidth="1"/>
    <col min="21" max="262" width="9.140625" style="1"/>
    <col min="263" max="263" width="27.140625" style="1" bestFit="1" customWidth="1"/>
    <col min="264" max="264" width="11.7109375" style="1" bestFit="1" customWidth="1"/>
    <col min="265" max="265" width="10" style="1" customWidth="1"/>
    <col min="266" max="266" width="10.5703125" style="1" bestFit="1" customWidth="1"/>
    <col min="267" max="267" width="10.5703125" style="1" customWidth="1"/>
    <col min="268" max="268" width="9.140625" style="1"/>
    <col min="269" max="269" width="10.7109375" style="1" customWidth="1"/>
    <col min="270" max="270" width="11.7109375" style="1" customWidth="1"/>
    <col min="271" max="271" width="13.28515625" style="1" customWidth="1"/>
    <col min="272" max="518" width="9.140625" style="1"/>
    <col min="519" max="519" width="27.140625" style="1" bestFit="1" customWidth="1"/>
    <col min="520" max="520" width="11.7109375" style="1" bestFit="1" customWidth="1"/>
    <col min="521" max="521" width="10" style="1" customWidth="1"/>
    <col min="522" max="522" width="10.5703125" style="1" bestFit="1" customWidth="1"/>
    <col min="523" max="523" width="10.5703125" style="1" customWidth="1"/>
    <col min="524" max="524" width="9.140625" style="1"/>
    <col min="525" max="525" width="10.7109375" style="1" customWidth="1"/>
    <col min="526" max="526" width="11.7109375" style="1" customWidth="1"/>
    <col min="527" max="527" width="13.28515625" style="1" customWidth="1"/>
    <col min="528" max="774" width="9.140625" style="1"/>
    <col min="775" max="775" width="27.140625" style="1" bestFit="1" customWidth="1"/>
    <col min="776" max="776" width="11.7109375" style="1" bestFit="1" customWidth="1"/>
    <col min="777" max="777" width="10" style="1" customWidth="1"/>
    <col min="778" max="778" width="10.5703125" style="1" bestFit="1" customWidth="1"/>
    <col min="779" max="779" width="10.5703125" style="1" customWidth="1"/>
    <col min="780" max="780" width="9.140625" style="1"/>
    <col min="781" max="781" width="10.7109375" style="1" customWidth="1"/>
    <col min="782" max="782" width="11.7109375" style="1" customWidth="1"/>
    <col min="783" max="783" width="13.28515625" style="1" customWidth="1"/>
    <col min="784" max="1030" width="9.140625" style="1"/>
    <col min="1031" max="1031" width="27.140625" style="1" bestFit="1" customWidth="1"/>
    <col min="1032" max="1032" width="11.7109375" style="1" bestFit="1" customWidth="1"/>
    <col min="1033" max="1033" width="10" style="1" customWidth="1"/>
    <col min="1034" max="1034" width="10.5703125" style="1" bestFit="1" customWidth="1"/>
    <col min="1035" max="1035" width="10.5703125" style="1" customWidth="1"/>
    <col min="1036" max="1036" width="9.140625" style="1"/>
    <col min="1037" max="1037" width="10.7109375" style="1" customWidth="1"/>
    <col min="1038" max="1038" width="11.7109375" style="1" customWidth="1"/>
    <col min="1039" max="1039" width="13.28515625" style="1" customWidth="1"/>
    <col min="1040" max="1286" width="9.140625" style="1"/>
    <col min="1287" max="1287" width="27.140625" style="1" bestFit="1" customWidth="1"/>
    <col min="1288" max="1288" width="11.7109375" style="1" bestFit="1" customWidth="1"/>
    <col min="1289" max="1289" width="10" style="1" customWidth="1"/>
    <col min="1290" max="1290" width="10.5703125" style="1" bestFit="1" customWidth="1"/>
    <col min="1291" max="1291" width="10.5703125" style="1" customWidth="1"/>
    <col min="1292" max="1292" width="9.140625" style="1"/>
    <col min="1293" max="1293" width="10.7109375" style="1" customWidth="1"/>
    <col min="1294" max="1294" width="11.7109375" style="1" customWidth="1"/>
    <col min="1295" max="1295" width="13.28515625" style="1" customWidth="1"/>
    <col min="1296" max="1542" width="9.140625" style="1"/>
    <col min="1543" max="1543" width="27.140625" style="1" bestFit="1" customWidth="1"/>
    <col min="1544" max="1544" width="11.7109375" style="1" bestFit="1" customWidth="1"/>
    <col min="1545" max="1545" width="10" style="1" customWidth="1"/>
    <col min="1546" max="1546" width="10.5703125" style="1" bestFit="1" customWidth="1"/>
    <col min="1547" max="1547" width="10.5703125" style="1" customWidth="1"/>
    <col min="1548" max="1548" width="9.140625" style="1"/>
    <col min="1549" max="1549" width="10.7109375" style="1" customWidth="1"/>
    <col min="1550" max="1550" width="11.7109375" style="1" customWidth="1"/>
    <col min="1551" max="1551" width="13.28515625" style="1" customWidth="1"/>
    <col min="1552" max="1798" width="9.140625" style="1"/>
    <col min="1799" max="1799" width="27.140625" style="1" bestFit="1" customWidth="1"/>
    <col min="1800" max="1800" width="11.7109375" style="1" bestFit="1" customWidth="1"/>
    <col min="1801" max="1801" width="10" style="1" customWidth="1"/>
    <col min="1802" max="1802" width="10.5703125" style="1" bestFit="1" customWidth="1"/>
    <col min="1803" max="1803" width="10.5703125" style="1" customWidth="1"/>
    <col min="1804" max="1804" width="9.140625" style="1"/>
    <col min="1805" max="1805" width="10.7109375" style="1" customWidth="1"/>
    <col min="1806" max="1806" width="11.7109375" style="1" customWidth="1"/>
    <col min="1807" max="1807" width="13.28515625" style="1" customWidth="1"/>
    <col min="1808" max="2054" width="9.140625" style="1"/>
    <col min="2055" max="2055" width="27.140625" style="1" bestFit="1" customWidth="1"/>
    <col min="2056" max="2056" width="11.7109375" style="1" bestFit="1" customWidth="1"/>
    <col min="2057" max="2057" width="10" style="1" customWidth="1"/>
    <col min="2058" max="2058" width="10.5703125" style="1" bestFit="1" customWidth="1"/>
    <col min="2059" max="2059" width="10.5703125" style="1" customWidth="1"/>
    <col min="2060" max="2060" width="9.140625" style="1"/>
    <col min="2061" max="2061" width="10.7109375" style="1" customWidth="1"/>
    <col min="2062" max="2062" width="11.7109375" style="1" customWidth="1"/>
    <col min="2063" max="2063" width="13.28515625" style="1" customWidth="1"/>
    <col min="2064" max="2310" width="9.140625" style="1"/>
    <col min="2311" max="2311" width="27.140625" style="1" bestFit="1" customWidth="1"/>
    <col min="2312" max="2312" width="11.7109375" style="1" bestFit="1" customWidth="1"/>
    <col min="2313" max="2313" width="10" style="1" customWidth="1"/>
    <col min="2314" max="2314" width="10.5703125" style="1" bestFit="1" customWidth="1"/>
    <col min="2315" max="2315" width="10.5703125" style="1" customWidth="1"/>
    <col min="2316" max="2316" width="9.140625" style="1"/>
    <col min="2317" max="2317" width="10.7109375" style="1" customWidth="1"/>
    <col min="2318" max="2318" width="11.7109375" style="1" customWidth="1"/>
    <col min="2319" max="2319" width="13.28515625" style="1" customWidth="1"/>
    <col min="2320" max="2566" width="9.140625" style="1"/>
    <col min="2567" max="2567" width="27.140625" style="1" bestFit="1" customWidth="1"/>
    <col min="2568" max="2568" width="11.7109375" style="1" bestFit="1" customWidth="1"/>
    <col min="2569" max="2569" width="10" style="1" customWidth="1"/>
    <col min="2570" max="2570" width="10.5703125" style="1" bestFit="1" customWidth="1"/>
    <col min="2571" max="2571" width="10.5703125" style="1" customWidth="1"/>
    <col min="2572" max="2572" width="9.140625" style="1"/>
    <col min="2573" max="2573" width="10.7109375" style="1" customWidth="1"/>
    <col min="2574" max="2574" width="11.7109375" style="1" customWidth="1"/>
    <col min="2575" max="2575" width="13.28515625" style="1" customWidth="1"/>
    <col min="2576" max="2822" width="9.140625" style="1"/>
    <col min="2823" max="2823" width="27.140625" style="1" bestFit="1" customWidth="1"/>
    <col min="2824" max="2824" width="11.7109375" style="1" bestFit="1" customWidth="1"/>
    <col min="2825" max="2825" width="10" style="1" customWidth="1"/>
    <col min="2826" max="2826" width="10.5703125" style="1" bestFit="1" customWidth="1"/>
    <col min="2827" max="2827" width="10.5703125" style="1" customWidth="1"/>
    <col min="2828" max="2828" width="9.140625" style="1"/>
    <col min="2829" max="2829" width="10.7109375" style="1" customWidth="1"/>
    <col min="2830" max="2830" width="11.7109375" style="1" customWidth="1"/>
    <col min="2831" max="2831" width="13.28515625" style="1" customWidth="1"/>
    <col min="2832" max="3078" width="9.140625" style="1"/>
    <col min="3079" max="3079" width="27.140625" style="1" bestFit="1" customWidth="1"/>
    <col min="3080" max="3080" width="11.7109375" style="1" bestFit="1" customWidth="1"/>
    <col min="3081" max="3081" width="10" style="1" customWidth="1"/>
    <col min="3082" max="3082" width="10.5703125" style="1" bestFit="1" customWidth="1"/>
    <col min="3083" max="3083" width="10.5703125" style="1" customWidth="1"/>
    <col min="3084" max="3084" width="9.140625" style="1"/>
    <col min="3085" max="3085" width="10.7109375" style="1" customWidth="1"/>
    <col min="3086" max="3086" width="11.7109375" style="1" customWidth="1"/>
    <col min="3087" max="3087" width="13.28515625" style="1" customWidth="1"/>
    <col min="3088" max="3334" width="9.140625" style="1"/>
    <col min="3335" max="3335" width="27.140625" style="1" bestFit="1" customWidth="1"/>
    <col min="3336" max="3336" width="11.7109375" style="1" bestFit="1" customWidth="1"/>
    <col min="3337" max="3337" width="10" style="1" customWidth="1"/>
    <col min="3338" max="3338" width="10.5703125" style="1" bestFit="1" customWidth="1"/>
    <col min="3339" max="3339" width="10.5703125" style="1" customWidth="1"/>
    <col min="3340" max="3340" width="9.140625" style="1"/>
    <col min="3341" max="3341" width="10.7109375" style="1" customWidth="1"/>
    <col min="3342" max="3342" width="11.7109375" style="1" customWidth="1"/>
    <col min="3343" max="3343" width="13.28515625" style="1" customWidth="1"/>
    <col min="3344" max="3590" width="9.140625" style="1"/>
    <col min="3591" max="3591" width="27.140625" style="1" bestFit="1" customWidth="1"/>
    <col min="3592" max="3592" width="11.7109375" style="1" bestFit="1" customWidth="1"/>
    <col min="3593" max="3593" width="10" style="1" customWidth="1"/>
    <col min="3594" max="3594" width="10.5703125" style="1" bestFit="1" customWidth="1"/>
    <col min="3595" max="3595" width="10.5703125" style="1" customWidth="1"/>
    <col min="3596" max="3596" width="9.140625" style="1"/>
    <col min="3597" max="3597" width="10.7109375" style="1" customWidth="1"/>
    <col min="3598" max="3598" width="11.7109375" style="1" customWidth="1"/>
    <col min="3599" max="3599" width="13.28515625" style="1" customWidth="1"/>
    <col min="3600" max="3846" width="9.140625" style="1"/>
    <col min="3847" max="3847" width="27.140625" style="1" bestFit="1" customWidth="1"/>
    <col min="3848" max="3848" width="11.7109375" style="1" bestFit="1" customWidth="1"/>
    <col min="3849" max="3849" width="10" style="1" customWidth="1"/>
    <col min="3850" max="3850" width="10.5703125" style="1" bestFit="1" customWidth="1"/>
    <col min="3851" max="3851" width="10.5703125" style="1" customWidth="1"/>
    <col min="3852" max="3852" width="9.140625" style="1"/>
    <col min="3853" max="3853" width="10.7109375" style="1" customWidth="1"/>
    <col min="3854" max="3854" width="11.7109375" style="1" customWidth="1"/>
    <col min="3855" max="3855" width="13.28515625" style="1" customWidth="1"/>
    <col min="3856" max="4102" width="9.140625" style="1"/>
    <col min="4103" max="4103" width="27.140625" style="1" bestFit="1" customWidth="1"/>
    <col min="4104" max="4104" width="11.7109375" style="1" bestFit="1" customWidth="1"/>
    <col min="4105" max="4105" width="10" style="1" customWidth="1"/>
    <col min="4106" max="4106" width="10.5703125" style="1" bestFit="1" customWidth="1"/>
    <col min="4107" max="4107" width="10.5703125" style="1" customWidth="1"/>
    <col min="4108" max="4108" width="9.140625" style="1"/>
    <col min="4109" max="4109" width="10.7109375" style="1" customWidth="1"/>
    <col min="4110" max="4110" width="11.7109375" style="1" customWidth="1"/>
    <col min="4111" max="4111" width="13.28515625" style="1" customWidth="1"/>
    <col min="4112" max="4358" width="9.140625" style="1"/>
    <col min="4359" max="4359" width="27.140625" style="1" bestFit="1" customWidth="1"/>
    <col min="4360" max="4360" width="11.7109375" style="1" bestFit="1" customWidth="1"/>
    <col min="4361" max="4361" width="10" style="1" customWidth="1"/>
    <col min="4362" max="4362" width="10.5703125" style="1" bestFit="1" customWidth="1"/>
    <col min="4363" max="4363" width="10.5703125" style="1" customWidth="1"/>
    <col min="4364" max="4364" width="9.140625" style="1"/>
    <col min="4365" max="4365" width="10.7109375" style="1" customWidth="1"/>
    <col min="4366" max="4366" width="11.7109375" style="1" customWidth="1"/>
    <col min="4367" max="4367" width="13.28515625" style="1" customWidth="1"/>
    <col min="4368" max="4614" width="9.140625" style="1"/>
    <col min="4615" max="4615" width="27.140625" style="1" bestFit="1" customWidth="1"/>
    <col min="4616" max="4616" width="11.7109375" style="1" bestFit="1" customWidth="1"/>
    <col min="4617" max="4617" width="10" style="1" customWidth="1"/>
    <col min="4618" max="4618" width="10.5703125" style="1" bestFit="1" customWidth="1"/>
    <col min="4619" max="4619" width="10.5703125" style="1" customWidth="1"/>
    <col min="4620" max="4620" width="9.140625" style="1"/>
    <col min="4621" max="4621" width="10.7109375" style="1" customWidth="1"/>
    <col min="4622" max="4622" width="11.7109375" style="1" customWidth="1"/>
    <col min="4623" max="4623" width="13.28515625" style="1" customWidth="1"/>
    <col min="4624" max="4870" width="9.140625" style="1"/>
    <col min="4871" max="4871" width="27.140625" style="1" bestFit="1" customWidth="1"/>
    <col min="4872" max="4872" width="11.7109375" style="1" bestFit="1" customWidth="1"/>
    <col min="4873" max="4873" width="10" style="1" customWidth="1"/>
    <col min="4874" max="4874" width="10.5703125" style="1" bestFit="1" customWidth="1"/>
    <col min="4875" max="4875" width="10.5703125" style="1" customWidth="1"/>
    <col min="4876" max="4876" width="9.140625" style="1"/>
    <col min="4877" max="4877" width="10.7109375" style="1" customWidth="1"/>
    <col min="4878" max="4878" width="11.7109375" style="1" customWidth="1"/>
    <col min="4879" max="4879" width="13.28515625" style="1" customWidth="1"/>
    <col min="4880" max="5126" width="9.140625" style="1"/>
    <col min="5127" max="5127" width="27.140625" style="1" bestFit="1" customWidth="1"/>
    <col min="5128" max="5128" width="11.7109375" style="1" bestFit="1" customWidth="1"/>
    <col min="5129" max="5129" width="10" style="1" customWidth="1"/>
    <col min="5130" max="5130" width="10.5703125" style="1" bestFit="1" customWidth="1"/>
    <col min="5131" max="5131" width="10.5703125" style="1" customWidth="1"/>
    <col min="5132" max="5132" width="9.140625" style="1"/>
    <col min="5133" max="5133" width="10.7109375" style="1" customWidth="1"/>
    <col min="5134" max="5134" width="11.7109375" style="1" customWidth="1"/>
    <col min="5135" max="5135" width="13.28515625" style="1" customWidth="1"/>
    <col min="5136" max="5382" width="9.140625" style="1"/>
    <col min="5383" max="5383" width="27.140625" style="1" bestFit="1" customWidth="1"/>
    <col min="5384" max="5384" width="11.7109375" style="1" bestFit="1" customWidth="1"/>
    <col min="5385" max="5385" width="10" style="1" customWidth="1"/>
    <col min="5386" max="5386" width="10.5703125" style="1" bestFit="1" customWidth="1"/>
    <col min="5387" max="5387" width="10.5703125" style="1" customWidth="1"/>
    <col min="5388" max="5388" width="9.140625" style="1"/>
    <col min="5389" max="5389" width="10.7109375" style="1" customWidth="1"/>
    <col min="5390" max="5390" width="11.7109375" style="1" customWidth="1"/>
    <col min="5391" max="5391" width="13.28515625" style="1" customWidth="1"/>
    <col min="5392" max="5638" width="9.140625" style="1"/>
    <col min="5639" max="5639" width="27.140625" style="1" bestFit="1" customWidth="1"/>
    <col min="5640" max="5640" width="11.7109375" style="1" bestFit="1" customWidth="1"/>
    <col min="5641" max="5641" width="10" style="1" customWidth="1"/>
    <col min="5642" max="5642" width="10.5703125" style="1" bestFit="1" customWidth="1"/>
    <col min="5643" max="5643" width="10.5703125" style="1" customWidth="1"/>
    <col min="5644" max="5644" width="9.140625" style="1"/>
    <col min="5645" max="5645" width="10.7109375" style="1" customWidth="1"/>
    <col min="5646" max="5646" width="11.7109375" style="1" customWidth="1"/>
    <col min="5647" max="5647" width="13.28515625" style="1" customWidth="1"/>
    <col min="5648" max="5894" width="9.140625" style="1"/>
    <col min="5895" max="5895" width="27.140625" style="1" bestFit="1" customWidth="1"/>
    <col min="5896" max="5896" width="11.7109375" style="1" bestFit="1" customWidth="1"/>
    <col min="5897" max="5897" width="10" style="1" customWidth="1"/>
    <col min="5898" max="5898" width="10.5703125" style="1" bestFit="1" customWidth="1"/>
    <col min="5899" max="5899" width="10.5703125" style="1" customWidth="1"/>
    <col min="5900" max="5900" width="9.140625" style="1"/>
    <col min="5901" max="5901" width="10.7109375" style="1" customWidth="1"/>
    <col min="5902" max="5902" width="11.7109375" style="1" customWidth="1"/>
    <col min="5903" max="5903" width="13.28515625" style="1" customWidth="1"/>
    <col min="5904" max="6150" width="9.140625" style="1"/>
    <col min="6151" max="6151" width="27.140625" style="1" bestFit="1" customWidth="1"/>
    <col min="6152" max="6152" width="11.7109375" style="1" bestFit="1" customWidth="1"/>
    <col min="6153" max="6153" width="10" style="1" customWidth="1"/>
    <col min="6154" max="6154" width="10.5703125" style="1" bestFit="1" customWidth="1"/>
    <col min="6155" max="6155" width="10.5703125" style="1" customWidth="1"/>
    <col min="6156" max="6156" width="9.140625" style="1"/>
    <col min="6157" max="6157" width="10.7109375" style="1" customWidth="1"/>
    <col min="6158" max="6158" width="11.7109375" style="1" customWidth="1"/>
    <col min="6159" max="6159" width="13.28515625" style="1" customWidth="1"/>
    <col min="6160" max="6406" width="9.140625" style="1"/>
    <col min="6407" max="6407" width="27.140625" style="1" bestFit="1" customWidth="1"/>
    <col min="6408" max="6408" width="11.7109375" style="1" bestFit="1" customWidth="1"/>
    <col min="6409" max="6409" width="10" style="1" customWidth="1"/>
    <col min="6410" max="6410" width="10.5703125" style="1" bestFit="1" customWidth="1"/>
    <col min="6411" max="6411" width="10.5703125" style="1" customWidth="1"/>
    <col min="6412" max="6412" width="9.140625" style="1"/>
    <col min="6413" max="6413" width="10.7109375" style="1" customWidth="1"/>
    <col min="6414" max="6414" width="11.7109375" style="1" customWidth="1"/>
    <col min="6415" max="6415" width="13.28515625" style="1" customWidth="1"/>
    <col min="6416" max="6662" width="9.140625" style="1"/>
    <col min="6663" max="6663" width="27.140625" style="1" bestFit="1" customWidth="1"/>
    <col min="6664" max="6664" width="11.7109375" style="1" bestFit="1" customWidth="1"/>
    <col min="6665" max="6665" width="10" style="1" customWidth="1"/>
    <col min="6666" max="6666" width="10.5703125" style="1" bestFit="1" customWidth="1"/>
    <col min="6667" max="6667" width="10.5703125" style="1" customWidth="1"/>
    <col min="6668" max="6668" width="9.140625" style="1"/>
    <col min="6669" max="6669" width="10.7109375" style="1" customWidth="1"/>
    <col min="6670" max="6670" width="11.7109375" style="1" customWidth="1"/>
    <col min="6671" max="6671" width="13.28515625" style="1" customWidth="1"/>
    <col min="6672" max="6918" width="9.140625" style="1"/>
    <col min="6919" max="6919" width="27.140625" style="1" bestFit="1" customWidth="1"/>
    <col min="6920" max="6920" width="11.7109375" style="1" bestFit="1" customWidth="1"/>
    <col min="6921" max="6921" width="10" style="1" customWidth="1"/>
    <col min="6922" max="6922" width="10.5703125" style="1" bestFit="1" customWidth="1"/>
    <col min="6923" max="6923" width="10.5703125" style="1" customWidth="1"/>
    <col min="6924" max="6924" width="9.140625" style="1"/>
    <col min="6925" max="6925" width="10.7109375" style="1" customWidth="1"/>
    <col min="6926" max="6926" width="11.7109375" style="1" customWidth="1"/>
    <col min="6927" max="6927" width="13.28515625" style="1" customWidth="1"/>
    <col min="6928" max="7174" width="9.140625" style="1"/>
    <col min="7175" max="7175" width="27.140625" style="1" bestFit="1" customWidth="1"/>
    <col min="7176" max="7176" width="11.7109375" style="1" bestFit="1" customWidth="1"/>
    <col min="7177" max="7177" width="10" style="1" customWidth="1"/>
    <col min="7178" max="7178" width="10.5703125" style="1" bestFit="1" customWidth="1"/>
    <col min="7179" max="7179" width="10.5703125" style="1" customWidth="1"/>
    <col min="7180" max="7180" width="9.140625" style="1"/>
    <col min="7181" max="7181" width="10.7109375" style="1" customWidth="1"/>
    <col min="7182" max="7182" width="11.7109375" style="1" customWidth="1"/>
    <col min="7183" max="7183" width="13.28515625" style="1" customWidth="1"/>
    <col min="7184" max="7430" width="9.140625" style="1"/>
    <col min="7431" max="7431" width="27.140625" style="1" bestFit="1" customWidth="1"/>
    <col min="7432" max="7432" width="11.7109375" style="1" bestFit="1" customWidth="1"/>
    <col min="7433" max="7433" width="10" style="1" customWidth="1"/>
    <col min="7434" max="7434" width="10.5703125" style="1" bestFit="1" customWidth="1"/>
    <col min="7435" max="7435" width="10.5703125" style="1" customWidth="1"/>
    <col min="7436" max="7436" width="9.140625" style="1"/>
    <col min="7437" max="7437" width="10.7109375" style="1" customWidth="1"/>
    <col min="7438" max="7438" width="11.7109375" style="1" customWidth="1"/>
    <col min="7439" max="7439" width="13.28515625" style="1" customWidth="1"/>
    <col min="7440" max="7686" width="9.140625" style="1"/>
    <col min="7687" max="7687" width="27.140625" style="1" bestFit="1" customWidth="1"/>
    <col min="7688" max="7688" width="11.7109375" style="1" bestFit="1" customWidth="1"/>
    <col min="7689" max="7689" width="10" style="1" customWidth="1"/>
    <col min="7690" max="7690" width="10.5703125" style="1" bestFit="1" customWidth="1"/>
    <col min="7691" max="7691" width="10.5703125" style="1" customWidth="1"/>
    <col min="7692" max="7692" width="9.140625" style="1"/>
    <col min="7693" max="7693" width="10.7109375" style="1" customWidth="1"/>
    <col min="7694" max="7694" width="11.7109375" style="1" customWidth="1"/>
    <col min="7695" max="7695" width="13.28515625" style="1" customWidth="1"/>
    <col min="7696" max="7942" width="9.140625" style="1"/>
    <col min="7943" max="7943" width="27.140625" style="1" bestFit="1" customWidth="1"/>
    <col min="7944" max="7944" width="11.7109375" style="1" bestFit="1" customWidth="1"/>
    <col min="7945" max="7945" width="10" style="1" customWidth="1"/>
    <col min="7946" max="7946" width="10.5703125" style="1" bestFit="1" customWidth="1"/>
    <col min="7947" max="7947" width="10.5703125" style="1" customWidth="1"/>
    <col min="7948" max="7948" width="9.140625" style="1"/>
    <col min="7949" max="7949" width="10.7109375" style="1" customWidth="1"/>
    <col min="7950" max="7950" width="11.7109375" style="1" customWidth="1"/>
    <col min="7951" max="7951" width="13.28515625" style="1" customWidth="1"/>
    <col min="7952" max="8198" width="9.140625" style="1"/>
    <col min="8199" max="8199" width="27.140625" style="1" bestFit="1" customWidth="1"/>
    <col min="8200" max="8200" width="11.7109375" style="1" bestFit="1" customWidth="1"/>
    <col min="8201" max="8201" width="10" style="1" customWidth="1"/>
    <col min="8202" max="8202" width="10.5703125" style="1" bestFit="1" customWidth="1"/>
    <col min="8203" max="8203" width="10.5703125" style="1" customWidth="1"/>
    <col min="8204" max="8204" width="9.140625" style="1"/>
    <col min="8205" max="8205" width="10.7109375" style="1" customWidth="1"/>
    <col min="8206" max="8206" width="11.7109375" style="1" customWidth="1"/>
    <col min="8207" max="8207" width="13.28515625" style="1" customWidth="1"/>
    <col min="8208" max="8454" width="9.140625" style="1"/>
    <col min="8455" max="8455" width="27.140625" style="1" bestFit="1" customWidth="1"/>
    <col min="8456" max="8456" width="11.7109375" style="1" bestFit="1" customWidth="1"/>
    <col min="8457" max="8457" width="10" style="1" customWidth="1"/>
    <col min="8458" max="8458" width="10.5703125" style="1" bestFit="1" customWidth="1"/>
    <col min="8459" max="8459" width="10.5703125" style="1" customWidth="1"/>
    <col min="8460" max="8460" width="9.140625" style="1"/>
    <col min="8461" max="8461" width="10.7109375" style="1" customWidth="1"/>
    <col min="8462" max="8462" width="11.7109375" style="1" customWidth="1"/>
    <col min="8463" max="8463" width="13.28515625" style="1" customWidth="1"/>
    <col min="8464" max="8710" width="9.140625" style="1"/>
    <col min="8711" max="8711" width="27.140625" style="1" bestFit="1" customWidth="1"/>
    <col min="8712" max="8712" width="11.7109375" style="1" bestFit="1" customWidth="1"/>
    <col min="8713" max="8713" width="10" style="1" customWidth="1"/>
    <col min="8714" max="8714" width="10.5703125" style="1" bestFit="1" customWidth="1"/>
    <col min="8715" max="8715" width="10.5703125" style="1" customWidth="1"/>
    <col min="8716" max="8716" width="9.140625" style="1"/>
    <col min="8717" max="8717" width="10.7109375" style="1" customWidth="1"/>
    <col min="8718" max="8718" width="11.7109375" style="1" customWidth="1"/>
    <col min="8719" max="8719" width="13.28515625" style="1" customWidth="1"/>
    <col min="8720" max="8966" width="9.140625" style="1"/>
    <col min="8967" max="8967" width="27.140625" style="1" bestFit="1" customWidth="1"/>
    <col min="8968" max="8968" width="11.7109375" style="1" bestFit="1" customWidth="1"/>
    <col min="8969" max="8969" width="10" style="1" customWidth="1"/>
    <col min="8970" max="8970" width="10.5703125" style="1" bestFit="1" customWidth="1"/>
    <col min="8971" max="8971" width="10.5703125" style="1" customWidth="1"/>
    <col min="8972" max="8972" width="9.140625" style="1"/>
    <col min="8973" max="8973" width="10.7109375" style="1" customWidth="1"/>
    <col min="8974" max="8974" width="11.7109375" style="1" customWidth="1"/>
    <col min="8975" max="8975" width="13.28515625" style="1" customWidth="1"/>
    <col min="8976" max="9222" width="9.140625" style="1"/>
    <col min="9223" max="9223" width="27.140625" style="1" bestFit="1" customWidth="1"/>
    <col min="9224" max="9224" width="11.7109375" style="1" bestFit="1" customWidth="1"/>
    <col min="9225" max="9225" width="10" style="1" customWidth="1"/>
    <col min="9226" max="9226" width="10.5703125" style="1" bestFit="1" customWidth="1"/>
    <col min="9227" max="9227" width="10.5703125" style="1" customWidth="1"/>
    <col min="9228" max="9228" width="9.140625" style="1"/>
    <col min="9229" max="9229" width="10.7109375" style="1" customWidth="1"/>
    <col min="9230" max="9230" width="11.7109375" style="1" customWidth="1"/>
    <col min="9231" max="9231" width="13.28515625" style="1" customWidth="1"/>
    <col min="9232" max="9478" width="9.140625" style="1"/>
    <col min="9479" max="9479" width="27.140625" style="1" bestFit="1" customWidth="1"/>
    <col min="9480" max="9480" width="11.7109375" style="1" bestFit="1" customWidth="1"/>
    <col min="9481" max="9481" width="10" style="1" customWidth="1"/>
    <col min="9482" max="9482" width="10.5703125" style="1" bestFit="1" customWidth="1"/>
    <col min="9483" max="9483" width="10.5703125" style="1" customWidth="1"/>
    <col min="9484" max="9484" width="9.140625" style="1"/>
    <col min="9485" max="9485" width="10.7109375" style="1" customWidth="1"/>
    <col min="9486" max="9486" width="11.7109375" style="1" customWidth="1"/>
    <col min="9487" max="9487" width="13.28515625" style="1" customWidth="1"/>
    <col min="9488" max="9734" width="9.140625" style="1"/>
    <col min="9735" max="9735" width="27.140625" style="1" bestFit="1" customWidth="1"/>
    <col min="9736" max="9736" width="11.7109375" style="1" bestFit="1" customWidth="1"/>
    <col min="9737" max="9737" width="10" style="1" customWidth="1"/>
    <col min="9738" max="9738" width="10.5703125" style="1" bestFit="1" customWidth="1"/>
    <col min="9739" max="9739" width="10.5703125" style="1" customWidth="1"/>
    <col min="9740" max="9740" width="9.140625" style="1"/>
    <col min="9741" max="9741" width="10.7109375" style="1" customWidth="1"/>
    <col min="9742" max="9742" width="11.7109375" style="1" customWidth="1"/>
    <col min="9743" max="9743" width="13.28515625" style="1" customWidth="1"/>
    <col min="9744" max="9990" width="9.140625" style="1"/>
    <col min="9991" max="9991" width="27.140625" style="1" bestFit="1" customWidth="1"/>
    <col min="9992" max="9992" width="11.7109375" style="1" bestFit="1" customWidth="1"/>
    <col min="9993" max="9993" width="10" style="1" customWidth="1"/>
    <col min="9994" max="9994" width="10.5703125" style="1" bestFit="1" customWidth="1"/>
    <col min="9995" max="9995" width="10.5703125" style="1" customWidth="1"/>
    <col min="9996" max="9996" width="9.140625" style="1"/>
    <col min="9997" max="9997" width="10.7109375" style="1" customWidth="1"/>
    <col min="9998" max="9998" width="11.7109375" style="1" customWidth="1"/>
    <col min="9999" max="9999" width="13.28515625" style="1" customWidth="1"/>
    <col min="10000" max="10246" width="9.140625" style="1"/>
    <col min="10247" max="10247" width="27.140625" style="1" bestFit="1" customWidth="1"/>
    <col min="10248" max="10248" width="11.7109375" style="1" bestFit="1" customWidth="1"/>
    <col min="10249" max="10249" width="10" style="1" customWidth="1"/>
    <col min="10250" max="10250" width="10.5703125" style="1" bestFit="1" customWidth="1"/>
    <col min="10251" max="10251" width="10.5703125" style="1" customWidth="1"/>
    <col min="10252" max="10252" width="9.140625" style="1"/>
    <col min="10253" max="10253" width="10.7109375" style="1" customWidth="1"/>
    <col min="10254" max="10254" width="11.7109375" style="1" customWidth="1"/>
    <col min="10255" max="10255" width="13.28515625" style="1" customWidth="1"/>
    <col min="10256" max="10502" width="9.140625" style="1"/>
    <col min="10503" max="10503" width="27.140625" style="1" bestFit="1" customWidth="1"/>
    <col min="10504" max="10504" width="11.7109375" style="1" bestFit="1" customWidth="1"/>
    <col min="10505" max="10505" width="10" style="1" customWidth="1"/>
    <col min="10506" max="10506" width="10.5703125" style="1" bestFit="1" customWidth="1"/>
    <col min="10507" max="10507" width="10.5703125" style="1" customWidth="1"/>
    <col min="10508" max="10508" width="9.140625" style="1"/>
    <col min="10509" max="10509" width="10.7109375" style="1" customWidth="1"/>
    <col min="10510" max="10510" width="11.7109375" style="1" customWidth="1"/>
    <col min="10511" max="10511" width="13.28515625" style="1" customWidth="1"/>
    <col min="10512" max="10758" width="9.140625" style="1"/>
    <col min="10759" max="10759" width="27.140625" style="1" bestFit="1" customWidth="1"/>
    <col min="10760" max="10760" width="11.7109375" style="1" bestFit="1" customWidth="1"/>
    <col min="10761" max="10761" width="10" style="1" customWidth="1"/>
    <col min="10762" max="10762" width="10.5703125" style="1" bestFit="1" customWidth="1"/>
    <col min="10763" max="10763" width="10.5703125" style="1" customWidth="1"/>
    <col min="10764" max="10764" width="9.140625" style="1"/>
    <col min="10765" max="10765" width="10.7109375" style="1" customWidth="1"/>
    <col min="10766" max="10766" width="11.7109375" style="1" customWidth="1"/>
    <col min="10767" max="10767" width="13.28515625" style="1" customWidth="1"/>
    <col min="10768" max="11014" width="9.140625" style="1"/>
    <col min="11015" max="11015" width="27.140625" style="1" bestFit="1" customWidth="1"/>
    <col min="11016" max="11016" width="11.7109375" style="1" bestFit="1" customWidth="1"/>
    <col min="11017" max="11017" width="10" style="1" customWidth="1"/>
    <col min="11018" max="11018" width="10.5703125" style="1" bestFit="1" customWidth="1"/>
    <col min="11019" max="11019" width="10.5703125" style="1" customWidth="1"/>
    <col min="11020" max="11020" width="9.140625" style="1"/>
    <col min="11021" max="11021" width="10.7109375" style="1" customWidth="1"/>
    <col min="11022" max="11022" width="11.7109375" style="1" customWidth="1"/>
    <col min="11023" max="11023" width="13.28515625" style="1" customWidth="1"/>
    <col min="11024" max="11270" width="9.140625" style="1"/>
    <col min="11271" max="11271" width="27.140625" style="1" bestFit="1" customWidth="1"/>
    <col min="11272" max="11272" width="11.7109375" style="1" bestFit="1" customWidth="1"/>
    <col min="11273" max="11273" width="10" style="1" customWidth="1"/>
    <col min="11274" max="11274" width="10.5703125" style="1" bestFit="1" customWidth="1"/>
    <col min="11275" max="11275" width="10.5703125" style="1" customWidth="1"/>
    <col min="11276" max="11276" width="9.140625" style="1"/>
    <col min="11277" max="11277" width="10.7109375" style="1" customWidth="1"/>
    <col min="11278" max="11278" width="11.7109375" style="1" customWidth="1"/>
    <col min="11279" max="11279" width="13.28515625" style="1" customWidth="1"/>
    <col min="11280" max="11526" width="9.140625" style="1"/>
    <col min="11527" max="11527" width="27.140625" style="1" bestFit="1" customWidth="1"/>
    <col min="11528" max="11528" width="11.7109375" style="1" bestFit="1" customWidth="1"/>
    <col min="11529" max="11529" width="10" style="1" customWidth="1"/>
    <col min="11530" max="11530" width="10.5703125" style="1" bestFit="1" customWidth="1"/>
    <col min="11531" max="11531" width="10.5703125" style="1" customWidth="1"/>
    <col min="11532" max="11532" width="9.140625" style="1"/>
    <col min="11533" max="11533" width="10.7109375" style="1" customWidth="1"/>
    <col min="11534" max="11534" width="11.7109375" style="1" customWidth="1"/>
    <col min="11535" max="11535" width="13.28515625" style="1" customWidth="1"/>
    <col min="11536" max="11782" width="9.140625" style="1"/>
    <col min="11783" max="11783" width="27.140625" style="1" bestFit="1" customWidth="1"/>
    <col min="11784" max="11784" width="11.7109375" style="1" bestFit="1" customWidth="1"/>
    <col min="11785" max="11785" width="10" style="1" customWidth="1"/>
    <col min="11786" max="11786" width="10.5703125" style="1" bestFit="1" customWidth="1"/>
    <col min="11787" max="11787" width="10.5703125" style="1" customWidth="1"/>
    <col min="11788" max="11788" width="9.140625" style="1"/>
    <col min="11789" max="11789" width="10.7109375" style="1" customWidth="1"/>
    <col min="11790" max="11790" width="11.7109375" style="1" customWidth="1"/>
    <col min="11791" max="11791" width="13.28515625" style="1" customWidth="1"/>
    <col min="11792" max="12038" width="9.140625" style="1"/>
    <col min="12039" max="12039" width="27.140625" style="1" bestFit="1" customWidth="1"/>
    <col min="12040" max="12040" width="11.7109375" style="1" bestFit="1" customWidth="1"/>
    <col min="12041" max="12041" width="10" style="1" customWidth="1"/>
    <col min="12042" max="12042" width="10.5703125" style="1" bestFit="1" customWidth="1"/>
    <col min="12043" max="12043" width="10.5703125" style="1" customWidth="1"/>
    <col min="12044" max="12044" width="9.140625" style="1"/>
    <col min="12045" max="12045" width="10.7109375" style="1" customWidth="1"/>
    <col min="12046" max="12046" width="11.7109375" style="1" customWidth="1"/>
    <col min="12047" max="12047" width="13.28515625" style="1" customWidth="1"/>
    <col min="12048" max="12294" width="9.140625" style="1"/>
    <col min="12295" max="12295" width="27.140625" style="1" bestFit="1" customWidth="1"/>
    <col min="12296" max="12296" width="11.7109375" style="1" bestFit="1" customWidth="1"/>
    <col min="12297" max="12297" width="10" style="1" customWidth="1"/>
    <col min="12298" max="12298" width="10.5703125" style="1" bestFit="1" customWidth="1"/>
    <col min="12299" max="12299" width="10.5703125" style="1" customWidth="1"/>
    <col min="12300" max="12300" width="9.140625" style="1"/>
    <col min="12301" max="12301" width="10.7109375" style="1" customWidth="1"/>
    <col min="12302" max="12302" width="11.7109375" style="1" customWidth="1"/>
    <col min="12303" max="12303" width="13.28515625" style="1" customWidth="1"/>
    <col min="12304" max="12550" width="9.140625" style="1"/>
    <col min="12551" max="12551" width="27.140625" style="1" bestFit="1" customWidth="1"/>
    <col min="12552" max="12552" width="11.7109375" style="1" bestFit="1" customWidth="1"/>
    <col min="12553" max="12553" width="10" style="1" customWidth="1"/>
    <col min="12554" max="12554" width="10.5703125" style="1" bestFit="1" customWidth="1"/>
    <col min="12555" max="12555" width="10.5703125" style="1" customWidth="1"/>
    <col min="12556" max="12556" width="9.140625" style="1"/>
    <col min="12557" max="12557" width="10.7109375" style="1" customWidth="1"/>
    <col min="12558" max="12558" width="11.7109375" style="1" customWidth="1"/>
    <col min="12559" max="12559" width="13.28515625" style="1" customWidth="1"/>
    <col min="12560" max="12806" width="9.140625" style="1"/>
    <col min="12807" max="12807" width="27.140625" style="1" bestFit="1" customWidth="1"/>
    <col min="12808" max="12808" width="11.7109375" style="1" bestFit="1" customWidth="1"/>
    <col min="12809" max="12809" width="10" style="1" customWidth="1"/>
    <col min="12810" max="12810" width="10.5703125" style="1" bestFit="1" customWidth="1"/>
    <col min="12811" max="12811" width="10.5703125" style="1" customWidth="1"/>
    <col min="12812" max="12812" width="9.140625" style="1"/>
    <col min="12813" max="12813" width="10.7109375" style="1" customWidth="1"/>
    <col min="12814" max="12814" width="11.7109375" style="1" customWidth="1"/>
    <col min="12815" max="12815" width="13.28515625" style="1" customWidth="1"/>
    <col min="12816" max="13062" width="9.140625" style="1"/>
    <col min="13063" max="13063" width="27.140625" style="1" bestFit="1" customWidth="1"/>
    <col min="13064" max="13064" width="11.7109375" style="1" bestFit="1" customWidth="1"/>
    <col min="13065" max="13065" width="10" style="1" customWidth="1"/>
    <col min="13066" max="13066" width="10.5703125" style="1" bestFit="1" customWidth="1"/>
    <col min="13067" max="13067" width="10.5703125" style="1" customWidth="1"/>
    <col min="13068" max="13068" width="9.140625" style="1"/>
    <col min="13069" max="13069" width="10.7109375" style="1" customWidth="1"/>
    <col min="13070" max="13070" width="11.7109375" style="1" customWidth="1"/>
    <col min="13071" max="13071" width="13.28515625" style="1" customWidth="1"/>
    <col min="13072" max="13318" width="9.140625" style="1"/>
    <col min="13319" max="13319" width="27.140625" style="1" bestFit="1" customWidth="1"/>
    <col min="13320" max="13320" width="11.7109375" style="1" bestFit="1" customWidth="1"/>
    <col min="13321" max="13321" width="10" style="1" customWidth="1"/>
    <col min="13322" max="13322" width="10.5703125" style="1" bestFit="1" customWidth="1"/>
    <col min="13323" max="13323" width="10.5703125" style="1" customWidth="1"/>
    <col min="13324" max="13324" width="9.140625" style="1"/>
    <col min="13325" max="13325" width="10.7109375" style="1" customWidth="1"/>
    <col min="13326" max="13326" width="11.7109375" style="1" customWidth="1"/>
    <col min="13327" max="13327" width="13.28515625" style="1" customWidth="1"/>
    <col min="13328" max="13574" width="9.140625" style="1"/>
    <col min="13575" max="13575" width="27.140625" style="1" bestFit="1" customWidth="1"/>
    <col min="13576" max="13576" width="11.7109375" style="1" bestFit="1" customWidth="1"/>
    <col min="13577" max="13577" width="10" style="1" customWidth="1"/>
    <col min="13578" max="13578" width="10.5703125" style="1" bestFit="1" customWidth="1"/>
    <col min="13579" max="13579" width="10.5703125" style="1" customWidth="1"/>
    <col min="13580" max="13580" width="9.140625" style="1"/>
    <col min="13581" max="13581" width="10.7109375" style="1" customWidth="1"/>
    <col min="13582" max="13582" width="11.7109375" style="1" customWidth="1"/>
    <col min="13583" max="13583" width="13.28515625" style="1" customWidth="1"/>
    <col min="13584" max="13830" width="9.140625" style="1"/>
    <col min="13831" max="13831" width="27.140625" style="1" bestFit="1" customWidth="1"/>
    <col min="13832" max="13832" width="11.7109375" style="1" bestFit="1" customWidth="1"/>
    <col min="13833" max="13833" width="10" style="1" customWidth="1"/>
    <col min="13834" max="13834" width="10.5703125" style="1" bestFit="1" customWidth="1"/>
    <col min="13835" max="13835" width="10.5703125" style="1" customWidth="1"/>
    <col min="13836" max="13836" width="9.140625" style="1"/>
    <col min="13837" max="13837" width="10.7109375" style="1" customWidth="1"/>
    <col min="13838" max="13838" width="11.7109375" style="1" customWidth="1"/>
    <col min="13839" max="13839" width="13.28515625" style="1" customWidth="1"/>
    <col min="13840" max="14086" width="9.140625" style="1"/>
    <col min="14087" max="14087" width="27.140625" style="1" bestFit="1" customWidth="1"/>
    <col min="14088" max="14088" width="11.7109375" style="1" bestFit="1" customWidth="1"/>
    <col min="14089" max="14089" width="10" style="1" customWidth="1"/>
    <col min="14090" max="14090" width="10.5703125" style="1" bestFit="1" customWidth="1"/>
    <col min="14091" max="14091" width="10.5703125" style="1" customWidth="1"/>
    <col min="14092" max="14092" width="9.140625" style="1"/>
    <col min="14093" max="14093" width="10.7109375" style="1" customWidth="1"/>
    <col min="14094" max="14094" width="11.7109375" style="1" customWidth="1"/>
    <col min="14095" max="14095" width="13.28515625" style="1" customWidth="1"/>
    <col min="14096" max="14342" width="9.140625" style="1"/>
    <col min="14343" max="14343" width="27.140625" style="1" bestFit="1" customWidth="1"/>
    <col min="14344" max="14344" width="11.7109375" style="1" bestFit="1" customWidth="1"/>
    <col min="14345" max="14345" width="10" style="1" customWidth="1"/>
    <col min="14346" max="14346" width="10.5703125" style="1" bestFit="1" customWidth="1"/>
    <col min="14347" max="14347" width="10.5703125" style="1" customWidth="1"/>
    <col min="14348" max="14348" width="9.140625" style="1"/>
    <col min="14349" max="14349" width="10.7109375" style="1" customWidth="1"/>
    <col min="14350" max="14350" width="11.7109375" style="1" customWidth="1"/>
    <col min="14351" max="14351" width="13.28515625" style="1" customWidth="1"/>
    <col min="14352" max="14598" width="9.140625" style="1"/>
    <col min="14599" max="14599" width="27.140625" style="1" bestFit="1" customWidth="1"/>
    <col min="14600" max="14600" width="11.7109375" style="1" bestFit="1" customWidth="1"/>
    <col min="14601" max="14601" width="10" style="1" customWidth="1"/>
    <col min="14602" max="14602" width="10.5703125" style="1" bestFit="1" customWidth="1"/>
    <col min="14603" max="14603" width="10.5703125" style="1" customWidth="1"/>
    <col min="14604" max="14604" width="9.140625" style="1"/>
    <col min="14605" max="14605" width="10.7109375" style="1" customWidth="1"/>
    <col min="14606" max="14606" width="11.7109375" style="1" customWidth="1"/>
    <col min="14607" max="14607" width="13.28515625" style="1" customWidth="1"/>
    <col min="14608" max="14854" width="9.140625" style="1"/>
    <col min="14855" max="14855" width="27.140625" style="1" bestFit="1" customWidth="1"/>
    <col min="14856" max="14856" width="11.7109375" style="1" bestFit="1" customWidth="1"/>
    <col min="14857" max="14857" width="10" style="1" customWidth="1"/>
    <col min="14858" max="14858" width="10.5703125" style="1" bestFit="1" customWidth="1"/>
    <col min="14859" max="14859" width="10.5703125" style="1" customWidth="1"/>
    <col min="14860" max="14860" width="9.140625" style="1"/>
    <col min="14861" max="14861" width="10.7109375" style="1" customWidth="1"/>
    <col min="14862" max="14862" width="11.7109375" style="1" customWidth="1"/>
    <col min="14863" max="14863" width="13.28515625" style="1" customWidth="1"/>
    <col min="14864" max="15110" width="9.140625" style="1"/>
    <col min="15111" max="15111" width="27.140625" style="1" bestFit="1" customWidth="1"/>
    <col min="15112" max="15112" width="11.7109375" style="1" bestFit="1" customWidth="1"/>
    <col min="15113" max="15113" width="10" style="1" customWidth="1"/>
    <col min="15114" max="15114" width="10.5703125" style="1" bestFit="1" customWidth="1"/>
    <col min="15115" max="15115" width="10.5703125" style="1" customWidth="1"/>
    <col min="15116" max="15116" width="9.140625" style="1"/>
    <col min="15117" max="15117" width="10.7109375" style="1" customWidth="1"/>
    <col min="15118" max="15118" width="11.7109375" style="1" customWidth="1"/>
    <col min="15119" max="15119" width="13.28515625" style="1" customWidth="1"/>
    <col min="15120" max="15366" width="9.140625" style="1"/>
    <col min="15367" max="15367" width="27.140625" style="1" bestFit="1" customWidth="1"/>
    <col min="15368" max="15368" width="11.7109375" style="1" bestFit="1" customWidth="1"/>
    <col min="15369" max="15369" width="10" style="1" customWidth="1"/>
    <col min="15370" max="15370" width="10.5703125" style="1" bestFit="1" customWidth="1"/>
    <col min="15371" max="15371" width="10.5703125" style="1" customWidth="1"/>
    <col min="15372" max="15372" width="9.140625" style="1"/>
    <col min="15373" max="15373" width="10.7109375" style="1" customWidth="1"/>
    <col min="15374" max="15374" width="11.7109375" style="1" customWidth="1"/>
    <col min="15375" max="15375" width="13.28515625" style="1" customWidth="1"/>
    <col min="15376" max="15622" width="9.140625" style="1"/>
    <col min="15623" max="15623" width="27.140625" style="1" bestFit="1" customWidth="1"/>
    <col min="15624" max="15624" width="11.7109375" style="1" bestFit="1" customWidth="1"/>
    <col min="15625" max="15625" width="10" style="1" customWidth="1"/>
    <col min="15626" max="15626" width="10.5703125" style="1" bestFit="1" customWidth="1"/>
    <col min="15627" max="15627" width="10.5703125" style="1" customWidth="1"/>
    <col min="15628" max="15628" width="9.140625" style="1"/>
    <col min="15629" max="15629" width="10.7109375" style="1" customWidth="1"/>
    <col min="15630" max="15630" width="11.7109375" style="1" customWidth="1"/>
    <col min="15631" max="15631" width="13.28515625" style="1" customWidth="1"/>
    <col min="15632" max="15878" width="9.140625" style="1"/>
    <col min="15879" max="15879" width="27.140625" style="1" bestFit="1" customWidth="1"/>
    <col min="15880" max="15880" width="11.7109375" style="1" bestFit="1" customWidth="1"/>
    <col min="15881" max="15881" width="10" style="1" customWidth="1"/>
    <col min="15882" max="15882" width="10.5703125" style="1" bestFit="1" customWidth="1"/>
    <col min="15883" max="15883" width="10.5703125" style="1" customWidth="1"/>
    <col min="15884" max="15884" width="9.140625" style="1"/>
    <col min="15885" max="15885" width="10.7109375" style="1" customWidth="1"/>
    <col min="15886" max="15886" width="11.7109375" style="1" customWidth="1"/>
    <col min="15887" max="15887" width="13.28515625" style="1" customWidth="1"/>
    <col min="15888" max="16134" width="9.140625" style="1"/>
    <col min="16135" max="16135" width="27.140625" style="1" bestFit="1" customWidth="1"/>
    <col min="16136" max="16136" width="11.7109375" style="1" bestFit="1" customWidth="1"/>
    <col min="16137" max="16137" width="10" style="1" customWidth="1"/>
    <col min="16138" max="16138" width="10.5703125" style="1" bestFit="1" customWidth="1"/>
    <col min="16139" max="16139" width="10.5703125" style="1" customWidth="1"/>
    <col min="16140" max="16140" width="9.140625" style="1"/>
    <col min="16141" max="16141" width="10.7109375" style="1" customWidth="1"/>
    <col min="16142" max="16142" width="11.7109375" style="1" customWidth="1"/>
    <col min="16143" max="16143" width="13.28515625" style="1" customWidth="1"/>
    <col min="16144" max="16383" width="9.140625" style="1"/>
    <col min="16384" max="16384" width="9.140625" style="1" customWidth="1"/>
  </cols>
  <sheetData>
    <row r="1" spans="1:20" ht="18.75" x14ac:dyDescent="0.3">
      <c r="D1" s="2" t="s">
        <v>0</v>
      </c>
      <c r="E1" s="3"/>
      <c r="F1" s="3"/>
      <c r="G1" s="4"/>
      <c r="H1" s="4"/>
      <c r="I1" s="1">
        <f>8*6*4</f>
        <v>192</v>
      </c>
    </row>
    <row r="2" spans="1:20" s="6" customFormat="1" ht="15.75" x14ac:dyDescent="0.25">
      <c r="C2" s="191"/>
      <c r="D2" s="7" t="s">
        <v>245</v>
      </c>
      <c r="E2" s="8"/>
      <c r="F2" s="8"/>
      <c r="J2" s="9"/>
    </row>
    <row r="3" spans="1:20" ht="15.75" thickBot="1" x14ac:dyDescent="0.3">
      <c r="D3" s="10"/>
      <c r="M3" s="12" t="s">
        <v>2</v>
      </c>
      <c r="N3" s="12"/>
    </row>
    <row r="4" spans="1:20" s="12" customFormat="1" ht="30" x14ac:dyDescent="0.25">
      <c r="A4" s="155" t="s">
        <v>3</v>
      </c>
      <c r="B4" s="156" t="s">
        <v>4</v>
      </c>
      <c r="C4" s="192"/>
      <c r="D4" s="109" t="s">
        <v>251</v>
      </c>
      <c r="E4" s="157" t="s">
        <v>5</v>
      </c>
      <c r="F4" s="157" t="s">
        <v>6</v>
      </c>
      <c r="G4" s="158" t="s">
        <v>7</v>
      </c>
      <c r="H4" s="158" t="s">
        <v>7</v>
      </c>
      <c r="I4" s="158" t="s">
        <v>8</v>
      </c>
      <c r="J4" s="159" t="s">
        <v>9</v>
      </c>
      <c r="K4" s="160" t="s">
        <v>10</v>
      </c>
      <c r="L4" s="161" t="s">
        <v>11</v>
      </c>
      <c r="M4" s="158" t="s">
        <v>12</v>
      </c>
      <c r="N4" s="158"/>
      <c r="O4" s="162" t="s">
        <v>13</v>
      </c>
      <c r="P4" s="20" t="s">
        <v>14</v>
      </c>
      <c r="T4" s="21"/>
    </row>
    <row r="5" spans="1:20" s="22" customFormat="1" ht="15.75" thickBot="1" x14ac:dyDescent="0.3">
      <c r="A5" s="163"/>
      <c r="B5" s="164" t="s">
        <v>15</v>
      </c>
      <c r="C5" s="193" t="s">
        <v>250</v>
      </c>
      <c r="D5" s="206" t="s">
        <v>15</v>
      </c>
      <c r="E5" s="165" t="s">
        <v>16</v>
      </c>
      <c r="F5" s="165" t="s">
        <v>17</v>
      </c>
      <c r="G5" s="166" t="s">
        <v>18</v>
      </c>
      <c r="H5" s="166" t="s">
        <v>19</v>
      </c>
      <c r="I5" s="167">
        <v>0.1</v>
      </c>
      <c r="J5" s="190" t="s">
        <v>20</v>
      </c>
      <c r="K5" s="169">
        <v>1.2E-2</v>
      </c>
      <c r="L5" s="169">
        <v>1.6E-2</v>
      </c>
      <c r="M5" s="169">
        <v>0.16500000000000001</v>
      </c>
      <c r="N5" s="169" t="s">
        <v>258</v>
      </c>
      <c r="O5" s="170"/>
      <c r="P5" s="31"/>
      <c r="T5" s="32"/>
    </row>
    <row r="6" spans="1:20" x14ac:dyDescent="0.25">
      <c r="A6" s="33" t="s">
        <v>21</v>
      </c>
      <c r="B6" s="34">
        <v>50000</v>
      </c>
      <c r="C6" s="185">
        <v>3500</v>
      </c>
      <c r="D6" s="183">
        <f t="shared" ref="D6:D18" si="0">+B6+C6</f>
        <v>53500</v>
      </c>
      <c r="E6" s="175">
        <v>48</v>
      </c>
      <c r="F6" s="175">
        <v>24</v>
      </c>
      <c r="G6" s="34">
        <f>D6/192*1.5*E6</f>
        <v>20062.5</v>
      </c>
      <c r="H6" s="34">
        <f>D6/192*2*F6</f>
        <v>13375</v>
      </c>
      <c r="I6" s="36">
        <f>D6*$I$5</f>
        <v>5350</v>
      </c>
      <c r="J6" s="37">
        <v>10000</v>
      </c>
      <c r="K6" s="37">
        <f>D6*$K$5</f>
        <v>642</v>
      </c>
      <c r="L6" s="36">
        <f>D6*$L$5</f>
        <v>856</v>
      </c>
      <c r="M6" s="36">
        <f t="shared" ref="M6:M15" si="1">(B6*0.5%)*16.5%</f>
        <v>41.25</v>
      </c>
      <c r="N6" s="36">
        <f t="shared" ref="N6:N19" si="2">C6*3</f>
        <v>10500</v>
      </c>
      <c r="O6" s="38">
        <f>+D6+G6+H6+I6+J6+K6+L6+M6+N6</f>
        <v>114326.75</v>
      </c>
      <c r="P6" s="39" t="s">
        <v>22</v>
      </c>
      <c r="T6" s="5"/>
    </row>
    <row r="7" spans="1:20" x14ac:dyDescent="0.25">
      <c r="A7" s="40" t="s">
        <v>23</v>
      </c>
      <c r="B7" s="34">
        <v>50000</v>
      </c>
      <c r="C7" s="186">
        <v>3500</v>
      </c>
      <c r="D7" s="183">
        <f t="shared" si="0"/>
        <v>53500</v>
      </c>
      <c r="E7" s="175">
        <v>20</v>
      </c>
      <c r="F7" s="175">
        <v>24</v>
      </c>
      <c r="G7" s="34">
        <f t="shared" ref="G7:G15" si="3">D7/192*1.5*E7</f>
        <v>8359.375</v>
      </c>
      <c r="H7" s="34">
        <f t="shared" ref="H7:H15" si="4">D7/192*2*F7</f>
        <v>13375</v>
      </c>
      <c r="I7" s="36">
        <f t="shared" ref="I7:I15" si="5">D7*$I$5</f>
        <v>5350</v>
      </c>
      <c r="J7" s="37">
        <v>10000</v>
      </c>
      <c r="K7" s="37">
        <f t="shared" ref="K7:K15" si="6">D7*$K$5</f>
        <v>642</v>
      </c>
      <c r="L7" s="36">
        <f t="shared" ref="L7:L15" si="7">D7*$L$5</f>
        <v>856</v>
      </c>
      <c r="M7" s="36">
        <f t="shared" si="1"/>
        <v>41.25</v>
      </c>
      <c r="N7" s="36">
        <f t="shared" si="2"/>
        <v>10500</v>
      </c>
      <c r="O7" s="38">
        <f t="shared" ref="O7:O18" si="8">+D7+G7+H7+I7+J7+K7+L7+M7+N7</f>
        <v>102623.625</v>
      </c>
      <c r="P7" s="39" t="s">
        <v>22</v>
      </c>
      <c r="T7" s="5"/>
    </row>
    <row r="8" spans="1:20" x14ac:dyDescent="0.25">
      <c r="A8" s="40" t="s">
        <v>24</v>
      </c>
      <c r="B8" s="34">
        <v>55650</v>
      </c>
      <c r="C8" s="186">
        <v>3895.5</v>
      </c>
      <c r="D8" s="183">
        <f t="shared" si="0"/>
        <v>59545.5</v>
      </c>
      <c r="E8" s="175">
        <v>16</v>
      </c>
      <c r="F8" s="175">
        <v>24</v>
      </c>
      <c r="G8" s="34">
        <f t="shared" si="3"/>
        <v>7443.1875</v>
      </c>
      <c r="H8" s="34">
        <f t="shared" si="4"/>
        <v>14886.375</v>
      </c>
      <c r="I8" s="36">
        <f t="shared" si="5"/>
        <v>5954.55</v>
      </c>
      <c r="J8" s="37">
        <v>10000</v>
      </c>
      <c r="K8" s="37">
        <f t="shared" si="6"/>
        <v>714.54600000000005</v>
      </c>
      <c r="L8" s="36">
        <f t="shared" si="7"/>
        <v>952.72800000000007</v>
      </c>
      <c r="M8" s="36">
        <f t="shared" si="1"/>
        <v>45.911250000000003</v>
      </c>
      <c r="N8" s="36">
        <f t="shared" si="2"/>
        <v>11686.5</v>
      </c>
      <c r="O8" s="38">
        <f t="shared" si="8"/>
        <v>111229.29775000001</v>
      </c>
      <c r="P8" s="39" t="s">
        <v>22</v>
      </c>
      <c r="T8" s="5"/>
    </row>
    <row r="9" spans="1:20" x14ac:dyDescent="0.25">
      <c r="A9" s="40" t="s">
        <v>25</v>
      </c>
      <c r="B9" s="34">
        <v>50000</v>
      </c>
      <c r="C9" s="186">
        <v>3500</v>
      </c>
      <c r="D9" s="183">
        <f t="shared" si="0"/>
        <v>53500</v>
      </c>
      <c r="E9" s="175">
        <v>8</v>
      </c>
      <c r="F9" s="175">
        <v>24</v>
      </c>
      <c r="G9" s="34">
        <f t="shared" si="3"/>
        <v>3343.75</v>
      </c>
      <c r="H9" s="34">
        <f t="shared" si="4"/>
        <v>13375</v>
      </c>
      <c r="I9" s="36">
        <f t="shared" si="5"/>
        <v>5350</v>
      </c>
      <c r="J9" s="37">
        <v>10000</v>
      </c>
      <c r="K9" s="37">
        <f t="shared" si="6"/>
        <v>642</v>
      </c>
      <c r="L9" s="36">
        <f t="shared" si="7"/>
        <v>856</v>
      </c>
      <c r="M9" s="36">
        <f t="shared" si="1"/>
        <v>41.25</v>
      </c>
      <c r="N9" s="36">
        <f t="shared" si="2"/>
        <v>10500</v>
      </c>
      <c r="O9" s="38">
        <f t="shared" si="8"/>
        <v>97608</v>
      </c>
      <c r="P9" s="39" t="s">
        <v>22</v>
      </c>
      <c r="T9" s="5"/>
    </row>
    <row r="10" spans="1:20" x14ac:dyDescent="0.25">
      <c r="A10" s="40" t="s">
        <v>27</v>
      </c>
      <c r="B10" s="34">
        <v>77910</v>
      </c>
      <c r="C10" s="186">
        <v>7011.9</v>
      </c>
      <c r="D10" s="183">
        <f t="shared" si="0"/>
        <v>84921.9</v>
      </c>
      <c r="E10" s="175">
        <v>44</v>
      </c>
      <c r="F10" s="175">
        <v>18</v>
      </c>
      <c r="G10" s="34">
        <f t="shared" si="3"/>
        <v>29191.903124999997</v>
      </c>
      <c r="H10" s="34">
        <f t="shared" si="4"/>
        <v>15922.856249999999</v>
      </c>
      <c r="I10" s="36">
        <f t="shared" si="5"/>
        <v>8492.19</v>
      </c>
      <c r="J10" s="37">
        <v>10000</v>
      </c>
      <c r="K10" s="37">
        <f t="shared" si="6"/>
        <v>1019.0627999999999</v>
      </c>
      <c r="L10" s="36">
        <f t="shared" si="7"/>
        <v>1358.7503999999999</v>
      </c>
      <c r="M10" s="36">
        <f t="shared" si="1"/>
        <v>64.275750000000002</v>
      </c>
      <c r="N10" s="36">
        <f t="shared" si="2"/>
        <v>21035.699999999997</v>
      </c>
      <c r="O10" s="38">
        <f t="shared" si="8"/>
        <v>172006.63832500001</v>
      </c>
      <c r="P10" s="39" t="s">
        <v>22</v>
      </c>
      <c r="T10" s="5"/>
    </row>
    <row r="11" spans="1:20" x14ac:dyDescent="0.25">
      <c r="A11" s="41" t="s">
        <v>28</v>
      </c>
      <c r="B11" s="34">
        <v>50000</v>
      </c>
      <c r="C11" s="177">
        <v>4500</v>
      </c>
      <c r="D11" s="183">
        <f t="shared" si="0"/>
        <v>54500</v>
      </c>
      <c r="E11" s="175">
        <v>13</v>
      </c>
      <c r="F11" s="175">
        <v>24</v>
      </c>
      <c r="G11" s="34">
        <f t="shared" si="3"/>
        <v>5535.15625</v>
      </c>
      <c r="H11" s="34">
        <f t="shared" si="4"/>
        <v>13625</v>
      </c>
      <c r="I11" s="36">
        <f t="shared" si="5"/>
        <v>5450</v>
      </c>
      <c r="J11" s="37">
        <f>5000+5000</f>
        <v>10000</v>
      </c>
      <c r="K11" s="37">
        <f t="shared" si="6"/>
        <v>654</v>
      </c>
      <c r="L11" s="36">
        <f t="shared" si="7"/>
        <v>872</v>
      </c>
      <c r="M11" s="36">
        <f t="shared" si="1"/>
        <v>41.25</v>
      </c>
      <c r="N11" s="36">
        <f t="shared" si="2"/>
        <v>13500</v>
      </c>
      <c r="O11" s="38">
        <f t="shared" si="8"/>
        <v>104177.40625</v>
      </c>
      <c r="P11" s="39" t="s">
        <v>22</v>
      </c>
      <c r="T11" s="5"/>
    </row>
    <row r="12" spans="1:20" x14ac:dyDescent="0.25">
      <c r="A12" s="41" t="s">
        <v>29</v>
      </c>
      <c r="B12" s="34">
        <v>56763</v>
      </c>
      <c r="C12" s="177">
        <v>5108.67</v>
      </c>
      <c r="D12" s="183">
        <f t="shared" si="0"/>
        <v>61871.67</v>
      </c>
      <c r="E12" s="175">
        <v>15</v>
      </c>
      <c r="F12" s="175">
        <v>16</v>
      </c>
      <c r="G12" s="34">
        <f t="shared" si="3"/>
        <v>7250.5863281249995</v>
      </c>
      <c r="H12" s="34">
        <f t="shared" si="4"/>
        <v>10311.945</v>
      </c>
      <c r="I12" s="36">
        <f t="shared" si="5"/>
        <v>6187.1670000000004</v>
      </c>
      <c r="J12" s="37">
        <v>10000</v>
      </c>
      <c r="K12" s="37">
        <f t="shared" si="6"/>
        <v>742.46004000000005</v>
      </c>
      <c r="L12" s="36">
        <f t="shared" si="7"/>
        <v>989.94672000000003</v>
      </c>
      <c r="M12" s="36">
        <f t="shared" si="1"/>
        <v>46.829475000000002</v>
      </c>
      <c r="N12" s="36">
        <f t="shared" si="2"/>
        <v>15326.01</v>
      </c>
      <c r="O12" s="38">
        <f t="shared" si="8"/>
        <v>112726.61456312501</v>
      </c>
      <c r="P12" s="39" t="s">
        <v>22</v>
      </c>
    </row>
    <row r="13" spans="1:20" x14ac:dyDescent="0.25">
      <c r="A13" s="41" t="s">
        <v>30</v>
      </c>
      <c r="B13" s="34">
        <v>50000</v>
      </c>
      <c r="C13" s="177">
        <v>3500</v>
      </c>
      <c r="D13" s="183">
        <f t="shared" si="0"/>
        <v>53500</v>
      </c>
      <c r="E13" s="175">
        <v>24</v>
      </c>
      <c r="F13" s="175">
        <v>24</v>
      </c>
      <c r="G13" s="34">
        <f t="shared" si="3"/>
        <v>10031.25</v>
      </c>
      <c r="H13" s="34">
        <f t="shared" si="4"/>
        <v>13375</v>
      </c>
      <c r="I13" s="36">
        <f t="shared" si="5"/>
        <v>5350</v>
      </c>
      <c r="J13" s="37">
        <v>10000</v>
      </c>
      <c r="K13" s="37">
        <f t="shared" si="6"/>
        <v>642</v>
      </c>
      <c r="L13" s="36">
        <f t="shared" si="7"/>
        <v>856</v>
      </c>
      <c r="M13" s="36">
        <f t="shared" si="1"/>
        <v>41.25</v>
      </c>
      <c r="N13" s="36">
        <f t="shared" si="2"/>
        <v>10500</v>
      </c>
      <c r="O13" s="38">
        <f t="shared" si="8"/>
        <v>104295.5</v>
      </c>
      <c r="P13" s="39" t="s">
        <v>22</v>
      </c>
    </row>
    <row r="14" spans="1:20" x14ac:dyDescent="0.25">
      <c r="A14" s="41" t="s">
        <v>31</v>
      </c>
      <c r="B14" s="34">
        <v>50000</v>
      </c>
      <c r="C14" s="177">
        <v>3500</v>
      </c>
      <c r="D14" s="183">
        <f t="shared" si="0"/>
        <v>53500</v>
      </c>
      <c r="E14" s="175">
        <v>48</v>
      </c>
      <c r="F14" s="175">
        <v>24</v>
      </c>
      <c r="G14" s="34">
        <f t="shared" si="3"/>
        <v>20062.5</v>
      </c>
      <c r="H14" s="34">
        <f t="shared" si="4"/>
        <v>13375</v>
      </c>
      <c r="I14" s="36">
        <f t="shared" si="5"/>
        <v>5350</v>
      </c>
      <c r="J14" s="37">
        <v>10000</v>
      </c>
      <c r="K14" s="37">
        <f t="shared" si="6"/>
        <v>642</v>
      </c>
      <c r="L14" s="36">
        <f t="shared" si="7"/>
        <v>856</v>
      </c>
      <c r="M14" s="36">
        <f t="shared" si="1"/>
        <v>41.25</v>
      </c>
      <c r="N14" s="36">
        <f t="shared" si="2"/>
        <v>10500</v>
      </c>
      <c r="O14" s="38">
        <f t="shared" si="8"/>
        <v>114326.75</v>
      </c>
      <c r="P14" s="39" t="s">
        <v>22</v>
      </c>
    </row>
    <row r="15" spans="1:20" x14ac:dyDescent="0.25">
      <c r="A15" s="41" t="s">
        <v>32</v>
      </c>
      <c r="B15" s="34">
        <v>62328</v>
      </c>
      <c r="C15" s="177">
        <v>4362.96</v>
      </c>
      <c r="D15" s="183">
        <f t="shared" si="0"/>
        <v>66690.960000000006</v>
      </c>
      <c r="E15" s="175">
        <v>40</v>
      </c>
      <c r="F15" s="175">
        <v>24</v>
      </c>
      <c r="G15" s="34">
        <f t="shared" si="3"/>
        <v>20840.925000000003</v>
      </c>
      <c r="H15" s="34">
        <f t="shared" si="4"/>
        <v>16672.740000000002</v>
      </c>
      <c r="I15" s="36">
        <f t="shared" si="5"/>
        <v>6669.0960000000014</v>
      </c>
      <c r="J15" s="37">
        <v>10000</v>
      </c>
      <c r="K15" s="37">
        <f t="shared" si="6"/>
        <v>800.29152000000011</v>
      </c>
      <c r="L15" s="36">
        <f t="shared" si="7"/>
        <v>1067.0553600000001</v>
      </c>
      <c r="M15" s="36">
        <f t="shared" si="1"/>
        <v>51.4206</v>
      </c>
      <c r="N15" s="36">
        <f t="shared" si="2"/>
        <v>13088.880000000001</v>
      </c>
      <c r="O15" s="38">
        <f t="shared" si="8"/>
        <v>135881.36848</v>
      </c>
      <c r="P15" s="39" t="s">
        <v>22</v>
      </c>
    </row>
    <row r="16" spans="1:20" s="47" customFormat="1" x14ac:dyDescent="0.25">
      <c r="A16" s="174" t="s">
        <v>127</v>
      </c>
      <c r="B16" s="34">
        <f>((50000/192)*E16)+(50000/192)*2*F16</f>
        <v>16666.666666666668</v>
      </c>
      <c r="C16" s="187"/>
      <c r="D16" s="183">
        <f t="shared" si="0"/>
        <v>16666.666666666668</v>
      </c>
      <c r="E16" s="176">
        <v>16</v>
      </c>
      <c r="F16" s="176">
        <v>24</v>
      </c>
      <c r="G16" s="34"/>
      <c r="H16" s="34"/>
      <c r="I16" s="34"/>
      <c r="J16" s="44"/>
      <c r="K16" s="37"/>
      <c r="L16" s="36"/>
      <c r="M16" s="36"/>
      <c r="N16" s="36">
        <f t="shared" si="2"/>
        <v>0</v>
      </c>
      <c r="O16" s="38">
        <f t="shared" si="8"/>
        <v>16666.666666666668</v>
      </c>
      <c r="P16" s="46" t="s">
        <v>22</v>
      </c>
    </row>
    <row r="17" spans="1:20" s="47" customFormat="1" x14ac:dyDescent="0.25">
      <c r="A17" s="174" t="s">
        <v>246</v>
      </c>
      <c r="B17" s="34">
        <f>((50000/192)*E17)+(50000/192)*2*F17</f>
        <v>16666.666666666668</v>
      </c>
      <c r="C17" s="187"/>
      <c r="D17" s="183">
        <f t="shared" si="0"/>
        <v>16666.666666666668</v>
      </c>
      <c r="E17" s="176">
        <v>16</v>
      </c>
      <c r="F17" s="176">
        <v>24</v>
      </c>
      <c r="G17" s="34"/>
      <c r="H17" s="34"/>
      <c r="I17" s="34"/>
      <c r="J17" s="44"/>
      <c r="K17" s="37"/>
      <c r="L17" s="36"/>
      <c r="M17" s="36"/>
      <c r="N17" s="36">
        <f t="shared" si="2"/>
        <v>0</v>
      </c>
      <c r="O17" s="38">
        <f t="shared" si="8"/>
        <v>16666.666666666668</v>
      </c>
      <c r="P17" s="46" t="s">
        <v>22</v>
      </c>
    </row>
    <row r="18" spans="1:20" x14ac:dyDescent="0.25">
      <c r="A18" s="60" t="s">
        <v>247</v>
      </c>
      <c r="B18" s="34">
        <f>((50000/192)*E18)+(50000/192)*2*F18</f>
        <v>16666.666666666668</v>
      </c>
      <c r="C18" s="188"/>
      <c r="D18" s="183">
        <f t="shared" si="0"/>
        <v>16666.666666666668</v>
      </c>
      <c r="E18" s="175">
        <v>16</v>
      </c>
      <c r="F18" s="175">
        <v>24</v>
      </c>
      <c r="G18" s="36"/>
      <c r="H18" s="34"/>
      <c r="I18" s="36"/>
      <c r="J18" s="37"/>
      <c r="K18" s="37"/>
      <c r="L18" s="36"/>
      <c r="M18" s="36"/>
      <c r="N18" s="36">
        <f t="shared" si="2"/>
        <v>0</v>
      </c>
      <c r="O18" s="38">
        <f t="shared" si="8"/>
        <v>16666.666666666668</v>
      </c>
      <c r="P18" s="39" t="s">
        <v>22</v>
      </c>
    </row>
    <row r="19" spans="1:20" s="12" customFormat="1" x14ac:dyDescent="0.25">
      <c r="A19" s="48" t="s">
        <v>33</v>
      </c>
      <c r="B19" s="45">
        <f>SUM(B6:B18)</f>
        <v>602650.99999999988</v>
      </c>
      <c r="C19" s="45">
        <f>SUM(C6:C18)</f>
        <v>42379.03</v>
      </c>
      <c r="D19" s="143">
        <f>SUM(D6:D18)</f>
        <v>645030.02999999991</v>
      </c>
      <c r="E19" s="49"/>
      <c r="F19" s="45"/>
      <c r="G19" s="45">
        <f t="shared" ref="G19:M19" si="9">SUM(G6:G18)</f>
        <v>132121.13320312501</v>
      </c>
      <c r="H19" s="45">
        <f t="shared" si="9"/>
        <v>138293.91624999998</v>
      </c>
      <c r="I19" s="45">
        <f t="shared" si="9"/>
        <v>59503.002999999997</v>
      </c>
      <c r="J19" s="45">
        <f t="shared" si="9"/>
        <v>100000</v>
      </c>
      <c r="K19" s="45">
        <f t="shared" si="9"/>
        <v>7140.3603599999997</v>
      </c>
      <c r="L19" s="45">
        <f t="shared" si="9"/>
        <v>9520.4804800000002</v>
      </c>
      <c r="M19" s="45">
        <f t="shared" si="9"/>
        <v>455.93707499999999</v>
      </c>
      <c r="N19" s="36">
        <f t="shared" si="2"/>
        <v>127137.09</v>
      </c>
      <c r="O19" s="45">
        <f>SUM(O6:O18)</f>
        <v>1219201.9503681252</v>
      </c>
      <c r="P19" s="50"/>
      <c r="R19" s="51"/>
    </row>
    <row r="20" spans="1:20" x14ac:dyDescent="0.25">
      <c r="A20" s="40"/>
      <c r="B20" s="34"/>
      <c r="C20" s="186"/>
      <c r="E20" s="35"/>
      <c r="F20" s="35"/>
      <c r="G20" s="36"/>
      <c r="H20" s="36"/>
      <c r="I20" s="40"/>
      <c r="J20" s="37"/>
      <c r="K20" s="40"/>
      <c r="L20" s="40"/>
      <c r="M20" s="36"/>
      <c r="N20" s="36"/>
      <c r="O20" s="38"/>
      <c r="P20" s="40"/>
    </row>
    <row r="21" spans="1:20" x14ac:dyDescent="0.25">
      <c r="A21" s="40" t="s">
        <v>34</v>
      </c>
      <c r="B21" s="34">
        <v>50000</v>
      </c>
      <c r="C21" s="186">
        <v>6250</v>
      </c>
      <c r="D21" s="183">
        <f>+B21+C21</f>
        <v>56250</v>
      </c>
      <c r="E21" s="175">
        <v>23</v>
      </c>
      <c r="F21" s="35"/>
      <c r="G21" s="34">
        <f t="shared" ref="G21:G24" si="10">D21/192*1.5*E21</f>
        <v>10107.421875</v>
      </c>
      <c r="H21" s="34">
        <f t="shared" ref="H21:H25" si="11">D21/192*2*F21</f>
        <v>0</v>
      </c>
      <c r="I21" s="36">
        <f t="shared" ref="I21:I24" si="12">D21*$I$5</f>
        <v>5625</v>
      </c>
      <c r="J21" s="37">
        <v>18000</v>
      </c>
      <c r="K21" s="37">
        <f t="shared" ref="K21:K24" si="13">D21*$K$5</f>
        <v>675</v>
      </c>
      <c r="L21" s="36">
        <f t="shared" ref="L21:L24" si="14">D21*$L$5</f>
        <v>900</v>
      </c>
      <c r="M21" s="36">
        <f t="shared" ref="M21:M24" si="15">(D21*0.5%)*16.5%</f>
        <v>46.40625</v>
      </c>
      <c r="N21" s="36">
        <f>C21*3</f>
        <v>18750</v>
      </c>
      <c r="O21" s="189">
        <f>+D21+G21+H21+I21+J21+K21+L21+M21+N21</f>
        <v>110353.828125</v>
      </c>
      <c r="P21" s="39" t="s">
        <v>22</v>
      </c>
      <c r="T21" s="5"/>
    </row>
    <row r="22" spans="1:20" x14ac:dyDescent="0.25">
      <c r="A22" s="40" t="s">
        <v>35</v>
      </c>
      <c r="B22" s="34">
        <v>66780</v>
      </c>
      <c r="C22" s="186">
        <v>8347.5</v>
      </c>
      <c r="D22" s="183">
        <f>+B22+C22</f>
        <v>75127.5</v>
      </c>
      <c r="E22" s="175">
        <v>5.5</v>
      </c>
      <c r="F22" s="35"/>
      <c r="G22" s="34">
        <f t="shared" si="10"/>
        <v>3228.134765625</v>
      </c>
      <c r="H22" s="34">
        <f t="shared" si="11"/>
        <v>0</v>
      </c>
      <c r="I22" s="36">
        <f t="shared" si="12"/>
        <v>7512.75</v>
      </c>
      <c r="J22" s="37">
        <v>18000</v>
      </c>
      <c r="K22" s="37">
        <f t="shared" si="13"/>
        <v>901.53</v>
      </c>
      <c r="L22" s="36">
        <f t="shared" si="14"/>
        <v>1202.04</v>
      </c>
      <c r="M22" s="36">
        <f t="shared" si="15"/>
        <v>61.9801875</v>
      </c>
      <c r="N22" s="36">
        <f>C22*3</f>
        <v>25042.5</v>
      </c>
      <c r="O22" s="189">
        <f t="shared" ref="O22:O24" si="16">+D22+G22+H22+I22+J22+K22+L22+M22+N22</f>
        <v>131076.43495312499</v>
      </c>
      <c r="P22" s="39" t="s">
        <v>36</v>
      </c>
    </row>
    <row r="23" spans="1:20" x14ac:dyDescent="0.25">
      <c r="A23" s="40" t="s">
        <v>37</v>
      </c>
      <c r="B23" s="34">
        <v>50000</v>
      </c>
      <c r="C23" s="186">
        <v>6250</v>
      </c>
      <c r="D23" s="183">
        <f>+B23+C23</f>
        <v>56250</v>
      </c>
      <c r="E23" s="175">
        <v>33</v>
      </c>
      <c r="F23" s="35"/>
      <c r="G23" s="34">
        <f t="shared" si="10"/>
        <v>14501.953125</v>
      </c>
      <c r="H23" s="34">
        <f t="shared" si="11"/>
        <v>0</v>
      </c>
      <c r="I23" s="36">
        <f t="shared" si="12"/>
        <v>5625</v>
      </c>
      <c r="J23" s="37">
        <v>18000</v>
      </c>
      <c r="K23" s="37">
        <f t="shared" si="13"/>
        <v>675</v>
      </c>
      <c r="L23" s="36">
        <f t="shared" si="14"/>
        <v>900</v>
      </c>
      <c r="M23" s="36">
        <f t="shared" si="15"/>
        <v>46.40625</v>
      </c>
      <c r="N23" s="36">
        <f>C23*3</f>
        <v>18750</v>
      </c>
      <c r="O23" s="189">
        <f t="shared" si="16"/>
        <v>114748.359375</v>
      </c>
      <c r="P23" s="39" t="s">
        <v>36</v>
      </c>
    </row>
    <row r="24" spans="1:20" x14ac:dyDescent="0.25">
      <c r="A24" s="40" t="s">
        <v>38</v>
      </c>
      <c r="B24" s="34">
        <v>50000</v>
      </c>
      <c r="C24" s="186">
        <v>6250</v>
      </c>
      <c r="D24" s="183">
        <f>+B24+C24</f>
        <v>56250</v>
      </c>
      <c r="E24" s="175">
        <v>32.5</v>
      </c>
      <c r="F24" s="35"/>
      <c r="G24" s="34">
        <f t="shared" si="10"/>
        <v>14282.2265625</v>
      </c>
      <c r="H24" s="34">
        <f t="shared" si="11"/>
        <v>0</v>
      </c>
      <c r="I24" s="36">
        <f t="shared" si="12"/>
        <v>5625</v>
      </c>
      <c r="J24" s="37">
        <v>18000</v>
      </c>
      <c r="K24" s="37">
        <f t="shared" si="13"/>
        <v>675</v>
      </c>
      <c r="L24" s="36">
        <f t="shared" si="14"/>
        <v>900</v>
      </c>
      <c r="M24" s="36">
        <f t="shared" si="15"/>
        <v>46.40625</v>
      </c>
      <c r="N24" s="36">
        <f>C24*3</f>
        <v>18750</v>
      </c>
      <c r="O24" s="189">
        <f t="shared" si="16"/>
        <v>114528.6328125</v>
      </c>
      <c r="P24" s="39" t="s">
        <v>36</v>
      </c>
    </row>
    <row r="25" spans="1:20" x14ac:dyDescent="0.25">
      <c r="A25" s="52" t="s">
        <v>33</v>
      </c>
      <c r="B25" s="178">
        <f>SUM(B21:B24)</f>
        <v>216780</v>
      </c>
      <c r="C25" s="178">
        <f>SUM(C21:C24)</f>
        <v>27097.5</v>
      </c>
      <c r="D25" s="45">
        <f>SUM(D21:D24)</f>
        <v>243877.5</v>
      </c>
      <c r="E25" s="49"/>
      <c r="F25" s="45"/>
      <c r="G25" s="45">
        <f>SUM(G21:G24)</f>
        <v>42119.736328125</v>
      </c>
      <c r="H25" s="34">
        <f t="shared" si="11"/>
        <v>0</v>
      </c>
      <c r="I25" s="45">
        <f t="shared" ref="I25:M25" si="17">SUM(I21:I24)</f>
        <v>24387.75</v>
      </c>
      <c r="J25" s="45">
        <f t="shared" si="17"/>
        <v>72000</v>
      </c>
      <c r="K25" s="45">
        <f t="shared" si="17"/>
        <v>2926.5299999999997</v>
      </c>
      <c r="L25" s="45">
        <f t="shared" si="17"/>
        <v>3902.04</v>
      </c>
      <c r="M25" s="45">
        <f t="shared" si="17"/>
        <v>201.1989375</v>
      </c>
      <c r="N25" s="36">
        <f>C25*3</f>
        <v>81292.5</v>
      </c>
      <c r="O25" s="189">
        <f>SUM(O21:O24)</f>
        <v>470707.25526562496</v>
      </c>
      <c r="P25" s="39"/>
    </row>
    <row r="26" spans="1:20" x14ac:dyDescent="0.25">
      <c r="A26" s="40"/>
      <c r="B26" s="40"/>
      <c r="C26" s="186"/>
      <c r="D26" s="34"/>
      <c r="E26" s="35"/>
      <c r="F26" s="35"/>
      <c r="G26" s="36"/>
      <c r="H26" s="36"/>
      <c r="I26" s="36"/>
      <c r="J26" s="37"/>
      <c r="K26" s="40"/>
      <c r="L26" s="36"/>
      <c r="M26" s="36"/>
      <c r="N26" s="36"/>
      <c r="O26" s="38"/>
      <c r="P26" s="39"/>
    </row>
    <row r="27" spans="1:20" x14ac:dyDescent="0.25">
      <c r="A27" s="40" t="s">
        <v>39</v>
      </c>
      <c r="B27" s="34">
        <v>50000</v>
      </c>
      <c r="C27" s="186">
        <v>4500</v>
      </c>
      <c r="D27" s="183">
        <f>+B27+C27</f>
        <v>54500</v>
      </c>
      <c r="E27" s="35"/>
      <c r="F27" s="35">
        <v>11</v>
      </c>
      <c r="G27" s="34">
        <f>D27/192*1.5*E27</f>
        <v>0</v>
      </c>
      <c r="H27" s="34">
        <f t="shared" ref="H27:H28" si="18">D27/192*2*F27</f>
        <v>6244.791666666667</v>
      </c>
      <c r="I27" s="36">
        <f t="shared" ref="I27:I28" si="19">D27*$I$5</f>
        <v>5450</v>
      </c>
      <c r="J27" s="37">
        <v>10000</v>
      </c>
      <c r="K27" s="37">
        <f t="shared" ref="K27:K28" si="20">D27*$K$5</f>
        <v>654</v>
      </c>
      <c r="L27" s="36">
        <f t="shared" ref="L27:L28" si="21">D27*$L$5</f>
        <v>872</v>
      </c>
      <c r="M27" s="36">
        <f t="shared" ref="M27:M28" si="22">(D27*0.5%)*16.5%</f>
        <v>44.962499999999999</v>
      </c>
      <c r="N27" s="36">
        <f>C27*3</f>
        <v>13500</v>
      </c>
      <c r="O27" s="189">
        <f>+D27+G27+H27+I27+J27+K27+L27+M27+N27</f>
        <v>91265.754166666651</v>
      </c>
      <c r="P27" s="39" t="s">
        <v>40</v>
      </c>
    </row>
    <row r="28" spans="1:20" x14ac:dyDescent="0.25">
      <c r="A28" s="40" t="s">
        <v>41</v>
      </c>
      <c r="B28" s="34">
        <v>50000</v>
      </c>
      <c r="C28" s="186">
        <v>3500</v>
      </c>
      <c r="D28" s="183">
        <f>+B28+C28</f>
        <v>53500</v>
      </c>
      <c r="E28" s="35"/>
      <c r="F28" s="35">
        <v>4.5</v>
      </c>
      <c r="G28" s="34">
        <f>D28/192*1.5*E28</f>
        <v>0</v>
      </c>
      <c r="H28" s="34">
        <f t="shared" si="18"/>
        <v>2507.8125</v>
      </c>
      <c r="I28" s="36">
        <f t="shared" si="19"/>
        <v>5350</v>
      </c>
      <c r="J28" s="37">
        <v>10000</v>
      </c>
      <c r="K28" s="37">
        <f t="shared" si="20"/>
        <v>642</v>
      </c>
      <c r="L28" s="36">
        <f t="shared" si="21"/>
        <v>856</v>
      </c>
      <c r="M28" s="36">
        <f t="shared" si="22"/>
        <v>44.137500000000003</v>
      </c>
      <c r="N28" s="36">
        <f>C28*3</f>
        <v>10500</v>
      </c>
      <c r="O28" s="189">
        <f>+D28+G28+H28+I28+J28+K28+L28+M28+N28</f>
        <v>83399.95</v>
      </c>
      <c r="P28" s="39" t="s">
        <v>40</v>
      </c>
    </row>
    <row r="29" spans="1:20" x14ac:dyDescent="0.25">
      <c r="A29" s="52" t="s">
        <v>33</v>
      </c>
      <c r="B29" s="45">
        <f>SUM(B27:B28)</f>
        <v>100000</v>
      </c>
      <c r="C29" s="45">
        <f>SUM(C27:C28)</f>
        <v>8000</v>
      </c>
      <c r="D29" s="45">
        <f>SUM(D27:D28)</f>
        <v>108000</v>
      </c>
      <c r="E29" s="49"/>
      <c r="F29" s="45"/>
      <c r="G29" s="45">
        <f t="shared" ref="G29:O29" si="23">SUM(G27:G28)</f>
        <v>0</v>
      </c>
      <c r="H29" s="45">
        <f t="shared" si="23"/>
        <v>8752.6041666666679</v>
      </c>
      <c r="I29" s="45">
        <f t="shared" si="23"/>
        <v>10800</v>
      </c>
      <c r="J29" s="45">
        <f t="shared" si="23"/>
        <v>20000</v>
      </c>
      <c r="K29" s="45">
        <f t="shared" si="23"/>
        <v>1296</v>
      </c>
      <c r="L29" s="45">
        <f t="shared" si="23"/>
        <v>1728</v>
      </c>
      <c r="M29" s="45">
        <f t="shared" si="23"/>
        <v>89.1</v>
      </c>
      <c r="N29" s="36">
        <f>C29*3</f>
        <v>24000</v>
      </c>
      <c r="O29" s="45">
        <f t="shared" si="23"/>
        <v>174665.70416666666</v>
      </c>
      <c r="P29" s="39"/>
    </row>
    <row r="30" spans="1:20" x14ac:dyDescent="0.25">
      <c r="A30" s="40"/>
      <c r="B30" s="40"/>
      <c r="C30" s="186"/>
      <c r="D30" s="34"/>
      <c r="E30" s="35"/>
      <c r="F30" s="35"/>
      <c r="G30" s="36"/>
      <c r="H30" s="36"/>
      <c r="I30" s="40"/>
      <c r="J30" s="37"/>
      <c r="K30" s="40"/>
      <c r="L30" s="40"/>
      <c r="M30" s="36"/>
      <c r="N30" s="36"/>
      <c r="O30" s="38"/>
      <c r="P30" s="39"/>
    </row>
    <row r="31" spans="1:20" s="66" customFormat="1" x14ac:dyDescent="0.25">
      <c r="A31" s="67" t="s">
        <v>248</v>
      </c>
      <c r="B31" s="195">
        <v>382116</v>
      </c>
      <c r="C31" s="195"/>
      <c r="D31" s="183">
        <f>+B31+C31</f>
        <v>382116</v>
      </c>
      <c r="E31" s="171"/>
      <c r="F31" s="171"/>
      <c r="G31" s="68"/>
      <c r="H31" s="68"/>
      <c r="I31" s="68"/>
      <c r="J31" s="173"/>
      <c r="K31" s="70"/>
      <c r="L31" s="68"/>
      <c r="M31" s="68"/>
      <c r="N31" s="36"/>
      <c r="O31" s="71">
        <f>+D31+G31+H31+I31+J31+K31+L31+M31</f>
        <v>382116</v>
      </c>
      <c r="P31" s="72" t="s">
        <v>43</v>
      </c>
    </row>
    <row r="32" spans="1:20" x14ac:dyDescent="0.25">
      <c r="A32" s="40" t="s">
        <v>249</v>
      </c>
      <c r="B32" s="209">
        <f>(210000/22)*15</f>
        <v>143181.81818181818</v>
      </c>
      <c r="C32" s="209"/>
      <c r="D32" s="183">
        <f>+B32+C32</f>
        <v>143181.81818181818</v>
      </c>
      <c r="E32" s="35"/>
      <c r="F32" s="35"/>
      <c r="G32" s="36"/>
      <c r="H32" s="34">
        <f>D32/192*2*F32</f>
        <v>0</v>
      </c>
      <c r="I32" s="68"/>
      <c r="J32" s="173"/>
      <c r="K32" s="37">
        <f t="shared" ref="K32" si="24">D32*$K$5</f>
        <v>1718.1818181818182</v>
      </c>
      <c r="L32" s="34">
        <f t="shared" ref="L32" si="25">D32*$L$5</f>
        <v>2290.909090909091</v>
      </c>
      <c r="M32" s="34">
        <f t="shared" ref="M32" si="26">(D32*0.5%)*16.5%</f>
        <v>118.125</v>
      </c>
      <c r="N32" s="36">
        <f>C32*3</f>
        <v>0</v>
      </c>
      <c r="O32" s="45">
        <f>+D32+G32+H32+I32+J32+K32+L32+M32</f>
        <v>147309.03409090909</v>
      </c>
      <c r="P32" s="46"/>
    </row>
    <row r="33" spans="1:20" x14ac:dyDescent="0.25">
      <c r="A33" s="40" t="s">
        <v>252</v>
      </c>
      <c r="B33" s="210">
        <f>SUM(B31:B32)</f>
        <v>525297.81818181812</v>
      </c>
      <c r="C33" s="194"/>
      <c r="D33" s="53">
        <f>SUM(D31:D32)</f>
        <v>525297.81818181812</v>
      </c>
      <c r="E33" s="35"/>
      <c r="F33" s="35"/>
      <c r="G33" s="36"/>
      <c r="H33" s="36"/>
      <c r="I33" s="36"/>
      <c r="J33" s="37"/>
      <c r="K33" s="36"/>
      <c r="L33" s="36"/>
      <c r="M33" s="36"/>
      <c r="N33" s="36"/>
      <c r="O33" s="38"/>
      <c r="P33" s="39"/>
    </row>
    <row r="34" spans="1:20" x14ac:dyDescent="0.25">
      <c r="A34" s="40"/>
      <c r="B34" s="40"/>
      <c r="C34" s="186"/>
      <c r="D34" s="34"/>
      <c r="E34" s="35"/>
      <c r="F34" s="35"/>
      <c r="G34" s="36"/>
      <c r="H34" s="36"/>
      <c r="I34" s="36"/>
      <c r="J34" s="37"/>
      <c r="K34" s="36"/>
      <c r="L34" s="36"/>
      <c r="M34" s="36"/>
      <c r="N34" s="36"/>
      <c r="O34" s="38"/>
      <c r="P34" s="39"/>
    </row>
    <row r="35" spans="1:20" x14ac:dyDescent="0.25">
      <c r="A35" s="40" t="s">
        <v>44</v>
      </c>
      <c r="B35" s="34">
        <v>77910</v>
      </c>
      <c r="C35" s="186">
        <v>15582</v>
      </c>
      <c r="D35" s="183">
        <f t="shared" ref="D35:D41" si="27">+B35+C35</f>
        <v>93492</v>
      </c>
      <c r="E35" s="35">
        <v>9</v>
      </c>
      <c r="F35" s="35">
        <v>6</v>
      </c>
      <c r="G35" s="34">
        <f t="shared" ref="G35:G41" si="28">D35/192*1.5*E35</f>
        <v>6573.65625</v>
      </c>
      <c r="H35" s="34">
        <f t="shared" ref="H35:H41" si="29">D35/192*2*F35</f>
        <v>5843.25</v>
      </c>
      <c r="I35" s="36">
        <f t="shared" ref="I35:I41" si="30">D35*$I$5</f>
        <v>9349.2000000000007</v>
      </c>
      <c r="J35" s="37">
        <f>18000+5000</f>
        <v>23000</v>
      </c>
      <c r="K35" s="37">
        <f t="shared" ref="K35:K41" si="31">D35*$K$5</f>
        <v>1121.904</v>
      </c>
      <c r="L35" s="34">
        <f t="shared" ref="L35:L41" si="32">D35*$L$5</f>
        <v>1495.8720000000001</v>
      </c>
      <c r="M35" s="36">
        <f t="shared" ref="M35:M41" si="33">(D35*0.5%)*16.5%</f>
        <v>77.130900000000011</v>
      </c>
      <c r="N35" s="36">
        <f t="shared" ref="N35:N42" si="34">C35*3</f>
        <v>46746</v>
      </c>
      <c r="O35" s="189">
        <f>+D35+G35+H35+I35+J35+K35+L35+M35+N35</f>
        <v>187699.01315000001</v>
      </c>
      <c r="P35" s="39" t="s">
        <v>45</v>
      </c>
    </row>
    <row r="36" spans="1:20" x14ac:dyDescent="0.25">
      <c r="A36" s="40" t="s">
        <v>46</v>
      </c>
      <c r="B36" s="34">
        <v>50000</v>
      </c>
      <c r="C36" s="186">
        <v>4500</v>
      </c>
      <c r="D36" s="183">
        <f t="shared" si="27"/>
        <v>54500</v>
      </c>
      <c r="E36" s="35">
        <v>48</v>
      </c>
      <c r="F36" s="35">
        <v>6</v>
      </c>
      <c r="G36" s="34">
        <f t="shared" si="28"/>
        <v>20437.5</v>
      </c>
      <c r="H36" s="34">
        <f t="shared" si="29"/>
        <v>3406.25</v>
      </c>
      <c r="I36" s="36">
        <f t="shared" si="30"/>
        <v>5450</v>
      </c>
      <c r="J36" s="37">
        <v>10000</v>
      </c>
      <c r="K36" s="37">
        <f t="shared" si="31"/>
        <v>654</v>
      </c>
      <c r="L36" s="34">
        <f t="shared" si="32"/>
        <v>872</v>
      </c>
      <c r="M36" s="36">
        <f t="shared" si="33"/>
        <v>44.962499999999999</v>
      </c>
      <c r="N36" s="36">
        <f t="shared" si="34"/>
        <v>13500</v>
      </c>
      <c r="O36" s="189">
        <f t="shared" ref="O36:O41" si="35">+D36+G36+H36+I36+J36+K36+L36+M36+N36</f>
        <v>108864.71249999999</v>
      </c>
      <c r="P36" s="39" t="s">
        <v>45</v>
      </c>
    </row>
    <row r="37" spans="1:20" x14ac:dyDescent="0.25">
      <c r="A37" s="40" t="s">
        <v>47</v>
      </c>
      <c r="B37" s="34">
        <v>50000</v>
      </c>
      <c r="C37" s="186">
        <v>4500</v>
      </c>
      <c r="D37" s="183">
        <f t="shared" si="27"/>
        <v>54500</v>
      </c>
      <c r="E37" s="35">
        <v>48</v>
      </c>
      <c r="F37" s="35">
        <v>6</v>
      </c>
      <c r="G37" s="34">
        <f t="shared" si="28"/>
        <v>20437.5</v>
      </c>
      <c r="H37" s="34">
        <f t="shared" si="29"/>
        <v>3406.25</v>
      </c>
      <c r="I37" s="36">
        <f t="shared" si="30"/>
        <v>5450</v>
      </c>
      <c r="J37" s="37">
        <v>10000</v>
      </c>
      <c r="K37" s="37">
        <f t="shared" si="31"/>
        <v>654</v>
      </c>
      <c r="L37" s="34">
        <f t="shared" si="32"/>
        <v>872</v>
      </c>
      <c r="M37" s="36">
        <f t="shared" si="33"/>
        <v>44.962499999999999</v>
      </c>
      <c r="N37" s="36">
        <f t="shared" si="34"/>
        <v>13500</v>
      </c>
      <c r="O37" s="189">
        <f t="shared" si="35"/>
        <v>108864.71249999999</v>
      </c>
      <c r="P37" s="39" t="s">
        <v>45</v>
      </c>
    </row>
    <row r="38" spans="1:20" x14ac:dyDescent="0.25">
      <c r="A38" s="40" t="s">
        <v>48</v>
      </c>
      <c r="B38" s="34">
        <v>50000</v>
      </c>
      <c r="C38" s="186">
        <v>4500</v>
      </c>
      <c r="D38" s="183">
        <f t="shared" si="27"/>
        <v>54500</v>
      </c>
      <c r="E38" s="35">
        <v>48</v>
      </c>
      <c r="F38" s="35">
        <v>6</v>
      </c>
      <c r="G38" s="34">
        <f t="shared" si="28"/>
        <v>20437.5</v>
      </c>
      <c r="H38" s="34">
        <f t="shared" si="29"/>
        <v>3406.25</v>
      </c>
      <c r="I38" s="36">
        <f t="shared" si="30"/>
        <v>5450</v>
      </c>
      <c r="J38" s="37">
        <v>10000</v>
      </c>
      <c r="K38" s="37">
        <f t="shared" si="31"/>
        <v>654</v>
      </c>
      <c r="L38" s="34">
        <f t="shared" si="32"/>
        <v>872</v>
      </c>
      <c r="M38" s="36">
        <f t="shared" si="33"/>
        <v>44.962499999999999</v>
      </c>
      <c r="N38" s="36">
        <f t="shared" si="34"/>
        <v>13500</v>
      </c>
      <c r="O38" s="189">
        <f t="shared" si="35"/>
        <v>108864.71249999999</v>
      </c>
      <c r="P38" s="39" t="s">
        <v>45</v>
      </c>
    </row>
    <row r="39" spans="1:20" x14ac:dyDescent="0.25">
      <c r="A39" s="40" t="s">
        <v>49</v>
      </c>
      <c r="B39" s="34">
        <v>50000</v>
      </c>
      <c r="C39" s="186">
        <v>4500</v>
      </c>
      <c r="D39" s="183">
        <f t="shared" si="27"/>
        <v>54500</v>
      </c>
      <c r="E39" s="35">
        <v>48</v>
      </c>
      <c r="F39" s="35">
        <v>6</v>
      </c>
      <c r="G39" s="34">
        <f t="shared" si="28"/>
        <v>20437.5</v>
      </c>
      <c r="H39" s="34">
        <f t="shared" si="29"/>
        <v>3406.25</v>
      </c>
      <c r="I39" s="36">
        <f t="shared" si="30"/>
        <v>5450</v>
      </c>
      <c r="J39" s="37">
        <v>10000</v>
      </c>
      <c r="K39" s="37">
        <f t="shared" si="31"/>
        <v>654</v>
      </c>
      <c r="L39" s="34">
        <f t="shared" si="32"/>
        <v>872</v>
      </c>
      <c r="M39" s="36">
        <f t="shared" si="33"/>
        <v>44.962499999999999</v>
      </c>
      <c r="N39" s="36">
        <f t="shared" si="34"/>
        <v>13500</v>
      </c>
      <c r="O39" s="189">
        <f t="shared" si="35"/>
        <v>108864.71249999999</v>
      </c>
      <c r="P39" s="39" t="s">
        <v>45</v>
      </c>
    </row>
    <row r="40" spans="1:20" x14ac:dyDescent="0.25">
      <c r="A40" s="40" t="s">
        <v>50</v>
      </c>
      <c r="B40" s="34">
        <v>50000</v>
      </c>
      <c r="C40" s="186">
        <v>4500</v>
      </c>
      <c r="D40" s="183">
        <f t="shared" si="27"/>
        <v>54500</v>
      </c>
      <c r="E40" s="35">
        <v>60</v>
      </c>
      <c r="F40" s="35">
        <v>6</v>
      </c>
      <c r="G40" s="34">
        <f t="shared" si="28"/>
        <v>25546.875</v>
      </c>
      <c r="H40" s="34">
        <f t="shared" si="29"/>
        <v>3406.25</v>
      </c>
      <c r="I40" s="36">
        <f t="shared" si="30"/>
        <v>5450</v>
      </c>
      <c r="J40" s="37">
        <v>10000</v>
      </c>
      <c r="K40" s="37">
        <f t="shared" si="31"/>
        <v>654</v>
      </c>
      <c r="L40" s="34">
        <f t="shared" si="32"/>
        <v>872</v>
      </c>
      <c r="M40" s="36">
        <f t="shared" si="33"/>
        <v>44.962499999999999</v>
      </c>
      <c r="N40" s="36">
        <f t="shared" si="34"/>
        <v>13500</v>
      </c>
      <c r="O40" s="189">
        <f t="shared" si="35"/>
        <v>113974.08749999999</v>
      </c>
      <c r="P40" s="39" t="s">
        <v>45</v>
      </c>
    </row>
    <row r="41" spans="1:20" x14ac:dyDescent="0.25">
      <c r="A41" s="40" t="s">
        <v>51</v>
      </c>
      <c r="B41" s="34">
        <v>50000</v>
      </c>
      <c r="C41" s="186">
        <v>4500</v>
      </c>
      <c r="D41" s="183">
        <f t="shared" si="27"/>
        <v>54500</v>
      </c>
      <c r="E41" s="35">
        <v>48</v>
      </c>
      <c r="F41" s="35">
        <v>6</v>
      </c>
      <c r="G41" s="34">
        <f t="shared" si="28"/>
        <v>20437.5</v>
      </c>
      <c r="H41" s="34">
        <f t="shared" si="29"/>
        <v>3406.25</v>
      </c>
      <c r="I41" s="36">
        <f t="shared" si="30"/>
        <v>5450</v>
      </c>
      <c r="J41" s="37">
        <v>10000</v>
      </c>
      <c r="K41" s="37">
        <f t="shared" si="31"/>
        <v>654</v>
      </c>
      <c r="L41" s="34">
        <f t="shared" si="32"/>
        <v>872</v>
      </c>
      <c r="M41" s="36">
        <f t="shared" si="33"/>
        <v>44.962499999999999</v>
      </c>
      <c r="N41" s="36">
        <f t="shared" si="34"/>
        <v>13500</v>
      </c>
      <c r="O41" s="189">
        <f t="shared" si="35"/>
        <v>108864.71249999999</v>
      </c>
      <c r="P41" s="39" t="s">
        <v>45</v>
      </c>
    </row>
    <row r="42" spans="1:20" x14ac:dyDescent="0.25">
      <c r="A42" s="52" t="s">
        <v>33</v>
      </c>
      <c r="B42" s="45">
        <f>SUM(B35:B41)</f>
        <v>377910</v>
      </c>
      <c r="C42" s="45">
        <f>SUM(C35:C41)</f>
        <v>42582</v>
      </c>
      <c r="D42" s="45">
        <f>SUM(D35:D41)</f>
        <v>420492</v>
      </c>
      <c r="E42" s="35"/>
      <c r="F42" s="45"/>
      <c r="G42" s="45">
        <f t="shared" ref="G42:L42" si="36">SUM(G35:G41)</f>
        <v>134308.03125</v>
      </c>
      <c r="H42" s="45">
        <f t="shared" si="36"/>
        <v>26280.75</v>
      </c>
      <c r="I42" s="45">
        <f t="shared" si="36"/>
        <v>42049.2</v>
      </c>
      <c r="J42" s="45">
        <f t="shared" si="36"/>
        <v>83000</v>
      </c>
      <c r="K42" s="45">
        <f t="shared" si="36"/>
        <v>5045.9040000000005</v>
      </c>
      <c r="L42" s="45">
        <f t="shared" si="36"/>
        <v>6727.8720000000003</v>
      </c>
      <c r="M42" s="45">
        <f>SUM(M35:M41)</f>
        <v>346.90589999999997</v>
      </c>
      <c r="N42" s="178">
        <f t="shared" si="34"/>
        <v>127746</v>
      </c>
      <c r="O42" s="45">
        <f>SUM(O35:O41)</f>
        <v>845996.66315000015</v>
      </c>
      <c r="P42" s="39"/>
    </row>
    <row r="43" spans="1:20" x14ac:dyDescent="0.25">
      <c r="A43" s="40"/>
      <c r="B43" s="40"/>
      <c r="C43" s="186"/>
      <c r="D43" s="34"/>
      <c r="E43" s="35"/>
      <c r="F43" s="35"/>
      <c r="G43" s="36"/>
      <c r="H43" s="36"/>
      <c r="I43" s="36"/>
      <c r="J43" s="37"/>
      <c r="K43" s="40"/>
      <c r="L43" s="36"/>
      <c r="M43" s="36"/>
      <c r="N43" s="36"/>
      <c r="O43" s="38"/>
      <c r="P43" s="39"/>
    </row>
    <row r="44" spans="1:20" s="47" customFormat="1" x14ac:dyDescent="0.25">
      <c r="A44" s="41" t="s">
        <v>52</v>
      </c>
      <c r="B44" s="34">
        <v>50000</v>
      </c>
      <c r="C44" s="177">
        <v>10000</v>
      </c>
      <c r="D44" s="183">
        <f>+B44+C44</f>
        <v>60000</v>
      </c>
      <c r="E44" s="180">
        <v>24.4</v>
      </c>
      <c r="F44" s="122"/>
      <c r="G44" s="34">
        <f t="shared" ref="G44:G46" si="37">D44/192*1.5*E44</f>
        <v>11437.5</v>
      </c>
      <c r="H44" s="34">
        <f>D44/192*2*F45</f>
        <v>0</v>
      </c>
      <c r="I44" s="36">
        <f t="shared" ref="I44:I46" si="38">D44*$I$5</f>
        <v>6000</v>
      </c>
      <c r="J44" s="44">
        <f>18000+5000</f>
        <v>23000</v>
      </c>
      <c r="K44" s="37">
        <f t="shared" ref="K44:K46" si="39">D44*$K$5</f>
        <v>720</v>
      </c>
      <c r="L44" s="34">
        <f t="shared" ref="L44:L46" si="40">D44*$L$5</f>
        <v>960</v>
      </c>
      <c r="M44" s="36">
        <f t="shared" ref="M44:M46" si="41">(D44*0.5%)*16.5%</f>
        <v>49.5</v>
      </c>
      <c r="N44" s="36">
        <f>C44*3</f>
        <v>30000</v>
      </c>
      <c r="O44" s="38">
        <f>+D44+G44+H44+I44+J44+K44+L44+M44+N44</f>
        <v>132167</v>
      </c>
      <c r="P44" s="46" t="s">
        <v>53</v>
      </c>
      <c r="T44" s="57"/>
    </row>
    <row r="45" spans="1:20" s="47" customFormat="1" x14ac:dyDescent="0.25">
      <c r="A45" s="41" t="s">
        <v>54</v>
      </c>
      <c r="B45" s="34">
        <v>50000</v>
      </c>
      <c r="C45" s="177">
        <v>10000</v>
      </c>
      <c r="D45" s="183">
        <f>+B45+C45</f>
        <v>60000</v>
      </c>
      <c r="E45" s="175">
        <v>24.4</v>
      </c>
      <c r="F45" s="35"/>
      <c r="G45" s="34">
        <f t="shared" si="37"/>
        <v>11437.5</v>
      </c>
      <c r="H45" s="34">
        <f>D45/192*2*F45</f>
        <v>0</v>
      </c>
      <c r="I45" s="36">
        <f t="shared" si="38"/>
        <v>6000</v>
      </c>
      <c r="J45" s="44">
        <f>18000+5000</f>
        <v>23000</v>
      </c>
      <c r="K45" s="37">
        <f t="shared" si="39"/>
        <v>720</v>
      </c>
      <c r="L45" s="34">
        <f t="shared" si="40"/>
        <v>960</v>
      </c>
      <c r="M45" s="36">
        <f t="shared" si="41"/>
        <v>49.5</v>
      </c>
      <c r="N45" s="36">
        <f>C45*3</f>
        <v>30000</v>
      </c>
      <c r="O45" s="38">
        <f t="shared" ref="O45:O46" si="42">+D45+G45+H45+I45+J45+K45+L45+M45+N45</f>
        <v>132167</v>
      </c>
      <c r="P45" s="46" t="s">
        <v>53</v>
      </c>
    </row>
    <row r="46" spans="1:20" s="47" customFormat="1" x14ac:dyDescent="0.25">
      <c r="A46" s="41" t="s">
        <v>55</v>
      </c>
      <c r="B46" s="34">
        <v>56317.8</v>
      </c>
      <c r="C46" s="177">
        <f>B46*0.2</f>
        <v>11263.560000000001</v>
      </c>
      <c r="D46" s="183">
        <f>+B46+C46</f>
        <v>67581.36</v>
      </c>
      <c r="E46" s="175">
        <v>24.4</v>
      </c>
      <c r="F46" s="35"/>
      <c r="G46" s="34">
        <f t="shared" si="37"/>
        <v>12882.696749999999</v>
      </c>
      <c r="H46" s="34">
        <f>D46/192*2*F46</f>
        <v>0</v>
      </c>
      <c r="I46" s="36">
        <f t="shared" si="38"/>
        <v>6758.1360000000004</v>
      </c>
      <c r="J46" s="44">
        <f>18000+5000</f>
        <v>23000</v>
      </c>
      <c r="K46" s="37">
        <f t="shared" si="39"/>
        <v>810.97631999999999</v>
      </c>
      <c r="L46" s="34">
        <f t="shared" si="40"/>
        <v>1081.3017600000001</v>
      </c>
      <c r="M46" s="36">
        <f t="shared" si="41"/>
        <v>55.754622000000005</v>
      </c>
      <c r="N46" s="36">
        <f>C46*3</f>
        <v>33790.680000000008</v>
      </c>
      <c r="O46" s="38">
        <f t="shared" si="42"/>
        <v>145960.90545200001</v>
      </c>
      <c r="P46" s="46" t="s">
        <v>53</v>
      </c>
    </row>
    <row r="47" spans="1:20" s="22" customFormat="1" x14ac:dyDescent="0.25">
      <c r="A47" s="52"/>
      <c r="B47" s="53">
        <f>SUM(B44:B46)</f>
        <v>156317.79999999999</v>
      </c>
      <c r="C47" s="53">
        <f>SUM(C44:C46)</f>
        <v>31263.56</v>
      </c>
      <c r="D47" s="53">
        <f>SUM(D44:D46)</f>
        <v>187581.36</v>
      </c>
      <c r="E47" s="181"/>
      <c r="F47" s="53"/>
      <c r="G47" s="53">
        <f t="shared" ref="G47:O47" si="43">SUM(G44:G46)</f>
        <v>35757.696750000003</v>
      </c>
      <c r="H47" s="53">
        <f t="shared" si="43"/>
        <v>0</v>
      </c>
      <c r="I47" s="53">
        <f t="shared" si="43"/>
        <v>18758.135999999999</v>
      </c>
      <c r="J47" s="53">
        <f t="shared" si="43"/>
        <v>69000</v>
      </c>
      <c r="K47" s="53">
        <f t="shared" si="43"/>
        <v>2250.9763199999998</v>
      </c>
      <c r="L47" s="53">
        <f t="shared" si="43"/>
        <v>3001.3017600000003</v>
      </c>
      <c r="M47" s="53">
        <f t="shared" si="43"/>
        <v>154.75462200000001</v>
      </c>
      <c r="N47" s="178">
        <f>C47*3</f>
        <v>93790.680000000008</v>
      </c>
      <c r="O47" s="53">
        <f t="shared" si="43"/>
        <v>410294.90545199998</v>
      </c>
      <c r="P47" s="59"/>
    </row>
    <row r="48" spans="1:20" x14ac:dyDescent="0.25">
      <c r="A48" s="40"/>
      <c r="B48" s="40"/>
      <c r="C48" s="186"/>
      <c r="D48" s="34"/>
      <c r="E48" s="35"/>
      <c r="F48" s="35"/>
      <c r="G48" s="36"/>
      <c r="H48" s="36"/>
      <c r="I48" s="36"/>
      <c r="J48" s="37"/>
      <c r="K48" s="40"/>
      <c r="L48" s="36"/>
      <c r="M48" s="36"/>
      <c r="N48" s="36"/>
      <c r="O48" s="38"/>
      <c r="P48" s="39"/>
    </row>
    <row r="49" spans="1:16" x14ac:dyDescent="0.25">
      <c r="A49" s="40" t="s">
        <v>56</v>
      </c>
      <c r="B49" s="34">
        <v>50000</v>
      </c>
      <c r="C49" s="186">
        <v>10000</v>
      </c>
      <c r="D49" s="183">
        <f>+B49+C49</f>
        <v>60000</v>
      </c>
      <c r="E49" s="35"/>
      <c r="F49" s="35"/>
      <c r="G49" s="34">
        <f>D49/192*1.5*E49</f>
        <v>0</v>
      </c>
      <c r="H49" s="34">
        <f>D49/192*2*F49</f>
        <v>0</v>
      </c>
      <c r="I49" s="36">
        <f t="shared" ref="I49:I50" si="44">D49*$I$5</f>
        <v>6000</v>
      </c>
      <c r="J49" s="37">
        <f>18000+5000</f>
        <v>23000</v>
      </c>
      <c r="K49" s="37">
        <f t="shared" ref="K49:K50" si="45">D49*$K$5</f>
        <v>720</v>
      </c>
      <c r="L49" s="34">
        <f t="shared" ref="L49:L50" si="46">D49*$L$5</f>
        <v>960</v>
      </c>
      <c r="M49" s="36">
        <f t="shared" ref="M49:M50" si="47">(D49*0.5%)*16.5%</f>
        <v>49.5</v>
      </c>
      <c r="N49" s="36">
        <f>C49*3</f>
        <v>30000</v>
      </c>
      <c r="O49" s="211">
        <f>+D49+G49+H49+I49+J49+K49+L49+M49+N49</f>
        <v>120729.5</v>
      </c>
      <c r="P49" s="39" t="s">
        <v>57</v>
      </c>
    </row>
    <row r="50" spans="1:16" x14ac:dyDescent="0.25">
      <c r="A50" s="40" t="s">
        <v>58</v>
      </c>
      <c r="B50" s="34">
        <v>50000</v>
      </c>
      <c r="C50" s="186">
        <v>10000</v>
      </c>
      <c r="D50" s="183">
        <f>+B50+C50</f>
        <v>60000</v>
      </c>
      <c r="E50" s="35"/>
      <c r="F50" s="35"/>
      <c r="G50" s="34">
        <f>D50/192*1.5*E50</f>
        <v>0</v>
      </c>
      <c r="H50" s="34">
        <f>D50/192*2*F50</f>
        <v>0</v>
      </c>
      <c r="I50" s="36">
        <f t="shared" si="44"/>
        <v>6000</v>
      </c>
      <c r="J50" s="37">
        <f>18000+5000</f>
        <v>23000</v>
      </c>
      <c r="K50" s="37">
        <f t="shared" si="45"/>
        <v>720</v>
      </c>
      <c r="L50" s="34">
        <f t="shared" si="46"/>
        <v>960</v>
      </c>
      <c r="M50" s="36">
        <f t="shared" si="47"/>
        <v>49.5</v>
      </c>
      <c r="N50" s="36">
        <f>C50*3</f>
        <v>30000</v>
      </c>
      <c r="O50" s="211">
        <f>+D50+G50+H50+I50+J50+K50+L50+M50+N50</f>
        <v>120729.5</v>
      </c>
      <c r="P50" s="39" t="s">
        <v>57</v>
      </c>
    </row>
    <row r="51" spans="1:16" x14ac:dyDescent="0.25">
      <c r="A51" s="52" t="s">
        <v>33</v>
      </c>
      <c r="B51" s="45">
        <f t="shared" ref="B51:C51" si="48">SUM(B49:B50)</f>
        <v>100000</v>
      </c>
      <c r="C51" s="45">
        <f t="shared" si="48"/>
        <v>20000</v>
      </c>
      <c r="D51" s="45">
        <f t="shared" ref="D51:O51" si="49">SUM(D49:D50)</f>
        <v>120000</v>
      </c>
      <c r="E51" s="49"/>
      <c r="F51" s="45"/>
      <c r="G51" s="45">
        <f t="shared" si="49"/>
        <v>0</v>
      </c>
      <c r="H51" s="45">
        <f t="shared" si="49"/>
        <v>0</v>
      </c>
      <c r="I51" s="45">
        <f t="shared" si="49"/>
        <v>12000</v>
      </c>
      <c r="J51" s="45">
        <f t="shared" si="49"/>
        <v>46000</v>
      </c>
      <c r="K51" s="45">
        <f t="shared" si="49"/>
        <v>1440</v>
      </c>
      <c r="L51" s="45">
        <f t="shared" si="49"/>
        <v>1920</v>
      </c>
      <c r="M51" s="45">
        <f t="shared" si="49"/>
        <v>99</v>
      </c>
      <c r="N51" s="178">
        <f>C51*3</f>
        <v>60000</v>
      </c>
      <c r="O51" s="38">
        <f t="shared" si="49"/>
        <v>241459</v>
      </c>
      <c r="P51" s="39"/>
    </row>
    <row r="52" spans="1:16" x14ac:dyDescent="0.25">
      <c r="A52" s="40"/>
      <c r="B52" s="40"/>
      <c r="C52" s="186"/>
      <c r="D52" s="41"/>
      <c r="E52" s="35"/>
      <c r="F52" s="35"/>
      <c r="G52" s="40"/>
      <c r="H52" s="34"/>
      <c r="I52" s="40"/>
      <c r="J52" s="37"/>
      <c r="K52" s="40"/>
      <c r="L52" s="40"/>
      <c r="M52" s="36"/>
      <c r="N52" s="36"/>
      <c r="O52" s="38"/>
      <c r="P52" s="39"/>
    </row>
    <row r="53" spans="1:16" x14ac:dyDescent="0.25">
      <c r="A53" s="40" t="s">
        <v>59</v>
      </c>
      <c r="B53" s="34">
        <v>115500</v>
      </c>
      <c r="C53" s="186">
        <v>23100</v>
      </c>
      <c r="D53" s="183">
        <f>+B53+C53</f>
        <v>138600</v>
      </c>
      <c r="E53" s="35"/>
      <c r="F53" s="35"/>
      <c r="G53" s="34">
        <f>D53/192*1.5*E53</f>
        <v>0</v>
      </c>
      <c r="H53" s="34">
        <f>D53/192*2*F53</f>
        <v>0</v>
      </c>
      <c r="I53" s="36">
        <f t="shared" ref="I53:I57" si="50">D53*$I$5</f>
        <v>13860</v>
      </c>
      <c r="J53" s="37">
        <f>18000+17000</f>
        <v>35000</v>
      </c>
      <c r="K53" s="37">
        <f t="shared" ref="K53:K57" si="51">D53*$K$5</f>
        <v>1663.2</v>
      </c>
      <c r="L53" s="34">
        <f t="shared" ref="L53:L57" si="52">D53*$L$5</f>
        <v>2217.6</v>
      </c>
      <c r="M53" s="36">
        <f t="shared" ref="M53:M57" si="53">(D53*0.5%)*16.5%</f>
        <v>114.345</v>
      </c>
      <c r="N53" s="36">
        <f t="shared" ref="N53:N58" si="54">C53*3</f>
        <v>69300</v>
      </c>
      <c r="O53" s="189">
        <f>+D53+G53+H53+I53+J53+K53+L53+M53+N53</f>
        <v>260755.14500000002</v>
      </c>
      <c r="P53" s="39" t="s">
        <v>60</v>
      </c>
    </row>
    <row r="54" spans="1:16" s="65" customFormat="1" x14ac:dyDescent="0.25">
      <c r="A54" s="60" t="s">
        <v>61</v>
      </c>
      <c r="B54" s="61">
        <v>210000</v>
      </c>
      <c r="C54" s="188">
        <v>14700</v>
      </c>
      <c r="D54" s="183">
        <f>+B54+C54</f>
        <v>224700</v>
      </c>
      <c r="E54" s="62"/>
      <c r="F54" s="62"/>
      <c r="G54" s="61">
        <f>D54/192*1.5*E54</f>
        <v>0</v>
      </c>
      <c r="H54" s="61">
        <f>D54/192*2*F54</f>
        <v>0</v>
      </c>
      <c r="I54" s="36">
        <f t="shared" si="50"/>
        <v>22470</v>
      </c>
      <c r="J54" s="63">
        <f>36000+18000</f>
        <v>54000</v>
      </c>
      <c r="K54" s="37">
        <f t="shared" si="51"/>
        <v>2696.4</v>
      </c>
      <c r="L54" s="34">
        <f t="shared" si="52"/>
        <v>3595.2000000000003</v>
      </c>
      <c r="M54" s="36">
        <f t="shared" si="53"/>
        <v>185.3775</v>
      </c>
      <c r="N54" s="36">
        <f t="shared" si="54"/>
        <v>44100</v>
      </c>
      <c r="O54" s="189">
        <f t="shared" ref="O54:O57" si="55">+D54+G54+H54+I54+J54+K54+L54+M54+N54</f>
        <v>351746.97750000004</v>
      </c>
      <c r="P54" s="39" t="s">
        <v>60</v>
      </c>
    </row>
    <row r="55" spans="1:16" x14ac:dyDescent="0.25">
      <c r="A55" s="40" t="s">
        <v>62</v>
      </c>
      <c r="B55" s="34">
        <v>50000</v>
      </c>
      <c r="C55" s="186">
        <v>3500</v>
      </c>
      <c r="D55" s="183">
        <f>+B55+C55</f>
        <v>53500</v>
      </c>
      <c r="E55" s="35"/>
      <c r="F55" s="35"/>
      <c r="G55" s="34">
        <f>D55/192*1.5*E55</f>
        <v>0</v>
      </c>
      <c r="H55" s="34">
        <f>D55/192*2*F55</f>
        <v>0</v>
      </c>
      <c r="I55" s="36">
        <f t="shared" si="50"/>
        <v>5350</v>
      </c>
      <c r="J55" s="37">
        <v>0</v>
      </c>
      <c r="K55" s="37">
        <f t="shared" si="51"/>
        <v>642</v>
      </c>
      <c r="L55" s="34">
        <f t="shared" si="52"/>
        <v>856</v>
      </c>
      <c r="M55" s="36">
        <f t="shared" si="53"/>
        <v>44.137500000000003</v>
      </c>
      <c r="N55" s="36">
        <f t="shared" si="54"/>
        <v>10500</v>
      </c>
      <c r="O55" s="189">
        <f t="shared" si="55"/>
        <v>70892.137499999997</v>
      </c>
      <c r="P55" s="39" t="s">
        <v>60</v>
      </c>
    </row>
    <row r="56" spans="1:16" x14ac:dyDescent="0.25">
      <c r="A56" s="40" t="s">
        <v>63</v>
      </c>
      <c r="B56" s="34">
        <v>55093.5</v>
      </c>
      <c r="C56" s="186">
        <v>11018</v>
      </c>
      <c r="D56" s="183">
        <f>+B56+C56</f>
        <v>66111.5</v>
      </c>
      <c r="E56" s="35"/>
      <c r="F56" s="35"/>
      <c r="G56" s="34">
        <f>D56/192*1.5*E56</f>
        <v>0</v>
      </c>
      <c r="H56" s="34">
        <f>D56/192*2*F56</f>
        <v>0</v>
      </c>
      <c r="I56" s="36">
        <f t="shared" si="50"/>
        <v>6611.1500000000005</v>
      </c>
      <c r="J56" s="37">
        <f>18000+5000</f>
        <v>23000</v>
      </c>
      <c r="K56" s="37">
        <f t="shared" si="51"/>
        <v>793.33799999999997</v>
      </c>
      <c r="L56" s="34">
        <f t="shared" si="52"/>
        <v>1057.7840000000001</v>
      </c>
      <c r="M56" s="36">
        <f t="shared" si="53"/>
        <v>54.541987500000005</v>
      </c>
      <c r="N56" s="36">
        <f t="shared" si="54"/>
        <v>33054</v>
      </c>
      <c r="O56" s="189">
        <f t="shared" si="55"/>
        <v>130682.31398749999</v>
      </c>
      <c r="P56" s="39" t="s">
        <v>60</v>
      </c>
    </row>
    <row r="57" spans="1:16" x14ac:dyDescent="0.25">
      <c r="A57" s="40" t="s">
        <v>64</v>
      </c>
      <c r="B57" s="34">
        <v>50000</v>
      </c>
      <c r="C57" s="186">
        <v>10000</v>
      </c>
      <c r="D57" s="183">
        <f>+B57+C57</f>
        <v>60000</v>
      </c>
      <c r="E57" s="35"/>
      <c r="F57" s="35"/>
      <c r="G57" s="34">
        <f>D57/192*1.5*E57</f>
        <v>0</v>
      </c>
      <c r="H57" s="34">
        <f>D57/192*2*F57</f>
        <v>0</v>
      </c>
      <c r="I57" s="36">
        <f t="shared" si="50"/>
        <v>6000</v>
      </c>
      <c r="J57" s="37">
        <v>18000</v>
      </c>
      <c r="K57" s="37">
        <f t="shared" si="51"/>
        <v>720</v>
      </c>
      <c r="L57" s="34">
        <f t="shared" si="52"/>
        <v>960</v>
      </c>
      <c r="M57" s="36">
        <f t="shared" si="53"/>
        <v>49.5</v>
      </c>
      <c r="N57" s="36">
        <f t="shared" si="54"/>
        <v>30000</v>
      </c>
      <c r="O57" s="189">
        <f t="shared" si="55"/>
        <v>115729.5</v>
      </c>
      <c r="P57" s="39" t="s">
        <v>60</v>
      </c>
    </row>
    <row r="58" spans="1:16" x14ac:dyDescent="0.25">
      <c r="A58" s="52" t="s">
        <v>33</v>
      </c>
      <c r="B58" s="45">
        <f>SUM(B53:B57)</f>
        <v>480593.5</v>
      </c>
      <c r="C58" s="45">
        <f>SUM(C53:C57)</f>
        <v>62318</v>
      </c>
      <c r="D58" s="45">
        <f>SUM(D53:D57)</f>
        <v>542911.5</v>
      </c>
      <c r="E58" s="49"/>
      <c r="F58" s="45"/>
      <c r="G58" s="45">
        <f t="shared" ref="G58:M58" si="56">SUM(G53:G57)</f>
        <v>0</v>
      </c>
      <c r="H58" s="45">
        <f t="shared" si="56"/>
        <v>0</v>
      </c>
      <c r="I58" s="45">
        <f t="shared" si="56"/>
        <v>54291.15</v>
      </c>
      <c r="J58" s="45">
        <f t="shared" si="56"/>
        <v>130000</v>
      </c>
      <c r="K58" s="45">
        <f t="shared" si="56"/>
        <v>6514.9380000000001</v>
      </c>
      <c r="L58" s="45">
        <f t="shared" si="56"/>
        <v>8686.5840000000007</v>
      </c>
      <c r="M58" s="45">
        <f t="shared" si="56"/>
        <v>447.90198749999996</v>
      </c>
      <c r="N58" s="178">
        <f t="shared" si="54"/>
        <v>186954</v>
      </c>
      <c r="O58" s="38">
        <f>SUM(O53:O57)</f>
        <v>929806.07398750004</v>
      </c>
      <c r="P58" s="39"/>
    </row>
    <row r="59" spans="1:16" s="66" customFormat="1" x14ac:dyDescent="0.25">
      <c r="A59" s="67"/>
      <c r="B59" s="67"/>
      <c r="C59" s="195"/>
      <c r="D59" s="68"/>
      <c r="E59" s="69"/>
      <c r="F59" s="69"/>
      <c r="G59" s="68"/>
      <c r="H59" s="68"/>
      <c r="I59" s="68"/>
      <c r="J59" s="70"/>
      <c r="K59" s="67"/>
      <c r="L59" s="68"/>
      <c r="M59" s="68"/>
      <c r="N59" s="36"/>
      <c r="O59" s="71"/>
      <c r="P59" s="72"/>
    </row>
    <row r="60" spans="1:16" x14ac:dyDescent="0.25">
      <c r="A60" s="33" t="s">
        <v>65</v>
      </c>
      <c r="B60" s="34">
        <v>160000</v>
      </c>
      <c r="C60" s="185">
        <f>B60*0.09</f>
        <v>14400</v>
      </c>
      <c r="D60" s="183">
        <f t="shared" ref="D60:D72" si="57">+B60+C60</f>
        <v>174400</v>
      </c>
      <c r="E60" s="35"/>
      <c r="F60" s="35">
        <v>22</v>
      </c>
      <c r="G60" s="34">
        <f t="shared" ref="G60:G72" si="58">D60/192*1.5*E60</f>
        <v>0</v>
      </c>
      <c r="H60" s="34">
        <f>D60/192*2*F60</f>
        <v>39966.666666666672</v>
      </c>
      <c r="I60" s="36">
        <f t="shared" ref="I60:I72" si="59">D60*$I$5</f>
        <v>17440</v>
      </c>
      <c r="J60" s="37">
        <f>18000+5000+5000+5000+5000+5000</f>
        <v>43000</v>
      </c>
      <c r="K60" s="37">
        <f t="shared" ref="K60:K72" si="60">D60*$K$5</f>
        <v>2092.8000000000002</v>
      </c>
      <c r="L60" s="34">
        <f t="shared" ref="L60:L72" si="61">D60*$L$5</f>
        <v>2790.4</v>
      </c>
      <c r="M60" s="36">
        <f t="shared" ref="M60:M72" si="62">(D60*0.5%)*16.5%</f>
        <v>143.88</v>
      </c>
      <c r="N60" s="36">
        <f t="shared" ref="N60:N73" si="63">C60*3</f>
        <v>43200</v>
      </c>
      <c r="O60" s="189">
        <f>+D60+G60+H60+I60+J60+K60+L60+M60+N60</f>
        <v>323033.7466666667</v>
      </c>
      <c r="P60" s="39" t="s">
        <v>66</v>
      </c>
    </row>
    <row r="61" spans="1:16" x14ac:dyDescent="0.25">
      <c r="A61" s="40" t="s">
        <v>67</v>
      </c>
      <c r="B61" s="34">
        <v>120000</v>
      </c>
      <c r="C61" s="186">
        <f>B61*0.07</f>
        <v>8400</v>
      </c>
      <c r="D61" s="183">
        <f t="shared" si="57"/>
        <v>128400</v>
      </c>
      <c r="E61" s="35"/>
      <c r="F61" s="35">
        <v>24</v>
      </c>
      <c r="G61" s="34">
        <f t="shared" si="58"/>
        <v>0</v>
      </c>
      <c r="H61" s="34">
        <f t="shared" ref="H61:H72" si="64">D61/192*2*F61</f>
        <v>32100</v>
      </c>
      <c r="I61" s="36">
        <f t="shared" si="59"/>
        <v>12840</v>
      </c>
      <c r="J61" s="37">
        <f>5000+5000+5000+5000</f>
        <v>20000</v>
      </c>
      <c r="K61" s="37">
        <f t="shared" si="60"/>
        <v>1540.8</v>
      </c>
      <c r="L61" s="34">
        <f t="shared" si="61"/>
        <v>2054.4</v>
      </c>
      <c r="M61" s="36">
        <f t="shared" si="62"/>
        <v>105.93</v>
      </c>
      <c r="N61" s="36">
        <f t="shared" si="63"/>
        <v>25200</v>
      </c>
      <c r="O61" s="189">
        <f t="shared" ref="O61:O72" si="65">+D61+G61+H61+I61+J61+K61+L61+M61+N61</f>
        <v>222241.12999999998</v>
      </c>
      <c r="P61" s="39" t="s">
        <v>66</v>
      </c>
    </row>
    <row r="62" spans="1:16" x14ac:dyDescent="0.25">
      <c r="A62" s="40" t="s">
        <v>68</v>
      </c>
      <c r="B62" s="34">
        <v>70000</v>
      </c>
      <c r="C62" s="186">
        <v>4900</v>
      </c>
      <c r="D62" s="183">
        <f t="shared" si="57"/>
        <v>74900</v>
      </c>
      <c r="E62" s="35"/>
      <c r="F62" s="35">
        <v>26</v>
      </c>
      <c r="G62" s="34">
        <f t="shared" si="58"/>
        <v>0</v>
      </c>
      <c r="H62" s="34">
        <f t="shared" si="64"/>
        <v>20285.416666666668</v>
      </c>
      <c r="I62" s="36">
        <f t="shared" si="59"/>
        <v>7490</v>
      </c>
      <c r="J62" s="37">
        <v>10000</v>
      </c>
      <c r="K62" s="37">
        <f t="shared" si="60"/>
        <v>898.80000000000007</v>
      </c>
      <c r="L62" s="34">
        <f t="shared" si="61"/>
        <v>1198.4000000000001</v>
      </c>
      <c r="M62" s="36">
        <f t="shared" si="62"/>
        <v>61.792500000000004</v>
      </c>
      <c r="N62" s="36">
        <f t="shared" si="63"/>
        <v>14700</v>
      </c>
      <c r="O62" s="189">
        <f t="shared" si="65"/>
        <v>129534.40916666666</v>
      </c>
      <c r="P62" s="39" t="s">
        <v>66</v>
      </c>
    </row>
    <row r="63" spans="1:16" x14ac:dyDescent="0.25">
      <c r="A63" s="40" t="s">
        <v>69</v>
      </c>
      <c r="B63" s="34">
        <v>70000</v>
      </c>
      <c r="C63" s="186">
        <v>4900</v>
      </c>
      <c r="D63" s="183">
        <f t="shared" si="57"/>
        <v>74900</v>
      </c>
      <c r="E63" s="35"/>
      <c r="F63" s="35"/>
      <c r="G63" s="34">
        <f t="shared" si="58"/>
        <v>0</v>
      </c>
      <c r="H63" s="34">
        <f t="shared" si="64"/>
        <v>0</v>
      </c>
      <c r="I63" s="36">
        <f t="shared" si="59"/>
        <v>7490</v>
      </c>
      <c r="J63" s="37">
        <v>10000</v>
      </c>
      <c r="K63" s="37">
        <f t="shared" si="60"/>
        <v>898.80000000000007</v>
      </c>
      <c r="L63" s="34">
        <f t="shared" si="61"/>
        <v>1198.4000000000001</v>
      </c>
      <c r="M63" s="36">
        <f t="shared" si="62"/>
        <v>61.792500000000004</v>
      </c>
      <c r="N63" s="36">
        <f t="shared" si="63"/>
        <v>14700</v>
      </c>
      <c r="O63" s="189">
        <f t="shared" si="65"/>
        <v>109248.99249999999</v>
      </c>
      <c r="P63" s="39" t="s">
        <v>66</v>
      </c>
    </row>
    <row r="64" spans="1:16" x14ac:dyDescent="0.25">
      <c r="A64" s="40" t="s">
        <v>70</v>
      </c>
      <c r="B64" s="34">
        <v>70000</v>
      </c>
      <c r="C64" s="186">
        <v>4900</v>
      </c>
      <c r="D64" s="183">
        <f t="shared" si="57"/>
        <v>74900</v>
      </c>
      <c r="E64" s="35"/>
      <c r="F64" s="35">
        <v>10</v>
      </c>
      <c r="G64" s="34">
        <v>0</v>
      </c>
      <c r="H64" s="34">
        <f t="shared" si="64"/>
        <v>7802.0833333333339</v>
      </c>
      <c r="I64" s="36">
        <f t="shared" si="59"/>
        <v>7490</v>
      </c>
      <c r="J64" s="37">
        <v>5000</v>
      </c>
      <c r="K64" s="37">
        <f t="shared" si="60"/>
        <v>898.80000000000007</v>
      </c>
      <c r="L64" s="34">
        <f t="shared" si="61"/>
        <v>1198.4000000000001</v>
      </c>
      <c r="M64" s="36">
        <f t="shared" si="62"/>
        <v>61.792500000000004</v>
      </c>
      <c r="N64" s="36">
        <f t="shared" si="63"/>
        <v>14700</v>
      </c>
      <c r="O64" s="189">
        <f t="shared" si="65"/>
        <v>112051.07583333332</v>
      </c>
      <c r="P64" s="39" t="s">
        <v>66</v>
      </c>
    </row>
    <row r="65" spans="1:25" x14ac:dyDescent="0.25">
      <c r="A65" s="40" t="s">
        <v>71</v>
      </c>
      <c r="B65" s="34">
        <v>70000</v>
      </c>
      <c r="C65" s="186">
        <v>4900</v>
      </c>
      <c r="D65" s="183">
        <f t="shared" si="57"/>
        <v>74900</v>
      </c>
      <c r="E65" s="35"/>
      <c r="F65" s="35"/>
      <c r="G65" s="34">
        <f t="shared" si="58"/>
        <v>0</v>
      </c>
      <c r="H65" s="34">
        <f t="shared" si="64"/>
        <v>0</v>
      </c>
      <c r="I65" s="36">
        <f t="shared" si="59"/>
        <v>7490</v>
      </c>
      <c r="J65" s="37">
        <v>10000</v>
      </c>
      <c r="K65" s="37">
        <f t="shared" si="60"/>
        <v>898.80000000000007</v>
      </c>
      <c r="L65" s="34">
        <f t="shared" si="61"/>
        <v>1198.4000000000001</v>
      </c>
      <c r="M65" s="36">
        <f t="shared" si="62"/>
        <v>61.792500000000004</v>
      </c>
      <c r="N65" s="36">
        <f t="shared" si="63"/>
        <v>14700</v>
      </c>
      <c r="O65" s="189">
        <f t="shared" si="65"/>
        <v>109248.99249999999</v>
      </c>
      <c r="P65" s="39" t="s">
        <v>66</v>
      </c>
    </row>
    <row r="66" spans="1:25" x14ac:dyDescent="0.25">
      <c r="A66" s="40" t="s">
        <v>72</v>
      </c>
      <c r="B66" s="34">
        <v>70000</v>
      </c>
      <c r="C66" s="186">
        <v>4900</v>
      </c>
      <c r="D66" s="183">
        <f t="shared" si="57"/>
        <v>74900</v>
      </c>
      <c r="E66" s="35"/>
      <c r="F66" s="35">
        <v>10</v>
      </c>
      <c r="G66" s="34">
        <f t="shared" si="58"/>
        <v>0</v>
      </c>
      <c r="H66" s="34">
        <f t="shared" si="64"/>
        <v>7802.0833333333339</v>
      </c>
      <c r="I66" s="36">
        <f t="shared" si="59"/>
        <v>7490</v>
      </c>
      <c r="J66" s="37">
        <v>10000</v>
      </c>
      <c r="K66" s="37">
        <f t="shared" si="60"/>
        <v>898.80000000000007</v>
      </c>
      <c r="L66" s="34">
        <f t="shared" si="61"/>
        <v>1198.4000000000001</v>
      </c>
      <c r="M66" s="36">
        <f t="shared" si="62"/>
        <v>61.792500000000004</v>
      </c>
      <c r="N66" s="36">
        <f t="shared" si="63"/>
        <v>14700</v>
      </c>
      <c r="O66" s="189">
        <f t="shared" si="65"/>
        <v>117051.07583333332</v>
      </c>
      <c r="P66" s="39" t="s">
        <v>66</v>
      </c>
    </row>
    <row r="67" spans="1:25" x14ac:dyDescent="0.25">
      <c r="A67" s="40" t="s">
        <v>151</v>
      </c>
      <c r="B67" s="34">
        <v>70000</v>
      </c>
      <c r="C67" s="186">
        <v>4900</v>
      </c>
      <c r="D67" s="183">
        <f t="shared" si="57"/>
        <v>74900</v>
      </c>
      <c r="E67" s="35"/>
      <c r="F67" s="35"/>
      <c r="G67" s="34">
        <f t="shared" si="58"/>
        <v>0</v>
      </c>
      <c r="H67" s="34">
        <f t="shared" si="64"/>
        <v>0</v>
      </c>
      <c r="I67" s="36">
        <f t="shared" si="59"/>
        <v>7490</v>
      </c>
      <c r="J67" s="37">
        <v>10000</v>
      </c>
      <c r="K67" s="37">
        <f t="shared" si="60"/>
        <v>898.80000000000007</v>
      </c>
      <c r="L67" s="34">
        <f t="shared" si="61"/>
        <v>1198.4000000000001</v>
      </c>
      <c r="M67" s="36">
        <f t="shared" si="62"/>
        <v>61.792500000000004</v>
      </c>
      <c r="N67" s="36">
        <f t="shared" si="63"/>
        <v>14700</v>
      </c>
      <c r="O67" s="189">
        <f t="shared" si="65"/>
        <v>109248.99249999999</v>
      </c>
      <c r="P67" s="39" t="s">
        <v>66</v>
      </c>
    </row>
    <row r="68" spans="1:25" x14ac:dyDescent="0.25">
      <c r="A68" s="40" t="s">
        <v>150</v>
      </c>
      <c r="B68" s="34">
        <v>70000</v>
      </c>
      <c r="C68" s="186">
        <v>4900</v>
      </c>
      <c r="D68" s="183">
        <f t="shared" si="57"/>
        <v>74900</v>
      </c>
      <c r="E68" s="35"/>
      <c r="F68" s="35">
        <v>10</v>
      </c>
      <c r="G68" s="34">
        <f t="shared" si="58"/>
        <v>0</v>
      </c>
      <c r="H68" s="34">
        <f t="shared" si="64"/>
        <v>7802.0833333333339</v>
      </c>
      <c r="I68" s="36">
        <f t="shared" si="59"/>
        <v>7490</v>
      </c>
      <c r="J68" s="37">
        <v>5000</v>
      </c>
      <c r="K68" s="37">
        <f t="shared" si="60"/>
        <v>898.80000000000007</v>
      </c>
      <c r="L68" s="34">
        <f t="shared" si="61"/>
        <v>1198.4000000000001</v>
      </c>
      <c r="M68" s="36">
        <f t="shared" si="62"/>
        <v>61.792500000000004</v>
      </c>
      <c r="N68" s="36">
        <f t="shared" si="63"/>
        <v>14700</v>
      </c>
      <c r="O68" s="189">
        <f t="shared" si="65"/>
        <v>112051.07583333332</v>
      </c>
      <c r="P68" s="39" t="s">
        <v>66</v>
      </c>
    </row>
    <row r="69" spans="1:25" x14ac:dyDescent="0.25">
      <c r="A69" s="40" t="s">
        <v>74</v>
      </c>
      <c r="B69" s="34">
        <v>70000</v>
      </c>
      <c r="C69" s="186">
        <v>4900</v>
      </c>
      <c r="D69" s="183">
        <f t="shared" si="57"/>
        <v>74900</v>
      </c>
      <c r="E69" s="35"/>
      <c r="F69" s="35">
        <v>20</v>
      </c>
      <c r="G69" s="34">
        <f t="shared" si="58"/>
        <v>0</v>
      </c>
      <c r="H69" s="34">
        <f t="shared" si="64"/>
        <v>15604.166666666668</v>
      </c>
      <c r="I69" s="36">
        <f t="shared" si="59"/>
        <v>7490</v>
      </c>
      <c r="J69" s="37">
        <v>10000</v>
      </c>
      <c r="K69" s="37">
        <f t="shared" si="60"/>
        <v>898.80000000000007</v>
      </c>
      <c r="L69" s="34">
        <f t="shared" si="61"/>
        <v>1198.4000000000001</v>
      </c>
      <c r="M69" s="36">
        <f t="shared" si="62"/>
        <v>61.792500000000004</v>
      </c>
      <c r="N69" s="36">
        <f t="shared" si="63"/>
        <v>14700</v>
      </c>
      <c r="O69" s="189">
        <f t="shared" si="65"/>
        <v>124853.15916666666</v>
      </c>
      <c r="P69" s="39" t="s">
        <v>66</v>
      </c>
    </row>
    <row r="70" spans="1:25" x14ac:dyDescent="0.25">
      <c r="A70" s="40" t="s">
        <v>75</v>
      </c>
      <c r="B70" s="34">
        <v>70000</v>
      </c>
      <c r="C70" s="186">
        <v>4900</v>
      </c>
      <c r="D70" s="183">
        <f t="shared" si="57"/>
        <v>74900</v>
      </c>
      <c r="E70" s="35"/>
      <c r="F70" s="35"/>
      <c r="G70" s="34">
        <f t="shared" si="58"/>
        <v>0</v>
      </c>
      <c r="H70" s="34">
        <f t="shared" si="64"/>
        <v>0</v>
      </c>
      <c r="I70" s="36">
        <f t="shared" si="59"/>
        <v>7490</v>
      </c>
      <c r="J70" s="37">
        <v>10000</v>
      </c>
      <c r="K70" s="37">
        <f t="shared" si="60"/>
        <v>898.80000000000007</v>
      </c>
      <c r="L70" s="34">
        <f t="shared" si="61"/>
        <v>1198.4000000000001</v>
      </c>
      <c r="M70" s="36">
        <f t="shared" si="62"/>
        <v>61.792500000000004</v>
      </c>
      <c r="N70" s="36">
        <f t="shared" si="63"/>
        <v>14700</v>
      </c>
      <c r="O70" s="189">
        <f t="shared" si="65"/>
        <v>109248.99249999999</v>
      </c>
      <c r="P70" s="39" t="s">
        <v>66</v>
      </c>
    </row>
    <row r="71" spans="1:25" x14ac:dyDescent="0.25">
      <c r="A71" s="42" t="s">
        <v>76</v>
      </c>
      <c r="B71" s="34">
        <v>70000</v>
      </c>
      <c r="C71" s="186">
        <v>4900</v>
      </c>
      <c r="D71" s="183">
        <f t="shared" si="57"/>
        <v>74900</v>
      </c>
      <c r="E71" s="35"/>
      <c r="F71" s="35">
        <v>26</v>
      </c>
      <c r="G71" s="34">
        <f t="shared" si="58"/>
        <v>0</v>
      </c>
      <c r="H71" s="34">
        <f t="shared" si="64"/>
        <v>20285.416666666668</v>
      </c>
      <c r="I71" s="36">
        <f t="shared" si="59"/>
        <v>7490</v>
      </c>
      <c r="J71" s="37">
        <v>10000</v>
      </c>
      <c r="K71" s="37">
        <f t="shared" si="60"/>
        <v>898.80000000000007</v>
      </c>
      <c r="L71" s="34">
        <f t="shared" si="61"/>
        <v>1198.4000000000001</v>
      </c>
      <c r="M71" s="36">
        <f t="shared" si="62"/>
        <v>61.792500000000004</v>
      </c>
      <c r="N71" s="36">
        <f t="shared" si="63"/>
        <v>14700</v>
      </c>
      <c r="O71" s="189">
        <f t="shared" si="65"/>
        <v>129534.40916666666</v>
      </c>
      <c r="P71" s="39" t="s">
        <v>66</v>
      </c>
    </row>
    <row r="72" spans="1:25" x14ac:dyDescent="0.25">
      <c r="A72" s="40" t="s">
        <v>77</v>
      </c>
      <c r="B72" s="73">
        <v>70000</v>
      </c>
      <c r="C72" s="186">
        <v>4900</v>
      </c>
      <c r="D72" s="183">
        <f t="shared" si="57"/>
        <v>74900</v>
      </c>
      <c r="E72" s="49"/>
      <c r="F72" s="35">
        <v>26</v>
      </c>
      <c r="G72" s="34">
        <f t="shared" si="58"/>
        <v>0</v>
      </c>
      <c r="H72" s="34">
        <f t="shared" si="64"/>
        <v>20285.416666666668</v>
      </c>
      <c r="I72" s="36">
        <f t="shared" si="59"/>
        <v>7490</v>
      </c>
      <c r="J72" s="73">
        <v>10000</v>
      </c>
      <c r="K72" s="37">
        <f t="shared" si="60"/>
        <v>898.80000000000007</v>
      </c>
      <c r="L72" s="34">
        <f t="shared" si="61"/>
        <v>1198.4000000000001</v>
      </c>
      <c r="M72" s="36">
        <f t="shared" si="62"/>
        <v>61.792500000000004</v>
      </c>
      <c r="N72" s="36">
        <f t="shared" si="63"/>
        <v>14700</v>
      </c>
      <c r="O72" s="189">
        <f t="shared" si="65"/>
        <v>129534.40916666666</v>
      </c>
      <c r="P72" s="39" t="s">
        <v>66</v>
      </c>
    </row>
    <row r="73" spans="1:25" x14ac:dyDescent="0.25">
      <c r="A73" s="67"/>
      <c r="B73" s="45">
        <f>SUM(B60:B72)</f>
        <v>1050000</v>
      </c>
      <c r="C73" s="45">
        <f>SUM(C60:C72)</f>
        <v>76700</v>
      </c>
      <c r="D73" s="45">
        <f>SUM(D60:D72)</f>
        <v>1126700</v>
      </c>
      <c r="E73" s="49"/>
      <c r="F73" s="45"/>
      <c r="G73" s="45">
        <f t="shared" ref="G73:M73" si="66">SUM(G60:G72)</f>
        <v>0</v>
      </c>
      <c r="H73" s="45">
        <f t="shared" si="66"/>
        <v>171933.33333333331</v>
      </c>
      <c r="I73" s="45">
        <f t="shared" si="66"/>
        <v>112670</v>
      </c>
      <c r="J73" s="45">
        <f t="shared" si="66"/>
        <v>163000</v>
      </c>
      <c r="K73" s="45">
        <f t="shared" si="66"/>
        <v>13520.399999999998</v>
      </c>
      <c r="L73" s="45">
        <f t="shared" si="66"/>
        <v>18027.2</v>
      </c>
      <c r="M73" s="45">
        <f t="shared" si="66"/>
        <v>929.52750000000015</v>
      </c>
      <c r="N73" s="178">
        <f t="shared" si="63"/>
        <v>230100</v>
      </c>
      <c r="O73" s="38">
        <f>SUM(O60:O72)</f>
        <v>1836880.4608333334</v>
      </c>
      <c r="P73" s="39"/>
    </row>
    <row r="74" spans="1:25" x14ac:dyDescent="0.25">
      <c r="A74" s="40"/>
      <c r="B74" s="40"/>
      <c r="C74" s="186"/>
      <c r="D74" s="34"/>
      <c r="E74" s="35"/>
      <c r="F74" s="35"/>
      <c r="G74" s="36"/>
      <c r="H74" s="36"/>
      <c r="I74" s="40"/>
      <c r="J74" s="37"/>
      <c r="K74" s="40"/>
      <c r="L74" s="40"/>
      <c r="M74" s="40"/>
      <c r="N74" s="36"/>
      <c r="O74" s="38"/>
      <c r="P74" s="39"/>
    </row>
    <row r="75" spans="1:25" x14ac:dyDescent="0.25">
      <c r="A75" s="40" t="s">
        <v>130</v>
      </c>
      <c r="B75" s="34">
        <v>77910</v>
      </c>
      <c r="C75" s="186">
        <v>9349.2000000000007</v>
      </c>
      <c r="D75" s="183">
        <f t="shared" ref="D75:D80" si="67">+B75+C75</f>
        <v>87259.199999999997</v>
      </c>
      <c r="E75" s="43">
        <v>88</v>
      </c>
      <c r="F75" s="43"/>
      <c r="G75" s="34">
        <f t="shared" ref="G75:G79" si="68">D75/192*1.5*E75</f>
        <v>59990.7</v>
      </c>
      <c r="H75" s="34">
        <f>D75/192*2*F75</f>
        <v>0</v>
      </c>
      <c r="I75" s="36">
        <f t="shared" ref="I75:I79" si="69">D75*$I$5</f>
        <v>8725.92</v>
      </c>
      <c r="J75" s="37">
        <v>10000</v>
      </c>
      <c r="K75" s="37">
        <f t="shared" ref="K75:K80" si="70">D75*$K$5</f>
        <v>1047.1104</v>
      </c>
      <c r="L75" s="34">
        <f t="shared" ref="L75:L79" si="71">D75*$L$5</f>
        <v>1396.1471999999999</v>
      </c>
      <c r="M75" s="36">
        <f t="shared" ref="M75:M80" si="72">(D75*0.5%)*16.5%</f>
        <v>71.988839999999996</v>
      </c>
      <c r="N75" s="36">
        <f t="shared" ref="N75:N80" si="73">C75*3</f>
        <v>28047.600000000002</v>
      </c>
      <c r="O75" s="189">
        <f>+D75+G75+H75+I75+J75+K75+L75+M75+N75</f>
        <v>196538.66644000003</v>
      </c>
      <c r="P75" s="39" t="s">
        <v>129</v>
      </c>
    </row>
    <row r="76" spans="1:25" x14ac:dyDescent="0.25">
      <c r="A76" s="40" t="s">
        <v>131</v>
      </c>
      <c r="B76" s="34">
        <v>57876</v>
      </c>
      <c r="C76" s="186">
        <v>8681.4</v>
      </c>
      <c r="D76" s="183">
        <f t="shared" si="67"/>
        <v>66557.399999999994</v>
      </c>
      <c r="E76" s="43">
        <v>80</v>
      </c>
      <c r="F76" s="43"/>
      <c r="G76" s="34">
        <f t="shared" si="68"/>
        <v>41598.375</v>
      </c>
      <c r="H76" s="34">
        <f>D76/192*2*F76</f>
        <v>0</v>
      </c>
      <c r="I76" s="36">
        <f t="shared" si="69"/>
        <v>6655.74</v>
      </c>
      <c r="J76" s="37">
        <v>10000</v>
      </c>
      <c r="K76" s="37">
        <f t="shared" si="70"/>
        <v>798.6887999999999</v>
      </c>
      <c r="L76" s="34">
        <f t="shared" si="71"/>
        <v>1064.9184</v>
      </c>
      <c r="M76" s="36">
        <f t="shared" si="72"/>
        <v>54.909855</v>
      </c>
      <c r="N76" s="36">
        <f t="shared" si="73"/>
        <v>26044.199999999997</v>
      </c>
      <c r="O76" s="189">
        <f t="shared" ref="O76:O79" si="74">+D76+G76+H76+I76+J76+K76+L76+M76+N76</f>
        <v>152774.232055</v>
      </c>
      <c r="P76" s="39" t="s">
        <v>129</v>
      </c>
    </row>
    <row r="77" spans="1:25" x14ac:dyDescent="0.25">
      <c r="A77" s="40" t="s">
        <v>132</v>
      </c>
      <c r="B77" s="177">
        <v>50000</v>
      </c>
      <c r="C77" s="186">
        <v>6000</v>
      </c>
      <c r="D77" s="183">
        <f t="shared" si="67"/>
        <v>56000</v>
      </c>
      <c r="E77" s="35">
        <v>80</v>
      </c>
      <c r="F77" s="35"/>
      <c r="G77" s="34">
        <f t="shared" si="68"/>
        <v>35000</v>
      </c>
      <c r="H77" s="34">
        <f>D77/192*2*F77</f>
        <v>0</v>
      </c>
      <c r="I77" s="36">
        <f t="shared" si="69"/>
        <v>5600</v>
      </c>
      <c r="J77" s="37">
        <v>10000</v>
      </c>
      <c r="K77" s="37">
        <f t="shared" si="70"/>
        <v>672</v>
      </c>
      <c r="L77" s="34">
        <f t="shared" si="71"/>
        <v>896</v>
      </c>
      <c r="M77" s="36">
        <f t="shared" si="72"/>
        <v>46.2</v>
      </c>
      <c r="N77" s="36">
        <f t="shared" si="73"/>
        <v>18000</v>
      </c>
      <c r="O77" s="189">
        <f t="shared" si="74"/>
        <v>126214.2</v>
      </c>
      <c r="P77" s="39" t="s">
        <v>129</v>
      </c>
    </row>
    <row r="78" spans="1:25" x14ac:dyDescent="0.25">
      <c r="A78" s="40" t="s">
        <v>133</v>
      </c>
      <c r="B78" s="177">
        <v>50000</v>
      </c>
      <c r="C78" s="186">
        <v>6000</v>
      </c>
      <c r="D78" s="183">
        <f t="shared" si="67"/>
        <v>56000</v>
      </c>
      <c r="E78" s="35">
        <v>84</v>
      </c>
      <c r="F78" s="35"/>
      <c r="G78" s="34">
        <f t="shared" si="68"/>
        <v>36750</v>
      </c>
      <c r="H78" s="34">
        <f>D78/192*2*F78</f>
        <v>0</v>
      </c>
      <c r="I78" s="36">
        <f t="shared" si="69"/>
        <v>5600</v>
      </c>
      <c r="J78" s="37">
        <v>10000</v>
      </c>
      <c r="K78" s="37">
        <f t="shared" si="70"/>
        <v>672</v>
      </c>
      <c r="L78" s="34">
        <f t="shared" si="71"/>
        <v>896</v>
      </c>
      <c r="M78" s="36">
        <f t="shared" si="72"/>
        <v>46.2</v>
      </c>
      <c r="N78" s="36">
        <f t="shared" si="73"/>
        <v>18000</v>
      </c>
      <c r="O78" s="189">
        <f t="shared" si="74"/>
        <v>127964.2</v>
      </c>
      <c r="P78" s="39" t="s">
        <v>129</v>
      </c>
    </row>
    <row r="79" spans="1:25" x14ac:dyDescent="0.25">
      <c r="A79" s="40" t="s">
        <v>134</v>
      </c>
      <c r="B79" s="177">
        <v>50000</v>
      </c>
      <c r="C79" s="186">
        <v>6000</v>
      </c>
      <c r="D79" s="183">
        <f t="shared" si="67"/>
        <v>56000</v>
      </c>
      <c r="E79" s="35">
        <v>80</v>
      </c>
      <c r="F79" s="35">
        <v>12</v>
      </c>
      <c r="G79" s="34">
        <f t="shared" si="68"/>
        <v>35000</v>
      </c>
      <c r="H79" s="34">
        <f>D79/192*2*F79</f>
        <v>7000</v>
      </c>
      <c r="I79" s="36">
        <f t="shared" si="69"/>
        <v>5600</v>
      </c>
      <c r="J79" s="37">
        <v>10000</v>
      </c>
      <c r="K79" s="37">
        <f t="shared" si="70"/>
        <v>672</v>
      </c>
      <c r="L79" s="34">
        <f t="shared" si="71"/>
        <v>896</v>
      </c>
      <c r="M79" s="36">
        <f t="shared" si="72"/>
        <v>46.2</v>
      </c>
      <c r="N79" s="36">
        <f t="shared" si="73"/>
        <v>18000</v>
      </c>
      <c r="O79" s="189">
        <f t="shared" si="74"/>
        <v>133214.20000000001</v>
      </c>
      <c r="P79" s="39" t="s">
        <v>129</v>
      </c>
      <c r="Y79" s="1" t="s">
        <v>160</v>
      </c>
    </row>
    <row r="80" spans="1:25" s="75" customFormat="1" ht="15.75" x14ac:dyDescent="0.25">
      <c r="A80" s="52" t="s">
        <v>33</v>
      </c>
      <c r="B80" s="53">
        <f>SUM(B75:B79)</f>
        <v>285786</v>
      </c>
      <c r="C80" s="53">
        <f>SUM(C75:C79)</f>
        <v>36030.6</v>
      </c>
      <c r="D80" s="143">
        <f t="shared" si="67"/>
        <v>321816.59999999998</v>
      </c>
      <c r="E80" s="53"/>
      <c r="F80" s="53"/>
      <c r="G80" s="53">
        <f t="shared" ref="G80:O80" si="75">SUM(G75:G79)</f>
        <v>208339.07500000001</v>
      </c>
      <c r="H80" s="53">
        <f t="shared" si="75"/>
        <v>7000</v>
      </c>
      <c r="I80" s="178">
        <f t="shared" ref="I80" si="76">D80*$I$5</f>
        <v>32181.66</v>
      </c>
      <c r="J80" s="179">
        <v>10000</v>
      </c>
      <c r="K80" s="179">
        <f t="shared" si="70"/>
        <v>3861.7991999999999</v>
      </c>
      <c r="L80" s="178">
        <f t="shared" ref="L80" si="77">D80*$L$5</f>
        <v>5149.0655999999999</v>
      </c>
      <c r="M80" s="178">
        <f t="shared" si="72"/>
        <v>265.498695</v>
      </c>
      <c r="N80" s="178">
        <f t="shared" si="73"/>
        <v>108091.79999999999</v>
      </c>
      <c r="O80" s="53">
        <f t="shared" si="75"/>
        <v>736705.49849499995</v>
      </c>
      <c r="P80" s="59"/>
    </row>
    <row r="81" spans="1:18" s="75" customFormat="1" ht="15.75" x14ac:dyDescent="0.25">
      <c r="A81" s="52"/>
      <c r="B81" s="53"/>
      <c r="C81" s="194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36"/>
      <c r="O81" s="53"/>
      <c r="P81" s="59"/>
    </row>
    <row r="82" spans="1:18" x14ac:dyDescent="0.25">
      <c r="A82" s="40" t="s">
        <v>78</v>
      </c>
      <c r="B82" s="34">
        <v>50000</v>
      </c>
      <c r="C82" s="186">
        <v>5000</v>
      </c>
      <c r="D82" s="183">
        <f>+B82+C82</f>
        <v>55000</v>
      </c>
      <c r="E82" s="175">
        <v>24</v>
      </c>
      <c r="F82" s="35">
        <v>24</v>
      </c>
      <c r="G82" s="34">
        <f t="shared" ref="G82:G85" si="78">D82/192*1.5*E82</f>
        <v>10312.5</v>
      </c>
      <c r="H82" s="34">
        <f t="shared" ref="H82:H84" si="79">D82/192*2*F82</f>
        <v>13750</v>
      </c>
      <c r="I82" s="36">
        <f t="shared" ref="I82:I84" si="80">D82*$I$5</f>
        <v>5500</v>
      </c>
      <c r="J82" s="37">
        <v>5000</v>
      </c>
      <c r="K82" s="37">
        <f t="shared" ref="K82:K84" si="81">D82*$K$5</f>
        <v>660</v>
      </c>
      <c r="L82" s="34">
        <f t="shared" ref="L82:L84" si="82">D82*$L$5</f>
        <v>880</v>
      </c>
      <c r="M82" s="36">
        <f t="shared" ref="M82:M84" si="83">(D82*0.5%)*16.5%</f>
        <v>45.375</v>
      </c>
      <c r="N82" s="36">
        <f>C82*3</f>
        <v>15000</v>
      </c>
      <c r="O82" s="212">
        <f>+D82+G82+H82+I82+J82+K82+L82+M82+N82</f>
        <v>106147.875</v>
      </c>
      <c r="P82" s="39" t="s">
        <v>79</v>
      </c>
      <c r="R82" s="51"/>
    </row>
    <row r="83" spans="1:18" s="22" customFormat="1" x14ac:dyDescent="0.25">
      <c r="A83" s="40" t="s">
        <v>80</v>
      </c>
      <c r="B83" s="34">
        <v>50000</v>
      </c>
      <c r="C83" s="186">
        <v>3500</v>
      </c>
      <c r="D83" s="183">
        <f>+B83+C83</f>
        <v>53500</v>
      </c>
      <c r="E83" s="175">
        <v>36</v>
      </c>
      <c r="F83" s="35">
        <v>24</v>
      </c>
      <c r="G83" s="34">
        <f t="shared" si="78"/>
        <v>15046.875</v>
      </c>
      <c r="H83" s="34">
        <f t="shared" si="79"/>
        <v>13375</v>
      </c>
      <c r="I83" s="36">
        <f t="shared" si="80"/>
        <v>5350</v>
      </c>
      <c r="J83" s="37">
        <v>5000</v>
      </c>
      <c r="K83" s="37">
        <f t="shared" si="81"/>
        <v>642</v>
      </c>
      <c r="L83" s="34">
        <f t="shared" si="82"/>
        <v>856</v>
      </c>
      <c r="M83" s="36">
        <f t="shared" si="83"/>
        <v>44.137500000000003</v>
      </c>
      <c r="N83" s="36">
        <f>C83*3</f>
        <v>10500</v>
      </c>
      <c r="O83" s="212">
        <f t="shared" ref="O83:O84" si="84">+D83+G83+H83+I83+J83+K83+L83+M83+N83</f>
        <v>104314.0125</v>
      </c>
      <c r="P83" s="39" t="s">
        <v>79</v>
      </c>
    </row>
    <row r="84" spans="1:18" x14ac:dyDescent="0.25">
      <c r="A84" s="40" t="s">
        <v>81</v>
      </c>
      <c r="B84" s="34">
        <v>50000</v>
      </c>
      <c r="C84" s="186">
        <v>5000</v>
      </c>
      <c r="D84" s="183">
        <f>+B84+C84</f>
        <v>55000</v>
      </c>
      <c r="E84" s="175">
        <v>44</v>
      </c>
      <c r="F84" s="35">
        <v>24</v>
      </c>
      <c r="G84" s="34">
        <f t="shared" si="78"/>
        <v>18906.25</v>
      </c>
      <c r="H84" s="34">
        <f t="shared" si="79"/>
        <v>13750</v>
      </c>
      <c r="I84" s="36">
        <f t="shared" si="80"/>
        <v>5500</v>
      </c>
      <c r="J84" s="37">
        <v>10000</v>
      </c>
      <c r="K84" s="37">
        <f t="shared" si="81"/>
        <v>660</v>
      </c>
      <c r="L84" s="34">
        <f t="shared" si="82"/>
        <v>880</v>
      </c>
      <c r="M84" s="36">
        <f t="shared" si="83"/>
        <v>45.375</v>
      </c>
      <c r="N84" s="36">
        <f>C84*3</f>
        <v>15000</v>
      </c>
      <c r="O84" s="212">
        <f t="shared" si="84"/>
        <v>119741.625</v>
      </c>
      <c r="P84" s="39" t="s">
        <v>79</v>
      </c>
    </row>
    <row r="85" spans="1:18" x14ac:dyDescent="0.25">
      <c r="A85" s="40" t="s">
        <v>33</v>
      </c>
      <c r="B85" s="45">
        <f>SUM(B82:B84)</f>
        <v>150000</v>
      </c>
      <c r="C85" s="194">
        <f>SUM(C82:C84)</f>
        <v>13500</v>
      </c>
      <c r="D85" s="143">
        <f>+B85+C85</f>
        <v>163500</v>
      </c>
      <c r="E85" s="49"/>
      <c r="F85" s="45"/>
      <c r="G85" s="34">
        <f t="shared" si="78"/>
        <v>0</v>
      </c>
      <c r="H85" s="45">
        <f>SUM(H82:H84)</f>
        <v>40875</v>
      </c>
      <c r="I85" s="45">
        <f t="shared" ref="I85:M85" si="85">SUM(I82:I84)</f>
        <v>16350</v>
      </c>
      <c r="J85" s="45">
        <f t="shared" si="85"/>
        <v>20000</v>
      </c>
      <c r="K85" s="45">
        <f t="shared" si="85"/>
        <v>1962</v>
      </c>
      <c r="L85" s="45">
        <f t="shared" si="85"/>
        <v>2616</v>
      </c>
      <c r="M85" s="45">
        <f t="shared" si="85"/>
        <v>134.88749999999999</v>
      </c>
      <c r="N85" s="36">
        <f>C85*3</f>
        <v>40500</v>
      </c>
      <c r="O85" s="38">
        <f>SUM(O82:O84)</f>
        <v>330203.51250000001</v>
      </c>
      <c r="P85" s="39"/>
    </row>
    <row r="86" spans="1:18" x14ac:dyDescent="0.25">
      <c r="A86" s="40"/>
      <c r="B86" s="40"/>
      <c r="C86" s="186"/>
      <c r="D86" s="45"/>
      <c r="E86" s="35"/>
      <c r="F86" s="74"/>
      <c r="G86" s="38"/>
      <c r="H86" s="38"/>
      <c r="I86" s="38"/>
      <c r="J86" s="56"/>
      <c r="K86" s="38"/>
      <c r="L86" s="38"/>
      <c r="M86" s="38"/>
      <c r="N86" s="36"/>
      <c r="O86" s="38"/>
      <c r="P86" s="39"/>
    </row>
    <row r="87" spans="1:18" ht="16.5" thickBot="1" x14ac:dyDescent="0.3">
      <c r="A87" s="76" t="s">
        <v>82</v>
      </c>
      <c r="B87" s="205">
        <f>+B85+B80+B73+B58+B51+B47+B42+B32+B31+B29+B25+B19</f>
        <v>4045336.1181818182</v>
      </c>
      <c r="C87" s="205">
        <f t="shared" ref="C87" si="86">+C85+C80+C73+C58+C51+C47+C42+C32+C31+C29+C25+C19</f>
        <v>359870.69000000006</v>
      </c>
      <c r="D87" s="205">
        <f>+D85+D80+D73+D58+D51+D47+D42+D32+D31+D29+D25+D19</f>
        <v>4405206.8081818186</v>
      </c>
      <c r="E87" s="78"/>
      <c r="F87" s="77"/>
      <c r="G87" s="77">
        <f>+G85+G72+G58+G51+G47+G42+G31+G29+G25+G19</f>
        <v>344306.59753124998</v>
      </c>
      <c r="H87" s="77">
        <f>+H85+H72+H58+H51+H47+H42+H31+H29+H25+H19</f>
        <v>234487.68708333332</v>
      </c>
      <c r="I87" s="77">
        <f>+I85+I72+I58+I51+I47+I42+I31+I29+I25+I19</f>
        <v>245629.23899999997</v>
      </c>
      <c r="J87" s="77">
        <f>+J85+J73+J58+J51+J47+J42+J31+J29+J25+J19</f>
        <v>703000</v>
      </c>
      <c r="K87" s="77">
        <f>+K85+K73+K58+K51+K47+K42+K31+K29+K25+K19</f>
        <v>42097.108679999998</v>
      </c>
      <c r="L87" s="77">
        <f>+L85+L73+L58+L51+L47+L42+L31+L29+L25+L19</f>
        <v>56129.478240000004</v>
      </c>
      <c r="M87" s="77">
        <f>+M85+M73+M58+M51+M47+M42+M31+M29+M25+M19</f>
        <v>2859.2135219999996</v>
      </c>
      <c r="N87" s="213">
        <f>C87*3</f>
        <v>1079612.0700000003</v>
      </c>
      <c r="O87" s="77">
        <f>SUM(D87:N87)</f>
        <v>7113328.2022384023</v>
      </c>
      <c r="P87" s="79" t="s">
        <v>83</v>
      </c>
    </row>
    <row r="88" spans="1:18" x14ac:dyDescent="0.25">
      <c r="N88" s="36"/>
      <c r="O88" s="51"/>
    </row>
    <row r="89" spans="1:18" x14ac:dyDescent="0.25">
      <c r="A89" s="22"/>
      <c r="B89" s="207"/>
      <c r="C89" s="196"/>
      <c r="D89" s="80">
        <v>1</v>
      </c>
      <c r="E89" s="81"/>
      <c r="F89" s="81"/>
      <c r="G89" s="81">
        <v>2</v>
      </c>
      <c r="H89" s="81">
        <v>3</v>
      </c>
      <c r="I89" s="81">
        <v>4</v>
      </c>
      <c r="J89" s="82">
        <v>5</v>
      </c>
      <c r="K89" s="81">
        <v>6</v>
      </c>
      <c r="L89" s="81">
        <v>7</v>
      </c>
      <c r="M89" s="81">
        <v>8</v>
      </c>
      <c r="N89" s="35">
        <v>9</v>
      </c>
      <c r="O89" s="51"/>
      <c r="P89" s="22"/>
    </row>
    <row r="90" spans="1:18" x14ac:dyDescent="0.25">
      <c r="B90" s="150"/>
      <c r="N90" s="36"/>
      <c r="O90" s="51"/>
    </row>
    <row r="91" spans="1:18" ht="15.75" x14ac:dyDescent="0.25">
      <c r="A91" s="83" t="s">
        <v>255</v>
      </c>
      <c r="B91" s="208"/>
      <c r="C91" s="144"/>
      <c r="D91" s="86">
        <f>+D87+G87+H87+N87</f>
        <v>6063613.1627964024</v>
      </c>
      <c r="G91" s="85"/>
      <c r="H91" s="85"/>
      <c r="N91" s="36"/>
      <c r="O91" s="51"/>
    </row>
    <row r="92" spans="1:18" ht="15.75" x14ac:dyDescent="0.25">
      <c r="A92" s="83" t="s">
        <v>85</v>
      </c>
      <c r="B92" s="144"/>
      <c r="C92" s="144"/>
      <c r="D92" s="84">
        <f>+I87</f>
        <v>245629.23899999997</v>
      </c>
      <c r="G92" s="85"/>
      <c r="H92" s="85"/>
      <c r="N92" s="36"/>
      <c r="O92" s="51"/>
    </row>
    <row r="93" spans="1:18" ht="15.75" x14ac:dyDescent="0.25">
      <c r="A93" s="83" t="s">
        <v>86</v>
      </c>
      <c r="B93" s="208"/>
      <c r="C93" s="144"/>
      <c r="D93" s="84">
        <f>+K87+L87</f>
        <v>98226.586920000002</v>
      </c>
      <c r="G93" s="214"/>
      <c r="H93" s="85"/>
      <c r="N93" s="36"/>
      <c r="O93" s="51"/>
    </row>
    <row r="94" spans="1:18" ht="15.75" x14ac:dyDescent="0.25">
      <c r="A94" s="83" t="s">
        <v>87</v>
      </c>
      <c r="B94" s="83"/>
      <c r="C94" s="144"/>
      <c r="D94" s="84">
        <f>+M87</f>
        <v>2859.2135219999996</v>
      </c>
      <c r="G94" s="85"/>
      <c r="H94" s="85"/>
      <c r="N94" s="36"/>
      <c r="O94" s="51"/>
    </row>
    <row r="95" spans="1:18" ht="15.75" x14ac:dyDescent="0.25">
      <c r="A95" s="83" t="s">
        <v>88</v>
      </c>
      <c r="B95" s="83"/>
      <c r="C95" s="144"/>
      <c r="D95" s="86">
        <f>+J87</f>
        <v>703000</v>
      </c>
      <c r="G95" s="85"/>
      <c r="H95" s="85"/>
      <c r="N95" s="36"/>
      <c r="O95" s="51"/>
    </row>
    <row r="96" spans="1:18" ht="15.75" x14ac:dyDescent="0.25">
      <c r="A96" s="83" t="s">
        <v>232</v>
      </c>
      <c r="B96" s="83"/>
      <c r="C96" s="144"/>
      <c r="D96" s="86">
        <v>56800</v>
      </c>
      <c r="G96" s="85"/>
      <c r="H96" s="85"/>
      <c r="N96" s="36"/>
      <c r="O96" s="51"/>
    </row>
    <row r="97" spans="1:20" s="5" customFormat="1" ht="15.75" x14ac:dyDescent="0.25">
      <c r="A97" s="83" t="s">
        <v>235</v>
      </c>
      <c r="B97" s="83"/>
      <c r="C97" s="144"/>
      <c r="D97" s="86">
        <f>10000+10000+10000+40000</f>
        <v>70000</v>
      </c>
      <c r="E97" s="11"/>
      <c r="F97" s="11">
        <v>1</v>
      </c>
      <c r="G97" s="85"/>
      <c r="H97" s="85"/>
      <c r="I97" s="1"/>
      <c r="K97" s="1"/>
      <c r="L97" s="1"/>
      <c r="M97" s="1"/>
      <c r="N97" s="36"/>
      <c r="O97" s="51"/>
      <c r="P97" s="1"/>
      <c r="Q97" s="1"/>
      <c r="R97" s="1"/>
      <c r="S97" s="1"/>
      <c r="T97" s="1"/>
    </row>
    <row r="98" spans="1:20" s="5" customFormat="1" ht="15.75" x14ac:dyDescent="0.25">
      <c r="A98" s="94" t="s">
        <v>155</v>
      </c>
      <c r="B98" s="94"/>
      <c r="C98" s="197"/>
      <c r="D98" s="88">
        <v>104500</v>
      </c>
      <c r="E98" s="95" t="s">
        <v>234</v>
      </c>
      <c r="F98" s="96">
        <v>2</v>
      </c>
      <c r="G98" s="97"/>
      <c r="H98" s="98"/>
      <c r="I98" s="1"/>
      <c r="K98" s="1"/>
      <c r="L98" s="1"/>
      <c r="M98" s="1"/>
      <c r="N98" s="36"/>
      <c r="O98" s="51"/>
      <c r="P98" s="1"/>
      <c r="Q98" s="1"/>
      <c r="R98" s="1"/>
      <c r="S98" s="1"/>
      <c r="T98" s="1"/>
    </row>
    <row r="99" spans="1:20" ht="30" x14ac:dyDescent="0.25">
      <c r="A99" s="94" t="s">
        <v>256</v>
      </c>
      <c r="B99" s="94"/>
      <c r="C99" s="197"/>
      <c r="D99" s="88">
        <v>35000</v>
      </c>
      <c r="E99" s="95" t="s">
        <v>234</v>
      </c>
      <c r="F99" s="96">
        <v>3</v>
      </c>
      <c r="G99" s="97"/>
      <c r="H99" s="98"/>
      <c r="N99" s="36"/>
      <c r="O99" s="51"/>
    </row>
    <row r="100" spans="1:20" ht="30" x14ac:dyDescent="0.25">
      <c r="A100" s="94" t="s">
        <v>96</v>
      </c>
      <c r="B100" s="94"/>
      <c r="C100" s="197"/>
      <c r="D100" s="88">
        <f>1710+5130+11970+1140+38760+1710+1140</f>
        <v>61560</v>
      </c>
      <c r="E100" s="95" t="s">
        <v>234</v>
      </c>
      <c r="F100" s="96">
        <v>5</v>
      </c>
      <c r="G100" s="97"/>
      <c r="H100" s="98"/>
      <c r="N100" s="36"/>
      <c r="O100" s="51"/>
    </row>
    <row r="101" spans="1:20" ht="15.75" x14ac:dyDescent="0.25">
      <c r="A101" s="83" t="s">
        <v>231</v>
      </c>
      <c r="B101" s="83"/>
      <c r="C101" s="144"/>
      <c r="D101" s="86">
        <v>49600</v>
      </c>
      <c r="E101" s="95" t="s">
        <v>234</v>
      </c>
      <c r="F101" s="11">
        <v>7</v>
      </c>
      <c r="G101" s="99"/>
      <c r="H101" s="5"/>
      <c r="N101" s="36"/>
      <c r="O101" s="51"/>
    </row>
    <row r="102" spans="1:20" ht="15.75" x14ac:dyDescent="0.25">
      <c r="A102" s="83" t="s">
        <v>253</v>
      </c>
      <c r="B102" s="83"/>
      <c r="C102" s="144"/>
      <c r="D102" s="86">
        <f>1155000+(105000*3)</f>
        <v>1470000</v>
      </c>
      <c r="G102" s="5"/>
      <c r="H102" s="5"/>
      <c r="N102" s="36"/>
      <c r="O102" s="51"/>
    </row>
    <row r="103" spans="1:20" ht="15.75" x14ac:dyDescent="0.25">
      <c r="A103" s="83" t="s">
        <v>99</v>
      </c>
      <c r="B103" s="83"/>
      <c r="C103" s="144"/>
      <c r="D103" s="88">
        <f>SUM(D91:D102)</f>
        <v>8960788.2022384033</v>
      </c>
      <c r="E103" s="101"/>
      <c r="F103" s="101"/>
      <c r="G103" s="21"/>
      <c r="H103" s="21"/>
      <c r="N103" s="36"/>
      <c r="O103" s="51"/>
    </row>
    <row r="104" spans="1:20" ht="15.75" x14ac:dyDescent="0.25">
      <c r="A104" s="12"/>
      <c r="B104" s="12"/>
      <c r="C104" s="184"/>
      <c r="D104" s="102"/>
      <c r="E104" s="101"/>
      <c r="F104" s="101"/>
      <c r="G104" s="21"/>
      <c r="H104" s="21"/>
      <c r="N104" s="36"/>
      <c r="O104" s="51"/>
      <c r="Q104" s="12"/>
    </row>
    <row r="105" spans="1:20" ht="15.75" x14ac:dyDescent="0.25">
      <c r="A105" s="12"/>
      <c r="B105" s="12"/>
      <c r="C105" s="184"/>
      <c r="D105" s="102"/>
      <c r="E105" s="101"/>
      <c r="F105" s="101"/>
      <c r="G105" s="21"/>
      <c r="H105" s="21"/>
      <c r="N105" s="36"/>
      <c r="O105" s="51"/>
      <c r="Q105" s="22"/>
    </row>
    <row r="106" spans="1:20" x14ac:dyDescent="0.25">
      <c r="A106" s="12" t="s">
        <v>100</v>
      </c>
      <c r="B106" s="12"/>
      <c r="C106" s="184"/>
      <c r="D106" s="103"/>
      <c r="E106" s="101"/>
      <c r="F106" s="101"/>
      <c r="G106" s="21"/>
      <c r="H106" s="21"/>
      <c r="N106" s="36"/>
      <c r="O106" s="51"/>
    </row>
    <row r="107" spans="1:20" x14ac:dyDescent="0.25">
      <c r="A107" s="125">
        <v>44671</v>
      </c>
      <c r="B107" s="125"/>
      <c r="C107" s="198"/>
      <c r="D107" s="103"/>
      <c r="E107" s="101"/>
      <c r="F107" s="101"/>
      <c r="G107" s="21"/>
      <c r="H107" s="21"/>
      <c r="N107" s="36"/>
    </row>
    <row r="108" spans="1:20" x14ac:dyDescent="0.25">
      <c r="A108" s="12"/>
      <c r="B108" s="12"/>
      <c r="C108" s="184"/>
      <c r="D108" s="103"/>
      <c r="E108" s="101"/>
      <c r="F108" s="101"/>
      <c r="G108" s="21"/>
      <c r="H108" s="21"/>
      <c r="N108" s="36"/>
    </row>
    <row r="109" spans="1:20" x14ac:dyDescent="0.25">
      <c r="A109" s="12"/>
      <c r="B109" s="12"/>
      <c r="C109" s="184"/>
      <c r="D109" s="103"/>
      <c r="E109" s="101"/>
      <c r="F109" s="101"/>
      <c r="G109" s="21"/>
      <c r="H109" s="21"/>
      <c r="N109" s="36"/>
    </row>
    <row r="110" spans="1:20" ht="18.75" x14ac:dyDescent="0.3">
      <c r="A110" s="4" t="s">
        <v>0</v>
      </c>
      <c r="B110" s="4"/>
      <c r="C110" s="199"/>
      <c r="D110" s="103"/>
      <c r="E110" s="101"/>
      <c r="F110" s="101"/>
      <c r="G110" s="21"/>
      <c r="H110" s="21"/>
      <c r="N110" s="36"/>
    </row>
    <row r="111" spans="1:20" ht="21" x14ac:dyDescent="0.35">
      <c r="A111" s="105" t="str">
        <f>+D2</f>
        <v>PAYROLL FOR APRIL.2022</v>
      </c>
      <c r="B111" s="105"/>
      <c r="C111" s="200"/>
      <c r="D111" s="103"/>
      <c r="E111" s="101"/>
      <c r="F111" s="106" t="s">
        <v>101</v>
      </c>
      <c r="G111" s="21"/>
      <c r="H111" s="21"/>
      <c r="N111" s="36"/>
    </row>
    <row r="112" spans="1:20" x14ac:dyDescent="0.25">
      <c r="A112" s="12"/>
      <c r="B112" s="12"/>
      <c r="C112" s="184"/>
      <c r="D112" s="103"/>
      <c r="E112" s="101"/>
      <c r="F112" s="101"/>
      <c r="G112" s="21"/>
      <c r="H112" s="21"/>
      <c r="N112" s="36"/>
    </row>
    <row r="113" spans="1:17" x14ac:dyDescent="0.25">
      <c r="D113" s="103"/>
      <c r="E113" s="101"/>
      <c r="F113" s="101"/>
      <c r="G113" s="21"/>
      <c r="H113" s="21"/>
      <c r="M113" s="22" t="s">
        <v>102</v>
      </c>
      <c r="N113" s="36"/>
      <c r="O113" s="51"/>
    </row>
    <row r="114" spans="1:17" ht="30" x14ac:dyDescent="0.25">
      <c r="A114" s="12" t="s">
        <v>3</v>
      </c>
      <c r="B114" s="12"/>
      <c r="C114" s="184"/>
      <c r="D114" s="10" t="s">
        <v>73</v>
      </c>
      <c r="E114" s="101" t="s">
        <v>5</v>
      </c>
      <c r="F114" s="101" t="s">
        <v>6</v>
      </c>
      <c r="G114" s="12" t="s">
        <v>7</v>
      </c>
      <c r="H114" s="12" t="s">
        <v>7</v>
      </c>
      <c r="I114" s="12" t="s">
        <v>8</v>
      </c>
      <c r="J114" s="107" t="s">
        <v>9</v>
      </c>
      <c r="K114" s="108" t="s">
        <v>103</v>
      </c>
      <c r="L114" s="109" t="s">
        <v>11</v>
      </c>
      <c r="M114" s="12" t="s">
        <v>12</v>
      </c>
      <c r="N114" s="215" t="s">
        <v>254</v>
      </c>
      <c r="O114" s="110" t="s">
        <v>33</v>
      </c>
      <c r="P114" s="12" t="s">
        <v>14</v>
      </c>
    </row>
    <row r="115" spans="1:17" x14ac:dyDescent="0.25">
      <c r="A115" s="22"/>
      <c r="B115" s="22"/>
      <c r="C115" s="196"/>
      <c r="D115" s="111" t="s">
        <v>104</v>
      </c>
      <c r="E115" s="81" t="s">
        <v>16</v>
      </c>
      <c r="F115" s="81" t="s">
        <v>17</v>
      </c>
      <c r="G115" s="112" t="s">
        <v>18</v>
      </c>
      <c r="H115" s="112" t="s">
        <v>19</v>
      </c>
      <c r="I115" s="113">
        <v>0.1</v>
      </c>
      <c r="J115" s="32"/>
      <c r="K115" s="114">
        <v>1.2E-2</v>
      </c>
      <c r="L115" s="114">
        <v>1.6E-2</v>
      </c>
      <c r="M115" s="114">
        <v>0.16500000000000001</v>
      </c>
      <c r="N115" s="36">
        <f>C115*3</f>
        <v>0</v>
      </c>
      <c r="O115" s="51"/>
      <c r="P115" s="22"/>
    </row>
    <row r="116" spans="1:17" x14ac:dyDescent="0.25">
      <c r="A116" s="1" t="s">
        <v>105</v>
      </c>
      <c r="B116" s="98">
        <v>73500</v>
      </c>
      <c r="C116" s="150">
        <v>6615</v>
      </c>
      <c r="D116" s="183">
        <f t="shared" ref="D116:D135" si="87">+B116+C116</f>
        <v>80115</v>
      </c>
      <c r="F116" s="100"/>
      <c r="G116" s="85">
        <f>D116/192*1.5*E116</f>
        <v>0</v>
      </c>
      <c r="H116" s="85">
        <f>D116/192*2*F116</f>
        <v>0</v>
      </c>
      <c r="I116" s="85">
        <f>D116*$I$5</f>
        <v>8011.5</v>
      </c>
      <c r="J116" s="5">
        <v>5000</v>
      </c>
      <c r="K116" s="5">
        <f>D116*$K$5</f>
        <v>961.38</v>
      </c>
      <c r="L116" s="85">
        <f>D116*$L$115</f>
        <v>1281.8399999999999</v>
      </c>
      <c r="M116" s="85">
        <f>(D116*0.5%)*16.5%</f>
        <v>66.094875000000002</v>
      </c>
      <c r="N116" s="36">
        <f>C116*3</f>
        <v>19845</v>
      </c>
      <c r="O116" s="51">
        <f>+M116+L116+K116+J116+I116+H116+G116+D116 +N116</f>
        <v>115280.814875</v>
      </c>
      <c r="P116" s="1" t="s">
        <v>43</v>
      </c>
    </row>
    <row r="117" spans="1:17" x14ac:dyDescent="0.25">
      <c r="A117" s="1" t="s">
        <v>106</v>
      </c>
      <c r="B117" s="98">
        <v>73500</v>
      </c>
      <c r="C117" s="150">
        <v>6615</v>
      </c>
      <c r="D117" s="183">
        <f t="shared" si="87"/>
        <v>80115</v>
      </c>
      <c r="F117" s="100"/>
      <c r="G117" s="85">
        <f>D117/192*1.5*E117</f>
        <v>0</v>
      </c>
      <c r="H117" s="85">
        <f>D117/192*2*F117</f>
        <v>0</v>
      </c>
      <c r="I117" s="85">
        <f>D117*$I$5</f>
        <v>8011.5</v>
      </c>
      <c r="J117" s="5">
        <v>5000</v>
      </c>
      <c r="K117" s="5">
        <f>D117*$K$5</f>
        <v>961.38</v>
      </c>
      <c r="L117" s="85">
        <f t="shared" ref="L117:L118" si="88">D117*$L$115</f>
        <v>1281.8399999999999</v>
      </c>
      <c r="M117" s="85">
        <f t="shared" ref="M117:M118" si="89">(D117*0.5%)*16.5%</f>
        <v>66.094875000000002</v>
      </c>
      <c r="N117" s="36">
        <f>C117*3</f>
        <v>19845</v>
      </c>
      <c r="O117" s="51">
        <f t="shared" ref="O117:O135" si="90">+M117+L117+K117+J117+I117+H117+G117+D117 +N117</f>
        <v>115280.814875</v>
      </c>
      <c r="P117" s="1" t="s">
        <v>43</v>
      </c>
    </row>
    <row r="118" spans="1:17" x14ac:dyDescent="0.25">
      <c r="A118" s="1" t="s">
        <v>107</v>
      </c>
      <c r="B118" s="98">
        <v>73500</v>
      </c>
      <c r="C118" s="150">
        <v>11025</v>
      </c>
      <c r="D118" s="183">
        <f t="shared" si="87"/>
        <v>84525</v>
      </c>
      <c r="F118" s="100"/>
      <c r="G118" s="85">
        <f>D118/192*1.5*E118</f>
        <v>0</v>
      </c>
      <c r="H118" s="85">
        <f>D118/192*2*F118</f>
        <v>0</v>
      </c>
      <c r="I118" s="85">
        <f>D118*$I$5</f>
        <v>8452.5</v>
      </c>
      <c r="J118" s="5">
        <v>5000</v>
      </c>
      <c r="K118" s="5">
        <f>D118*$K$5</f>
        <v>1014.3000000000001</v>
      </c>
      <c r="L118" s="85">
        <f t="shared" si="88"/>
        <v>1352.4</v>
      </c>
      <c r="M118" s="85">
        <f t="shared" si="89"/>
        <v>69.733125000000001</v>
      </c>
      <c r="N118" s="36">
        <f>C118*3</f>
        <v>33075</v>
      </c>
      <c r="O118" s="51">
        <f t="shared" si="90"/>
        <v>133488.93312499998</v>
      </c>
      <c r="P118" s="1" t="s">
        <v>43</v>
      </c>
    </row>
    <row r="119" spans="1:17" x14ac:dyDescent="0.25">
      <c r="B119" s="98"/>
      <c r="D119" s="183">
        <f t="shared" si="87"/>
        <v>0</v>
      </c>
      <c r="F119" s="100"/>
      <c r="G119" s="85"/>
      <c r="H119" s="85"/>
      <c r="I119" s="85"/>
      <c r="K119" s="5"/>
      <c r="L119" s="85"/>
      <c r="M119" s="85"/>
      <c r="N119" s="36"/>
      <c r="O119" s="51"/>
    </row>
    <row r="120" spans="1:17" x14ac:dyDescent="0.25">
      <c r="A120" s="115" t="s">
        <v>108</v>
      </c>
      <c r="B120" s="98">
        <v>50000</v>
      </c>
      <c r="C120" s="201">
        <v>4500</v>
      </c>
      <c r="D120" s="183">
        <f t="shared" si="87"/>
        <v>54500</v>
      </c>
      <c r="F120" s="100"/>
      <c r="G120" s="85">
        <f>D120/192*1.5*E120</f>
        <v>0</v>
      </c>
      <c r="H120" s="85">
        <f>D120/192*2*F120</f>
        <v>0</v>
      </c>
      <c r="I120" s="85">
        <f>D120*$I$5</f>
        <v>5450</v>
      </c>
      <c r="J120" s="5">
        <v>5000</v>
      </c>
      <c r="K120" s="5">
        <f>D120*$K$5</f>
        <v>654</v>
      </c>
      <c r="L120" s="85">
        <f t="shared" ref="L120:L121" si="91">D120*$L$115</f>
        <v>872</v>
      </c>
      <c r="M120" s="85">
        <f t="shared" ref="M120:M121" si="92">(D120*0.5%)*16.5%</f>
        <v>44.962499999999999</v>
      </c>
      <c r="N120" s="36">
        <f>C120*3</f>
        <v>13500</v>
      </c>
      <c r="O120" s="51">
        <f t="shared" si="90"/>
        <v>80020.962499999994</v>
      </c>
      <c r="P120" s="1" t="s">
        <v>36</v>
      </c>
    </row>
    <row r="121" spans="1:17" x14ac:dyDescent="0.25">
      <c r="A121" s="1" t="s">
        <v>109</v>
      </c>
      <c r="B121" s="98">
        <v>50000</v>
      </c>
      <c r="C121" s="150">
        <v>3500</v>
      </c>
      <c r="D121" s="183">
        <f t="shared" si="87"/>
        <v>53500</v>
      </c>
      <c r="F121" s="100"/>
      <c r="G121" s="85">
        <f>D121/192*1.5*E121</f>
        <v>0</v>
      </c>
      <c r="H121" s="85">
        <f>D121/192*2*F121</f>
        <v>0</v>
      </c>
      <c r="I121" s="85">
        <f>D121*$I$5</f>
        <v>5350</v>
      </c>
      <c r="J121" s="5">
        <v>5000</v>
      </c>
      <c r="K121" s="5">
        <f>D121*$K$5</f>
        <v>642</v>
      </c>
      <c r="L121" s="85">
        <f t="shared" si="91"/>
        <v>856</v>
      </c>
      <c r="M121" s="85">
        <f t="shared" si="92"/>
        <v>44.137500000000003</v>
      </c>
      <c r="N121" s="36">
        <f>C121*3</f>
        <v>10500</v>
      </c>
      <c r="O121" s="51">
        <f t="shared" si="90"/>
        <v>75892.137499999997</v>
      </c>
      <c r="P121" s="1" t="s">
        <v>36</v>
      </c>
    </row>
    <row r="122" spans="1:17" x14ac:dyDescent="0.25">
      <c r="B122" s="98"/>
      <c r="D122" s="183">
        <f t="shared" si="87"/>
        <v>0</v>
      </c>
      <c r="F122" s="100"/>
      <c r="G122" s="85"/>
      <c r="H122" s="85"/>
      <c r="I122" s="85"/>
      <c r="K122" s="5"/>
      <c r="L122" s="85"/>
      <c r="M122" s="85"/>
      <c r="N122" s="36"/>
      <c r="O122" s="51"/>
    </row>
    <row r="123" spans="1:17" x14ac:dyDescent="0.25">
      <c r="A123" s="1" t="s">
        <v>111</v>
      </c>
      <c r="B123" s="98">
        <v>50000</v>
      </c>
      <c r="C123" s="150">
        <v>3500</v>
      </c>
      <c r="D123" s="183">
        <f t="shared" si="87"/>
        <v>53500</v>
      </c>
      <c r="F123" s="182">
        <v>8</v>
      </c>
      <c r="G123" s="85">
        <f>D123/192*1.5*E123</f>
        <v>0</v>
      </c>
      <c r="H123" s="85">
        <f>D123/192*2*F123</f>
        <v>4458.333333333333</v>
      </c>
      <c r="I123" s="85">
        <f>D123*$I$5</f>
        <v>5350</v>
      </c>
      <c r="J123" s="5">
        <v>5000</v>
      </c>
      <c r="K123" s="5">
        <f>D123*$K$5</f>
        <v>642</v>
      </c>
      <c r="L123" s="85">
        <f t="shared" ref="L123" si="93">D123*$L$115</f>
        <v>856</v>
      </c>
      <c r="M123" s="85">
        <f t="shared" ref="M123" si="94">(D123*0.5%)*16.5%</f>
        <v>44.137500000000003</v>
      </c>
      <c r="N123" s="36">
        <f>C123*3</f>
        <v>10500</v>
      </c>
      <c r="O123" s="51">
        <f t="shared" si="90"/>
        <v>80350.470833333326</v>
      </c>
      <c r="P123" s="1" t="s">
        <v>22</v>
      </c>
    </row>
    <row r="124" spans="1:17" x14ac:dyDescent="0.25">
      <c r="B124" s="116"/>
      <c r="D124" s="183">
        <f t="shared" si="87"/>
        <v>0</v>
      </c>
      <c r="F124" s="100"/>
      <c r="G124" s="85"/>
      <c r="H124" s="85"/>
      <c r="I124" s="85"/>
      <c r="L124" s="85"/>
      <c r="M124" s="85"/>
      <c r="N124" s="36"/>
      <c r="O124" s="51"/>
    </row>
    <row r="125" spans="1:17" x14ac:dyDescent="0.25">
      <c r="A125" s="1" t="s">
        <v>112</v>
      </c>
      <c r="B125" s="98">
        <v>65000</v>
      </c>
      <c r="C125" s="150">
        <v>9750</v>
      </c>
      <c r="D125" s="183">
        <f t="shared" si="87"/>
        <v>74750</v>
      </c>
      <c r="F125" s="100"/>
      <c r="G125" s="85">
        <f>D125/192*1.5*E125</f>
        <v>0</v>
      </c>
      <c r="H125" s="85">
        <f>D125/192*2*F125</f>
        <v>0</v>
      </c>
      <c r="I125" s="85">
        <f>D125*$I$5</f>
        <v>7475</v>
      </c>
      <c r="J125" s="5">
        <v>5000</v>
      </c>
      <c r="K125" s="5">
        <f>D125*$K$5</f>
        <v>897</v>
      </c>
      <c r="L125" s="85">
        <f t="shared" ref="L125" si="95">D125*$L$115</f>
        <v>1196</v>
      </c>
      <c r="M125" s="85">
        <f t="shared" ref="M125" si="96">(D125*0.5%)*16.5%</f>
        <v>61.668750000000003</v>
      </c>
      <c r="N125" s="36">
        <f>C125*3</f>
        <v>29250</v>
      </c>
      <c r="O125" s="51">
        <f t="shared" si="90"/>
        <v>118629.66875</v>
      </c>
      <c r="P125" s="1" t="s">
        <v>113</v>
      </c>
    </row>
    <row r="126" spans="1:17" x14ac:dyDescent="0.25">
      <c r="B126" s="116"/>
      <c r="D126" s="183">
        <f t="shared" si="87"/>
        <v>0</v>
      </c>
      <c r="F126" s="100"/>
      <c r="G126" s="85"/>
      <c r="H126" s="85"/>
      <c r="I126" s="85"/>
      <c r="N126" s="36"/>
      <c r="O126" s="51"/>
    </row>
    <row r="127" spans="1:17" s="117" customFormat="1" ht="15.75" x14ac:dyDescent="0.25">
      <c r="A127" s="1" t="s">
        <v>115</v>
      </c>
      <c r="B127" s="98">
        <v>50000</v>
      </c>
      <c r="C127" s="150">
        <v>4500</v>
      </c>
      <c r="D127" s="183">
        <f t="shared" si="87"/>
        <v>54500</v>
      </c>
      <c r="E127" s="11"/>
      <c r="F127" s="100"/>
      <c r="G127" s="85">
        <f>D127/192*1.5*E127</f>
        <v>0</v>
      </c>
      <c r="H127" s="85">
        <f>D127/192*2*F127</f>
        <v>0</v>
      </c>
      <c r="I127" s="85">
        <f>D127*$I$5</f>
        <v>5450</v>
      </c>
      <c r="J127" s="5">
        <v>5000</v>
      </c>
      <c r="K127" s="5">
        <f>D127*$K$5</f>
        <v>654</v>
      </c>
      <c r="L127" s="85">
        <f t="shared" ref="L127:L128" si="97">D127*$L$115</f>
        <v>872</v>
      </c>
      <c r="M127" s="85">
        <f t="shared" ref="M127:M128" si="98">(D127*0.5%)*16.5%</f>
        <v>44.962499999999999</v>
      </c>
      <c r="N127" s="36">
        <f>C127*3</f>
        <v>13500</v>
      </c>
      <c r="O127" s="51">
        <f t="shared" si="90"/>
        <v>80020.962499999994</v>
      </c>
      <c r="P127" s="1" t="s">
        <v>53</v>
      </c>
      <c r="Q127" s="1"/>
    </row>
    <row r="128" spans="1:17" x14ac:dyDescent="0.25">
      <c r="A128" s="1" t="s">
        <v>116</v>
      </c>
      <c r="B128" s="98">
        <v>50000</v>
      </c>
      <c r="C128" s="150">
        <v>3500</v>
      </c>
      <c r="D128" s="183">
        <f t="shared" si="87"/>
        <v>53500</v>
      </c>
      <c r="F128" s="100"/>
      <c r="G128" s="85">
        <f>D128/192*1.5*E128</f>
        <v>0</v>
      </c>
      <c r="H128" s="85">
        <f>D128/192*2*F128</f>
        <v>0</v>
      </c>
      <c r="I128" s="85">
        <f>D128*$I$5</f>
        <v>5350</v>
      </c>
      <c r="J128" s="5">
        <v>5000</v>
      </c>
      <c r="K128" s="5">
        <f>D128*$K$5</f>
        <v>642</v>
      </c>
      <c r="L128" s="85">
        <f t="shared" si="97"/>
        <v>856</v>
      </c>
      <c r="M128" s="85">
        <f t="shared" si="98"/>
        <v>44.137500000000003</v>
      </c>
      <c r="N128" s="36">
        <f>C128*3</f>
        <v>10500</v>
      </c>
      <c r="O128" s="51">
        <f t="shared" si="90"/>
        <v>75892.137499999997</v>
      </c>
      <c r="P128" s="1" t="s">
        <v>53</v>
      </c>
    </row>
    <row r="129" spans="1:17" x14ac:dyDescent="0.25">
      <c r="B129" s="98"/>
      <c r="D129" s="183">
        <f t="shared" si="87"/>
        <v>0</v>
      </c>
      <c r="F129" s="100"/>
      <c r="G129" s="85"/>
      <c r="H129" s="85"/>
      <c r="I129" s="85"/>
      <c r="K129" s="5"/>
      <c r="L129" s="85"/>
      <c r="M129" s="85"/>
      <c r="N129" s="36">
        <f>C129*3</f>
        <v>0</v>
      </c>
      <c r="O129" s="51"/>
    </row>
    <row r="130" spans="1:17" ht="15.75" x14ac:dyDescent="0.25">
      <c r="A130" s="1" t="s">
        <v>117</v>
      </c>
      <c r="B130" s="98">
        <v>50000</v>
      </c>
      <c r="C130" s="150">
        <v>3500</v>
      </c>
      <c r="D130" s="183">
        <f t="shared" si="87"/>
        <v>53500</v>
      </c>
      <c r="F130" s="100"/>
      <c r="G130" s="85">
        <f>D130/192*1.5*E130</f>
        <v>0</v>
      </c>
      <c r="H130" s="85">
        <f>D130/192*2*F130</f>
        <v>0</v>
      </c>
      <c r="I130" s="85">
        <f>D130*$I$5</f>
        <v>5350</v>
      </c>
      <c r="J130" s="5">
        <v>5000</v>
      </c>
      <c r="K130" s="5">
        <f>D130*$K$5</f>
        <v>642</v>
      </c>
      <c r="L130" s="85">
        <f t="shared" ref="L130" si="99">D130*$L$115</f>
        <v>856</v>
      </c>
      <c r="M130" s="85">
        <f t="shared" ref="M130" si="100">(D130*0.5%)*16.5%</f>
        <v>44.137500000000003</v>
      </c>
      <c r="N130" s="36">
        <f>C130*3</f>
        <v>10500</v>
      </c>
      <c r="O130" s="51">
        <f t="shared" si="90"/>
        <v>75892.137499999997</v>
      </c>
      <c r="P130" s="1" t="s">
        <v>118</v>
      </c>
      <c r="Q130" s="117"/>
    </row>
    <row r="131" spans="1:17" x14ac:dyDescent="0.25">
      <c r="B131" s="98"/>
      <c r="D131" s="183">
        <f t="shared" si="87"/>
        <v>0</v>
      </c>
      <c r="F131" s="100"/>
      <c r="G131" s="85"/>
      <c r="H131" s="85"/>
      <c r="I131" s="85"/>
      <c r="K131" s="5"/>
      <c r="L131" s="85"/>
      <c r="M131" s="85"/>
      <c r="N131" s="36"/>
      <c r="O131" s="51"/>
    </row>
    <row r="132" spans="1:17" x14ac:dyDescent="0.25">
      <c r="A132" s="1" t="s">
        <v>119</v>
      </c>
      <c r="B132" s="98">
        <v>52500</v>
      </c>
      <c r="C132" s="150">
        <v>6300</v>
      </c>
      <c r="D132" s="183">
        <f t="shared" si="87"/>
        <v>58800</v>
      </c>
      <c r="F132" s="100"/>
      <c r="G132" s="85">
        <f>D132/192*1.5*E132</f>
        <v>0</v>
      </c>
      <c r="H132" s="85">
        <f>D132/192*2*F132</f>
        <v>0</v>
      </c>
      <c r="I132" s="85">
        <f>D132*$I$5</f>
        <v>5880</v>
      </c>
      <c r="J132" s="5">
        <v>5000</v>
      </c>
      <c r="K132" s="5">
        <f>D132*$K$5</f>
        <v>705.6</v>
      </c>
      <c r="L132" s="85">
        <f t="shared" ref="L132:L133" si="101">D132*$L$115</f>
        <v>940.80000000000007</v>
      </c>
      <c r="M132" s="85">
        <f t="shared" ref="M132:M133" si="102">(D132*0.5%)*16.5%</f>
        <v>48.510000000000005</v>
      </c>
      <c r="N132" s="36">
        <f>C132*3</f>
        <v>18900</v>
      </c>
      <c r="O132" s="51">
        <f t="shared" si="90"/>
        <v>90274.91</v>
      </c>
      <c r="P132" s="1" t="s">
        <v>57</v>
      </c>
    </row>
    <row r="133" spans="1:17" x14ac:dyDescent="0.25">
      <c r="A133" s="1" t="s">
        <v>120</v>
      </c>
      <c r="B133" s="98">
        <v>50000</v>
      </c>
      <c r="C133" s="150">
        <v>3500</v>
      </c>
      <c r="D133" s="183">
        <f t="shared" si="87"/>
        <v>53500</v>
      </c>
      <c r="F133" s="100"/>
      <c r="G133" s="85">
        <f>D133/192*1.5*E133</f>
        <v>0</v>
      </c>
      <c r="H133" s="85">
        <f>D133/192*2*F133</f>
        <v>0</v>
      </c>
      <c r="I133" s="85">
        <f>D133*$I$5</f>
        <v>5350</v>
      </c>
      <c r="J133" s="5">
        <v>5000</v>
      </c>
      <c r="K133" s="5">
        <f>D133*$K$5</f>
        <v>642</v>
      </c>
      <c r="L133" s="85">
        <f t="shared" si="101"/>
        <v>856</v>
      </c>
      <c r="M133" s="85">
        <f t="shared" si="102"/>
        <v>44.137500000000003</v>
      </c>
      <c r="N133" s="36">
        <f>C133*3</f>
        <v>10500</v>
      </c>
      <c r="O133" s="51">
        <f t="shared" si="90"/>
        <v>75892.137499999997</v>
      </c>
      <c r="P133" s="1" t="s">
        <v>57</v>
      </c>
    </row>
    <row r="134" spans="1:17" x14ac:dyDescent="0.25">
      <c r="B134" s="98"/>
      <c r="D134" s="183">
        <f t="shared" si="87"/>
        <v>0</v>
      </c>
      <c r="F134" s="100"/>
      <c r="G134" s="85"/>
      <c r="H134" s="85"/>
      <c r="I134" s="85"/>
      <c r="K134" s="5"/>
      <c r="L134" s="85"/>
      <c r="M134" s="85"/>
      <c r="N134" s="36"/>
      <c r="O134" s="51"/>
    </row>
    <row r="135" spans="1:17" x14ac:dyDescent="0.25">
      <c r="A135" s="1" t="s">
        <v>121</v>
      </c>
      <c r="B135" s="98">
        <v>50000</v>
      </c>
      <c r="C135" s="150">
        <v>3500</v>
      </c>
      <c r="D135" s="183">
        <f t="shared" si="87"/>
        <v>53500</v>
      </c>
      <c r="F135" s="182">
        <v>22</v>
      </c>
      <c r="G135" s="85">
        <f>D135/192*1.5*E135</f>
        <v>0</v>
      </c>
      <c r="H135" s="85">
        <f>D135/192*2*F135</f>
        <v>12260.416666666666</v>
      </c>
      <c r="I135" s="85">
        <f>D135*$I$5</f>
        <v>5350</v>
      </c>
      <c r="J135" s="5">
        <v>5000</v>
      </c>
      <c r="K135" s="5">
        <f>D135*$K$5</f>
        <v>642</v>
      </c>
      <c r="L135" s="85">
        <f t="shared" ref="L135" si="103">D135*$L$115</f>
        <v>856</v>
      </c>
      <c r="M135" s="85">
        <f t="shared" ref="M135" si="104">(D135*0.5%)*16.5%</f>
        <v>44.137500000000003</v>
      </c>
      <c r="N135" s="36">
        <f>C135*3</f>
        <v>10500</v>
      </c>
      <c r="O135" s="51">
        <f t="shared" si="90"/>
        <v>88152.554166666669</v>
      </c>
      <c r="P135" s="1" t="s">
        <v>122</v>
      </c>
    </row>
    <row r="136" spans="1:17" ht="16.5" thickBot="1" x14ac:dyDescent="0.3">
      <c r="A136" s="118" t="s">
        <v>33</v>
      </c>
      <c r="B136" s="119">
        <f>SUM(B116:B135)</f>
        <v>738000</v>
      </c>
      <c r="C136" s="202">
        <f>SUM(C116:C135)</f>
        <v>70305</v>
      </c>
      <c r="D136" s="119">
        <f>SUM(D116:D135)</f>
        <v>808305</v>
      </c>
      <c r="E136" s="120"/>
      <c r="F136" s="121"/>
      <c r="G136" s="119">
        <f t="shared" ref="G136:M136" si="105">SUM(G116:G135)</f>
        <v>0</v>
      </c>
      <c r="H136" s="119">
        <f t="shared" si="105"/>
        <v>16718.75</v>
      </c>
      <c r="I136" s="119">
        <f t="shared" si="105"/>
        <v>80830.5</v>
      </c>
      <c r="J136" s="119">
        <f t="shared" si="105"/>
        <v>65000</v>
      </c>
      <c r="K136" s="119">
        <f t="shared" si="105"/>
        <v>9699.66</v>
      </c>
      <c r="L136" s="119">
        <f t="shared" si="105"/>
        <v>12932.88</v>
      </c>
      <c r="M136" s="119">
        <f t="shared" si="105"/>
        <v>666.85162500000001</v>
      </c>
      <c r="N136" s="30">
        <f>C136*3</f>
        <v>210915</v>
      </c>
      <c r="O136" s="119">
        <f>SUM(O116:O135)</f>
        <v>1205068.6416249999</v>
      </c>
      <c r="P136" s="118"/>
    </row>
    <row r="137" spans="1:17" ht="15.75" thickTop="1" x14ac:dyDescent="0.25">
      <c r="D137" s="122">
        <v>1</v>
      </c>
      <c r="F137" s="100"/>
      <c r="G137" s="123">
        <v>2</v>
      </c>
      <c r="H137" s="123">
        <v>3</v>
      </c>
      <c r="I137" s="123">
        <v>4</v>
      </c>
      <c r="J137" s="99">
        <v>5</v>
      </c>
      <c r="K137" s="123">
        <v>6</v>
      </c>
      <c r="L137" s="123">
        <v>7</v>
      </c>
      <c r="M137" s="123">
        <v>8</v>
      </c>
      <c r="N137" s="123"/>
      <c r="O137" s="51"/>
    </row>
    <row r="138" spans="1:17" ht="15.75" x14ac:dyDescent="0.25">
      <c r="A138" s="124" t="s">
        <v>123</v>
      </c>
      <c r="B138" s="124"/>
      <c r="C138" s="203"/>
      <c r="D138" s="117"/>
      <c r="O138" s="51"/>
    </row>
    <row r="139" spans="1:17" ht="15.75" x14ac:dyDescent="0.25">
      <c r="A139" s="75" t="s">
        <v>124</v>
      </c>
      <c r="B139" s="75"/>
      <c r="C139" s="204"/>
      <c r="D139" s="216">
        <f>+D136+G136+H136 +N136</f>
        <v>1035938.75</v>
      </c>
      <c r="G139" s="85"/>
      <c r="H139" s="85"/>
      <c r="L139" s="85"/>
      <c r="M139" s="85"/>
      <c r="N139" s="85"/>
      <c r="O139" s="51"/>
    </row>
    <row r="140" spans="1:17" ht="15.75" x14ac:dyDescent="0.25">
      <c r="A140" s="75" t="s">
        <v>85</v>
      </c>
      <c r="B140" s="75"/>
      <c r="C140" s="204"/>
      <c r="D140" s="216">
        <f>+I136</f>
        <v>80830.5</v>
      </c>
      <c r="G140" s="85"/>
      <c r="H140" s="85"/>
      <c r="O140" s="51"/>
    </row>
    <row r="141" spans="1:17" ht="15.75" x14ac:dyDescent="0.25">
      <c r="A141" s="75" t="s">
        <v>86</v>
      </c>
      <c r="B141" s="75"/>
      <c r="C141" s="204"/>
      <c r="D141" s="216">
        <f>+K136+L136</f>
        <v>22632.54</v>
      </c>
      <c r="G141" s="85"/>
      <c r="H141" s="85"/>
      <c r="O141" s="51"/>
    </row>
    <row r="142" spans="1:17" ht="15.75" x14ac:dyDescent="0.25">
      <c r="A142" s="75" t="s">
        <v>87</v>
      </c>
      <c r="B142" s="75"/>
      <c r="C142" s="204"/>
      <c r="D142" s="216">
        <f>+M136</f>
        <v>666.85162500000001</v>
      </c>
      <c r="G142" s="85"/>
      <c r="H142" s="85"/>
      <c r="O142" s="51"/>
    </row>
    <row r="143" spans="1:17" ht="15.75" x14ac:dyDescent="0.25">
      <c r="A143" s="75" t="s">
        <v>88</v>
      </c>
      <c r="B143" s="75"/>
      <c r="C143" s="204"/>
      <c r="D143" s="216">
        <f>+J136</f>
        <v>65000</v>
      </c>
      <c r="G143" s="85"/>
      <c r="H143" s="85"/>
      <c r="O143" s="51"/>
    </row>
    <row r="144" spans="1:17" ht="15.75" x14ac:dyDescent="0.25">
      <c r="A144" s="75" t="s">
        <v>259</v>
      </c>
      <c r="B144" s="75"/>
      <c r="C144" s="204"/>
      <c r="D144" s="216">
        <v>15500</v>
      </c>
      <c r="G144" s="85"/>
      <c r="H144" s="85"/>
      <c r="O144" s="51"/>
    </row>
    <row r="145" spans="1:15" ht="15.75" x14ac:dyDescent="0.25">
      <c r="A145" s="75" t="s">
        <v>257</v>
      </c>
      <c r="B145" s="75"/>
      <c r="C145" s="204"/>
      <c r="D145" s="216">
        <v>34500</v>
      </c>
      <c r="E145" s="11" t="s">
        <v>234</v>
      </c>
      <c r="G145" s="85"/>
      <c r="H145" s="85"/>
      <c r="O145" s="51"/>
    </row>
    <row r="146" spans="1:15" ht="15.75" x14ac:dyDescent="0.25">
      <c r="A146" s="75" t="s">
        <v>125</v>
      </c>
      <c r="B146" s="75"/>
      <c r="C146" s="204"/>
      <c r="D146" s="216">
        <f>199000+18000+52099</f>
        <v>269099</v>
      </c>
      <c r="E146" s="11" t="s">
        <v>234</v>
      </c>
      <c r="G146" s="85"/>
      <c r="H146" s="85"/>
      <c r="O146" s="51"/>
    </row>
    <row r="147" spans="1:15" ht="15.75" x14ac:dyDescent="0.25">
      <c r="A147" s="75" t="s">
        <v>253</v>
      </c>
      <c r="B147" s="75"/>
      <c r="C147" s="204"/>
      <c r="D147" s="216">
        <f>584430+ (53130*3)</f>
        <v>743820</v>
      </c>
      <c r="E147" s="123"/>
      <c r="G147" s="5"/>
      <c r="H147" s="5"/>
      <c r="O147" s="51"/>
    </row>
    <row r="148" spans="1:15" ht="15.75" x14ac:dyDescent="0.25">
      <c r="A148" s="12" t="s">
        <v>99</v>
      </c>
      <c r="B148" s="12"/>
      <c r="C148" s="184"/>
      <c r="D148" s="88">
        <f>SUM(D139:E147)</f>
        <v>2267987.6416250002</v>
      </c>
      <c r="E148" s="101">
        <v>0</v>
      </c>
      <c r="F148" s="101"/>
      <c r="G148" s="184"/>
      <c r="H148" s="21"/>
      <c r="O148" s="51"/>
    </row>
    <row r="149" spans="1:15" x14ac:dyDescent="0.25">
      <c r="A149" s="12"/>
      <c r="B149" s="12"/>
      <c r="C149" s="184"/>
      <c r="D149" s="103"/>
      <c r="E149" s="101"/>
      <c r="F149" s="103"/>
      <c r="G149" s="21"/>
      <c r="H149" s="21"/>
      <c r="O149" s="51"/>
    </row>
    <row r="150" spans="1:15" x14ac:dyDescent="0.25">
      <c r="A150" s="12"/>
      <c r="B150" s="12"/>
      <c r="C150" s="184"/>
      <c r="D150" s="103"/>
      <c r="E150" s="101"/>
      <c r="F150" s="101"/>
      <c r="G150" s="21"/>
      <c r="H150" s="21"/>
      <c r="O150" s="51"/>
    </row>
    <row r="151" spans="1:15" x14ac:dyDescent="0.25">
      <c r="A151" s="12" t="s">
        <v>100</v>
      </c>
      <c r="B151" s="12"/>
      <c r="C151" s="184"/>
      <c r="E151" s="101"/>
      <c r="F151" s="34"/>
      <c r="G151" s="21"/>
      <c r="H151" s="21"/>
      <c r="O151" s="51"/>
    </row>
    <row r="152" spans="1:15" ht="15.75" x14ac:dyDescent="0.25">
      <c r="A152" s="125">
        <v>44671</v>
      </c>
      <c r="B152" s="125"/>
      <c r="C152" s="198"/>
      <c r="D152" s="140"/>
      <c r="E152" s="101"/>
      <c r="F152" s="34"/>
      <c r="G152" s="21"/>
      <c r="H152" s="21"/>
      <c r="O152" s="51"/>
    </row>
    <row r="153" spans="1:15" x14ac:dyDescent="0.25">
      <c r="D153" s="41"/>
      <c r="O153" s="51"/>
    </row>
    <row r="154" spans="1:15" x14ac:dyDescent="0.25">
      <c r="O154" s="51"/>
    </row>
    <row r="155" spans="1:15" x14ac:dyDescent="0.25">
      <c r="O155" s="51"/>
    </row>
    <row r="156" spans="1:15" x14ac:dyDescent="0.25">
      <c r="O156" s="51"/>
    </row>
    <row r="157" spans="1:15" x14ac:dyDescent="0.25">
      <c r="O157" s="51"/>
    </row>
    <row r="158" spans="1:15" x14ac:dyDescent="0.25">
      <c r="O158" s="51"/>
    </row>
  </sheetData>
  <pageMargins left="0.70866141732283472" right="0.70866141732283472" top="0.74803149606299213" bottom="0.74803149606299213" header="0.31496062992125984" footer="0.31496062992125984"/>
  <pageSetup paperSize="9" scale="54" orientation="landscape" verticalDpi="0" r:id="rId1"/>
  <rowBreaks count="2" manualBreakCount="2">
    <brk id="58" max="16383" man="1"/>
    <brk id="109" max="16383" man="1"/>
  </rowBreaks>
  <colBreaks count="1" manualBreakCount="1">
    <brk id="18" max="14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Relief Jan Feb 22</vt:lpstr>
      <vt:lpstr>Jan 22 depots cleaners</vt:lpstr>
      <vt:lpstr>bank sal Jan 22</vt:lpstr>
      <vt:lpstr>LifeCo Dec 21</vt:lpstr>
      <vt:lpstr>Sheet2</vt:lpstr>
      <vt:lpstr>Karo Castel</vt:lpstr>
      <vt:lpstr>Feb 22 depots cleaners </vt:lpstr>
      <vt:lpstr>Marc 22 depots and cleaners</vt:lpstr>
      <vt:lpstr>April 22 depots and cleaners (2</vt:lpstr>
      <vt:lpstr>'April 22 depots and cleaners (2'!Print_Area</vt:lpstr>
      <vt:lpstr>'Feb 22 depots cleaners '!Print_Area</vt:lpstr>
      <vt:lpstr>'Jan 22 depots cleaners'!Print_Area</vt:lpstr>
      <vt:lpstr>'Karo Castel'!Print_Area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KAONDO</dc:creator>
  <cp:lastModifiedBy>KAONDO</cp:lastModifiedBy>
  <cp:lastPrinted>2022-04-20T07:59:21Z</cp:lastPrinted>
  <dcterms:created xsi:type="dcterms:W3CDTF">2022-01-19T04:45:45Z</dcterms:created>
  <dcterms:modified xsi:type="dcterms:W3CDTF">2022-04-22T07:55:03Z</dcterms:modified>
</cp:coreProperties>
</file>