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49085\OneDrive - BANCO POPULAR DOMINICANO\Documents\Metodologia\"/>
    </mc:Choice>
  </mc:AlternateContent>
  <bookViews>
    <workbookView xWindow="0" yWindow="0" windowWidth="21600" windowHeight="9444" activeTab="3"/>
  </bookViews>
  <sheets>
    <sheet name="Evaluacion" sheetId="1" r:id="rId1"/>
    <sheet name="Ranking" sheetId="6" state="hidden" r:id="rId2"/>
    <sheet name="Analisis" sheetId="2" state="hidden" r:id="rId3"/>
    <sheet name="Dashboard" sheetId="3" r:id="rId4"/>
  </sheets>
  <externalReferences>
    <externalReference r:id="rId5"/>
  </externalReferences>
  <definedNames>
    <definedName name="_xlnm._FilterDatabase" localSheetId="0" hidden="1">Evaluacion!$A$3:$BW$15</definedName>
    <definedName name="Slicer_Etapa">#N/A</definedName>
    <definedName name="Slicer_Gerente">#N/A</definedName>
    <definedName name="Slicer_Líder">#N/A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6" l="1"/>
  <c r="E4" i="6" s="1"/>
  <c r="T18" i="1"/>
  <c r="H4" i="6" l="1"/>
  <c r="I4" i="6" s="1"/>
  <c r="H5" i="6"/>
  <c r="I5" i="6" s="1"/>
  <c r="H6" i="6"/>
  <c r="I6" i="6" s="1"/>
  <c r="H7" i="6"/>
  <c r="I7" i="6" s="1"/>
  <c r="H8" i="6"/>
  <c r="I8" i="6" s="1"/>
  <c r="H9" i="6"/>
  <c r="I9" i="6" s="1"/>
  <c r="H10" i="6"/>
  <c r="I10" i="6" s="1"/>
  <c r="H11" i="6"/>
  <c r="I11" i="6" s="1"/>
  <c r="H3" i="6"/>
  <c r="I3" i="6" s="1"/>
  <c r="F4" i="6"/>
  <c r="G4" i="6" s="1"/>
  <c r="F5" i="6"/>
  <c r="G5" i="6" s="1"/>
  <c r="F6" i="6"/>
  <c r="G6" i="6" s="1"/>
  <c r="F7" i="6"/>
  <c r="G7" i="6" s="1"/>
  <c r="F8" i="6"/>
  <c r="G8" i="6" s="1"/>
  <c r="F9" i="6"/>
  <c r="G9" i="6" s="1"/>
  <c r="F10" i="6"/>
  <c r="G10" i="6" s="1"/>
  <c r="F11" i="6"/>
  <c r="G11" i="6" s="1"/>
  <c r="F3" i="6"/>
  <c r="G3" i="6" s="1"/>
  <c r="D5" i="6"/>
  <c r="E5" i="6" s="1"/>
  <c r="D6" i="6"/>
  <c r="E6" i="6" s="1"/>
  <c r="D7" i="6"/>
  <c r="E7" i="6" s="1"/>
  <c r="D8" i="6"/>
  <c r="E8" i="6" s="1"/>
  <c r="D9" i="6"/>
  <c r="E9" i="6" s="1"/>
  <c r="D10" i="6"/>
  <c r="E10" i="6" s="1"/>
  <c r="D11" i="6"/>
  <c r="E11" i="6" s="1"/>
  <c r="D3" i="6"/>
  <c r="E3" i="6" s="1"/>
  <c r="B4" i="6"/>
  <c r="B5" i="6"/>
  <c r="B6" i="6"/>
  <c r="B7" i="6"/>
  <c r="B8" i="6"/>
  <c r="B9" i="6"/>
  <c r="B10" i="6"/>
  <c r="B11" i="6"/>
  <c r="B12" i="6"/>
  <c r="B13" i="6"/>
  <c r="B14" i="6"/>
  <c r="B15" i="6"/>
  <c r="B16" i="6"/>
  <c r="B17" i="6"/>
  <c r="B3" i="6"/>
  <c r="J5" i="6" l="1"/>
  <c r="J10" i="6"/>
  <c r="J11" i="6"/>
  <c r="J4" i="6"/>
  <c r="J6" i="6"/>
  <c r="J9" i="6"/>
  <c r="J8" i="6"/>
  <c r="J7" i="6"/>
  <c r="J3" i="6"/>
  <c r="K3" i="6" l="1"/>
  <c r="K11" i="6"/>
  <c r="K7" i="6"/>
  <c r="K5" i="6"/>
  <c r="K8" i="6"/>
  <c r="K9" i="6"/>
  <c r="K6" i="6"/>
  <c r="K4" i="6"/>
  <c r="K10" i="6"/>
  <c r="AI18" i="1"/>
  <c r="AJ18" i="1"/>
  <c r="AK18" i="1"/>
  <c r="AL18" i="1"/>
  <c r="AM18" i="1"/>
  <c r="AN18" i="1"/>
  <c r="AO18" i="1"/>
  <c r="AP18" i="1"/>
  <c r="W4" i="2" s="1"/>
  <c r="AQ18" i="1"/>
  <c r="W5" i="2" s="1"/>
  <c r="AR18" i="1"/>
  <c r="W6" i="2" s="1"/>
  <c r="AS18" i="1"/>
  <c r="W7" i="2" s="1"/>
  <c r="AT18" i="1"/>
  <c r="W8" i="2" s="1"/>
  <c r="AU18" i="1"/>
  <c r="W9" i="2" s="1"/>
  <c r="AV18" i="1"/>
  <c r="W10" i="2" s="1"/>
  <c r="AW18" i="1"/>
  <c r="W11" i="2" s="1"/>
  <c r="AX18" i="1"/>
  <c r="W12" i="2" s="1"/>
  <c r="AY18" i="1"/>
  <c r="W13" i="2" s="1"/>
  <c r="AZ18" i="1"/>
  <c r="W14" i="2" s="1"/>
  <c r="BA18" i="1"/>
  <c r="W15" i="2" s="1"/>
  <c r="BB18" i="1"/>
  <c r="W16" i="2" s="1"/>
  <c r="BC18" i="1"/>
  <c r="W17" i="2" s="1"/>
  <c r="BD18" i="1"/>
  <c r="W18" i="2" s="1"/>
  <c r="BE18" i="1"/>
  <c r="W19" i="2" s="1"/>
  <c r="BF18" i="1"/>
  <c r="W20" i="2" s="1"/>
  <c r="BG18" i="1"/>
  <c r="W21" i="2" s="1"/>
  <c r="BH18" i="1"/>
  <c r="W22" i="2" s="1"/>
  <c r="BI18" i="1"/>
  <c r="W23" i="2" s="1"/>
  <c r="BJ18" i="1"/>
  <c r="W24" i="2" s="1"/>
  <c r="BK18" i="1"/>
  <c r="W25" i="2" s="1"/>
  <c r="BL18" i="1"/>
  <c r="W26" i="2" s="1"/>
  <c r="BM18" i="1"/>
  <c r="W27" i="2" s="1"/>
  <c r="BN18" i="1"/>
  <c r="W28" i="2" s="1"/>
  <c r="BO18" i="1"/>
  <c r="W29" i="2" s="1"/>
  <c r="BP18" i="1"/>
  <c r="W30" i="2" s="1"/>
  <c r="BQ18" i="1"/>
  <c r="W31" i="2" s="1"/>
  <c r="BR18" i="1"/>
  <c r="W32" i="2" s="1"/>
  <c r="BS18" i="1"/>
  <c r="W33" i="2" s="1"/>
  <c r="BT18" i="1"/>
  <c r="W34" i="2" s="1"/>
  <c r="BU18" i="1"/>
  <c r="W35" i="2" s="1"/>
  <c r="BV18" i="1"/>
  <c r="W36" i="2" s="1"/>
  <c r="BW18" i="1"/>
  <c r="W37" i="2" s="1"/>
  <c r="AH18" i="1"/>
  <c r="U18" i="1"/>
  <c r="V18" i="1"/>
  <c r="W18" i="1"/>
  <c r="X18" i="1"/>
  <c r="Y18" i="1"/>
  <c r="Z18" i="1"/>
  <c r="AA18" i="1"/>
  <c r="AB18" i="1"/>
  <c r="AC18" i="1"/>
  <c r="AD18" i="1"/>
  <c r="AE18" i="1"/>
  <c r="AF18" i="1"/>
  <c r="Z7" i="2" l="1"/>
  <c r="Y7" i="2" s="1"/>
  <c r="Z4" i="2"/>
  <c r="Y4" i="2" s="1"/>
  <c r="Z5" i="2"/>
  <c r="Y5" i="2" s="1"/>
  <c r="Z8" i="2"/>
  <c r="Y8" i="2" s="1"/>
  <c r="S3" i="6"/>
  <c r="R4" i="6"/>
  <c r="R16" i="6"/>
  <c r="S13" i="6"/>
  <c r="S6" i="6"/>
  <c r="R3" i="6"/>
  <c r="R9" i="6"/>
  <c r="R6" i="6"/>
  <c r="S12" i="6"/>
  <c r="R5" i="6"/>
  <c r="R8" i="6"/>
  <c r="S7" i="6"/>
  <c r="R13" i="6"/>
  <c r="S11" i="6"/>
  <c r="R14" i="6"/>
  <c r="S16" i="6"/>
  <c r="R7" i="6"/>
  <c r="S17" i="6"/>
  <c r="S4" i="6"/>
  <c r="S10" i="6"/>
  <c r="S5" i="6"/>
  <c r="R12" i="6"/>
  <c r="S9" i="6"/>
  <c r="S15" i="6"/>
  <c r="S8" i="6"/>
  <c r="R11" i="6"/>
  <c r="R17" i="6"/>
  <c r="S14" i="6"/>
  <c r="R15" i="6"/>
  <c r="R10" i="6"/>
  <c r="Z6" i="2"/>
  <c r="Y6" i="2" s="1"/>
  <c r="T4" i="2"/>
  <c r="G21" i="2"/>
  <c r="T7" i="2"/>
  <c r="J21" i="2"/>
  <c r="T6" i="2"/>
  <c r="T8" i="2"/>
  <c r="T5" i="2"/>
  <c r="J22" i="2" l="1"/>
  <c r="D21" i="2"/>
</calcChain>
</file>

<file path=xl/sharedStrings.xml><?xml version="1.0" encoding="utf-8"?>
<sst xmlns="http://schemas.openxmlformats.org/spreadsheetml/2006/main" count="391" uniqueCount="180">
  <si>
    <t>Proyecto</t>
  </si>
  <si>
    <t xml:space="preserve">Canal </t>
  </si>
  <si>
    <t xml:space="preserve">Gestor de la Demanda </t>
  </si>
  <si>
    <t xml:space="preserve">División </t>
  </si>
  <si>
    <t xml:space="preserve">Gerente División </t>
  </si>
  <si>
    <t xml:space="preserve">Gerente </t>
  </si>
  <si>
    <t xml:space="preserve">Líder </t>
  </si>
  <si>
    <t xml:space="preserve">Líder Testing </t>
  </si>
  <si>
    <t xml:space="preserve">Etapa </t>
  </si>
  <si>
    <t>Fecha planificada fin analisis</t>
  </si>
  <si>
    <t>Fecha real fin analisis</t>
  </si>
  <si>
    <t>Desvio Análisis</t>
  </si>
  <si>
    <t>Herramienta</t>
  </si>
  <si>
    <t>Incluir</t>
  </si>
  <si>
    <t>Documentación Completada</t>
  </si>
  <si>
    <t>Nuevo esquema</t>
  </si>
  <si>
    <t>Fecha_Cierre</t>
  </si>
  <si>
    <t>Implementador</t>
  </si>
  <si>
    <t>Espacio Jira / Confluence</t>
  </si>
  <si>
    <t xml:space="preserve">Calificación del proyecto  de acuerdo a la etapa </t>
  </si>
  <si>
    <t>Calificación Gestor</t>
  </si>
  <si>
    <t>Calificación Arquictura Funcional</t>
  </si>
  <si>
    <t>Calificación Arquitectura Integración y Datos</t>
  </si>
  <si>
    <t>Calificación Infraestructura</t>
  </si>
  <si>
    <t xml:space="preserve">Calificación Lider Desarrollo </t>
  </si>
  <si>
    <t xml:space="preserve">Calificación Lider Testing </t>
  </si>
  <si>
    <t>Jira Gestor</t>
  </si>
  <si>
    <t>Jira Arq. Funcional</t>
  </si>
  <si>
    <t>Jira Arq. I&amp;D</t>
  </si>
  <si>
    <t>Jira Arq. Infra</t>
  </si>
  <si>
    <t>Jira Desarrollo</t>
  </si>
  <si>
    <t>Jira QA</t>
  </si>
  <si>
    <t xml:space="preserve">Fecha última calificación </t>
  </si>
  <si>
    <t>Tablero de Planeación Gestor</t>
  </si>
  <si>
    <t>Tablero de Planeación Funcional</t>
  </si>
  <si>
    <t>Tablero de Planeación I&amp;D</t>
  </si>
  <si>
    <t>Tablero de Planeación Infraestructura</t>
  </si>
  <si>
    <t>Tablero Planeación Desarrollo</t>
  </si>
  <si>
    <t>Tablero Trazabilidad Desarrollo</t>
  </si>
  <si>
    <t>Tablero Planeación QA</t>
  </si>
  <si>
    <t>Tablero Trazabilidad QA</t>
  </si>
  <si>
    <t>Ficha del Proyecto</t>
  </si>
  <si>
    <t>Matriz de Requerimiento Negocio y Usuario</t>
  </si>
  <si>
    <t>Flujos Funcionales Actuales</t>
  </si>
  <si>
    <t>Documento de Negocio Preliminar</t>
  </si>
  <si>
    <t>Formulario Catálogo de Servicios</t>
  </si>
  <si>
    <t>Plantilla de SLA</t>
  </si>
  <si>
    <t>Evaluación de Arquitectura</t>
  </si>
  <si>
    <t>Contrato de Servicio</t>
  </si>
  <si>
    <t>Matriz de Responsabilidades</t>
  </si>
  <si>
    <t>Matriz de Requerimiento Completa</t>
  </si>
  <si>
    <t>Casos de Uso/Documento Control de Cambio</t>
  </si>
  <si>
    <t>Matriz de Trazabilidad (Requerimientos/Casos de Uso)</t>
  </si>
  <si>
    <t>Diagrama de Secuencia UML</t>
  </si>
  <si>
    <t>Diseño Arquitectura integración y datos</t>
  </si>
  <si>
    <t>Diagrama de Conectividad</t>
  </si>
  <si>
    <t>Diseño de infraestructura</t>
  </si>
  <si>
    <t>Diseño de Seguridad de la información</t>
  </si>
  <si>
    <t>Casos de Prueba/Escenarios de Pruebas</t>
  </si>
  <si>
    <t>Matriz de Trazabilidad (Casos de Uso/Control de Cambio VS Casos de Prueba)</t>
  </si>
  <si>
    <t>Plantilla de prueba de estrés</t>
  </si>
  <si>
    <t>Plantilla de pruebas automatizadas</t>
  </si>
  <si>
    <t>Documento de Negocio Final</t>
  </si>
  <si>
    <t>Plantilla de monitoreo</t>
  </si>
  <si>
    <t>Acta Comite de Diseño</t>
  </si>
  <si>
    <t>Acta de Subcomite de TI</t>
  </si>
  <si>
    <t>Diseño técnico desarrollado (Programacion)</t>
  </si>
  <si>
    <t xml:space="preserve">Diagrama Entidad Relación </t>
  </si>
  <si>
    <t>Documento de Evidencia de Prueba Unitarias</t>
  </si>
  <si>
    <t xml:space="preserve">Manuales de Instalación </t>
  </si>
  <si>
    <t xml:space="preserve">Manual de Usuario </t>
  </si>
  <si>
    <t>Evidencias Pruebas Integradas en Testing</t>
  </si>
  <si>
    <t>Aprobación Certificación de Usuarios</t>
  </si>
  <si>
    <t>Aprobación Pase a Producción</t>
  </si>
  <si>
    <t>Aceptación de Cierre</t>
  </si>
  <si>
    <t>Mediano</t>
  </si>
  <si>
    <t>Polanco, Junior</t>
  </si>
  <si>
    <t>Div. Canales</t>
  </si>
  <si>
    <t>Then, Igor</t>
  </si>
  <si>
    <t>De la Rosa, Aislien</t>
  </si>
  <si>
    <t>Analisis y Diseño</t>
  </si>
  <si>
    <t>Confluence</t>
  </si>
  <si>
    <t>Si</t>
  </si>
  <si>
    <t>Desarrollo</t>
  </si>
  <si>
    <t>Cambio Protocolo de Comunicación RSA-SecureID</t>
  </si>
  <si>
    <t>Evolutivo</t>
  </si>
  <si>
    <t>Berroa, Thamayra</t>
  </si>
  <si>
    <r>
      <t xml:space="preserve">jira: </t>
    </r>
    <r>
      <rPr>
        <sz val="10"/>
        <color theme="1"/>
        <rFont val="Calibri"/>
        <family val="2"/>
        <scheme val="minor"/>
      </rPr>
      <t>https://bancopopular-bpd.atlassian.net/browse/CPDCRS</t>
    </r>
    <r>
      <rPr>
        <b/>
        <sz val="10"/>
        <color theme="1"/>
        <rFont val="Calibri"/>
        <family val="2"/>
        <scheme val="minor"/>
      </rPr>
      <t xml:space="preserve">
Confluence:</t>
    </r>
    <r>
      <rPr>
        <sz val="10"/>
        <color theme="1"/>
        <rFont val="Calibri"/>
        <family val="2"/>
        <scheme val="minor"/>
      </rPr>
      <t xml:space="preserve"> https://bancopopular-bpd.atlassian.net/wiki/spaces/CPDCRS</t>
    </r>
  </si>
  <si>
    <t>Alvarez, Bielca</t>
  </si>
  <si>
    <t>Gomez, Escarlin</t>
  </si>
  <si>
    <t xml:space="preserve">Jimenez, Victor </t>
  </si>
  <si>
    <t>No</t>
  </si>
  <si>
    <t>Romero, Alan</t>
  </si>
  <si>
    <t>Herramienta de Manejo de Finanzas Personale (Planificado personal de finanzas (PFM))</t>
  </si>
  <si>
    <r>
      <rPr>
        <b/>
        <sz val="10"/>
        <color theme="1"/>
        <rFont val="Calibri"/>
        <family val="2"/>
        <scheme val="minor"/>
      </rPr>
      <t>Jira</t>
    </r>
    <r>
      <rPr>
        <sz val="10"/>
        <color theme="1"/>
        <rFont val="Calibri"/>
        <family val="2"/>
        <scheme val="minor"/>
      </rPr>
      <t xml:space="preserve">: https://bancopopular-bpd.atlassian.net/browse/HDMDFPP
</t>
    </r>
    <r>
      <rPr>
        <b/>
        <sz val="10"/>
        <color theme="1"/>
        <rFont val="Calibri"/>
        <family val="2"/>
        <scheme val="minor"/>
      </rPr>
      <t>Confluence</t>
    </r>
    <r>
      <rPr>
        <sz val="10"/>
        <color theme="1"/>
        <rFont val="Calibri"/>
        <family val="2"/>
        <scheme val="minor"/>
      </rPr>
      <t>: https://bancopopular-bpd.atlassian.net/wiki/spaces/HDMDFPP</t>
    </r>
  </si>
  <si>
    <t>Migración AIX a Linux Internet Banking (Infosys) Popular Bank Panamá</t>
  </si>
  <si>
    <r>
      <rPr>
        <b/>
        <sz val="10"/>
        <color theme="1"/>
        <rFont val="Calibri"/>
        <family val="2"/>
        <scheme val="minor"/>
      </rPr>
      <t xml:space="preserve">Jira: </t>
    </r>
    <r>
      <rPr>
        <sz val="10"/>
        <color theme="1"/>
        <rFont val="Calibri"/>
        <family val="2"/>
        <scheme val="minor"/>
      </rPr>
      <t xml:space="preserve">https://bancopopular-bpd.atlassian.net/browse/MALIBI
</t>
    </r>
    <r>
      <rPr>
        <b/>
        <sz val="10"/>
        <color theme="1"/>
        <rFont val="Calibri"/>
        <family val="2"/>
        <scheme val="minor"/>
      </rPr>
      <t xml:space="preserve">Confluence: </t>
    </r>
    <r>
      <rPr>
        <sz val="10"/>
        <color theme="1"/>
        <rFont val="Calibri"/>
        <family val="2"/>
        <scheme val="minor"/>
      </rPr>
      <t>https://bancopopular-bpd.atlassian.net/wiki/spaces/MALIBI</t>
    </r>
  </si>
  <si>
    <t>Migración RSA AA a Cloud (Outseer)</t>
  </si>
  <si>
    <t xml:space="preserve">Nunez, Luis Manuel </t>
  </si>
  <si>
    <t xml:space="preserve">Florentino, Adalberto </t>
  </si>
  <si>
    <r>
      <rPr>
        <b/>
        <sz val="10"/>
        <color theme="1"/>
        <rFont val="Calibri"/>
        <family val="2"/>
        <scheme val="minor"/>
      </rPr>
      <t>Jira</t>
    </r>
    <r>
      <rPr>
        <sz val="10"/>
        <color theme="1"/>
        <rFont val="Calibri"/>
        <family val="2"/>
        <scheme val="minor"/>
      </rPr>
      <t xml:space="preserve">: https://bancopopular-bpd.atlassian.net/browse/MRATC
</t>
    </r>
    <r>
      <rPr>
        <b/>
        <sz val="10"/>
        <color theme="1"/>
        <rFont val="Calibri"/>
        <family val="2"/>
        <scheme val="minor"/>
      </rPr>
      <t>Confluence</t>
    </r>
    <r>
      <rPr>
        <sz val="10"/>
        <color theme="1"/>
        <rFont val="Calibri"/>
        <family val="2"/>
        <scheme val="minor"/>
      </rPr>
      <t>: https://bancopopular-bpd.atlassian.net/wiki/spaces/MRATC</t>
    </r>
  </si>
  <si>
    <t>Taller</t>
  </si>
  <si>
    <t>Release</t>
  </si>
  <si>
    <t>Hernandez, Brianny</t>
  </si>
  <si>
    <t>R1 2024 - IB Empresarial</t>
  </si>
  <si>
    <t>Rosa, Farinel</t>
  </si>
  <si>
    <r>
      <rPr>
        <b/>
        <sz val="10"/>
        <color theme="1"/>
        <rFont val="Calibri"/>
        <family val="2"/>
        <scheme val="minor"/>
      </rPr>
      <t xml:space="preserve">Jira: </t>
    </r>
    <r>
      <rPr>
        <sz val="10"/>
        <color theme="1"/>
        <rFont val="Calibri"/>
        <family val="2"/>
        <scheme val="minor"/>
      </rPr>
      <t>https://bancopopular-bpd.atlassian.net/browse/IBE</t>
    </r>
    <r>
      <rPr>
        <b/>
        <sz val="10"/>
        <color theme="1"/>
        <rFont val="Calibri"/>
        <family val="2"/>
        <scheme val="minor"/>
      </rPr>
      <t xml:space="preserve">
Confluence</t>
    </r>
    <r>
      <rPr>
        <sz val="10"/>
        <color theme="1"/>
        <rFont val="Calibri"/>
        <family val="2"/>
        <scheme val="minor"/>
      </rPr>
      <t>: https://bancopopular-bpd.atlassian.net/wiki/spaces/IBE</t>
    </r>
  </si>
  <si>
    <t>R1 2024 - Tpago</t>
  </si>
  <si>
    <t>Mirabal, Adrián</t>
  </si>
  <si>
    <r>
      <rPr>
        <b/>
        <sz val="10"/>
        <color theme="1"/>
        <rFont val="Calibri"/>
        <family val="2"/>
        <scheme val="minor"/>
      </rPr>
      <t>Jira</t>
    </r>
    <r>
      <rPr>
        <sz val="10"/>
        <color theme="1"/>
        <rFont val="Calibri"/>
        <family val="2"/>
        <scheme val="minor"/>
      </rPr>
      <t xml:space="preserve">: https://bancopopular-bpd.atlassian.net/browse/R2T
</t>
    </r>
    <r>
      <rPr>
        <b/>
        <sz val="10"/>
        <color theme="1"/>
        <rFont val="Calibri"/>
        <family val="2"/>
        <scheme val="minor"/>
      </rPr>
      <t>Confluence</t>
    </r>
    <r>
      <rPr>
        <sz val="10"/>
        <color theme="1"/>
        <rFont val="Calibri"/>
        <family val="2"/>
        <scheme val="minor"/>
      </rPr>
      <t>: https://bancopopular-bpd.atlassian.net/wiki/spaces/R2T</t>
    </r>
  </si>
  <si>
    <t>Upgrade IBM API Connect / Configuración de Portal / Sandbox</t>
  </si>
  <si>
    <t>Santos, Ramon Emilio</t>
  </si>
  <si>
    <r>
      <rPr>
        <b/>
        <sz val="10"/>
        <color theme="1"/>
        <rFont val="Calibri"/>
        <family val="2"/>
        <scheme val="minor"/>
      </rPr>
      <t>Jira</t>
    </r>
    <r>
      <rPr>
        <sz val="10"/>
        <color theme="1"/>
        <rFont val="Calibri"/>
        <family val="2"/>
        <scheme val="minor"/>
      </rPr>
      <t xml:space="preserve">: https://bancopopular-bpd.atlassian.net/browse/UIACCDPS
</t>
    </r>
    <r>
      <rPr>
        <b/>
        <sz val="10"/>
        <color theme="1"/>
        <rFont val="Calibri"/>
        <family val="2"/>
        <scheme val="minor"/>
      </rPr>
      <t>Confluence</t>
    </r>
    <r>
      <rPr>
        <sz val="10"/>
        <color theme="1"/>
        <rFont val="Calibri"/>
        <family val="2"/>
        <scheme val="minor"/>
      </rPr>
      <t>: https://bancopopular-bpd.atlassian.net/wiki/spaces/UIACCDPS</t>
    </r>
  </si>
  <si>
    <t>Gestor</t>
  </si>
  <si>
    <t>QA</t>
  </si>
  <si>
    <t>Arquitectura Func.</t>
  </si>
  <si>
    <t>Arquitectura integración y datos</t>
  </si>
  <si>
    <t>Arquitectura Infraestructura</t>
  </si>
  <si>
    <t>PMO / Gestor</t>
  </si>
  <si>
    <t>Analisis y diseño</t>
  </si>
  <si>
    <t>Documentacion</t>
  </si>
  <si>
    <t>Pruebas integrales</t>
  </si>
  <si>
    <t>Certificacion</t>
  </si>
  <si>
    <t>Pase a produccion</t>
  </si>
  <si>
    <t>Cierre</t>
  </si>
  <si>
    <t>Responsable</t>
  </si>
  <si>
    <t>Documentos a tener por etapas</t>
  </si>
  <si>
    <t>Mejoras Subsistemas IFC - Cambio de Modalidad a Ejecución Asincrónica</t>
  </si>
  <si>
    <t>Pruebas Integradas</t>
  </si>
  <si>
    <r>
      <rPr>
        <b/>
        <sz val="10"/>
        <color theme="1"/>
        <rFont val="Calibri"/>
        <family val="2"/>
        <scheme val="minor"/>
      </rPr>
      <t xml:space="preserve">Jira: </t>
    </r>
    <r>
      <rPr>
        <sz val="10"/>
        <color theme="1"/>
        <rFont val="Calibri"/>
        <family val="2"/>
        <scheme val="minor"/>
      </rPr>
      <t xml:space="preserve">https://bancopopular-bpd.atlassian.net/browse/MSICDMEA
</t>
    </r>
    <r>
      <rPr>
        <b/>
        <sz val="10"/>
        <color theme="1"/>
        <rFont val="Calibri"/>
        <family val="2"/>
        <scheme val="minor"/>
      </rPr>
      <t>Confluence: h</t>
    </r>
    <r>
      <rPr>
        <sz val="10"/>
        <color theme="1"/>
        <rFont val="Calibri"/>
        <family val="2"/>
        <scheme val="minor"/>
      </rPr>
      <t>ttps://bancopopular-bpd.atlassian.net/wiki/spaces/MSICDMEA</t>
    </r>
  </si>
  <si>
    <t>Documentación</t>
  </si>
  <si>
    <t>Pase a producción y piloto</t>
  </si>
  <si>
    <t>Row Labels</t>
  </si>
  <si>
    <t>Grand Total</t>
  </si>
  <si>
    <t>(blank)</t>
  </si>
  <si>
    <t xml:space="preserve">Lider </t>
  </si>
  <si>
    <t xml:space="preserve">Proyecto </t>
  </si>
  <si>
    <t>Calificacion del Proyecto</t>
  </si>
  <si>
    <t>Proyecto asignado</t>
  </si>
  <si>
    <t>calificacion de los proyectos - division</t>
  </si>
  <si>
    <t xml:space="preserve">Average of Calificación Lider Desarrollo </t>
  </si>
  <si>
    <t>calificacion de los lideres - division</t>
  </si>
  <si>
    <t>Average of Jira Desarrollo</t>
  </si>
  <si>
    <t>Jira desarrollo</t>
  </si>
  <si>
    <t>Incumplimiento jira</t>
  </si>
  <si>
    <t xml:space="preserve"> Gestor</t>
  </si>
  <si>
    <t>Arq Funcional</t>
  </si>
  <si>
    <t xml:space="preserve"> Arq I y D</t>
  </si>
  <si>
    <t xml:space="preserve">Lider Testing </t>
  </si>
  <si>
    <t>Infraestructura</t>
  </si>
  <si>
    <t>Arquitectura Funcional</t>
  </si>
  <si>
    <t>Arquitectura Integración y Datos</t>
  </si>
  <si>
    <t>Líder testing</t>
  </si>
  <si>
    <t>Departamentos</t>
  </si>
  <si>
    <t xml:space="preserve">Calificación </t>
  </si>
  <si>
    <t>Calificacion</t>
  </si>
  <si>
    <t>Peor calificacion</t>
  </si>
  <si>
    <t>Nombre del documento</t>
  </si>
  <si>
    <t>Etapa</t>
  </si>
  <si>
    <t>Calificacion lider</t>
  </si>
  <si>
    <t>Calificacion proyecto</t>
  </si>
  <si>
    <t>Certificación usuarios</t>
  </si>
  <si>
    <t xml:space="preserve">Finalizado </t>
  </si>
  <si>
    <t>Puntos</t>
  </si>
  <si>
    <t>Ranking</t>
  </si>
  <si>
    <t xml:space="preserve">Puntos proyecto </t>
  </si>
  <si>
    <t>Puntos Etapa</t>
  </si>
  <si>
    <t>Puntos lider</t>
  </si>
  <si>
    <t>Puntos final</t>
  </si>
  <si>
    <t>Lider</t>
  </si>
  <si>
    <t>Correcciones Panama</t>
  </si>
  <si>
    <t>Pruebas Unitarias</t>
  </si>
  <si>
    <r>
      <t xml:space="preserve">Jira: </t>
    </r>
    <r>
      <rPr>
        <sz val="10"/>
        <color theme="1"/>
        <rFont val="Calibri"/>
        <family val="2"/>
        <scheme val="minor"/>
      </rPr>
      <t>https://bancopopular-bpd.atlassian.net/browse/CIP</t>
    </r>
    <r>
      <rPr>
        <b/>
        <sz val="10"/>
        <color theme="1"/>
        <rFont val="Calibri"/>
        <family val="2"/>
        <scheme val="minor"/>
      </rPr>
      <t xml:space="preserve">
Confluence: </t>
    </r>
    <r>
      <rPr>
        <sz val="10"/>
        <color theme="1"/>
        <rFont val="Calibri"/>
        <family val="2"/>
        <scheme val="minor"/>
      </rPr>
      <t>https://bancopopular-bpd.atlassian.net/wiki/spaces/CIP</t>
    </r>
  </si>
  <si>
    <t>Pase producción/piloto</t>
  </si>
  <si>
    <t>Lider no oficial</t>
  </si>
  <si>
    <t>Proyecto no oficial</t>
  </si>
  <si>
    <t>Lider oficial</t>
  </si>
  <si>
    <t>Proyecto oficial</t>
  </si>
  <si>
    <t>Santana, Daniela</t>
  </si>
  <si>
    <t>Pase Producción/Piloto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</si>
</sst>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5">
    <font>
      <sz val="11"/>
      <color theme="1"/>
      <name val="Calibri"/>
      <family val="2"/>
      <scheme val="minor"/>
    </font>
    <font>
      <sz val="11"/>
      <color theme="1"/>
      <name val="Calibri"/>
      <family val="2"/>
      <scheme val="minor"/>
    </font>
    <font>
      <b/>
      <sz val="11"/>
      <color theme="0"/>
      <name val="Calibri"/>
      <family val="2"/>
      <scheme val="minor"/>
    </font>
    <font>
      <b/>
      <sz val="10"/>
      <color theme="1"/>
      <name val="Calibri"/>
      <family val="2"/>
      <scheme val="minor"/>
    </font>
    <font>
      <sz val="10"/>
      <color theme="1"/>
      <name val="Calibri"/>
      <family val="2"/>
      <scheme val="minor"/>
    </font>
    <font>
      <sz val="10"/>
      <name val="Arial"/>
      <family val="2"/>
    </font>
    <font>
      <u/>
      <sz val="11"/>
      <color theme="10"/>
      <name val="Calibri"/>
      <family val="2"/>
      <scheme val="minor"/>
    </font>
    <font>
      <b/>
      <sz val="1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theme="1"/>
      <name val="Franklin Gothic Book"/>
      <family val="2"/>
    </font>
    <font>
      <b/>
      <sz val="11"/>
      <color theme="0"/>
      <name val="Franklin Gothic Book"/>
      <family val="2"/>
    </font>
    <font>
      <sz val="10"/>
      <color theme="1"/>
      <name val="Calibri"/>
      <scheme val="minor"/>
    </font>
    <font>
      <sz val="11"/>
      <name val="Calibri"/>
      <scheme val="minor"/>
    </font>
  </fonts>
  <fills count="1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70C0"/>
        <bgColor theme="4"/>
      </patternFill>
    </fill>
    <fill>
      <patternFill patternType="solid">
        <fgColor theme="8"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499984740745262"/>
        <bgColor theme="4"/>
      </patternFill>
    </fill>
    <fill>
      <patternFill patternType="solid">
        <fgColor theme="4"/>
        <bgColor indexed="64"/>
      </patternFill>
    </fill>
    <fill>
      <patternFill patternType="solid">
        <fgColor rgb="FF00206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3"/>
        <bgColor indexed="64"/>
      </patternFill>
    </fill>
  </fills>
  <borders count="14">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bottom style="thin">
        <color theme="4" tint="0.39997558519241921"/>
      </bottom>
      <diagonal/>
    </border>
    <border>
      <left/>
      <right style="thin">
        <color theme="0"/>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s>
  <cellStyleXfs count="7">
    <xf numFmtId="0" fontId="0" fillId="0" borderId="0"/>
    <xf numFmtId="9" fontId="1" fillId="0" borderId="0" applyFont="0" applyFill="0" applyBorder="0" applyAlignment="0" applyProtection="0"/>
    <xf numFmtId="164" fontId="1" fillId="0" borderId="0"/>
    <xf numFmtId="164" fontId="1" fillId="0" borderId="0"/>
    <xf numFmtId="164" fontId="5" fillId="0" borderId="0"/>
    <xf numFmtId="0" fontId="6" fillId="0" borderId="0" applyNumberFormat="0" applyFill="0" applyBorder="0" applyAlignment="0" applyProtection="0"/>
    <xf numFmtId="164" fontId="1" fillId="0" borderId="0"/>
  </cellStyleXfs>
  <cellXfs count="79">
    <xf numFmtId="0" fontId="0" fillId="0" borderId="0" xfId="0"/>
    <xf numFmtId="164" fontId="4" fillId="3" borderId="1" xfId="2" applyNumberFormat="1" applyFont="1" applyFill="1" applyBorder="1" applyAlignment="1">
      <alignment vertical="center" wrapText="1"/>
    </xf>
    <xf numFmtId="0" fontId="4" fillId="3" borderId="1" xfId="0" applyFont="1" applyFill="1" applyBorder="1" applyAlignment="1">
      <alignment vertical="center" wrapText="1"/>
    </xf>
    <xf numFmtId="164" fontId="4" fillId="3" borderId="1" xfId="3" applyNumberFormat="1" applyFont="1" applyFill="1" applyBorder="1" applyAlignment="1">
      <alignment vertical="center" wrapText="1"/>
    </xf>
    <xf numFmtId="164" fontId="4" fillId="3" borderId="1" xfId="4" applyNumberFormat="1" applyFont="1" applyFill="1" applyBorder="1" applyAlignment="1">
      <alignment vertical="center" wrapText="1"/>
    </xf>
    <xf numFmtId="16" fontId="4" fillId="3" borderId="1" xfId="0" applyNumberFormat="1" applyFont="1" applyFill="1" applyBorder="1" applyAlignment="1">
      <alignment vertical="center" wrapText="1"/>
    </xf>
    <xf numFmtId="9" fontId="6" fillId="3" borderId="2" xfId="5" applyNumberFormat="1" applyFont="1" applyFill="1" applyBorder="1" applyAlignment="1">
      <alignment horizontal="center" vertical="center"/>
    </xf>
    <xf numFmtId="9" fontId="7" fillId="3" borderId="2" xfId="1" applyNumberFormat="1" applyFont="1" applyFill="1" applyBorder="1" applyAlignment="1">
      <alignment horizontal="center" vertical="center"/>
    </xf>
    <xf numFmtId="164" fontId="4" fillId="3" borderId="2" xfId="1" applyNumberFormat="1" applyFont="1" applyFill="1" applyBorder="1" applyAlignment="1">
      <alignment horizontal="center" vertical="center"/>
    </xf>
    <xf numFmtId="0" fontId="4" fillId="3" borderId="2" xfId="0" applyFont="1" applyFill="1" applyBorder="1" applyAlignment="1">
      <alignment horizontal="center" vertical="center"/>
    </xf>
    <xf numFmtId="164" fontId="4" fillId="0" borderId="1" xfId="2" applyNumberFormat="1" applyFont="1" applyBorder="1" applyAlignment="1">
      <alignment vertical="center" wrapText="1"/>
    </xf>
    <xf numFmtId="0" fontId="4" fillId="0" borderId="1" xfId="0" applyFont="1" applyBorder="1" applyAlignment="1">
      <alignment vertical="center" wrapText="1"/>
    </xf>
    <xf numFmtId="164" fontId="4" fillId="0" borderId="1" xfId="3" applyNumberFormat="1" applyFont="1" applyBorder="1" applyAlignment="1">
      <alignment vertical="center" wrapText="1"/>
    </xf>
    <xf numFmtId="16" fontId="4" fillId="0" borderId="1" xfId="0" applyNumberFormat="1" applyFont="1" applyBorder="1" applyAlignment="1">
      <alignment vertical="center" wrapText="1"/>
    </xf>
    <xf numFmtId="9" fontId="6" fillId="0" borderId="2" xfId="5" applyNumberFormat="1" applyFont="1" applyBorder="1" applyAlignment="1">
      <alignment horizontal="center" vertical="center"/>
    </xf>
    <xf numFmtId="9" fontId="7" fillId="0" borderId="2" xfId="1" applyNumberFormat="1" applyFont="1" applyBorder="1" applyAlignment="1">
      <alignment horizontal="center" vertical="center"/>
    </xf>
    <xf numFmtId="164" fontId="4" fillId="0" borderId="2" xfId="1" applyNumberFormat="1" applyFont="1" applyBorder="1" applyAlignment="1">
      <alignment horizontal="center" vertical="center"/>
    </xf>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0" borderId="6" xfId="0" applyFont="1" applyBorder="1" applyAlignment="1">
      <alignment horizontal="center" vertical="center"/>
    </xf>
    <xf numFmtId="0" fontId="4" fillId="3" borderId="1" xfId="4" applyNumberFormat="1" applyFont="1" applyFill="1" applyBorder="1" applyAlignment="1">
      <alignment vertical="center" wrapText="1"/>
    </xf>
    <xf numFmtId="0" fontId="4" fillId="3" borderId="7" xfId="0" applyFont="1" applyFill="1" applyBorder="1" applyAlignment="1">
      <alignment vertical="center" wrapText="1"/>
    </xf>
    <xf numFmtId="0" fontId="4" fillId="0" borderId="1" xfId="4" applyNumberFormat="1" applyFont="1" applyBorder="1" applyAlignment="1">
      <alignment vertical="center" wrapText="1"/>
    </xf>
    <xf numFmtId="0" fontId="0" fillId="0" borderId="0" xfId="0" applyAlignment="1">
      <alignment horizontal="center" wrapText="1"/>
    </xf>
    <xf numFmtId="0" fontId="2" fillId="4" borderId="1" xfId="0" applyFont="1" applyFill="1" applyBorder="1" applyAlignment="1">
      <alignment horizontal="center" vertical="center" wrapText="1"/>
    </xf>
    <xf numFmtId="0" fontId="8" fillId="0" borderId="0" xfId="0" applyFont="1"/>
    <xf numFmtId="0" fontId="2" fillId="9" borderId="0" xfId="0" applyFont="1" applyFill="1"/>
    <xf numFmtId="0" fontId="2" fillId="6" borderId="0" xfId="0" applyFont="1" applyFill="1" applyAlignment="1">
      <alignment horizontal="center"/>
    </xf>
    <xf numFmtId="0" fontId="2" fillId="7" borderId="0" xfId="0" applyFont="1" applyFill="1" applyAlignment="1">
      <alignment horizontal="center"/>
    </xf>
    <xf numFmtId="0" fontId="8" fillId="0" borderId="0" xfId="0" applyFont="1" applyAlignment="1">
      <alignment horizontal="center" wrapText="1"/>
    </xf>
    <xf numFmtId="164" fontId="4" fillId="3" borderId="1" xfId="6" applyNumberFormat="1"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10" borderId="8" xfId="0" applyFont="1" applyFill="1" applyBorder="1" applyAlignment="1">
      <alignment horizontal="center" vertical="center" wrapText="1"/>
    </xf>
    <xf numFmtId="0" fontId="0" fillId="11" borderId="0" xfId="0" applyFill="1"/>
    <xf numFmtId="0" fontId="0" fillId="12" borderId="0" xfId="0" applyFill="1"/>
    <xf numFmtId="0" fontId="9" fillId="13" borderId="0" xfId="0" applyFont="1" applyFill="1"/>
    <xf numFmtId="0" fontId="0" fillId="14" borderId="0" xfId="0" applyFill="1"/>
    <xf numFmtId="0" fontId="0" fillId="11" borderId="0" xfId="0" applyFill="1" applyAlignment="1">
      <alignment vertical="center"/>
    </xf>
    <xf numFmtId="0" fontId="0" fillId="11" borderId="0" xfId="0" applyFill="1" applyAlignment="1">
      <alignment vertical="center" wrapText="1"/>
    </xf>
    <xf numFmtId="9" fontId="2" fillId="11" borderId="0" xfId="0" applyNumberFormat="1" applyFont="1" applyFill="1" applyAlignment="1">
      <alignment horizontal="center" vertical="center"/>
    </xf>
    <xf numFmtId="9" fontId="0" fillId="11" borderId="0" xfId="0" applyNumberFormat="1" applyFill="1" applyAlignment="1">
      <alignment horizontal="center" vertical="center"/>
    </xf>
    <xf numFmtId="0" fontId="3" fillId="3" borderId="10" xfId="0" applyFont="1" applyFill="1" applyBorder="1" applyAlignment="1">
      <alignment vertical="center" wrapText="1"/>
    </xf>
    <xf numFmtId="0" fontId="3" fillId="0" borderId="10" xfId="0" applyFont="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0" fillId="15" borderId="0" xfId="0" applyFill="1"/>
    <xf numFmtId="0" fontId="8" fillId="0" borderId="0" xfId="0" applyFont="1" applyAlignment="1">
      <alignment horizontal="left"/>
    </xf>
    <xf numFmtId="9" fontId="0" fillId="0" borderId="0" xfId="0" applyNumberFormat="1"/>
    <xf numFmtId="9" fontId="0" fillId="0" borderId="0" xfId="1" applyFont="1"/>
    <xf numFmtId="0" fontId="0" fillId="0" borderId="0" xfId="0" applyBorder="1"/>
    <xf numFmtId="0" fontId="10" fillId="0" borderId="0" xfId="0" applyFont="1" applyBorder="1"/>
    <xf numFmtId="2" fontId="0" fillId="0" borderId="0" xfId="0" applyNumberFormat="1"/>
    <xf numFmtId="0" fontId="0" fillId="0" borderId="0" xfId="0" applyNumberFormat="1"/>
    <xf numFmtId="0" fontId="11" fillId="0" borderId="0" xfId="0" applyFont="1" applyAlignment="1">
      <alignment horizontal="center"/>
    </xf>
    <xf numFmtId="0" fontId="12" fillId="16" borderId="0" xfId="0" applyFont="1" applyFill="1" applyAlignment="1">
      <alignment horizontal="center"/>
    </xf>
    <xf numFmtId="0" fontId="3" fillId="0" borderId="0" xfId="0" applyFont="1" applyAlignment="1">
      <alignment vertical="center" wrapText="1"/>
    </xf>
    <xf numFmtId="16" fontId="4" fillId="0" borderId="0" xfId="0" applyNumberFormat="1" applyFont="1" applyAlignment="1">
      <alignment vertical="center" wrapText="1"/>
    </xf>
    <xf numFmtId="16" fontId="3" fillId="0" borderId="0" xfId="0" applyNumberFormat="1" applyFont="1" applyAlignment="1">
      <alignment vertical="center" wrapText="1"/>
    </xf>
    <xf numFmtId="164" fontId="4" fillId="0" borderId="2" xfId="1" applyNumberFormat="1" applyFont="1" applyFill="1" applyBorder="1" applyAlignment="1">
      <alignment horizontal="center" vertical="center"/>
    </xf>
    <xf numFmtId="0" fontId="4" fillId="0" borderId="11" xfId="0" applyFont="1" applyBorder="1" applyAlignment="1">
      <alignment horizontal="center" vertical="center"/>
    </xf>
    <xf numFmtId="0" fontId="13" fillId="0" borderId="2" xfId="0" applyFont="1" applyBorder="1" applyAlignment="1">
      <alignment horizontal="center" vertical="center"/>
    </xf>
    <xf numFmtId="0" fontId="14" fillId="0" borderId="0" xfId="0" applyFont="1" applyBorder="1"/>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2" fillId="7" borderId="8" xfId="0" applyFont="1" applyFill="1" applyBorder="1" applyAlignment="1">
      <alignment horizontal="center"/>
    </xf>
    <xf numFmtId="0" fontId="2" fillId="6" borderId="8" xfId="0" applyFont="1" applyFill="1" applyBorder="1" applyAlignment="1">
      <alignment horizontal="center"/>
    </xf>
    <xf numFmtId="0" fontId="2" fillId="9" borderId="8" xfId="0" applyFont="1" applyFill="1" applyBorder="1" applyAlignment="1">
      <alignment horizontal="center"/>
    </xf>
    <xf numFmtId="0" fontId="2" fillId="8" borderId="8" xfId="0" applyFont="1" applyFill="1" applyBorder="1" applyAlignment="1">
      <alignment horizontal="center"/>
    </xf>
    <xf numFmtId="0" fontId="2" fillId="5" borderId="8" xfId="0" applyFont="1" applyFill="1" applyBorder="1" applyAlignment="1">
      <alignment horizontal="center"/>
    </xf>
  </cellXfs>
  <cellStyles count="7">
    <cellStyle name="Hyperlink" xfId="5" builtinId="8"/>
    <cellStyle name="Normal" xfId="0" builtinId="0"/>
    <cellStyle name="Normal 108" xfId="6"/>
    <cellStyle name="Normal 8" xfId="3"/>
    <cellStyle name="Normal 94" xfId="2"/>
    <cellStyle name="Normal_Proyectos general 2010 v2" xfId="4"/>
    <cellStyle name="Percent" xfId="1" builtinId="5"/>
  </cellStyles>
  <dxfs count="89">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strike val="0"/>
        <outline val="0"/>
        <shadow val="0"/>
        <u val="none"/>
        <vertAlign val="baseline"/>
        <sz val="11"/>
        <color theme="1"/>
        <name val="Franklin Gothic Book"/>
        <scheme val="none"/>
      </font>
      <alignment horizontal="center" vertical="bottom" textRotation="0" wrapText="0" indent="0" justifyLastLine="0" shrinkToFit="0" readingOrder="0"/>
    </dxf>
    <dxf>
      <font>
        <strike val="0"/>
        <outline val="0"/>
        <shadow val="0"/>
        <u val="none"/>
        <vertAlign val="baseline"/>
        <sz val="11"/>
        <color theme="1"/>
        <name val="Franklin Gothic Book"/>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medium">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1"/>
        <color theme="10"/>
        <name val="Calibri"/>
        <scheme val="minor"/>
      </font>
      <numFmt numFmtId="13" formatCode="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1" formatCode="d\-mmm"/>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numFmt numFmtId="21" formatCode="d\-mmm"/>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numFmt numFmtId="164" formatCode="[$-409]d\-mmm\-yy;@"/>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numFmt numFmtId="164" formatCode="[$-409]d\-mmm\-yy;@"/>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scheme val="minor"/>
      </font>
      <numFmt numFmtId="164" formatCode="[$-409]d\-mmm\-yy;@"/>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0"/>
        <color theme="1"/>
        <name val="Calibri"/>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tint="-0.499984740745262"/>
        </patternFill>
      </fill>
      <alignment horizontal="center" vertical="center" textRotation="0" wrapText="1" indent="0" justifyLastLine="0" shrinkToFit="0" readingOrder="0"/>
    </dxf>
    <dxf>
      <font>
        <sz val="8"/>
        <color theme="1"/>
        <name val="Franklin Gothic Book"/>
        <scheme val="none"/>
      </font>
      <fill>
        <patternFill patternType="none">
          <bgColor auto="1"/>
        </patternFill>
      </fill>
      <border diagonalUp="0" diagonalDown="0">
        <left/>
        <right/>
        <top/>
        <bottom/>
        <vertical/>
        <horizontal/>
      </border>
    </dxf>
    <dxf>
      <font>
        <sz val="8"/>
        <color theme="1"/>
        <name val="Franklin Gothic Book"/>
        <scheme val="none"/>
      </font>
      <fill>
        <patternFill>
          <bgColor theme="0"/>
        </patternFill>
      </fill>
      <border diagonalUp="0" diagonalDown="0">
        <left/>
        <right/>
        <top/>
        <bottom/>
        <vertical/>
        <horizontal/>
      </border>
    </dxf>
    <dxf>
      <font>
        <sz val="8"/>
        <color theme="1"/>
        <name val="Franklin Gothic Book"/>
        <scheme val="none"/>
      </font>
      <fill>
        <patternFill patternType="none">
          <bgColor auto="1"/>
        </patternFill>
      </fill>
      <border diagonalUp="0" diagonalDown="0">
        <left/>
        <right/>
        <top/>
        <bottom/>
        <vertical/>
        <horizontal/>
      </border>
    </dxf>
    <dxf>
      <font>
        <sz val="8"/>
        <color theme="1"/>
        <name val="Franklin Gothic Book"/>
        <scheme val="none"/>
      </font>
      <fill>
        <patternFill>
          <bgColor theme="0"/>
        </patternFill>
      </fill>
      <border diagonalUp="0" diagonalDown="0">
        <left/>
        <right/>
        <top/>
        <bottom/>
        <vertical/>
        <horizontal/>
      </border>
    </dxf>
    <dxf>
      <font>
        <sz val="8"/>
        <color theme="1"/>
        <name val="Franklin Gothic Book"/>
        <scheme val="none"/>
      </font>
      <fill>
        <patternFill patternType="solid">
          <bgColor rgb="FF002060"/>
        </patternFill>
      </fill>
      <border diagonalUp="0" diagonalDown="0">
        <left/>
        <right/>
        <top/>
        <bottom/>
        <vertical/>
        <horizontal/>
      </border>
    </dxf>
    <dxf>
      <font>
        <sz val="8"/>
        <color theme="1"/>
        <name val="Franklin Gothic Book"/>
        <scheme val="none"/>
      </font>
      <fill>
        <patternFill>
          <bgColor rgb="FF002060"/>
        </patternFill>
      </fill>
      <border diagonalUp="0" diagonalDown="0">
        <left/>
        <right/>
        <top/>
        <bottom/>
        <vertical/>
        <horizontal/>
      </border>
    </dxf>
  </dxfs>
  <tableStyles count="3" defaultTableStyle="TableStyleMedium2" defaultPivotStyle="PivotStyleLight16">
    <tableStyle name="miEstilo 2" pivot="0" table="0" count="10">
      <tableStyleElement type="wholeTable" dxfId="88"/>
      <tableStyleElement type="headerRow" dxfId="87"/>
    </tableStyle>
    <tableStyle name="miEstilo1" pivot="0" table="0" count="10">
      <tableStyleElement type="wholeTable" dxfId="86"/>
      <tableStyleElement type="headerRow" dxfId="85"/>
    </tableStyle>
    <tableStyle name="miEstilo3" pivot="0" table="0" count="10">
      <tableStyleElement type="wholeTable" dxfId="84"/>
      <tableStyleElement type="headerRow" dxfId="83"/>
    </tableStyle>
  </tableStyles>
  <extLst>
    <ext xmlns:x14="http://schemas.microsoft.com/office/spreadsheetml/2009/9/main" uri="{46F421CA-312F-682f-3DD2-61675219B42D}">
      <x14:dxfs count="24">
        <dxf>
          <font>
            <b/>
            <i val="0"/>
            <sz val="8"/>
            <color theme="0" tint="-0.499984740745262"/>
            <name val="Franklin Gothic Book"/>
            <scheme val="none"/>
          </font>
          <fill>
            <patternFill patternType="solid">
              <fgColor auto="1"/>
              <bgColor theme="4"/>
            </patternFill>
          </fill>
          <border diagonalUp="0" diagonalDown="0">
            <left/>
            <right/>
            <top/>
            <bottom/>
            <vertical/>
            <horizontal/>
          </border>
        </dxf>
        <dxf>
          <font>
            <b/>
            <i val="0"/>
            <sz val="8"/>
            <color theme="0" tint="-0.34998626667073579"/>
            <name val="Franklin Gothic Book"/>
            <scheme val="none"/>
          </font>
          <fill>
            <patternFill patternType="solid">
              <fgColor auto="1"/>
              <bgColor theme="4"/>
            </patternFill>
          </fill>
          <border diagonalUp="0" diagonalDown="0">
            <left/>
            <right/>
            <top/>
            <bottom/>
            <vertical/>
            <horizontal/>
          </border>
        </dxf>
        <dxf>
          <font>
            <b/>
            <i val="0"/>
            <sz val="8"/>
            <color theme="0"/>
            <name val="Franklin Gothic Book"/>
            <scheme val="none"/>
          </font>
          <fill>
            <patternFill patternType="solid">
              <fgColor auto="1"/>
              <bgColor theme="4"/>
            </patternFill>
          </fill>
          <border diagonalUp="0" diagonalDown="0">
            <left/>
            <right/>
            <top/>
            <bottom/>
            <vertical/>
            <horizontal/>
          </border>
        </dxf>
        <dxf>
          <font>
            <b/>
            <i val="0"/>
            <sz val="8"/>
            <color theme="0"/>
            <name val="Franklin Gothic Book"/>
            <scheme val="none"/>
          </font>
          <fill>
            <patternFill patternType="solid">
              <fgColor auto="1"/>
              <bgColor theme="4"/>
            </patternFill>
          </fill>
          <border diagonalUp="0" diagonalDown="0">
            <left/>
            <right/>
            <top/>
            <bottom/>
            <vertical/>
            <horizontal/>
          </border>
        </dxf>
        <dxf>
          <font>
            <b/>
            <i val="0"/>
            <sz val="8"/>
            <color theme="0" tint="-0.499984740745262"/>
            <name val="Franklin Gothic Book"/>
            <scheme val="none"/>
          </font>
          <fill>
            <patternFill patternType="solid">
              <fgColor theme="4" tint="0.79995117038483843"/>
              <bgColor theme="5" tint="0.39994506668294322"/>
            </patternFill>
          </fill>
          <border diagonalUp="0" diagonalDown="0">
            <left/>
            <right/>
            <top/>
            <bottom/>
            <vertical/>
            <horizontal/>
          </border>
        </dxf>
        <dxf>
          <font>
            <sz val="8"/>
            <color theme="0"/>
            <name val="Franklin Gothic Book"/>
            <scheme val="none"/>
          </font>
          <fill>
            <patternFill patternType="solid">
              <fgColor theme="4" tint="0.59999389629810485"/>
              <bgColor theme="5" tint="0.39994506668294322"/>
            </patternFill>
          </fill>
          <border diagonalUp="0" diagonalDown="0">
            <left/>
            <right/>
            <top/>
            <bottom/>
            <vertical/>
            <horizontal/>
          </border>
        </dxf>
        <dxf>
          <font>
            <b/>
            <i val="0"/>
            <sz val="8"/>
            <color theme="0" tint="-0.499984740745262"/>
            <name val="Franklin Gothic Book"/>
            <scheme val="none"/>
          </font>
          <fill>
            <patternFill patternType="solid">
              <fgColor rgb="FFFFFFFF"/>
              <bgColor theme="0"/>
            </patternFill>
          </fill>
          <border diagonalUp="0" diagonalDown="0">
            <left/>
            <right/>
            <top/>
            <bottom/>
            <vertical/>
            <horizontal/>
          </border>
        </dxf>
        <dxf>
          <font>
            <b/>
            <i val="0"/>
            <sz val="8"/>
            <color rgb="FF000000"/>
            <name val="Franklin Gothic Book"/>
            <scheme val="none"/>
          </font>
          <fill>
            <patternFill patternType="solid">
              <fgColor rgb="FFFFFFFF"/>
              <bgColor theme="0"/>
            </patternFill>
          </fill>
          <border diagonalUp="0" diagonalDown="0">
            <left/>
            <right/>
            <top/>
            <bottom/>
            <vertical/>
            <horizontal/>
          </border>
        </dxf>
        <dxf>
          <font>
            <b/>
            <i val="0"/>
            <sz val="8"/>
            <color theme="0" tint="-0.499984740745262"/>
            <name val="Franklin Gothic Book"/>
            <scheme val="none"/>
          </font>
          <fill>
            <patternFill patternType="solid">
              <fgColor auto="1"/>
              <bgColor theme="4"/>
            </patternFill>
          </fill>
          <border diagonalUp="0" diagonalDown="0">
            <left/>
            <right/>
            <top/>
            <bottom/>
            <vertical/>
            <horizontal/>
          </border>
        </dxf>
        <dxf>
          <font>
            <b/>
            <i val="0"/>
            <sz val="8"/>
            <color theme="0" tint="-0.34998626667073579"/>
            <name val="Franklin Gothic Book"/>
            <scheme val="none"/>
          </font>
          <fill>
            <patternFill patternType="solid">
              <fgColor auto="1"/>
              <bgColor theme="4"/>
            </patternFill>
          </fill>
          <border diagonalUp="0" diagonalDown="0">
            <left/>
            <right/>
            <top/>
            <bottom/>
            <vertical/>
            <horizontal/>
          </border>
        </dxf>
        <dxf>
          <font>
            <b/>
            <i val="0"/>
            <sz val="8"/>
            <color theme="0"/>
            <name val="Franklin Gothic Book"/>
            <scheme val="none"/>
          </font>
          <fill>
            <patternFill patternType="solid">
              <fgColor auto="1"/>
              <bgColor theme="4"/>
            </patternFill>
          </fill>
          <border diagonalUp="0" diagonalDown="0">
            <left/>
            <right/>
            <top/>
            <bottom/>
            <vertical/>
            <horizontal/>
          </border>
        </dxf>
        <dxf>
          <font>
            <b/>
            <i val="0"/>
            <sz val="8"/>
            <color theme="0"/>
            <name val="Franklin Gothic Book"/>
            <scheme val="none"/>
          </font>
          <fill>
            <patternFill patternType="solid">
              <fgColor auto="1"/>
              <bgColor theme="4"/>
            </patternFill>
          </fill>
          <border diagonalUp="0" diagonalDown="0">
            <left/>
            <right/>
            <top/>
            <bottom/>
            <vertical/>
            <horizontal/>
          </border>
        </dxf>
        <dxf>
          <font>
            <b/>
            <i val="0"/>
            <sz val="8"/>
            <color theme="0" tint="-0.499984740745262"/>
            <name val="Franklin Gothic Book"/>
            <scheme val="none"/>
          </font>
          <fill>
            <patternFill patternType="solid">
              <fgColor theme="4" tint="0.79995117038483843"/>
              <bgColor theme="5" tint="0.39994506668294322"/>
            </patternFill>
          </fill>
          <border diagonalUp="0" diagonalDown="0">
            <left/>
            <right/>
            <top/>
            <bottom/>
            <vertical/>
            <horizontal/>
          </border>
        </dxf>
        <dxf>
          <font>
            <sz val="8"/>
            <color theme="0"/>
            <name val="Franklin Gothic Book"/>
            <scheme val="none"/>
          </font>
          <fill>
            <patternFill patternType="solid">
              <fgColor theme="4" tint="0.59999389629810485"/>
              <bgColor theme="5" tint="0.39994506668294322"/>
            </patternFill>
          </fill>
          <border diagonalUp="0" diagonalDown="0">
            <left/>
            <right/>
            <top/>
            <bottom/>
            <vertical/>
            <horizontal/>
          </border>
        </dxf>
        <dxf>
          <font>
            <b/>
            <i val="0"/>
            <sz val="8"/>
            <color theme="0" tint="-0.499984740745262"/>
            <name val="Franklin Gothic Book"/>
            <scheme val="none"/>
          </font>
          <fill>
            <patternFill patternType="solid">
              <fgColor rgb="FFFFFFFF"/>
              <bgColor theme="0"/>
            </patternFill>
          </fill>
          <border diagonalUp="0" diagonalDown="0">
            <left/>
            <right/>
            <top/>
            <bottom/>
            <vertical/>
            <horizontal/>
          </border>
        </dxf>
        <dxf>
          <font>
            <b/>
            <i val="0"/>
            <sz val="8"/>
            <color rgb="FF000000"/>
            <name val="Franklin Gothic Book"/>
            <scheme val="none"/>
          </font>
          <fill>
            <patternFill patternType="solid">
              <fgColor rgb="FFFFFFFF"/>
              <bgColor theme="0"/>
            </patternFill>
          </fill>
          <border diagonalUp="0" diagonalDown="0">
            <left/>
            <right/>
            <top/>
            <bottom/>
            <vertical/>
            <horizontal/>
          </border>
        </dxf>
        <dxf>
          <font>
            <b/>
            <i val="0"/>
            <sz val="8"/>
            <color theme="0" tint="-0.499984740745262"/>
            <name val="Franklin Gothic Book"/>
            <scheme val="none"/>
          </font>
          <fill>
            <patternFill patternType="solid">
              <fgColor auto="1"/>
              <bgColor theme="4"/>
            </patternFill>
          </fill>
          <border diagonalUp="0" diagonalDown="0">
            <left/>
            <right/>
            <top/>
            <bottom/>
            <vertical/>
            <horizontal/>
          </border>
        </dxf>
        <dxf>
          <font>
            <b/>
            <i val="0"/>
            <sz val="8"/>
            <color theme="0" tint="-0.34998626667073579"/>
            <name val="Franklin Gothic Book"/>
            <scheme val="none"/>
          </font>
          <fill>
            <patternFill patternType="solid">
              <fgColor auto="1"/>
              <bgColor theme="4"/>
            </patternFill>
          </fill>
          <border diagonalUp="0" diagonalDown="0">
            <left/>
            <right/>
            <top/>
            <bottom/>
            <vertical/>
            <horizontal/>
          </border>
        </dxf>
        <dxf>
          <font>
            <b/>
            <i val="0"/>
            <sz val="8"/>
            <color theme="0"/>
            <name val="Franklin Gothic Book"/>
            <scheme val="none"/>
          </font>
          <fill>
            <patternFill patternType="solid">
              <fgColor auto="1"/>
              <bgColor theme="4"/>
            </patternFill>
          </fill>
          <border diagonalUp="0" diagonalDown="0">
            <left/>
            <right/>
            <top/>
            <bottom/>
            <vertical/>
            <horizontal/>
          </border>
        </dxf>
        <dxf>
          <font>
            <b/>
            <i val="0"/>
            <sz val="8"/>
            <color theme="0"/>
            <name val="Franklin Gothic Book"/>
            <scheme val="none"/>
          </font>
          <fill>
            <patternFill patternType="solid">
              <fgColor auto="1"/>
              <bgColor theme="4"/>
            </patternFill>
          </fill>
          <border diagonalUp="0" diagonalDown="0">
            <left/>
            <right/>
            <top/>
            <bottom/>
            <vertical/>
            <horizontal/>
          </border>
        </dxf>
        <dxf>
          <font>
            <b/>
            <i val="0"/>
            <sz val="8"/>
            <color theme="0" tint="-0.499984740745262"/>
            <name val="Franklin Gothic Book"/>
            <scheme val="none"/>
          </font>
          <fill>
            <patternFill patternType="solid">
              <fgColor theme="4" tint="0.79995117038483843"/>
              <bgColor theme="5" tint="0.39994506668294322"/>
            </patternFill>
          </fill>
          <border diagonalUp="0" diagonalDown="0">
            <left/>
            <right/>
            <top/>
            <bottom/>
            <vertical/>
            <horizontal/>
          </border>
        </dxf>
        <dxf>
          <font>
            <sz val="6"/>
            <color theme="0"/>
            <name val="Franklin Gothic Book"/>
            <scheme val="none"/>
          </font>
          <fill>
            <patternFill patternType="solid">
              <fgColor theme="4" tint="0.59999389629810485"/>
              <bgColor theme="5" tint="0.39994506668294322"/>
            </patternFill>
          </fill>
          <border diagonalUp="0" diagonalDown="0">
            <left/>
            <right/>
            <top/>
            <bottom/>
            <vertical/>
            <horizontal/>
          </border>
        </dxf>
        <dxf>
          <font>
            <b/>
            <i val="0"/>
            <sz val="8"/>
            <color theme="0" tint="-0.499984740745262"/>
            <name val="Franklin Gothic Book"/>
            <scheme val="none"/>
          </font>
          <fill>
            <patternFill patternType="solid">
              <fgColor rgb="FFFFFFFF"/>
              <bgColor theme="0"/>
            </patternFill>
          </fill>
          <border diagonalUp="0" diagonalDown="0">
            <left/>
            <right/>
            <top/>
            <bottom/>
            <vertical/>
            <horizontal/>
          </border>
        </dxf>
        <dxf>
          <font>
            <b/>
            <i val="0"/>
            <sz val="8"/>
            <color rgb="FF000000"/>
            <name val="Franklin Gothic Book"/>
            <scheme val="none"/>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iEstilo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iEstilo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iEstilo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EC76-4A87-96A8-13F55F040B0D}"/>
              </c:ext>
            </c:extLst>
          </c:dPt>
          <c:dPt>
            <c:idx val="1"/>
            <c:bubble3D val="0"/>
            <c:spPr>
              <a:solidFill>
                <a:schemeClr val="bg1">
                  <a:lumMod val="75000"/>
                </a:schemeClr>
              </a:solidFill>
              <a:ln w="19050">
                <a:noFill/>
              </a:ln>
              <a:effectLst/>
            </c:spPr>
            <c:extLst>
              <c:ext xmlns:c16="http://schemas.microsoft.com/office/drawing/2014/chart" uri="{C3380CC4-5D6E-409C-BE32-E72D297353CC}">
                <c16:uniqueId val="{00000003-EC76-4A87-96A8-13F55F040B0D}"/>
              </c:ext>
            </c:extLst>
          </c:dPt>
          <c:cat>
            <c:strRef>
              <c:f>Analisis!$I$21:$I$22</c:f>
              <c:strCache>
                <c:ptCount val="2"/>
                <c:pt idx="0">
                  <c:v>Jira desarrollo</c:v>
                </c:pt>
                <c:pt idx="1">
                  <c:v>Incumplimiento jira</c:v>
                </c:pt>
              </c:strCache>
            </c:strRef>
          </c:cat>
          <c:val>
            <c:numRef>
              <c:f>Analisis!$J$21:$J$22</c:f>
              <c:numCache>
                <c:formatCode>0.00%</c:formatCode>
                <c:ptCount val="2"/>
                <c:pt idx="0">
                  <c:v>1</c:v>
                </c:pt>
                <c:pt idx="1">
                  <c:v>0</c:v>
                </c:pt>
              </c:numCache>
            </c:numRef>
          </c:val>
          <c:extLst>
            <c:ext xmlns:c16="http://schemas.microsoft.com/office/drawing/2014/chart" uri="{C3380CC4-5D6E-409C-BE32-E72D297353CC}">
              <c16:uniqueId val="{00000004-EC76-4A87-96A8-13F55F040B0D}"/>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 Div. Canales.xlsx]Analisis!PivotTable1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col"/>
        <c:grouping val="clustered"/>
        <c:varyColors val="0"/>
        <c:ser>
          <c:idx val="0"/>
          <c:order val="0"/>
          <c:tx>
            <c:strRef>
              <c:f>Analisis!$D$3</c:f>
              <c:strCache>
                <c:ptCount val="1"/>
                <c:pt idx="0">
                  <c:v>Total</c:v>
                </c:pt>
              </c:strCache>
            </c:strRef>
          </c:tx>
          <c:spPr>
            <a:solidFill>
              <a:schemeClr val="accent2">
                <a:lumMod val="60000"/>
                <a:lumOff val="40000"/>
              </a:schemeClr>
            </a:solidFill>
            <a:ln>
              <a:noFill/>
            </a:ln>
            <a:effectLst/>
          </c:spPr>
          <c:invertIfNegative val="0"/>
          <c:cat>
            <c:strRef>
              <c:f>Analisis!$C$4:$C$14</c:f>
              <c:strCache>
                <c:ptCount val="10"/>
                <c:pt idx="0">
                  <c:v>Cambio Protocolo de Comunicación RSA-SecureID</c:v>
                </c:pt>
                <c:pt idx="1">
                  <c:v>Herramienta de Manejo de Finanzas Personale (Planificado personal de finanzas (PFM))</c:v>
                </c:pt>
                <c:pt idx="2">
                  <c:v>Mejoras Subsistemas IFC - Cambio de Modalidad a Ejecución Asincrónica</c:v>
                </c:pt>
                <c:pt idx="3">
                  <c:v>Migración AIX a Linux Internet Banking (Infosys) Popular Bank Panamá</c:v>
                </c:pt>
                <c:pt idx="4">
                  <c:v>Migración RSA AA a Cloud (Outseer)</c:v>
                </c:pt>
                <c:pt idx="5">
                  <c:v>R1 2024 - IB Empresarial</c:v>
                </c:pt>
                <c:pt idx="6">
                  <c:v>R1 2024 - Tpago</c:v>
                </c:pt>
                <c:pt idx="7">
                  <c:v>Upgrade IBM API Connect / Configuración de Portal / Sandbox</c:v>
                </c:pt>
                <c:pt idx="8">
                  <c:v>Correcciones Panama</c:v>
                </c:pt>
                <c:pt idx="9">
                  <c:v>(blank)</c:v>
                </c:pt>
              </c:strCache>
            </c:strRef>
          </c:cat>
          <c:val>
            <c:numRef>
              <c:f>Analisis!$D$4:$D$14</c:f>
              <c:numCache>
                <c:formatCode>0.00%</c:formatCode>
                <c:ptCount val="10"/>
                <c:pt idx="0">
                  <c:v>1</c:v>
                </c:pt>
                <c:pt idx="1">
                  <c:v>0.96153846153846156</c:v>
                </c:pt>
                <c:pt idx="2">
                  <c:v>1</c:v>
                </c:pt>
                <c:pt idx="3">
                  <c:v>1</c:v>
                </c:pt>
                <c:pt idx="4">
                  <c:v>1</c:v>
                </c:pt>
                <c:pt idx="5">
                  <c:v>0.9285714285714286</c:v>
                </c:pt>
                <c:pt idx="6">
                  <c:v>1</c:v>
                </c:pt>
                <c:pt idx="7">
                  <c:v>1</c:v>
                </c:pt>
                <c:pt idx="8">
                  <c:v>1</c:v>
                </c:pt>
              </c:numCache>
            </c:numRef>
          </c:val>
          <c:extLst>
            <c:ext xmlns:c16="http://schemas.microsoft.com/office/drawing/2014/chart" uri="{C3380CC4-5D6E-409C-BE32-E72D297353CC}">
              <c16:uniqueId val="{00000000-1141-4AE9-9C83-97F4156E5BAA}"/>
            </c:ext>
          </c:extLst>
        </c:ser>
        <c:dLbls>
          <c:showLegendKey val="0"/>
          <c:showVal val="0"/>
          <c:showCatName val="0"/>
          <c:showSerName val="0"/>
          <c:showPercent val="0"/>
          <c:showBubbleSize val="0"/>
        </c:dLbls>
        <c:gapWidth val="100"/>
        <c:overlap val="-10"/>
        <c:axId val="239318224"/>
        <c:axId val="239315312"/>
      </c:barChart>
      <c:catAx>
        <c:axId val="23931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239315312"/>
        <c:crosses val="autoZero"/>
        <c:auto val="1"/>
        <c:lblAlgn val="ctr"/>
        <c:lblOffset val="100"/>
        <c:noMultiLvlLbl val="0"/>
      </c:catAx>
      <c:valAx>
        <c:axId val="23931531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239318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 Div. Canales.xlsx]Analisis!PivotTable2</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Analisis!$G$3</c:f>
              <c:strCache>
                <c:ptCount val="1"/>
                <c:pt idx="0">
                  <c:v>Total</c:v>
                </c:pt>
              </c:strCache>
            </c:strRef>
          </c:tx>
          <c:spPr>
            <a:solidFill>
              <a:schemeClr val="accent1"/>
            </a:solidFill>
            <a:ln>
              <a:noFill/>
            </a:ln>
            <a:effectLst/>
          </c:spPr>
          <c:invertIfNegative val="0"/>
          <c:cat>
            <c:strRef>
              <c:f>Analisis!$F$4:$F$14</c:f>
              <c:strCache>
                <c:ptCount val="10"/>
                <c:pt idx="0">
                  <c:v>Berroa, Thamayra</c:v>
                </c:pt>
                <c:pt idx="1">
                  <c:v>Florentino, Adalberto </c:v>
                </c:pt>
                <c:pt idx="2">
                  <c:v>Hernandez, Brianny</c:v>
                </c:pt>
                <c:pt idx="3">
                  <c:v>Jimenez, Victor </c:v>
                </c:pt>
                <c:pt idx="4">
                  <c:v>Mirabal, Adrián</c:v>
                </c:pt>
                <c:pt idx="5">
                  <c:v>Romero, Alan</c:v>
                </c:pt>
                <c:pt idx="6">
                  <c:v>Rosa, Farinel</c:v>
                </c:pt>
                <c:pt idx="7">
                  <c:v>Santos, Ramon Emilio</c:v>
                </c:pt>
                <c:pt idx="8">
                  <c:v>(blank)</c:v>
                </c:pt>
                <c:pt idx="9">
                  <c:v>Santana, Daniela</c:v>
                </c:pt>
              </c:strCache>
            </c:strRef>
          </c:cat>
          <c:val>
            <c:numRef>
              <c:f>Analisis!$G$4:$G$14</c:f>
              <c:numCache>
                <c:formatCode>0.00%</c:formatCode>
                <c:ptCount val="10"/>
                <c:pt idx="0">
                  <c:v>1</c:v>
                </c:pt>
                <c:pt idx="1">
                  <c:v>1</c:v>
                </c:pt>
                <c:pt idx="3">
                  <c:v>1</c:v>
                </c:pt>
                <c:pt idx="4">
                  <c:v>1</c:v>
                </c:pt>
                <c:pt idx="5">
                  <c:v>0.875</c:v>
                </c:pt>
                <c:pt idx="6">
                  <c:v>1</c:v>
                </c:pt>
                <c:pt idx="7">
                  <c:v>1</c:v>
                </c:pt>
                <c:pt idx="9">
                  <c:v>1</c:v>
                </c:pt>
              </c:numCache>
            </c:numRef>
          </c:val>
          <c:extLst>
            <c:ext xmlns:c16="http://schemas.microsoft.com/office/drawing/2014/chart" uri="{C3380CC4-5D6E-409C-BE32-E72D297353CC}">
              <c16:uniqueId val="{00000000-DD7A-4D3D-96D9-1B1D890B7AD6}"/>
            </c:ext>
          </c:extLst>
        </c:ser>
        <c:dLbls>
          <c:showLegendKey val="0"/>
          <c:showVal val="0"/>
          <c:showCatName val="0"/>
          <c:showSerName val="0"/>
          <c:showPercent val="0"/>
          <c:showBubbleSize val="0"/>
        </c:dLbls>
        <c:gapWidth val="219"/>
        <c:overlap val="-27"/>
        <c:axId val="437896336"/>
        <c:axId val="437903408"/>
      </c:barChart>
      <c:catAx>
        <c:axId val="4378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437903408"/>
        <c:crosses val="autoZero"/>
        <c:auto val="1"/>
        <c:lblAlgn val="ctr"/>
        <c:lblOffset val="100"/>
        <c:noMultiLvlLbl val="0"/>
      </c:catAx>
      <c:valAx>
        <c:axId val="437903408"/>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437896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[Resultados - Div. Canales.xlsx]Analisis!PivotTable4</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Analisis!$J$3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Analisis!$I$4:$I$14</c:f>
              <c:strCache>
                <c:ptCount val="10"/>
                <c:pt idx="0">
                  <c:v>Cambio Protocolo de Comunicación RSA-SecureID</c:v>
                </c:pt>
                <c:pt idx="1">
                  <c:v>Herramienta de Manejo de Finanzas Personale (Planificado personal de finanzas (PFM))</c:v>
                </c:pt>
                <c:pt idx="2">
                  <c:v>Mejoras Subsistemas IFC - Cambio de Modalidad a Ejecución Asincrónica</c:v>
                </c:pt>
                <c:pt idx="3">
                  <c:v>Migración AIX a Linux Internet Banking (Infosys) Popular Bank Panamá</c:v>
                </c:pt>
                <c:pt idx="4">
                  <c:v>Migración RSA AA a Cloud (Outseer)</c:v>
                </c:pt>
                <c:pt idx="5">
                  <c:v>R1 2024 - IB Empresarial</c:v>
                </c:pt>
                <c:pt idx="6">
                  <c:v>R1 2024 - Tpago</c:v>
                </c:pt>
                <c:pt idx="7">
                  <c:v>Upgrade IBM API Connect / Configuración de Portal / Sandbox</c:v>
                </c:pt>
                <c:pt idx="8">
                  <c:v>Correcciones Panama</c:v>
                </c:pt>
                <c:pt idx="9">
                  <c:v>(blank)</c:v>
                </c:pt>
              </c:strCache>
            </c:strRef>
          </c:cat>
          <c:val>
            <c:numRef>
              <c:f>Analisis!$J$4:$J$14</c:f>
              <c:numCache>
                <c:formatCode>0.00%</c:formatCode>
                <c:ptCount val="10"/>
                <c:pt idx="0">
                  <c:v>1</c:v>
                </c:pt>
                <c:pt idx="1">
                  <c:v>1</c:v>
                </c:pt>
                <c:pt idx="3">
                  <c:v>1</c:v>
                </c:pt>
                <c:pt idx="4">
                  <c:v>1</c:v>
                </c:pt>
                <c:pt idx="5">
                  <c:v>1</c:v>
                </c:pt>
                <c:pt idx="6">
                  <c:v>1</c:v>
                </c:pt>
                <c:pt idx="8">
                  <c:v>1</c:v>
                </c:pt>
              </c:numCache>
            </c:numRef>
          </c:val>
          <c:extLst>
            <c:ext xmlns:c16="http://schemas.microsoft.com/office/drawing/2014/chart" uri="{C3380CC4-5D6E-409C-BE32-E72D297353CC}">
              <c16:uniqueId val="{00000000-5D6F-4BA0-9FAE-C40729A004B9}"/>
            </c:ext>
          </c:extLst>
        </c:ser>
        <c:dLbls>
          <c:showLegendKey val="0"/>
          <c:showVal val="0"/>
          <c:showCatName val="0"/>
          <c:showSerName val="0"/>
          <c:showPercent val="0"/>
          <c:showBubbleSize val="0"/>
        </c:dLbls>
        <c:gapWidth val="182"/>
        <c:axId val="410091136"/>
        <c:axId val="410089056"/>
      </c:barChart>
      <c:catAx>
        <c:axId val="410091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Franklin Gothic Book" panose="020B0503020102020204" pitchFamily="34" charset="0"/>
                <a:ea typeface="+mn-ea"/>
                <a:cs typeface="+mn-cs"/>
              </a:defRPr>
            </a:pPr>
            <a:endParaRPr lang="en-US"/>
          </a:p>
        </c:txPr>
        <c:crossAx val="410089056"/>
        <c:crosses val="autoZero"/>
        <c:auto val="1"/>
        <c:lblAlgn val="ctr"/>
        <c:lblOffset val="100"/>
        <c:noMultiLvlLbl val="0"/>
      </c:catAx>
      <c:valAx>
        <c:axId val="410089056"/>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4100911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Analisis!$S$4</c:f>
              <c:strCache>
                <c:ptCount val="1"/>
                <c:pt idx="0">
                  <c:v>Gestor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Analisis!$T$3</c:f>
              <c:strCache>
                <c:ptCount val="1"/>
                <c:pt idx="0">
                  <c:v>Calificación </c:v>
                </c:pt>
              </c:strCache>
            </c:strRef>
          </c:cat>
          <c:val>
            <c:numRef>
              <c:f>Analisis!$T$4</c:f>
              <c:numCache>
                <c:formatCode>0.00%</c:formatCode>
                <c:ptCount val="1"/>
                <c:pt idx="0">
                  <c:v>1</c:v>
                </c:pt>
              </c:numCache>
            </c:numRef>
          </c:val>
          <c:extLst>
            <c:ext xmlns:c16="http://schemas.microsoft.com/office/drawing/2014/chart" uri="{C3380CC4-5D6E-409C-BE32-E72D297353CC}">
              <c16:uniqueId val="{00000000-C8EB-4925-9F73-E5EE785A28A1}"/>
            </c:ext>
          </c:extLst>
        </c:ser>
        <c:ser>
          <c:idx val="1"/>
          <c:order val="1"/>
          <c:tx>
            <c:strRef>
              <c:f>Analisis!$S$5</c:f>
              <c:strCache>
                <c:ptCount val="1"/>
                <c:pt idx="0">
                  <c:v>Arquitectura Funcional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Analisis!$T$3</c:f>
              <c:strCache>
                <c:ptCount val="1"/>
                <c:pt idx="0">
                  <c:v>Calificación </c:v>
                </c:pt>
              </c:strCache>
            </c:strRef>
          </c:cat>
          <c:val>
            <c:numRef>
              <c:f>Analisis!$T$5</c:f>
              <c:numCache>
                <c:formatCode>0.00%</c:formatCode>
                <c:ptCount val="1"/>
                <c:pt idx="0">
                  <c:v>1</c:v>
                </c:pt>
              </c:numCache>
            </c:numRef>
          </c:val>
          <c:extLst>
            <c:ext xmlns:c16="http://schemas.microsoft.com/office/drawing/2014/chart" uri="{C3380CC4-5D6E-409C-BE32-E72D297353CC}">
              <c16:uniqueId val="{00000001-C8EB-4925-9F73-E5EE785A28A1}"/>
            </c:ext>
          </c:extLst>
        </c:ser>
        <c:ser>
          <c:idx val="2"/>
          <c:order val="2"/>
          <c:tx>
            <c:strRef>
              <c:f>Analisis!$S$6</c:f>
              <c:strCache>
                <c:ptCount val="1"/>
                <c:pt idx="0">
                  <c:v>Arquitectura Integración y Datos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Analisis!$T$3</c:f>
              <c:strCache>
                <c:ptCount val="1"/>
                <c:pt idx="0">
                  <c:v>Calificación </c:v>
                </c:pt>
              </c:strCache>
            </c:strRef>
          </c:cat>
          <c:val>
            <c:numRef>
              <c:f>Analisis!$T$6</c:f>
              <c:numCache>
                <c:formatCode>0.00%</c:formatCode>
                <c:ptCount val="1"/>
                <c:pt idx="0">
                  <c:v>1</c:v>
                </c:pt>
              </c:numCache>
            </c:numRef>
          </c:val>
          <c:extLst>
            <c:ext xmlns:c16="http://schemas.microsoft.com/office/drawing/2014/chart" uri="{C3380CC4-5D6E-409C-BE32-E72D297353CC}">
              <c16:uniqueId val="{00000002-C8EB-4925-9F73-E5EE785A28A1}"/>
            </c:ext>
          </c:extLst>
        </c:ser>
        <c:ser>
          <c:idx val="3"/>
          <c:order val="3"/>
          <c:tx>
            <c:strRef>
              <c:f>Analisis!$S$7</c:f>
              <c:strCache>
                <c:ptCount val="1"/>
                <c:pt idx="0">
                  <c:v>Líder testing</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Analisis!$T$3</c:f>
              <c:strCache>
                <c:ptCount val="1"/>
                <c:pt idx="0">
                  <c:v>Calificación </c:v>
                </c:pt>
              </c:strCache>
            </c:strRef>
          </c:cat>
          <c:val>
            <c:numRef>
              <c:f>Analisis!$T$7</c:f>
              <c:numCache>
                <c:formatCode>0.00%</c:formatCode>
                <c:ptCount val="1"/>
                <c:pt idx="0">
                  <c:v>0.97916666666666663</c:v>
                </c:pt>
              </c:numCache>
            </c:numRef>
          </c:val>
          <c:extLst>
            <c:ext xmlns:c16="http://schemas.microsoft.com/office/drawing/2014/chart" uri="{C3380CC4-5D6E-409C-BE32-E72D297353CC}">
              <c16:uniqueId val="{00000003-C8EB-4925-9F73-E5EE785A28A1}"/>
            </c:ext>
          </c:extLst>
        </c:ser>
        <c:ser>
          <c:idx val="4"/>
          <c:order val="4"/>
          <c:tx>
            <c:strRef>
              <c:f>Analisis!$S$8</c:f>
              <c:strCache>
                <c:ptCount val="1"/>
                <c:pt idx="0">
                  <c:v>Infraestructura</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Franklin Gothic Book" panose="020B0503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Analisis!$T$3</c:f>
              <c:strCache>
                <c:ptCount val="1"/>
                <c:pt idx="0">
                  <c:v>Calificación </c:v>
                </c:pt>
              </c:strCache>
            </c:strRef>
          </c:cat>
          <c:val>
            <c:numRef>
              <c:f>Analisis!$T$8</c:f>
              <c:numCache>
                <c:formatCode>0.00%</c:formatCode>
                <c:ptCount val="1"/>
                <c:pt idx="0">
                  <c:v>1</c:v>
                </c:pt>
              </c:numCache>
            </c:numRef>
          </c:val>
          <c:extLst>
            <c:ext xmlns:c16="http://schemas.microsoft.com/office/drawing/2014/chart" uri="{C3380CC4-5D6E-409C-BE32-E72D297353CC}">
              <c16:uniqueId val="{00000004-C8EB-4925-9F73-E5EE785A28A1}"/>
            </c:ext>
          </c:extLst>
        </c:ser>
        <c:dLbls>
          <c:showLegendKey val="0"/>
          <c:showVal val="0"/>
          <c:showCatName val="0"/>
          <c:showSerName val="0"/>
          <c:showPercent val="0"/>
          <c:showBubbleSize val="0"/>
        </c:dLbls>
        <c:gapWidth val="182"/>
        <c:axId val="506451424"/>
        <c:axId val="506444768"/>
      </c:barChart>
      <c:catAx>
        <c:axId val="506451424"/>
        <c:scaling>
          <c:orientation val="minMax"/>
        </c:scaling>
        <c:delete val="1"/>
        <c:axPos val="l"/>
        <c:numFmt formatCode="General" sourceLinked="1"/>
        <c:majorTickMark val="none"/>
        <c:minorTickMark val="none"/>
        <c:tickLblPos val="nextTo"/>
        <c:crossAx val="506444768"/>
        <c:crosses val="autoZero"/>
        <c:auto val="1"/>
        <c:lblAlgn val="ctr"/>
        <c:lblOffset val="100"/>
        <c:noMultiLvlLbl val="0"/>
      </c:catAx>
      <c:valAx>
        <c:axId val="506444768"/>
        <c:scaling>
          <c:orientation val="minMax"/>
        </c:scaling>
        <c:delete val="1"/>
        <c:axPos val="b"/>
        <c:majorGridlines>
          <c:spPr>
            <a:ln w="9525" cap="flat" cmpd="sng" algn="ctr">
              <a:noFill/>
              <a:round/>
            </a:ln>
            <a:effectLst/>
          </c:spPr>
        </c:majorGridlines>
        <c:numFmt formatCode="0.00%" sourceLinked="1"/>
        <c:majorTickMark val="none"/>
        <c:minorTickMark val="none"/>
        <c:tickLblPos val="nextTo"/>
        <c:crossAx val="5064514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700">
          <a:latin typeface="Franklin Gothic Book" panose="020B05030201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Analisis!$Z$3</c:f>
              <c:strCache>
                <c:ptCount val="1"/>
                <c:pt idx="0">
                  <c:v>Peor calificacion</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Analisis!$Y$4:$Y$8</c:f>
              <c:strCache>
                <c:ptCount val="5"/>
                <c:pt idx="0">
                  <c:v>Aprobación Pase a Producción</c:v>
                </c:pt>
                <c:pt idx="1">
                  <c:v>Diagrama de Secuencia UML</c:v>
                </c:pt>
                <c:pt idx="2">
                  <c:v>Acta de Subcomite de TI</c:v>
                </c:pt>
                <c:pt idx="3">
                  <c:v>Ficha del Proyecto</c:v>
                </c:pt>
                <c:pt idx="4">
                  <c:v>Ficha del Proyecto</c:v>
                </c:pt>
              </c:strCache>
            </c:strRef>
          </c:cat>
          <c:val>
            <c:numRef>
              <c:f>Analisis!$Z$4:$Z$8</c:f>
              <c:numCache>
                <c:formatCode>0%</c:formatCode>
                <c:ptCount val="5"/>
                <c:pt idx="0">
                  <c:v>0</c:v>
                </c:pt>
                <c:pt idx="1">
                  <c:v>0.66666666666666663</c:v>
                </c:pt>
                <c:pt idx="2">
                  <c:v>0.875</c:v>
                </c:pt>
                <c:pt idx="3">
                  <c:v>1</c:v>
                </c:pt>
                <c:pt idx="4">
                  <c:v>1</c:v>
                </c:pt>
              </c:numCache>
            </c:numRef>
          </c:val>
          <c:extLst>
            <c:ext xmlns:c16="http://schemas.microsoft.com/office/drawing/2014/chart" uri="{C3380CC4-5D6E-409C-BE32-E72D297353CC}">
              <c16:uniqueId val="{00000000-49CE-4664-B303-C9F671D053A2}"/>
            </c:ext>
          </c:extLst>
        </c:ser>
        <c:dLbls>
          <c:showLegendKey val="0"/>
          <c:showVal val="0"/>
          <c:showCatName val="0"/>
          <c:showSerName val="0"/>
          <c:showPercent val="0"/>
          <c:showBubbleSize val="0"/>
        </c:dLbls>
        <c:gapWidth val="182"/>
        <c:axId val="1688001023"/>
        <c:axId val="1688005183"/>
      </c:barChart>
      <c:catAx>
        <c:axId val="1688001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05183"/>
        <c:crosses val="autoZero"/>
        <c:auto val="1"/>
        <c:lblAlgn val="ctr"/>
        <c:lblOffset val="100"/>
        <c:noMultiLvlLbl val="0"/>
      </c:catAx>
      <c:valAx>
        <c:axId val="1688005183"/>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6880010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Analisis!$AC$3</c:f>
              <c:strCache>
                <c:ptCount val="1"/>
                <c:pt idx="0">
                  <c:v>Lider no oficial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Analisis!$AB$4:$AB$15</c:f>
              <c:strCache>
                <c:ptCount val="9"/>
                <c:pt idx="0">
                  <c:v>Cambio Protocolo de Comunicación RSA-SecureID</c:v>
                </c:pt>
                <c:pt idx="1">
                  <c:v>Correcciones Panama</c:v>
                </c:pt>
                <c:pt idx="2">
                  <c:v>Herramienta de Manejo de Finanzas Personale (Planificado personal de finanzas (PFM))</c:v>
                </c:pt>
                <c:pt idx="3">
                  <c:v>Mejoras Subsistemas IFC - Cambio de Modalidad a Ejecución Asincrónica</c:v>
                </c:pt>
                <c:pt idx="4">
                  <c:v>Migración AIX a Linux Internet Banking (Infosys) Popular Bank Panamá</c:v>
                </c:pt>
                <c:pt idx="5">
                  <c:v>Migración RSA AA a Cloud (Outseer)</c:v>
                </c:pt>
                <c:pt idx="6">
                  <c:v>R1 2024 - IB Empresarial</c:v>
                </c:pt>
                <c:pt idx="7">
                  <c:v>R1 2024 - Tpago</c:v>
                </c:pt>
                <c:pt idx="8">
                  <c:v>Upgrade IBM API Connect / Configuración de Portal / Sandbox</c:v>
                </c:pt>
              </c:strCache>
            </c:strRef>
          </c:cat>
          <c:val>
            <c:numRef>
              <c:f>Analisis!$AC$4:$AC$15</c:f>
              <c:numCache>
                <c:formatCode>0.00%</c:formatCode>
                <c:ptCount val="12"/>
                <c:pt idx="0">
                  <c:v>1</c:v>
                </c:pt>
                <c:pt idx="1">
                  <c:v>1</c:v>
                </c:pt>
                <c:pt idx="2">
                  <c:v>1</c:v>
                </c:pt>
                <c:pt idx="4">
                  <c:v>1</c:v>
                </c:pt>
                <c:pt idx="5">
                  <c:v>1</c:v>
                </c:pt>
                <c:pt idx="6">
                  <c:v>1</c:v>
                </c:pt>
                <c:pt idx="7">
                  <c:v>1</c:v>
                </c:pt>
                <c:pt idx="8">
                  <c:v>1</c:v>
                </c:pt>
              </c:numCache>
            </c:numRef>
          </c:val>
          <c:smooth val="0"/>
          <c:extLst>
            <c:ext xmlns:c16="http://schemas.microsoft.com/office/drawing/2014/chart" uri="{C3380CC4-5D6E-409C-BE32-E72D297353CC}">
              <c16:uniqueId val="{00000000-5FEB-4B80-B8F5-63E1864A827C}"/>
            </c:ext>
          </c:extLst>
        </c:ser>
        <c:ser>
          <c:idx val="1"/>
          <c:order val="1"/>
          <c:tx>
            <c:strRef>
              <c:f>Analisis!$AD$3</c:f>
              <c:strCache>
                <c:ptCount val="1"/>
                <c:pt idx="0">
                  <c:v>Lider oficial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Analisis!$AB$4:$AB$15</c:f>
              <c:strCache>
                <c:ptCount val="9"/>
                <c:pt idx="0">
                  <c:v>Cambio Protocolo de Comunicación RSA-SecureID</c:v>
                </c:pt>
                <c:pt idx="1">
                  <c:v>Correcciones Panama</c:v>
                </c:pt>
                <c:pt idx="2">
                  <c:v>Herramienta de Manejo de Finanzas Personale (Planificado personal de finanzas (PFM))</c:v>
                </c:pt>
                <c:pt idx="3">
                  <c:v>Mejoras Subsistemas IFC - Cambio de Modalidad a Ejecución Asincrónica</c:v>
                </c:pt>
                <c:pt idx="4">
                  <c:v>Migración AIX a Linux Internet Banking (Infosys) Popular Bank Panamá</c:v>
                </c:pt>
                <c:pt idx="5">
                  <c:v>Migración RSA AA a Cloud (Outseer)</c:v>
                </c:pt>
                <c:pt idx="6">
                  <c:v>R1 2024 - IB Empresarial</c:v>
                </c:pt>
                <c:pt idx="7">
                  <c:v>R1 2024 - Tpago</c:v>
                </c:pt>
                <c:pt idx="8">
                  <c:v>Upgrade IBM API Connect / Configuración de Portal / Sandbox</c:v>
                </c:pt>
              </c:strCache>
            </c:strRef>
          </c:cat>
          <c:val>
            <c:numRef>
              <c:f>Analisis!$AD$4:$AD$15</c:f>
              <c:numCache>
                <c:formatCode>0.00%</c:formatCode>
                <c:ptCount val="12"/>
                <c:pt idx="0">
                  <c:v>1</c:v>
                </c:pt>
                <c:pt idx="1">
                  <c:v>1</c:v>
                </c:pt>
                <c:pt idx="2">
                  <c:v>0.875</c:v>
                </c:pt>
                <c:pt idx="4">
                  <c:v>1</c:v>
                </c:pt>
                <c:pt idx="5">
                  <c:v>1</c:v>
                </c:pt>
                <c:pt idx="6">
                  <c:v>1</c:v>
                </c:pt>
                <c:pt idx="7">
                  <c:v>1</c:v>
                </c:pt>
                <c:pt idx="8">
                  <c:v>1</c:v>
                </c:pt>
              </c:numCache>
            </c:numRef>
          </c:val>
          <c:smooth val="0"/>
          <c:extLst>
            <c:ext xmlns:c16="http://schemas.microsoft.com/office/drawing/2014/chart" uri="{C3380CC4-5D6E-409C-BE32-E72D297353CC}">
              <c16:uniqueId val="{00000001-5FEB-4B80-B8F5-63E1864A827C}"/>
            </c:ext>
          </c:extLst>
        </c:ser>
        <c:ser>
          <c:idx val="2"/>
          <c:order val="2"/>
          <c:tx>
            <c:strRef>
              <c:f>Analisis!$AE$3</c:f>
              <c:strCache>
                <c:ptCount val="1"/>
                <c:pt idx="0">
                  <c:v>Proyecto no oficial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Analisis!$AB$4:$AB$15</c:f>
              <c:strCache>
                <c:ptCount val="9"/>
                <c:pt idx="0">
                  <c:v>Cambio Protocolo de Comunicación RSA-SecureID</c:v>
                </c:pt>
                <c:pt idx="1">
                  <c:v>Correcciones Panama</c:v>
                </c:pt>
                <c:pt idx="2">
                  <c:v>Herramienta de Manejo de Finanzas Personale (Planificado personal de finanzas (PFM))</c:v>
                </c:pt>
                <c:pt idx="3">
                  <c:v>Mejoras Subsistemas IFC - Cambio de Modalidad a Ejecución Asincrónica</c:v>
                </c:pt>
                <c:pt idx="4">
                  <c:v>Migración AIX a Linux Internet Banking (Infosys) Popular Bank Panamá</c:v>
                </c:pt>
                <c:pt idx="5">
                  <c:v>Migración RSA AA a Cloud (Outseer)</c:v>
                </c:pt>
                <c:pt idx="6">
                  <c:v>R1 2024 - IB Empresarial</c:v>
                </c:pt>
                <c:pt idx="7">
                  <c:v>R1 2024 - Tpago</c:v>
                </c:pt>
                <c:pt idx="8">
                  <c:v>Upgrade IBM API Connect / Configuración de Portal / Sandbox</c:v>
                </c:pt>
              </c:strCache>
            </c:strRef>
          </c:cat>
          <c:val>
            <c:numRef>
              <c:f>Analisis!$AE$4:$AE$15</c:f>
              <c:numCache>
                <c:formatCode>0.00%</c:formatCode>
                <c:ptCount val="12"/>
                <c:pt idx="0">
                  <c:v>1</c:v>
                </c:pt>
                <c:pt idx="1">
                  <c:v>1</c:v>
                </c:pt>
                <c:pt idx="2">
                  <c:v>1</c:v>
                </c:pt>
                <c:pt idx="3">
                  <c:v>1</c:v>
                </c:pt>
                <c:pt idx="4">
                  <c:v>1</c:v>
                </c:pt>
                <c:pt idx="5">
                  <c:v>1</c:v>
                </c:pt>
                <c:pt idx="6">
                  <c:v>1</c:v>
                </c:pt>
                <c:pt idx="7">
                  <c:v>0.78</c:v>
                </c:pt>
                <c:pt idx="8">
                  <c:v>0.97</c:v>
                </c:pt>
              </c:numCache>
            </c:numRef>
          </c:val>
          <c:smooth val="0"/>
          <c:extLst>
            <c:ext xmlns:c16="http://schemas.microsoft.com/office/drawing/2014/chart" uri="{C3380CC4-5D6E-409C-BE32-E72D297353CC}">
              <c16:uniqueId val="{00000002-5FEB-4B80-B8F5-63E1864A827C}"/>
            </c:ext>
          </c:extLst>
        </c:ser>
        <c:ser>
          <c:idx val="3"/>
          <c:order val="3"/>
          <c:tx>
            <c:strRef>
              <c:f>Analisis!$AF$3</c:f>
              <c:strCache>
                <c:ptCount val="1"/>
                <c:pt idx="0">
                  <c:v>Proyecto oficial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Analisis!$AB$4:$AB$15</c:f>
              <c:strCache>
                <c:ptCount val="9"/>
                <c:pt idx="0">
                  <c:v>Cambio Protocolo de Comunicación RSA-SecureID</c:v>
                </c:pt>
                <c:pt idx="1">
                  <c:v>Correcciones Panama</c:v>
                </c:pt>
                <c:pt idx="2">
                  <c:v>Herramienta de Manejo de Finanzas Personale (Planificado personal de finanzas (PFM))</c:v>
                </c:pt>
                <c:pt idx="3">
                  <c:v>Mejoras Subsistemas IFC - Cambio de Modalidad a Ejecución Asincrónica</c:v>
                </c:pt>
                <c:pt idx="4">
                  <c:v>Migración AIX a Linux Internet Banking (Infosys) Popular Bank Panamá</c:v>
                </c:pt>
                <c:pt idx="5">
                  <c:v>Migración RSA AA a Cloud (Outseer)</c:v>
                </c:pt>
                <c:pt idx="6">
                  <c:v>R1 2024 - IB Empresarial</c:v>
                </c:pt>
                <c:pt idx="7">
                  <c:v>R1 2024 - Tpago</c:v>
                </c:pt>
                <c:pt idx="8">
                  <c:v>Upgrade IBM API Connect / Configuración de Portal / Sandbox</c:v>
                </c:pt>
              </c:strCache>
            </c:strRef>
          </c:cat>
          <c:val>
            <c:numRef>
              <c:f>Analisis!$AF$4:$AF$15</c:f>
              <c:numCache>
                <c:formatCode>0.00%</c:formatCode>
                <c:ptCount val="12"/>
                <c:pt idx="0">
                  <c:v>1</c:v>
                </c:pt>
                <c:pt idx="1">
                  <c:v>1</c:v>
                </c:pt>
                <c:pt idx="2">
                  <c:v>0.96153846153846156</c:v>
                </c:pt>
                <c:pt idx="3">
                  <c:v>1</c:v>
                </c:pt>
                <c:pt idx="4">
                  <c:v>1</c:v>
                </c:pt>
                <c:pt idx="5">
                  <c:v>1</c:v>
                </c:pt>
                <c:pt idx="6">
                  <c:v>0.9285714285714286</c:v>
                </c:pt>
                <c:pt idx="7">
                  <c:v>1</c:v>
                </c:pt>
                <c:pt idx="8">
                  <c:v>1</c:v>
                </c:pt>
              </c:numCache>
            </c:numRef>
          </c:val>
          <c:smooth val="0"/>
          <c:extLst>
            <c:ext xmlns:c16="http://schemas.microsoft.com/office/drawing/2014/chart" uri="{C3380CC4-5D6E-409C-BE32-E72D297353CC}">
              <c16:uniqueId val="{00000003-5FEB-4B80-B8F5-63E1864A827C}"/>
            </c:ext>
          </c:extLst>
        </c:ser>
        <c:dLbls>
          <c:showLegendKey val="0"/>
          <c:showVal val="0"/>
          <c:showCatName val="0"/>
          <c:showSerName val="0"/>
          <c:showPercent val="0"/>
          <c:showBubbleSize val="0"/>
        </c:dLbls>
        <c:marker val="1"/>
        <c:smooth val="0"/>
        <c:axId val="550957216"/>
        <c:axId val="550972192"/>
      </c:lineChart>
      <c:catAx>
        <c:axId val="55095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72192"/>
        <c:crosses val="autoZero"/>
        <c:auto val="1"/>
        <c:lblAlgn val="ctr"/>
        <c:lblOffset val="100"/>
        <c:noMultiLvlLbl val="0"/>
      </c:catAx>
      <c:valAx>
        <c:axId val="550972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57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3.png"/><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38098</xdr:colOff>
      <xdr:row>0</xdr:row>
      <xdr:rowOff>71119</xdr:rowOff>
    </xdr:from>
    <xdr:to>
      <xdr:col>32</xdr:col>
      <xdr:colOff>499532</xdr:colOff>
      <xdr:row>31</xdr:row>
      <xdr:rowOff>50799</xdr:rowOff>
    </xdr:to>
    <xdr:sp macro="" textlink="">
      <xdr:nvSpPr>
        <xdr:cNvPr id="2" name="Rounded Rectangle 1"/>
        <xdr:cNvSpPr/>
      </xdr:nvSpPr>
      <xdr:spPr>
        <a:xfrm>
          <a:off x="38098" y="71119"/>
          <a:ext cx="19138901" cy="5753947"/>
        </a:xfrm>
        <a:prstGeom prst="roundRect">
          <a:avLst>
            <a:gd name="adj" fmla="val 1405"/>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335280</xdr:colOff>
      <xdr:row>0</xdr:row>
      <xdr:rowOff>71120</xdr:rowOff>
    </xdr:from>
    <xdr:to>
      <xdr:col>20</xdr:col>
      <xdr:colOff>335280</xdr:colOff>
      <xdr:row>6</xdr:row>
      <xdr:rowOff>0</xdr:rowOff>
    </xdr:to>
    <xdr:sp macro="" textlink="">
      <xdr:nvSpPr>
        <xdr:cNvPr id="3" name="Rectangle 2"/>
        <xdr:cNvSpPr/>
      </xdr:nvSpPr>
      <xdr:spPr>
        <a:xfrm>
          <a:off x="1749213" y="71120"/>
          <a:ext cx="10363200" cy="104648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389103</xdr:colOff>
      <xdr:row>10</xdr:row>
      <xdr:rowOff>16933</xdr:rowOff>
    </xdr:from>
    <xdr:to>
      <xdr:col>9</xdr:col>
      <xdr:colOff>160867</xdr:colOff>
      <xdr:row>29</xdr:row>
      <xdr:rowOff>135467</xdr:rowOff>
    </xdr:to>
    <xdr:sp macro="" textlink="">
      <xdr:nvSpPr>
        <xdr:cNvPr id="15" name="Rounded Rectangle 14"/>
        <xdr:cNvSpPr/>
      </xdr:nvSpPr>
      <xdr:spPr>
        <a:xfrm>
          <a:off x="1803036" y="1879600"/>
          <a:ext cx="3429364" cy="3657600"/>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134165</xdr:colOff>
      <xdr:row>10</xdr:row>
      <xdr:rowOff>33866</xdr:rowOff>
    </xdr:from>
    <xdr:to>
      <xdr:col>3</xdr:col>
      <xdr:colOff>296333</xdr:colOff>
      <xdr:row>29</xdr:row>
      <xdr:rowOff>142845</xdr:rowOff>
    </xdr:to>
    <xdr:sp macro="" textlink="">
      <xdr:nvSpPr>
        <xdr:cNvPr id="21" name="Rounded Rectangle 20"/>
        <xdr:cNvSpPr/>
      </xdr:nvSpPr>
      <xdr:spPr>
        <a:xfrm>
          <a:off x="134165" y="1896533"/>
          <a:ext cx="1576101" cy="3648045"/>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259952</xdr:colOff>
      <xdr:row>20</xdr:row>
      <xdr:rowOff>81885</xdr:rowOff>
    </xdr:from>
    <xdr:to>
      <xdr:col>14</xdr:col>
      <xdr:colOff>482600</xdr:colOff>
      <xdr:row>29</xdr:row>
      <xdr:rowOff>142845</xdr:rowOff>
    </xdr:to>
    <xdr:sp macro="" textlink="">
      <xdr:nvSpPr>
        <xdr:cNvPr id="29" name="Rounded Rectangle 28"/>
        <xdr:cNvSpPr/>
      </xdr:nvSpPr>
      <xdr:spPr>
        <a:xfrm>
          <a:off x="5331485" y="3807218"/>
          <a:ext cx="3270648" cy="1737360"/>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556285</xdr:colOff>
      <xdr:row>10</xdr:row>
      <xdr:rowOff>16933</xdr:rowOff>
    </xdr:from>
    <xdr:to>
      <xdr:col>23</xdr:col>
      <xdr:colOff>1</xdr:colOff>
      <xdr:row>19</xdr:row>
      <xdr:rowOff>177798</xdr:rowOff>
    </xdr:to>
    <xdr:sp macro="" textlink="">
      <xdr:nvSpPr>
        <xdr:cNvPr id="45" name="Rounded Rectangle 44"/>
        <xdr:cNvSpPr/>
      </xdr:nvSpPr>
      <xdr:spPr>
        <a:xfrm>
          <a:off x="8675818" y="1879600"/>
          <a:ext cx="4930116" cy="1837265"/>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590149</xdr:colOff>
      <xdr:row>20</xdr:row>
      <xdr:rowOff>81885</xdr:rowOff>
    </xdr:from>
    <xdr:to>
      <xdr:col>23</xdr:col>
      <xdr:colOff>33865</xdr:colOff>
      <xdr:row>29</xdr:row>
      <xdr:rowOff>142845</xdr:rowOff>
    </xdr:to>
    <xdr:sp macro="" textlink="">
      <xdr:nvSpPr>
        <xdr:cNvPr id="50" name="Rounded Rectangle 49"/>
        <xdr:cNvSpPr/>
      </xdr:nvSpPr>
      <xdr:spPr>
        <a:xfrm>
          <a:off x="8709682" y="3807218"/>
          <a:ext cx="4930116" cy="1737360"/>
        </a:xfrm>
        <a:prstGeom prst="roundRect">
          <a:avLst>
            <a:gd name="adj" fmla="val 3616"/>
          </a:avLst>
        </a:prstGeom>
        <a:no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243019</xdr:colOff>
      <xdr:row>10</xdr:row>
      <xdr:rowOff>16932</xdr:rowOff>
    </xdr:from>
    <xdr:to>
      <xdr:col>14</xdr:col>
      <xdr:colOff>465667</xdr:colOff>
      <xdr:row>19</xdr:row>
      <xdr:rowOff>186265</xdr:rowOff>
    </xdr:to>
    <xdr:sp macro="" textlink="">
      <xdr:nvSpPr>
        <xdr:cNvPr id="51" name="Rounded Rectangle 50"/>
        <xdr:cNvSpPr/>
      </xdr:nvSpPr>
      <xdr:spPr>
        <a:xfrm>
          <a:off x="5314552" y="1879599"/>
          <a:ext cx="3270648" cy="1845733"/>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269240</xdr:colOff>
      <xdr:row>1</xdr:row>
      <xdr:rowOff>8466</xdr:rowOff>
    </xdr:from>
    <xdr:to>
      <xdr:col>16</xdr:col>
      <xdr:colOff>491067</xdr:colOff>
      <xdr:row>2</xdr:row>
      <xdr:rowOff>177800</xdr:rowOff>
    </xdr:to>
    <xdr:sp macro="" textlink="">
      <xdr:nvSpPr>
        <xdr:cNvPr id="55" name="TextBox 54"/>
        <xdr:cNvSpPr txBox="1"/>
      </xdr:nvSpPr>
      <xdr:spPr>
        <a:xfrm>
          <a:off x="3511973" y="194733"/>
          <a:ext cx="6317827" cy="3556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effectLst>
                <a:outerShdw blurRad="63500" dist="63500" dir="2700000" algn="tl" rotWithShape="0">
                  <a:prstClr val="black">
                    <a:alpha val="50000"/>
                  </a:prstClr>
                </a:outerShdw>
              </a:effectLst>
              <a:latin typeface="Franklin Gothic Heavy" panose="020B0903020102020204" pitchFamily="34" charset="0"/>
            </a:rPr>
            <a:t>Dashboard</a:t>
          </a:r>
          <a:r>
            <a:rPr lang="en-US" sz="1800" baseline="0">
              <a:solidFill>
                <a:schemeClr val="bg1"/>
              </a:solidFill>
              <a:effectLst>
                <a:outerShdw blurRad="63500" dist="63500" dir="2700000" algn="tl" rotWithShape="0">
                  <a:prstClr val="black">
                    <a:alpha val="50000"/>
                  </a:prstClr>
                </a:outerShdw>
              </a:effectLst>
              <a:latin typeface="Franklin Gothic Heavy" panose="020B0903020102020204" pitchFamily="34" charset="0"/>
            </a:rPr>
            <a:t> - Resultados Metodología - División Canales</a:t>
          </a:r>
          <a:endParaRPr lang="en-US" sz="1800">
            <a:solidFill>
              <a:schemeClr val="bg1"/>
            </a:solidFill>
            <a:effectLst>
              <a:outerShdw blurRad="63500" dist="63500" dir="2700000" algn="tl" rotWithShape="0">
                <a:prstClr val="black">
                  <a:alpha val="50000"/>
                </a:prstClr>
              </a:outerShdw>
            </a:effectLst>
            <a:latin typeface="Franklin Gothic Heavy" panose="020B0903020102020204" pitchFamily="34" charset="0"/>
          </a:endParaRPr>
        </a:p>
      </xdr:txBody>
    </xdr:sp>
    <xdr:clientData/>
  </xdr:twoCellAnchor>
  <xdr:twoCellAnchor>
    <xdr:from>
      <xdr:col>4</xdr:col>
      <xdr:colOff>168032</xdr:colOff>
      <xdr:row>3</xdr:row>
      <xdr:rowOff>127000</xdr:rowOff>
    </xdr:from>
    <xdr:to>
      <xdr:col>8</xdr:col>
      <xdr:colOff>50800</xdr:colOff>
      <xdr:row>8</xdr:row>
      <xdr:rowOff>131475</xdr:rowOff>
    </xdr:to>
    <xdr:sp macro="" textlink="">
      <xdr:nvSpPr>
        <xdr:cNvPr id="52" name="Rounded Rectangle 51"/>
        <xdr:cNvSpPr/>
      </xdr:nvSpPr>
      <xdr:spPr>
        <a:xfrm>
          <a:off x="2191565" y="685800"/>
          <a:ext cx="2321168" cy="935808"/>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406398</xdr:colOff>
      <xdr:row>0</xdr:row>
      <xdr:rowOff>152401</xdr:rowOff>
    </xdr:from>
    <xdr:to>
      <xdr:col>23</xdr:col>
      <xdr:colOff>93133</xdr:colOff>
      <xdr:row>8</xdr:row>
      <xdr:rowOff>135468</xdr:rowOff>
    </xdr:to>
    <mc:AlternateContent xmlns:mc="http://schemas.openxmlformats.org/markup-compatibility/2006" xmlns:a14="http://schemas.microsoft.com/office/drawing/2010/main">
      <mc:Choice Requires="a14">
        <xdr:graphicFrame macro="">
          <xdr:nvGraphicFramePr>
            <xdr:cNvPr id="56" name="Etapa  1"/>
            <xdr:cNvGraphicFramePr/>
          </xdr:nvGraphicFramePr>
          <xdr:xfrm>
            <a:off x="0" y="0"/>
            <a:ext cx="0" cy="0"/>
          </xdr:xfrm>
          <a:graphic>
            <a:graphicData uri="http://schemas.microsoft.com/office/drawing/2010/slicer">
              <sle:slicer xmlns:sle="http://schemas.microsoft.com/office/drawing/2010/slicer" name="Etapa  1"/>
            </a:graphicData>
          </a:graphic>
        </xdr:graphicFrame>
      </mc:Choice>
      <mc:Fallback xmlns="">
        <xdr:sp macro="" textlink="">
          <xdr:nvSpPr>
            <xdr:cNvPr id="0" name=""/>
            <xdr:cNvSpPr>
              <a:spLocks noTextEdit="1"/>
            </xdr:cNvSpPr>
          </xdr:nvSpPr>
          <xdr:spPr>
            <a:xfrm>
              <a:off x="12183531" y="152401"/>
              <a:ext cx="1515535"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352214</xdr:colOff>
      <xdr:row>0</xdr:row>
      <xdr:rowOff>160867</xdr:rowOff>
    </xdr:from>
    <xdr:to>
      <xdr:col>22</xdr:col>
      <xdr:colOff>160867</xdr:colOff>
      <xdr:row>2</xdr:row>
      <xdr:rowOff>25401</xdr:rowOff>
    </xdr:to>
    <xdr:sp macro="" textlink="">
      <xdr:nvSpPr>
        <xdr:cNvPr id="57" name="TextBox 56"/>
        <xdr:cNvSpPr txBox="1"/>
      </xdr:nvSpPr>
      <xdr:spPr>
        <a:xfrm>
          <a:off x="12129347" y="160867"/>
          <a:ext cx="1027853" cy="23706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a:solidFill>
                <a:schemeClr val="accent2">
                  <a:lumMod val="40000"/>
                  <a:lumOff val="60000"/>
                </a:schemeClr>
              </a:solidFill>
              <a:effectLst/>
              <a:latin typeface="Franklin Gothic Book" panose="020B0503020102020204" pitchFamily="34" charset="0"/>
            </a:rPr>
            <a:t>•</a:t>
          </a:r>
          <a:r>
            <a:rPr lang="en-US" sz="900" b="1">
              <a:solidFill>
                <a:srgbClr val="002060"/>
              </a:solidFill>
              <a:effectLst/>
              <a:latin typeface="Franklin Gothic Book" panose="020B0503020102020204" pitchFamily="34" charset="0"/>
            </a:rPr>
            <a:t>Filtro</a:t>
          </a:r>
          <a:r>
            <a:rPr lang="en-US" sz="900" b="1" baseline="0">
              <a:solidFill>
                <a:srgbClr val="002060"/>
              </a:solidFill>
              <a:effectLst/>
              <a:latin typeface="Franklin Gothic Book" panose="020B0503020102020204" pitchFamily="34" charset="0"/>
            </a:rPr>
            <a:t> por etapa</a:t>
          </a:r>
          <a:endParaRPr lang="en-US" sz="900" b="1">
            <a:solidFill>
              <a:srgbClr val="002060"/>
            </a:solidFill>
            <a:effectLst/>
            <a:latin typeface="Franklin Gothic Book" panose="020B0503020102020204" pitchFamily="34" charset="0"/>
          </a:endParaRPr>
        </a:p>
      </xdr:txBody>
    </xdr:sp>
    <xdr:clientData/>
  </xdr:twoCellAnchor>
  <xdr:twoCellAnchor editAs="oneCell">
    <xdr:from>
      <xdr:col>16</xdr:col>
      <xdr:colOff>431799</xdr:colOff>
      <xdr:row>0</xdr:row>
      <xdr:rowOff>84666</xdr:rowOff>
    </xdr:from>
    <xdr:to>
      <xdr:col>20</xdr:col>
      <xdr:colOff>177798</xdr:colOff>
      <xdr:row>3</xdr:row>
      <xdr:rowOff>84667</xdr:rowOff>
    </xdr:to>
    <mc:AlternateContent xmlns:mc="http://schemas.openxmlformats.org/markup-compatibility/2006" xmlns:a14="http://schemas.microsoft.com/office/drawing/2010/main">
      <mc:Choice Requires="a14">
        <xdr:graphicFrame macro="">
          <xdr:nvGraphicFramePr>
            <xdr:cNvPr id="58" name="Gerente  1"/>
            <xdr:cNvGraphicFramePr/>
          </xdr:nvGraphicFramePr>
          <xdr:xfrm>
            <a:off x="0" y="0"/>
            <a:ext cx="0" cy="0"/>
          </xdr:xfrm>
          <a:graphic>
            <a:graphicData uri="http://schemas.microsoft.com/office/drawing/2010/slicer">
              <sle:slicer xmlns:sle="http://schemas.microsoft.com/office/drawing/2010/slicer" name="Gerente  1"/>
            </a:graphicData>
          </a:graphic>
        </xdr:graphicFrame>
      </mc:Choice>
      <mc:Fallback xmlns="">
        <xdr:sp macro="" textlink="">
          <xdr:nvSpPr>
            <xdr:cNvPr id="0" name=""/>
            <xdr:cNvSpPr>
              <a:spLocks noTextEdit="1"/>
            </xdr:cNvSpPr>
          </xdr:nvSpPr>
          <xdr:spPr>
            <a:xfrm>
              <a:off x="9770532" y="84666"/>
              <a:ext cx="2184399" cy="558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67734</xdr:colOff>
      <xdr:row>0</xdr:row>
      <xdr:rowOff>93135</xdr:rowOff>
    </xdr:from>
    <xdr:to>
      <xdr:col>18</xdr:col>
      <xdr:colOff>601133</xdr:colOff>
      <xdr:row>1</xdr:row>
      <xdr:rowOff>118534</xdr:rowOff>
    </xdr:to>
    <xdr:sp macro="" textlink="">
      <xdr:nvSpPr>
        <xdr:cNvPr id="59" name="TextBox 58"/>
        <xdr:cNvSpPr txBox="1"/>
      </xdr:nvSpPr>
      <xdr:spPr>
        <a:xfrm>
          <a:off x="10016067" y="93135"/>
          <a:ext cx="1142999" cy="21166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a:solidFill>
                <a:schemeClr val="accent2">
                  <a:lumMod val="60000"/>
                  <a:lumOff val="40000"/>
                </a:schemeClr>
              </a:solidFill>
              <a:effectLst/>
              <a:latin typeface="Franklin Gothic Book" panose="020B0503020102020204" pitchFamily="34" charset="0"/>
            </a:rPr>
            <a:t>•</a:t>
          </a:r>
          <a:r>
            <a:rPr lang="en-US" sz="900" b="1">
              <a:solidFill>
                <a:schemeClr val="bg1"/>
              </a:solidFill>
              <a:effectLst/>
              <a:latin typeface="Franklin Gothic Book" panose="020B0503020102020204" pitchFamily="34" charset="0"/>
            </a:rPr>
            <a:t>Filtro</a:t>
          </a:r>
          <a:r>
            <a:rPr lang="en-US" sz="900" b="1" baseline="0">
              <a:solidFill>
                <a:schemeClr val="bg1"/>
              </a:solidFill>
              <a:effectLst/>
              <a:latin typeface="Franklin Gothic Book" panose="020B0503020102020204" pitchFamily="34" charset="0"/>
            </a:rPr>
            <a:t> por gerente</a:t>
          </a:r>
          <a:endParaRPr lang="en-US" sz="900" b="1">
            <a:solidFill>
              <a:schemeClr val="bg1"/>
            </a:solidFill>
            <a:effectLst/>
            <a:latin typeface="Franklin Gothic Book" panose="020B0503020102020204" pitchFamily="34" charset="0"/>
          </a:endParaRPr>
        </a:p>
      </xdr:txBody>
    </xdr:sp>
    <xdr:clientData/>
  </xdr:twoCellAnchor>
  <xdr:twoCellAnchor editAs="oneCell">
    <xdr:from>
      <xdr:col>0</xdr:col>
      <xdr:colOff>59268</xdr:colOff>
      <xdr:row>0</xdr:row>
      <xdr:rowOff>152401</xdr:rowOff>
    </xdr:from>
    <xdr:to>
      <xdr:col>3</xdr:col>
      <xdr:colOff>296334</xdr:colOff>
      <xdr:row>10</xdr:row>
      <xdr:rowOff>16934</xdr:rowOff>
    </xdr:to>
    <mc:AlternateContent xmlns:mc="http://schemas.openxmlformats.org/markup-compatibility/2006" xmlns:a14="http://schemas.microsoft.com/office/drawing/2010/main">
      <mc:Choice Requires="a14">
        <xdr:graphicFrame macro="">
          <xdr:nvGraphicFramePr>
            <xdr:cNvPr id="60" name="Líder  1"/>
            <xdr:cNvGraphicFramePr/>
          </xdr:nvGraphicFramePr>
          <xdr:xfrm>
            <a:off x="0" y="0"/>
            <a:ext cx="0" cy="0"/>
          </xdr:xfrm>
          <a:graphic>
            <a:graphicData uri="http://schemas.microsoft.com/office/drawing/2010/slicer">
              <sle:slicer xmlns:sle="http://schemas.microsoft.com/office/drawing/2010/slicer" name="Líder  1"/>
            </a:graphicData>
          </a:graphic>
        </xdr:graphicFrame>
      </mc:Choice>
      <mc:Fallback xmlns="">
        <xdr:sp macro="" textlink="">
          <xdr:nvSpPr>
            <xdr:cNvPr id="0" name=""/>
            <xdr:cNvSpPr>
              <a:spLocks noTextEdit="1"/>
            </xdr:cNvSpPr>
          </xdr:nvSpPr>
          <xdr:spPr>
            <a:xfrm>
              <a:off x="59268" y="152401"/>
              <a:ext cx="1650999"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123614</xdr:colOff>
      <xdr:row>0</xdr:row>
      <xdr:rowOff>160867</xdr:rowOff>
    </xdr:from>
    <xdr:to>
      <xdr:col>2</xdr:col>
      <xdr:colOff>347134</xdr:colOff>
      <xdr:row>2</xdr:row>
      <xdr:rowOff>25401</xdr:rowOff>
    </xdr:to>
    <xdr:sp macro="" textlink="">
      <xdr:nvSpPr>
        <xdr:cNvPr id="61" name="TextBox 60"/>
        <xdr:cNvSpPr txBox="1"/>
      </xdr:nvSpPr>
      <xdr:spPr>
        <a:xfrm>
          <a:off x="123614" y="160867"/>
          <a:ext cx="1027853" cy="23706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900" b="1">
              <a:solidFill>
                <a:schemeClr val="accent2">
                  <a:lumMod val="40000"/>
                  <a:lumOff val="60000"/>
                </a:schemeClr>
              </a:solidFill>
              <a:effectLst/>
              <a:latin typeface="Franklin Gothic Book" panose="020B0503020102020204" pitchFamily="34" charset="0"/>
            </a:rPr>
            <a:t>•</a:t>
          </a:r>
          <a:r>
            <a:rPr lang="en-US" sz="900" b="1">
              <a:solidFill>
                <a:srgbClr val="002060"/>
              </a:solidFill>
              <a:effectLst/>
              <a:latin typeface="Franklin Gothic Book" panose="020B0503020102020204" pitchFamily="34" charset="0"/>
            </a:rPr>
            <a:t>Filtro</a:t>
          </a:r>
          <a:r>
            <a:rPr lang="en-US" sz="900" b="1" baseline="0">
              <a:solidFill>
                <a:srgbClr val="002060"/>
              </a:solidFill>
              <a:effectLst/>
              <a:latin typeface="Franklin Gothic Book" panose="020B0503020102020204" pitchFamily="34" charset="0"/>
            </a:rPr>
            <a:t> por líder</a:t>
          </a:r>
          <a:endParaRPr lang="en-US" sz="900" b="1">
            <a:solidFill>
              <a:srgbClr val="002060"/>
            </a:solidFill>
            <a:effectLst/>
            <a:latin typeface="Franklin Gothic Book" panose="020B0503020102020204" pitchFamily="34" charset="0"/>
          </a:endParaRPr>
        </a:p>
      </xdr:txBody>
    </xdr:sp>
    <xdr:clientData/>
  </xdr:twoCellAnchor>
  <xdr:twoCellAnchor editAs="oneCell">
    <xdr:from>
      <xdr:col>4</xdr:col>
      <xdr:colOff>186265</xdr:colOff>
      <xdr:row>4</xdr:row>
      <xdr:rowOff>67730</xdr:rowOff>
    </xdr:from>
    <xdr:to>
      <xdr:col>5</xdr:col>
      <xdr:colOff>313266</xdr:colOff>
      <xdr:row>8</xdr:row>
      <xdr:rowOff>59265</xdr:rowOff>
    </xdr:to>
    <xdr:pic>
      <xdr:nvPicPr>
        <xdr:cNvPr id="62" name="Picture 6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798" y="812797"/>
          <a:ext cx="736601" cy="736601"/>
        </a:xfrm>
        <a:prstGeom prst="rect">
          <a:avLst/>
        </a:prstGeom>
      </xdr:spPr>
    </xdr:pic>
    <xdr:clientData/>
  </xdr:twoCellAnchor>
  <xdr:twoCellAnchor>
    <xdr:from>
      <xdr:col>5</xdr:col>
      <xdr:colOff>237067</xdr:colOff>
      <xdr:row>4</xdr:row>
      <xdr:rowOff>0</xdr:rowOff>
    </xdr:from>
    <xdr:to>
      <xdr:col>8</xdr:col>
      <xdr:colOff>0</xdr:colOff>
      <xdr:row>7</xdr:row>
      <xdr:rowOff>8466</xdr:rowOff>
    </xdr:to>
    <xdr:sp macro="" textlink="Analisis!$D$21">
      <xdr:nvSpPr>
        <xdr:cNvPr id="63" name="TextBox 62"/>
        <xdr:cNvSpPr txBox="1"/>
      </xdr:nvSpPr>
      <xdr:spPr>
        <a:xfrm>
          <a:off x="2870200" y="745067"/>
          <a:ext cx="1591733" cy="567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8FFCD296-BA93-49CA-BC63-CC033B470685}" type="TxLink">
            <a:rPr lang="en-US" sz="3200" b="1" i="0" u="none" strike="noStrike">
              <a:solidFill>
                <a:schemeClr val="bg2">
                  <a:lumMod val="25000"/>
                </a:schemeClr>
              </a:solidFill>
              <a:latin typeface="Franklin Gothic Demi" panose="020B0703020102020204" pitchFamily="34" charset="0"/>
              <a:cs typeface="Calibri"/>
            </a:rPr>
            <a:pPr algn="r"/>
            <a:t>98.78%</a:t>
          </a:fld>
          <a:endParaRPr lang="en-US" sz="3200" b="1">
            <a:solidFill>
              <a:schemeClr val="bg2">
                <a:lumMod val="25000"/>
              </a:schemeClr>
            </a:solidFill>
            <a:latin typeface="Franklin Gothic Demi" panose="020B0703020102020204" pitchFamily="34" charset="0"/>
          </a:endParaRPr>
        </a:p>
      </xdr:txBody>
    </xdr:sp>
    <xdr:clientData/>
  </xdr:twoCellAnchor>
  <xdr:twoCellAnchor>
    <xdr:from>
      <xdr:col>10</xdr:col>
      <xdr:colOff>89096</xdr:colOff>
      <xdr:row>3</xdr:row>
      <xdr:rowOff>127000</xdr:rowOff>
    </xdr:from>
    <xdr:to>
      <xdr:col>13</xdr:col>
      <xdr:colOff>581464</xdr:colOff>
      <xdr:row>8</xdr:row>
      <xdr:rowOff>131475</xdr:rowOff>
    </xdr:to>
    <xdr:sp macro="" textlink="">
      <xdr:nvSpPr>
        <xdr:cNvPr id="64" name="Rounded Rectangle 63"/>
        <xdr:cNvSpPr/>
      </xdr:nvSpPr>
      <xdr:spPr>
        <a:xfrm>
          <a:off x="5770229" y="685800"/>
          <a:ext cx="2321168" cy="935808"/>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101601</xdr:colOff>
      <xdr:row>3</xdr:row>
      <xdr:rowOff>127000</xdr:rowOff>
    </xdr:from>
    <xdr:to>
      <xdr:col>19</xdr:col>
      <xdr:colOff>593969</xdr:colOff>
      <xdr:row>8</xdr:row>
      <xdr:rowOff>131475</xdr:rowOff>
    </xdr:to>
    <xdr:sp macro="" textlink="">
      <xdr:nvSpPr>
        <xdr:cNvPr id="65" name="Rounded Rectangle 64"/>
        <xdr:cNvSpPr/>
      </xdr:nvSpPr>
      <xdr:spPr>
        <a:xfrm>
          <a:off x="9440334" y="685800"/>
          <a:ext cx="2321168" cy="935808"/>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326816</xdr:colOff>
      <xdr:row>6</xdr:row>
      <xdr:rowOff>101598</xdr:rowOff>
    </xdr:from>
    <xdr:to>
      <xdr:col>7</xdr:col>
      <xdr:colOff>601134</xdr:colOff>
      <xdr:row>8</xdr:row>
      <xdr:rowOff>67733</xdr:rowOff>
    </xdr:to>
    <xdr:sp macro="" textlink="">
      <xdr:nvSpPr>
        <xdr:cNvPr id="66" name="TextBox 65"/>
        <xdr:cNvSpPr txBox="1"/>
      </xdr:nvSpPr>
      <xdr:spPr>
        <a:xfrm>
          <a:off x="2959949" y="1219198"/>
          <a:ext cx="1493518" cy="3386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Calificación</a:t>
          </a:r>
          <a:r>
            <a:rPr lang="en-US" sz="800" baseline="0">
              <a:solidFill>
                <a:srgbClr val="002060"/>
              </a:solidFill>
              <a:effectLst/>
              <a:latin typeface="Franklin Gothic Heavy" panose="020B0903020102020204" pitchFamily="34" charset="0"/>
            </a:rPr>
            <a:t> general de los proyectos</a:t>
          </a:r>
          <a:endParaRPr lang="en-US" sz="800">
            <a:solidFill>
              <a:srgbClr val="002060"/>
            </a:solidFill>
            <a:effectLst/>
            <a:latin typeface="Franklin Gothic Heavy" panose="020B0903020102020204" pitchFamily="34" charset="0"/>
          </a:endParaRPr>
        </a:p>
      </xdr:txBody>
    </xdr:sp>
    <xdr:clientData/>
  </xdr:twoCellAnchor>
  <xdr:twoCellAnchor>
    <xdr:from>
      <xdr:col>11</xdr:col>
      <xdr:colOff>153705</xdr:colOff>
      <xdr:row>4</xdr:row>
      <xdr:rowOff>50800</xdr:rowOff>
    </xdr:from>
    <xdr:to>
      <xdr:col>13</xdr:col>
      <xdr:colOff>526238</xdr:colOff>
      <xdr:row>7</xdr:row>
      <xdr:rowOff>59266</xdr:rowOff>
    </xdr:to>
    <xdr:sp macro="" textlink="Analisis!$G$21">
      <xdr:nvSpPr>
        <xdr:cNvPr id="67" name="TextBox 66"/>
        <xdr:cNvSpPr txBox="1"/>
      </xdr:nvSpPr>
      <xdr:spPr>
        <a:xfrm>
          <a:off x="6444438" y="795867"/>
          <a:ext cx="1591733" cy="567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B95E97E-B620-4400-9BC4-40FCDF4D5AEB}" type="TxLink">
            <a:rPr lang="en-US" sz="3200" b="1" i="0" u="none" strike="noStrike">
              <a:solidFill>
                <a:schemeClr val="bg2">
                  <a:lumMod val="25000"/>
                </a:schemeClr>
              </a:solidFill>
              <a:latin typeface="Franklin Gothic Demi" panose="020B0703020102020204" pitchFamily="34" charset="0"/>
              <a:ea typeface="+mn-ea"/>
              <a:cs typeface="Calibri"/>
            </a:rPr>
            <a:pPr marL="0" indent="0" algn="r"/>
            <a:t>98.44%</a:t>
          </a:fld>
          <a:endParaRPr lang="en-US" sz="3200" b="1" i="0" u="none" strike="noStrike">
            <a:solidFill>
              <a:schemeClr val="bg2">
                <a:lumMod val="25000"/>
              </a:schemeClr>
            </a:solidFill>
            <a:latin typeface="Franklin Gothic Demi" panose="020B0703020102020204" pitchFamily="34" charset="0"/>
            <a:ea typeface="+mn-ea"/>
            <a:cs typeface="Calibri"/>
          </a:endParaRPr>
        </a:p>
      </xdr:txBody>
    </xdr:sp>
    <xdr:clientData/>
  </xdr:twoCellAnchor>
  <xdr:twoCellAnchor>
    <xdr:from>
      <xdr:col>11</xdr:col>
      <xdr:colOff>251920</xdr:colOff>
      <xdr:row>6</xdr:row>
      <xdr:rowOff>152398</xdr:rowOff>
    </xdr:from>
    <xdr:to>
      <xdr:col>13</xdr:col>
      <xdr:colOff>526238</xdr:colOff>
      <xdr:row>8</xdr:row>
      <xdr:rowOff>118533</xdr:rowOff>
    </xdr:to>
    <xdr:sp macro="" textlink="">
      <xdr:nvSpPr>
        <xdr:cNvPr id="68" name="TextBox 67"/>
        <xdr:cNvSpPr txBox="1"/>
      </xdr:nvSpPr>
      <xdr:spPr>
        <a:xfrm>
          <a:off x="6542653" y="1269998"/>
          <a:ext cx="1493518" cy="3386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Calificación</a:t>
          </a:r>
          <a:r>
            <a:rPr lang="en-US" sz="800" baseline="0">
              <a:solidFill>
                <a:srgbClr val="002060"/>
              </a:solidFill>
              <a:effectLst/>
              <a:latin typeface="Franklin Gothic Heavy" panose="020B0903020102020204" pitchFamily="34" charset="0"/>
            </a:rPr>
            <a:t> general de los líderes de desarrollo</a:t>
          </a:r>
          <a:endParaRPr lang="en-US" sz="800">
            <a:solidFill>
              <a:srgbClr val="002060"/>
            </a:solidFill>
            <a:effectLst/>
            <a:latin typeface="Franklin Gothic Heavy" panose="020B0903020102020204" pitchFamily="34" charset="0"/>
          </a:endParaRPr>
        </a:p>
      </xdr:txBody>
    </xdr:sp>
    <xdr:clientData/>
  </xdr:twoCellAnchor>
  <xdr:twoCellAnchor editAs="oneCell">
    <xdr:from>
      <xdr:col>10</xdr:col>
      <xdr:colOff>135469</xdr:colOff>
      <xdr:row>4</xdr:row>
      <xdr:rowOff>25398</xdr:rowOff>
    </xdr:from>
    <xdr:to>
      <xdr:col>11</xdr:col>
      <xdr:colOff>254002</xdr:colOff>
      <xdr:row>8</xdr:row>
      <xdr:rowOff>8465</xdr:rowOff>
    </xdr:to>
    <xdr:pic>
      <xdr:nvPicPr>
        <xdr:cNvPr id="69" name="Picture 6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16602" y="770465"/>
          <a:ext cx="728133" cy="728133"/>
        </a:xfrm>
        <a:prstGeom prst="rect">
          <a:avLst/>
        </a:prstGeom>
      </xdr:spPr>
    </xdr:pic>
    <xdr:clientData/>
  </xdr:twoCellAnchor>
  <xdr:twoCellAnchor>
    <xdr:from>
      <xdr:col>16</xdr:col>
      <xdr:colOff>84667</xdr:colOff>
      <xdr:row>3</xdr:row>
      <xdr:rowOff>169333</xdr:rowOff>
    </xdr:from>
    <xdr:to>
      <xdr:col>17</xdr:col>
      <xdr:colOff>389467</xdr:colOff>
      <xdr:row>8</xdr:row>
      <xdr:rowOff>67734</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221436</xdr:colOff>
      <xdr:row>4</xdr:row>
      <xdr:rowOff>50800</xdr:rowOff>
    </xdr:from>
    <xdr:to>
      <xdr:col>19</xdr:col>
      <xdr:colOff>593969</xdr:colOff>
      <xdr:row>7</xdr:row>
      <xdr:rowOff>59266</xdr:rowOff>
    </xdr:to>
    <xdr:sp macro="" textlink="Analisis!$J$21">
      <xdr:nvSpPr>
        <xdr:cNvPr id="72" name="TextBox 71"/>
        <xdr:cNvSpPr txBox="1"/>
      </xdr:nvSpPr>
      <xdr:spPr>
        <a:xfrm>
          <a:off x="10169769" y="795867"/>
          <a:ext cx="1591733" cy="567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2A7E3D8-1EB6-4DBC-8DAB-64676592DDB4}" type="TxLink">
            <a:rPr lang="en-US" sz="3200" b="1" i="0" u="none" strike="noStrike">
              <a:solidFill>
                <a:schemeClr val="bg2">
                  <a:lumMod val="25000"/>
                </a:schemeClr>
              </a:solidFill>
              <a:latin typeface="Franklin Gothic Demi" panose="020B0703020102020204" pitchFamily="34" charset="0"/>
              <a:ea typeface="+mn-ea"/>
              <a:cs typeface="Calibri"/>
            </a:rPr>
            <a:pPr marL="0" indent="0" algn="r"/>
            <a:t>100.00%</a:t>
          </a:fld>
          <a:endParaRPr lang="en-US" sz="3200" b="1" i="0" u="none" strike="noStrike">
            <a:solidFill>
              <a:schemeClr val="bg2">
                <a:lumMod val="25000"/>
              </a:schemeClr>
            </a:solidFill>
            <a:latin typeface="Franklin Gothic Demi" panose="020B0703020102020204" pitchFamily="34" charset="0"/>
            <a:ea typeface="+mn-ea"/>
            <a:cs typeface="Calibri"/>
          </a:endParaRPr>
        </a:p>
      </xdr:txBody>
    </xdr:sp>
    <xdr:clientData/>
  </xdr:twoCellAnchor>
  <xdr:twoCellAnchor>
    <xdr:from>
      <xdr:col>17</xdr:col>
      <xdr:colOff>319651</xdr:colOff>
      <xdr:row>6</xdr:row>
      <xdr:rowOff>152398</xdr:rowOff>
    </xdr:from>
    <xdr:to>
      <xdr:col>19</xdr:col>
      <xdr:colOff>593969</xdr:colOff>
      <xdr:row>8</xdr:row>
      <xdr:rowOff>118533</xdr:rowOff>
    </xdr:to>
    <xdr:sp macro="" textlink="">
      <xdr:nvSpPr>
        <xdr:cNvPr id="73" name="TextBox 72"/>
        <xdr:cNvSpPr txBox="1"/>
      </xdr:nvSpPr>
      <xdr:spPr>
        <a:xfrm>
          <a:off x="10267984" y="1269998"/>
          <a:ext cx="1493518" cy="3386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Cumplimiento del Jira de</a:t>
          </a:r>
          <a:r>
            <a:rPr lang="en-US" sz="800" baseline="0">
              <a:solidFill>
                <a:srgbClr val="002060"/>
              </a:solidFill>
              <a:effectLst/>
              <a:latin typeface="Franklin Gothic Heavy" panose="020B0903020102020204" pitchFamily="34" charset="0"/>
            </a:rPr>
            <a:t> </a:t>
          </a:r>
          <a:r>
            <a:rPr lang="en-US" sz="800">
              <a:solidFill>
                <a:srgbClr val="002060"/>
              </a:solidFill>
              <a:effectLst/>
              <a:latin typeface="Franklin Gothic Heavy" panose="020B0903020102020204" pitchFamily="34" charset="0"/>
            </a:rPr>
            <a:t>Desarrollo</a:t>
          </a:r>
        </a:p>
      </xdr:txBody>
    </xdr:sp>
    <xdr:clientData/>
  </xdr:twoCellAnchor>
  <xdr:twoCellAnchor>
    <xdr:from>
      <xdr:col>15</xdr:col>
      <xdr:colOff>67733</xdr:colOff>
      <xdr:row>11</xdr:row>
      <xdr:rowOff>118533</xdr:rowOff>
    </xdr:from>
    <xdr:to>
      <xdr:col>22</xdr:col>
      <xdr:colOff>601134</xdr:colOff>
      <xdr:row>20</xdr:row>
      <xdr:rowOff>16934</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599877</xdr:colOff>
      <xdr:row>10</xdr:row>
      <xdr:rowOff>50798</xdr:rowOff>
    </xdr:from>
    <xdr:to>
      <xdr:col>20</xdr:col>
      <xdr:colOff>566010</xdr:colOff>
      <xdr:row>11</xdr:row>
      <xdr:rowOff>101600</xdr:rowOff>
    </xdr:to>
    <xdr:sp macro="" textlink="">
      <xdr:nvSpPr>
        <xdr:cNvPr id="31" name="TextBox 30"/>
        <xdr:cNvSpPr txBox="1"/>
      </xdr:nvSpPr>
      <xdr:spPr>
        <a:xfrm>
          <a:off x="9938610" y="1913465"/>
          <a:ext cx="2404533" cy="2370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Calificación</a:t>
          </a:r>
          <a:r>
            <a:rPr lang="en-US" sz="800" baseline="0">
              <a:solidFill>
                <a:srgbClr val="002060"/>
              </a:solidFill>
              <a:effectLst/>
              <a:latin typeface="Franklin Gothic Heavy" panose="020B0903020102020204" pitchFamily="34" charset="0"/>
            </a:rPr>
            <a:t> de los proyectos según su etapa</a:t>
          </a:r>
          <a:endParaRPr lang="en-US" sz="800">
            <a:solidFill>
              <a:srgbClr val="002060"/>
            </a:solidFill>
            <a:effectLst/>
            <a:latin typeface="Franklin Gothic Heavy" panose="020B0903020102020204" pitchFamily="34" charset="0"/>
          </a:endParaRPr>
        </a:p>
      </xdr:txBody>
    </xdr:sp>
    <xdr:clientData/>
  </xdr:twoCellAnchor>
  <xdr:twoCellAnchor>
    <xdr:from>
      <xdr:col>15</xdr:col>
      <xdr:colOff>8467</xdr:colOff>
      <xdr:row>21</xdr:row>
      <xdr:rowOff>152400</xdr:rowOff>
    </xdr:from>
    <xdr:to>
      <xdr:col>23</xdr:col>
      <xdr:colOff>59267</xdr:colOff>
      <xdr:row>29</xdr:row>
      <xdr:rowOff>16935</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24141</xdr:colOff>
      <xdr:row>20</xdr:row>
      <xdr:rowOff>101598</xdr:rowOff>
    </xdr:from>
    <xdr:to>
      <xdr:col>20</xdr:col>
      <xdr:colOff>599874</xdr:colOff>
      <xdr:row>21</xdr:row>
      <xdr:rowOff>152399</xdr:rowOff>
    </xdr:to>
    <xdr:sp macro="" textlink="">
      <xdr:nvSpPr>
        <xdr:cNvPr id="33" name="TextBox 32"/>
        <xdr:cNvSpPr txBox="1"/>
      </xdr:nvSpPr>
      <xdr:spPr>
        <a:xfrm>
          <a:off x="9972474" y="3826931"/>
          <a:ext cx="2404533" cy="2370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Calificación</a:t>
          </a:r>
          <a:r>
            <a:rPr lang="en-US" sz="800" baseline="0">
              <a:solidFill>
                <a:srgbClr val="002060"/>
              </a:solidFill>
              <a:effectLst/>
              <a:latin typeface="Franklin Gothic Heavy" panose="020B0903020102020204" pitchFamily="34" charset="0"/>
            </a:rPr>
            <a:t> de los líderes de desarrollo</a:t>
          </a:r>
          <a:endParaRPr lang="en-US" sz="800">
            <a:solidFill>
              <a:srgbClr val="002060"/>
            </a:solidFill>
            <a:effectLst/>
            <a:latin typeface="Franklin Gothic Heavy" panose="020B0903020102020204" pitchFamily="34" charset="0"/>
          </a:endParaRPr>
        </a:p>
      </xdr:txBody>
    </xdr:sp>
    <xdr:clientData/>
  </xdr:twoCellAnchor>
  <xdr:twoCellAnchor>
    <xdr:from>
      <xdr:col>0</xdr:col>
      <xdr:colOff>143933</xdr:colOff>
      <xdr:row>11</xdr:row>
      <xdr:rowOff>143934</xdr:rowOff>
    </xdr:from>
    <xdr:to>
      <xdr:col>3</xdr:col>
      <xdr:colOff>270934</xdr:colOff>
      <xdr:row>29</xdr:row>
      <xdr:rowOff>118533</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134210</xdr:colOff>
      <xdr:row>10</xdr:row>
      <xdr:rowOff>8464</xdr:rowOff>
    </xdr:from>
    <xdr:to>
      <xdr:col>3</xdr:col>
      <xdr:colOff>177800</xdr:colOff>
      <xdr:row>12</xdr:row>
      <xdr:rowOff>16933</xdr:rowOff>
    </xdr:to>
    <xdr:sp macro="" textlink="">
      <xdr:nvSpPr>
        <xdr:cNvPr id="35" name="TextBox 34"/>
        <xdr:cNvSpPr txBox="1"/>
      </xdr:nvSpPr>
      <xdr:spPr>
        <a:xfrm>
          <a:off x="134210" y="1871131"/>
          <a:ext cx="1457523" cy="381002"/>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Calificación</a:t>
          </a:r>
          <a:r>
            <a:rPr lang="en-US" sz="800" baseline="0">
              <a:solidFill>
                <a:srgbClr val="002060"/>
              </a:solidFill>
              <a:effectLst/>
              <a:latin typeface="Franklin Gothic Heavy" panose="020B0903020102020204" pitchFamily="34" charset="0"/>
            </a:rPr>
            <a:t> del Jira </a:t>
          </a:r>
        </a:p>
        <a:p>
          <a:pPr algn="ctr"/>
          <a:r>
            <a:rPr lang="en-US" sz="800" baseline="0">
              <a:solidFill>
                <a:srgbClr val="002060"/>
              </a:solidFill>
              <a:effectLst/>
              <a:latin typeface="Franklin Gothic Heavy" panose="020B0903020102020204" pitchFamily="34" charset="0"/>
            </a:rPr>
            <a:t>de desarrollo</a:t>
          </a:r>
          <a:endParaRPr lang="en-US" sz="800">
            <a:solidFill>
              <a:srgbClr val="002060"/>
            </a:solidFill>
            <a:effectLst/>
            <a:latin typeface="Franklin Gothic Heavy" panose="020B0903020102020204" pitchFamily="34" charset="0"/>
          </a:endParaRPr>
        </a:p>
      </xdr:txBody>
    </xdr:sp>
    <xdr:clientData/>
  </xdr:twoCellAnchor>
  <xdr:twoCellAnchor>
    <xdr:from>
      <xdr:col>9</xdr:col>
      <xdr:colOff>287867</xdr:colOff>
      <xdr:row>13</xdr:row>
      <xdr:rowOff>118533</xdr:rowOff>
    </xdr:from>
    <xdr:to>
      <xdr:col>14</xdr:col>
      <xdr:colOff>423335</xdr:colOff>
      <xdr:row>19</xdr:row>
      <xdr:rowOff>177799</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66477</xdr:colOff>
      <xdr:row>10</xdr:row>
      <xdr:rowOff>76197</xdr:rowOff>
    </xdr:from>
    <xdr:to>
      <xdr:col>14</xdr:col>
      <xdr:colOff>135467</xdr:colOff>
      <xdr:row>12</xdr:row>
      <xdr:rowOff>67733</xdr:rowOff>
    </xdr:to>
    <xdr:sp macro="" textlink="">
      <xdr:nvSpPr>
        <xdr:cNvPr id="37" name="TextBox 36"/>
        <xdr:cNvSpPr txBox="1"/>
      </xdr:nvSpPr>
      <xdr:spPr>
        <a:xfrm>
          <a:off x="5747610" y="1938864"/>
          <a:ext cx="2507390" cy="36406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Calificación</a:t>
          </a:r>
          <a:r>
            <a:rPr lang="en-US" sz="800" baseline="0">
              <a:solidFill>
                <a:srgbClr val="002060"/>
              </a:solidFill>
              <a:effectLst/>
              <a:latin typeface="Franklin Gothic Heavy" panose="020B0903020102020204" pitchFamily="34" charset="0"/>
            </a:rPr>
            <a:t> de los departamentos involucrados en el proyecto</a:t>
          </a:r>
          <a:endParaRPr lang="en-US" sz="800">
            <a:solidFill>
              <a:srgbClr val="002060"/>
            </a:solidFill>
            <a:effectLst/>
            <a:latin typeface="Franklin Gothic Heavy" panose="020B0903020102020204" pitchFamily="34" charset="0"/>
          </a:endParaRPr>
        </a:p>
      </xdr:txBody>
    </xdr:sp>
    <xdr:clientData/>
  </xdr:twoCellAnchor>
  <xdr:twoCellAnchor>
    <xdr:from>
      <xdr:col>9</xdr:col>
      <xdr:colOff>270934</xdr:colOff>
      <xdr:row>11</xdr:row>
      <xdr:rowOff>186264</xdr:rowOff>
    </xdr:from>
    <xdr:to>
      <xdr:col>11</xdr:col>
      <xdr:colOff>244276</xdr:colOff>
      <xdr:row>13</xdr:row>
      <xdr:rowOff>50799</xdr:rowOff>
    </xdr:to>
    <xdr:sp macro="" textlink="">
      <xdr:nvSpPr>
        <xdr:cNvPr id="38" name="TextBox 37"/>
        <xdr:cNvSpPr txBox="1"/>
      </xdr:nvSpPr>
      <xdr:spPr>
        <a:xfrm>
          <a:off x="5342467" y="2235197"/>
          <a:ext cx="1192542" cy="23706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rgbClr val="002060"/>
              </a:solidFill>
              <a:effectLst/>
              <a:latin typeface="Franklin Gothic Heavy" panose="020B0903020102020204" pitchFamily="34" charset="0"/>
            </a:rPr>
            <a:t>■</a:t>
          </a:r>
          <a:r>
            <a:rPr lang="en-US" sz="1050" b="0">
              <a:solidFill>
                <a:schemeClr val="bg1">
                  <a:lumMod val="50000"/>
                </a:schemeClr>
              </a:solidFill>
              <a:effectLst/>
              <a:latin typeface="Franklin Gothic Heavy" panose="020B0903020102020204" pitchFamily="34" charset="0"/>
            </a:rPr>
            <a:t> </a:t>
          </a:r>
          <a:r>
            <a:rPr lang="en-US" sz="900" b="0">
              <a:solidFill>
                <a:schemeClr val="bg1">
                  <a:lumMod val="50000"/>
                </a:schemeClr>
              </a:solidFill>
              <a:effectLst/>
              <a:latin typeface="Franklin Gothic Heavy" panose="020B0903020102020204" pitchFamily="34" charset="0"/>
            </a:rPr>
            <a:t>Infraestructura</a:t>
          </a:r>
        </a:p>
      </xdr:txBody>
    </xdr:sp>
    <xdr:clientData/>
  </xdr:twoCellAnchor>
  <xdr:twoCellAnchor>
    <xdr:from>
      <xdr:col>9</xdr:col>
      <xdr:colOff>270934</xdr:colOff>
      <xdr:row>12</xdr:row>
      <xdr:rowOff>152396</xdr:rowOff>
    </xdr:from>
    <xdr:to>
      <xdr:col>11</xdr:col>
      <xdr:colOff>244276</xdr:colOff>
      <xdr:row>14</xdr:row>
      <xdr:rowOff>16932</xdr:rowOff>
    </xdr:to>
    <xdr:sp macro="" textlink="">
      <xdr:nvSpPr>
        <xdr:cNvPr id="40" name="TextBox 39"/>
        <xdr:cNvSpPr txBox="1"/>
      </xdr:nvSpPr>
      <xdr:spPr>
        <a:xfrm>
          <a:off x="5342467" y="2387596"/>
          <a:ext cx="1192542" cy="23706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5">
                  <a:lumMod val="75000"/>
                </a:schemeClr>
              </a:solidFill>
              <a:effectLst/>
              <a:latin typeface="Franklin Gothic Heavy" panose="020B0903020102020204" pitchFamily="34" charset="0"/>
            </a:rPr>
            <a:t>■</a:t>
          </a:r>
          <a:r>
            <a:rPr lang="en-US" sz="900" b="0">
              <a:solidFill>
                <a:schemeClr val="bg1">
                  <a:lumMod val="50000"/>
                </a:schemeClr>
              </a:solidFill>
              <a:effectLst/>
              <a:latin typeface="Franklin Gothic Heavy" panose="020B0903020102020204" pitchFamily="34" charset="0"/>
            </a:rPr>
            <a:t> Líder</a:t>
          </a:r>
          <a:r>
            <a:rPr lang="en-US" sz="900" b="0" baseline="0">
              <a:solidFill>
                <a:schemeClr val="bg1">
                  <a:lumMod val="50000"/>
                </a:schemeClr>
              </a:solidFill>
              <a:effectLst/>
              <a:latin typeface="Franklin Gothic Heavy" panose="020B0903020102020204" pitchFamily="34" charset="0"/>
            </a:rPr>
            <a:t> testing</a:t>
          </a:r>
          <a:endParaRPr lang="en-US" sz="900" b="0">
            <a:solidFill>
              <a:schemeClr val="bg1">
                <a:lumMod val="50000"/>
              </a:schemeClr>
            </a:solidFill>
            <a:effectLst/>
            <a:latin typeface="Franklin Gothic Heavy" panose="020B0903020102020204" pitchFamily="34" charset="0"/>
          </a:endParaRPr>
        </a:p>
      </xdr:txBody>
    </xdr:sp>
    <xdr:clientData/>
  </xdr:twoCellAnchor>
  <xdr:twoCellAnchor>
    <xdr:from>
      <xdr:col>11</xdr:col>
      <xdr:colOff>59266</xdr:colOff>
      <xdr:row>11</xdr:row>
      <xdr:rowOff>186264</xdr:rowOff>
    </xdr:from>
    <xdr:to>
      <xdr:col>13</xdr:col>
      <xdr:colOff>321733</xdr:colOff>
      <xdr:row>13</xdr:row>
      <xdr:rowOff>42334</xdr:rowOff>
    </xdr:to>
    <xdr:sp macro="" textlink="">
      <xdr:nvSpPr>
        <xdr:cNvPr id="41" name="TextBox 40"/>
        <xdr:cNvSpPr txBox="1"/>
      </xdr:nvSpPr>
      <xdr:spPr>
        <a:xfrm>
          <a:off x="6349999" y="2235197"/>
          <a:ext cx="1481667" cy="22860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5"/>
              </a:solidFill>
              <a:effectLst/>
              <a:latin typeface="Franklin Gothic Heavy" panose="020B0903020102020204" pitchFamily="34" charset="0"/>
            </a:rPr>
            <a:t>■</a:t>
          </a:r>
          <a:r>
            <a:rPr lang="en-US" sz="800" b="0">
              <a:solidFill>
                <a:schemeClr val="bg1">
                  <a:lumMod val="50000"/>
                </a:schemeClr>
              </a:solidFill>
              <a:effectLst/>
              <a:latin typeface="Franklin Gothic Heavy" panose="020B0903020102020204" pitchFamily="34" charset="0"/>
            </a:rPr>
            <a:t> Integración y datos</a:t>
          </a:r>
        </a:p>
      </xdr:txBody>
    </xdr:sp>
    <xdr:clientData/>
  </xdr:twoCellAnchor>
  <xdr:twoCellAnchor>
    <xdr:from>
      <xdr:col>11</xdr:col>
      <xdr:colOff>67734</xdr:colOff>
      <xdr:row>12</xdr:row>
      <xdr:rowOff>152396</xdr:rowOff>
    </xdr:from>
    <xdr:to>
      <xdr:col>13</xdr:col>
      <xdr:colOff>177170</xdr:colOff>
      <xdr:row>14</xdr:row>
      <xdr:rowOff>33867</xdr:rowOff>
    </xdr:to>
    <xdr:sp macro="" textlink="">
      <xdr:nvSpPr>
        <xdr:cNvPr id="42" name="TextBox 41"/>
        <xdr:cNvSpPr txBox="1"/>
      </xdr:nvSpPr>
      <xdr:spPr>
        <a:xfrm>
          <a:off x="6358467" y="2387596"/>
          <a:ext cx="1328636" cy="25400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accent1">
                  <a:lumMod val="75000"/>
                </a:schemeClr>
              </a:solidFill>
              <a:effectLst/>
              <a:latin typeface="Franklin Gothic Heavy" panose="020B0903020102020204" pitchFamily="34" charset="0"/>
            </a:rPr>
            <a:t>■</a:t>
          </a:r>
          <a:r>
            <a:rPr lang="en-US" sz="800" b="0">
              <a:solidFill>
                <a:schemeClr val="bg1">
                  <a:lumMod val="50000"/>
                </a:schemeClr>
              </a:solidFill>
              <a:effectLst/>
              <a:latin typeface="Franklin Gothic Heavy" panose="020B0903020102020204" pitchFamily="34" charset="0"/>
            </a:rPr>
            <a:t> Arq.</a:t>
          </a:r>
          <a:r>
            <a:rPr lang="en-US" sz="800" b="0" baseline="0">
              <a:solidFill>
                <a:schemeClr val="bg1">
                  <a:lumMod val="50000"/>
                </a:schemeClr>
              </a:solidFill>
              <a:effectLst/>
              <a:latin typeface="Franklin Gothic Heavy" panose="020B0903020102020204" pitchFamily="34" charset="0"/>
            </a:rPr>
            <a:t> Funcional</a:t>
          </a:r>
          <a:endParaRPr lang="en-US" sz="800" b="0">
            <a:solidFill>
              <a:schemeClr val="bg1">
                <a:lumMod val="50000"/>
              </a:schemeClr>
            </a:solidFill>
            <a:effectLst/>
            <a:latin typeface="Franklin Gothic Heavy" panose="020B0903020102020204" pitchFamily="34" charset="0"/>
          </a:endParaRPr>
        </a:p>
      </xdr:txBody>
    </xdr:sp>
    <xdr:clientData/>
  </xdr:twoCellAnchor>
  <xdr:twoCellAnchor>
    <xdr:from>
      <xdr:col>12</xdr:col>
      <xdr:colOff>601134</xdr:colOff>
      <xdr:row>11</xdr:row>
      <xdr:rowOff>177796</xdr:rowOff>
    </xdr:from>
    <xdr:to>
      <xdr:col>14</xdr:col>
      <xdr:colOff>574476</xdr:colOff>
      <xdr:row>13</xdr:row>
      <xdr:rowOff>42331</xdr:rowOff>
    </xdr:to>
    <xdr:sp macro="" textlink="">
      <xdr:nvSpPr>
        <xdr:cNvPr id="43" name="TextBox 42"/>
        <xdr:cNvSpPr txBox="1"/>
      </xdr:nvSpPr>
      <xdr:spPr>
        <a:xfrm>
          <a:off x="7501467" y="2226729"/>
          <a:ext cx="1192542" cy="23706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accent1"/>
              </a:solidFill>
              <a:effectLst/>
              <a:latin typeface="Franklin Gothic Heavy" panose="020B0903020102020204" pitchFamily="34" charset="0"/>
            </a:rPr>
            <a:t>■</a:t>
          </a:r>
          <a:r>
            <a:rPr lang="en-US" sz="1100" b="0">
              <a:solidFill>
                <a:schemeClr val="bg1">
                  <a:lumMod val="50000"/>
                </a:schemeClr>
              </a:solidFill>
              <a:effectLst/>
              <a:latin typeface="Franklin Gothic Heavy" panose="020B0903020102020204" pitchFamily="34" charset="0"/>
            </a:rPr>
            <a:t> </a:t>
          </a:r>
          <a:r>
            <a:rPr lang="en-US" sz="800" b="0">
              <a:solidFill>
                <a:schemeClr val="bg1">
                  <a:lumMod val="50000"/>
                </a:schemeClr>
              </a:solidFill>
              <a:effectLst/>
              <a:latin typeface="Franklin Gothic Heavy" panose="020B0903020102020204" pitchFamily="34" charset="0"/>
            </a:rPr>
            <a:t>Gestor</a:t>
          </a:r>
        </a:p>
      </xdr:txBody>
    </xdr:sp>
    <xdr:clientData/>
  </xdr:twoCellAnchor>
  <xdr:twoCellAnchor>
    <xdr:from>
      <xdr:col>9</xdr:col>
      <xdr:colOff>313268</xdr:colOff>
      <xdr:row>22</xdr:row>
      <xdr:rowOff>50798</xdr:rowOff>
    </xdr:from>
    <xdr:to>
      <xdr:col>14</xdr:col>
      <xdr:colOff>431800</xdr:colOff>
      <xdr:row>29</xdr:row>
      <xdr:rowOff>118533</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31981</xdr:colOff>
      <xdr:row>20</xdr:row>
      <xdr:rowOff>115752</xdr:rowOff>
    </xdr:from>
    <xdr:to>
      <xdr:col>14</xdr:col>
      <xdr:colOff>100971</xdr:colOff>
      <xdr:row>22</xdr:row>
      <xdr:rowOff>107287</xdr:rowOff>
    </xdr:to>
    <xdr:sp macro="" textlink="">
      <xdr:nvSpPr>
        <xdr:cNvPr id="46" name="TextBox 45"/>
        <xdr:cNvSpPr txBox="1"/>
      </xdr:nvSpPr>
      <xdr:spPr>
        <a:xfrm>
          <a:off x="5713114" y="3841085"/>
          <a:ext cx="2507390" cy="36406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Documentaciones</a:t>
          </a:r>
          <a:r>
            <a:rPr lang="en-US" sz="800" baseline="0">
              <a:solidFill>
                <a:srgbClr val="002060"/>
              </a:solidFill>
              <a:effectLst/>
              <a:latin typeface="Franklin Gothic Heavy" panose="020B0903020102020204" pitchFamily="34" charset="0"/>
            </a:rPr>
            <a:t> afectando la calificación general de los proyectos</a:t>
          </a:r>
          <a:endParaRPr lang="en-US" sz="800">
            <a:solidFill>
              <a:srgbClr val="002060"/>
            </a:solidFill>
            <a:effectLst/>
            <a:latin typeface="Franklin Gothic Heavy" panose="020B0903020102020204" pitchFamily="34" charset="0"/>
          </a:endParaRPr>
        </a:p>
      </xdr:txBody>
    </xdr:sp>
    <xdr:clientData/>
  </xdr:twoCellAnchor>
  <xdr:twoCellAnchor>
    <xdr:from>
      <xdr:col>4</xdr:col>
      <xdr:colOff>286610</xdr:colOff>
      <xdr:row>10</xdr:row>
      <xdr:rowOff>25397</xdr:rowOff>
    </xdr:from>
    <xdr:to>
      <xdr:col>8</xdr:col>
      <xdr:colOff>533400</xdr:colOff>
      <xdr:row>12</xdr:row>
      <xdr:rowOff>16933</xdr:rowOff>
    </xdr:to>
    <xdr:sp macro="" textlink="">
      <xdr:nvSpPr>
        <xdr:cNvPr id="53" name="TextBox 52"/>
        <xdr:cNvSpPr txBox="1"/>
      </xdr:nvSpPr>
      <xdr:spPr>
        <a:xfrm>
          <a:off x="2310143" y="1888064"/>
          <a:ext cx="2685190" cy="364069"/>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Ranking de los proyectos por</a:t>
          </a:r>
          <a:r>
            <a:rPr lang="en-US" sz="800" baseline="0">
              <a:solidFill>
                <a:srgbClr val="002060"/>
              </a:solidFill>
              <a:effectLst/>
              <a:latin typeface="Franklin Gothic Heavy" panose="020B0903020102020204" pitchFamily="34" charset="0"/>
            </a:rPr>
            <a:t> la calificación del proyecto y líder según la etapa</a:t>
          </a:r>
          <a:endParaRPr lang="en-US" sz="800">
            <a:solidFill>
              <a:srgbClr val="002060"/>
            </a:solidFill>
            <a:effectLst/>
            <a:latin typeface="Franklin Gothic Heavy" panose="020B0903020102020204" pitchFamily="34" charset="0"/>
          </a:endParaRPr>
        </a:p>
      </xdr:txBody>
    </xdr:sp>
    <xdr:clientData/>
  </xdr:twoCellAnchor>
  <xdr:twoCellAnchor>
    <xdr:from>
      <xdr:col>23</xdr:col>
      <xdr:colOff>116019</xdr:colOff>
      <xdr:row>18</xdr:row>
      <xdr:rowOff>50801</xdr:rowOff>
    </xdr:from>
    <xdr:to>
      <xdr:col>32</xdr:col>
      <xdr:colOff>321733</xdr:colOff>
      <xdr:row>29</xdr:row>
      <xdr:rowOff>152401</xdr:rowOff>
    </xdr:to>
    <xdr:sp macro="" textlink="">
      <xdr:nvSpPr>
        <xdr:cNvPr id="54" name="Rounded Rectangle 53"/>
        <xdr:cNvSpPr/>
      </xdr:nvSpPr>
      <xdr:spPr>
        <a:xfrm>
          <a:off x="13721952" y="3403601"/>
          <a:ext cx="5277248" cy="2150533"/>
        </a:xfrm>
        <a:prstGeom prst="roundRect">
          <a:avLst>
            <a:gd name="adj" fmla="val 3616"/>
          </a:avLst>
        </a:prstGeom>
        <a:solidFill>
          <a:schemeClr val="bg1"/>
        </a:solidFill>
        <a:ln>
          <a:noFill/>
        </a:ln>
        <a:effectLst>
          <a:outerShdw blurRad="63500" dist="63500" dir="2700000" algn="tl" rotWithShape="0">
            <a:prstClr val="black">
              <a:alpha val="5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228600</xdr:colOff>
      <xdr:row>19</xdr:row>
      <xdr:rowOff>143932</xdr:rowOff>
    </xdr:from>
    <xdr:to>
      <xdr:col>32</xdr:col>
      <xdr:colOff>177800</xdr:colOff>
      <xdr:row>30</xdr:row>
      <xdr:rowOff>16932</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149885</xdr:colOff>
      <xdr:row>18</xdr:row>
      <xdr:rowOff>101601</xdr:rowOff>
    </xdr:from>
    <xdr:to>
      <xdr:col>30</xdr:col>
      <xdr:colOff>116018</xdr:colOff>
      <xdr:row>19</xdr:row>
      <xdr:rowOff>152402</xdr:rowOff>
    </xdr:to>
    <xdr:sp macro="" textlink="">
      <xdr:nvSpPr>
        <xdr:cNvPr id="70" name="TextBox 69"/>
        <xdr:cNvSpPr txBox="1"/>
      </xdr:nvSpPr>
      <xdr:spPr>
        <a:xfrm>
          <a:off x="15169752" y="3454401"/>
          <a:ext cx="2404533" cy="237068"/>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solidFill>
                <a:srgbClr val="002060"/>
              </a:solidFill>
              <a:effectLst/>
              <a:latin typeface="Franklin Gothic Heavy" panose="020B0903020102020204" pitchFamily="34" charset="0"/>
            </a:rPr>
            <a:t>Desviación</a:t>
          </a:r>
          <a:r>
            <a:rPr lang="en-US" sz="800" baseline="0">
              <a:solidFill>
                <a:srgbClr val="002060"/>
              </a:solidFill>
              <a:effectLst/>
              <a:latin typeface="Franklin Gothic Heavy" panose="020B0903020102020204" pitchFamily="34" charset="0"/>
            </a:rPr>
            <a:t> calificaciones del líder y proyecto</a:t>
          </a:r>
          <a:endParaRPr lang="en-US" sz="800">
            <a:solidFill>
              <a:srgbClr val="002060"/>
            </a:solidFill>
            <a:effectLst/>
            <a:latin typeface="Franklin Gothic Heavy" panose="020B0903020102020204" pitchFamily="34" charset="0"/>
          </a:endParaRPr>
        </a:p>
      </xdr:txBody>
    </xdr:sp>
    <xdr:clientData/>
  </xdr:twoCellAnchor>
  <xdr:twoCellAnchor editAs="oneCell">
    <xdr:from>
      <xdr:col>3</xdr:col>
      <xdr:colOff>448734</xdr:colOff>
      <xdr:row>13</xdr:row>
      <xdr:rowOff>60893</xdr:rowOff>
    </xdr:from>
    <xdr:to>
      <xdr:col>9</xdr:col>
      <xdr:colOff>135467</xdr:colOff>
      <xdr:row>26</xdr:row>
      <xdr:rowOff>169333</xdr:rowOff>
    </xdr:to>
    <xdr:pic>
      <xdr:nvPicPr>
        <xdr:cNvPr id="5" name="Picture 4"/>
        <xdr:cNvPicPr>
          <a:picLocks noChangeAspect="1"/>
        </xdr:cNvPicPr>
      </xdr:nvPicPr>
      <xdr:blipFill>
        <a:blip xmlns:r="http://schemas.openxmlformats.org/officeDocument/2006/relationships" r:embed="rId10"/>
        <a:stretch>
          <a:fillRect/>
        </a:stretch>
      </xdr:blipFill>
      <xdr:spPr>
        <a:xfrm>
          <a:off x="1862667" y="2482360"/>
          <a:ext cx="3344333" cy="25299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49085/Downloads/Metodologia/Resultados%20MetodologiaTradicional_Marzo%202024_Comparti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eva Matriz"/>
      <sheetName val="CONSOLIDADO"/>
      <sheetName val="Fases"/>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IANNY DENISSE HERNANDEZ TRONCOSO" refreshedDate="45504.602315162039" createdVersion="6" refreshedVersion="6" minRefreshableVersion="3" recordCount="14">
  <cacheSource type="worksheet">
    <worksheetSource name="BD"/>
  </cacheSource>
  <cacheFields count="75">
    <cacheField name="Proyecto" numFmtId="0">
      <sharedItems containsBlank="1" count="19">
        <s v="Cambio Protocolo de Comunicación RSA-SecureID"/>
        <s v="Correcciones Panama"/>
        <s v="Herramienta de Manejo de Finanzas Personale (Planificado personal de finanzas (PFM))"/>
        <s v="Mejoras Subsistemas IFC - Cambio de Modalidad a Ejecución Asincrónica"/>
        <s v="Migración AIX a Linux Internet Banking (Infosys) Popular Bank Panamá"/>
        <s v="Migración RSA AA a Cloud (Outseer)"/>
        <s v="R1 2024 - IB Empresarial"/>
        <s v="R1 2024 - Tpago"/>
        <s v="Upgrade IBM API Connect / Configuración de Portal / Sandbox"/>
        <m/>
        <s v="Migración Servidor Co019banking" u="1"/>
        <s v="R1 2023 - IB Panama" u="1"/>
        <s v="R1 2024 - IB Panama" u="1"/>
        <s v="Upgrade Avaya Experience 7.2.3 a 8.1" u="1"/>
        <s v="Cambio Mandatorio SWIFT ISO 2023 - IB " u="1"/>
        <s v="Casos a Corregir Web AFI Popular" u="1"/>
        <s v="Expansión API Connect" u="1"/>
        <s v="R1 2024 - Demanda Baja Canales" u="1"/>
        <s v="R1 2024 - Demanda Baja" u="1"/>
      </sharedItems>
    </cacheField>
    <cacheField name="Canal " numFmtId="164">
      <sharedItems containsBlank="1"/>
    </cacheField>
    <cacheField name="Etapa " numFmtId="0">
      <sharedItems containsBlank="1" count="12">
        <s v="Pruebas Integradas"/>
        <s v="Desarrollo"/>
        <s v="Taller"/>
        <s v="Pase Producción/Piloto"/>
        <m/>
        <s v="Pase a producción y piloto" u="1"/>
        <s v="Cierre" u="1"/>
        <s v="Documentación" u="1"/>
        <s v="Documentacion" u="1"/>
        <s v="Certificación usuarios" u="1"/>
        <s v="Analisis y Diseño" u="1"/>
        <s v="Pruebas Unitarias" u="1"/>
      </sharedItems>
    </cacheField>
    <cacheField name="Líder " numFmtId="0">
      <sharedItems containsBlank="1" count="14">
        <s v="Berroa, Thamayra"/>
        <s v="Santana, Daniela"/>
        <s v="Romero, Alan"/>
        <s v="Hernandez, Brianny"/>
        <s v="Jimenez, Victor "/>
        <s v="Florentino, Adalberto "/>
        <s v="Rosa, Farinel"/>
        <s v="Mirabal, Adrián"/>
        <s v="Santos, Ramon Emilio"/>
        <m/>
        <s v="Jimenez, Victor" u="1"/>
        <s v="Santana, Daniela " u="1"/>
        <s v="Lizardo, Franly" u="1"/>
        <s v="Tanzi, Giovanni" u="1"/>
      </sharedItems>
    </cacheField>
    <cacheField name="Gestor de la Demanda " numFmtId="0">
      <sharedItems containsBlank="1"/>
    </cacheField>
    <cacheField name="División " numFmtId="164">
      <sharedItems containsBlank="1"/>
    </cacheField>
    <cacheField name="Gerente División " numFmtId="164">
      <sharedItems containsBlank="1"/>
    </cacheField>
    <cacheField name="Gerente " numFmtId="0">
      <sharedItems containsBlank="1" count="4">
        <s v="Nunez, Luis Manuel "/>
        <s v="De la Rosa, Aislien"/>
        <s v="Gomez, Escarlin"/>
        <m/>
      </sharedItems>
    </cacheField>
    <cacheField name="Líder Testing " numFmtId="0">
      <sharedItems containsNonDate="0" containsString="0" containsBlank="1"/>
    </cacheField>
    <cacheField name="Fecha planificada fin analisis" numFmtId="0">
      <sharedItems containsNonDate="0" containsString="0" containsBlank="1"/>
    </cacheField>
    <cacheField name="Fecha real fin analisis" numFmtId="0">
      <sharedItems containsNonDate="0" containsString="0" containsBlank="1"/>
    </cacheField>
    <cacheField name="Desvio Análisis" numFmtId="0">
      <sharedItems containsNonDate="0" containsString="0" containsBlank="1"/>
    </cacheField>
    <cacheField name="Herramienta" numFmtId="0">
      <sharedItems containsBlank="1"/>
    </cacheField>
    <cacheField name="Incluir" numFmtId="0">
      <sharedItems containsBlank="1"/>
    </cacheField>
    <cacheField name="Documentación Completada" numFmtId="0">
      <sharedItems containsNonDate="0" containsString="0" containsBlank="1"/>
    </cacheField>
    <cacheField name="Nuevo esquema" numFmtId="0">
      <sharedItems containsBlank="1"/>
    </cacheField>
    <cacheField name="Fecha_Cierre" numFmtId="0">
      <sharedItems containsNonDate="0" containsString="0" containsBlank="1"/>
    </cacheField>
    <cacheField name="Implementador" numFmtId="16">
      <sharedItems containsBlank="1"/>
    </cacheField>
    <cacheField name="Espacio Jira / Confluence" numFmtId="16">
      <sharedItems containsBlank="1"/>
    </cacheField>
    <cacheField name="Calificación del proyecto  de acuerdo a la etapa " numFmtId="9">
      <sharedItems containsString="0" containsBlank="1" containsNumber="1" minValue="0.9285714285714286" maxValue="1"/>
    </cacheField>
    <cacheField name="Calificación Gestor" numFmtId="9">
      <sharedItems containsString="0" containsBlank="1" containsNumber="1" containsInteger="1" minValue="1" maxValue="1"/>
    </cacheField>
    <cacheField name="Calificación Arquictura Funcional" numFmtId="9">
      <sharedItems containsString="0" containsBlank="1" containsNumber="1" containsInteger="1" minValue="1" maxValue="1"/>
    </cacheField>
    <cacheField name="Calificación Arquitectura Integración y Datos" numFmtId="9">
      <sharedItems containsString="0" containsBlank="1" containsNumber="1" containsInteger="1" minValue="1" maxValue="1"/>
    </cacheField>
    <cacheField name="Calificación Infraestructura" numFmtId="9">
      <sharedItems containsString="0" containsBlank="1" containsNumber="1" containsInteger="1" minValue="1" maxValue="1"/>
    </cacheField>
    <cacheField name="Calificación Lider Desarrollo " numFmtId="9">
      <sharedItems containsString="0" containsBlank="1" containsNumber="1" minValue="0.875" maxValue="1"/>
    </cacheField>
    <cacheField name="Calificación Lider Testing " numFmtId="9">
      <sharedItems containsString="0" containsBlank="1" containsNumber="1" minValue="0.83333333333333337" maxValue="1"/>
    </cacheField>
    <cacheField name="Jira Gestor" numFmtId="9">
      <sharedItems containsString="0" containsBlank="1" containsNumber="1" containsInteger="1" minValue="1" maxValue="1"/>
    </cacheField>
    <cacheField name="Jira Arq. Funcional" numFmtId="9">
      <sharedItems containsNonDate="0" containsString="0" containsBlank="1"/>
    </cacheField>
    <cacheField name="Jira Arq. I&amp;D" numFmtId="9">
      <sharedItems containsString="0" containsBlank="1" containsNumber="1" containsInteger="1" minValue="1" maxValue="1"/>
    </cacheField>
    <cacheField name="Jira Arq. Infra" numFmtId="9">
      <sharedItems containsString="0" containsBlank="1" containsNumber="1" containsInteger="1" minValue="1" maxValue="1"/>
    </cacheField>
    <cacheField name="Jira Desarrollo" numFmtId="9">
      <sharedItems containsString="0" containsBlank="1" containsNumber="1" containsInteger="1" minValue="1" maxValue="1"/>
    </cacheField>
    <cacheField name="Jira QA" numFmtId="9">
      <sharedItems containsString="0" containsBlank="1" containsNumber="1" containsInteger="1" minValue="1" maxValue="1"/>
    </cacheField>
    <cacheField name="Fecha última calificación " numFmtId="164">
      <sharedItems containsNonDate="0" containsDate="1" containsString="0" containsBlank="1" minDate="2024-07-27T00:00:00" maxDate="2024-07-31T00:00:00"/>
    </cacheField>
    <cacheField name="Tablero de Planeación Gestor" numFmtId="0">
      <sharedItems containsString="0" containsBlank="1" containsNumber="1" containsInteger="1" minValue="1" maxValue="1"/>
    </cacheField>
    <cacheField name="Tablero de Planeación Funcional" numFmtId="0">
      <sharedItems containsNonDate="0" containsString="0" containsBlank="1"/>
    </cacheField>
    <cacheField name="Tablero de Planeación I&amp;D" numFmtId="0">
      <sharedItems containsString="0" containsBlank="1" containsNumber="1" containsInteger="1" minValue="1" maxValue="1"/>
    </cacheField>
    <cacheField name="Tablero de Planeación Infraestructura" numFmtId="0">
      <sharedItems containsString="0" containsBlank="1" containsNumber="1" containsInteger="1" minValue="1" maxValue="1"/>
    </cacheField>
    <cacheField name="Tablero Planeación Desarrollo" numFmtId="0">
      <sharedItems containsNonDate="0" containsString="0" containsBlank="1"/>
    </cacheField>
    <cacheField name="Tablero Trazabilidad Desarrollo" numFmtId="0">
      <sharedItems containsString="0" containsBlank="1" containsNumber="1" containsInteger="1" minValue="1" maxValue="1"/>
    </cacheField>
    <cacheField name="Tablero Planeación QA" numFmtId="0">
      <sharedItems containsNonDate="0" containsString="0" containsBlank="1"/>
    </cacheField>
    <cacheField name="Tablero Trazabilidad QA" numFmtId="0">
      <sharedItems containsString="0" containsBlank="1" containsNumber="1" containsInteger="1" minValue="1" maxValue="1"/>
    </cacheField>
    <cacheField name="Ficha del Proyecto" numFmtId="0">
      <sharedItems containsString="0" containsBlank="1" containsNumber="1" containsInteger="1" minValue="1" maxValue="1"/>
    </cacheField>
    <cacheField name="Matriz de Requerimiento Negocio y Usuario" numFmtId="0">
      <sharedItems containsString="0" containsBlank="1" containsNumber="1" containsInteger="1" minValue="1" maxValue="1"/>
    </cacheField>
    <cacheField name="Flujos Funcionales Actuales" numFmtId="0">
      <sharedItems containsString="0" containsBlank="1" containsNumber="1" containsInteger="1" minValue="1" maxValue="1"/>
    </cacheField>
    <cacheField name="Documento de Negocio Preliminar" numFmtId="0">
      <sharedItems containsString="0" containsBlank="1" containsNumber="1" containsInteger="1" minValue="1" maxValue="1"/>
    </cacheField>
    <cacheField name="Formulario Catálogo de Servicios" numFmtId="0">
      <sharedItems containsString="0" containsBlank="1" containsNumber="1" containsInteger="1" minValue="1" maxValue="1"/>
    </cacheField>
    <cacheField name="Plantilla de SLA" numFmtId="0">
      <sharedItems containsNonDate="0" containsString="0" containsBlank="1"/>
    </cacheField>
    <cacheField name="Evaluación de Arquitectura" numFmtId="0">
      <sharedItems containsString="0" containsBlank="1" containsNumber="1" containsInteger="1" minValue="1" maxValue="1"/>
    </cacheField>
    <cacheField name="Contrato de Servicio" numFmtId="0">
      <sharedItems containsString="0" containsBlank="1" containsNumber="1" containsInteger="1" minValue="1" maxValue="1"/>
    </cacheField>
    <cacheField name="Matriz de Responsabilidades" numFmtId="0">
      <sharedItems containsString="0" containsBlank="1" containsNumber="1" containsInteger="1" minValue="1" maxValue="1"/>
    </cacheField>
    <cacheField name="Matriz de Requerimiento Completa" numFmtId="0">
      <sharedItems containsString="0" containsBlank="1" containsNumber="1" containsInteger="1" minValue="1" maxValue="1"/>
    </cacheField>
    <cacheField name="Casos de Uso/Documento Control de Cambio" numFmtId="0">
      <sharedItems containsString="0" containsBlank="1" containsNumber="1" containsInteger="1" minValue="1" maxValue="1"/>
    </cacheField>
    <cacheField name="Matriz de Trazabilidad (Requerimientos/Casos de Uso)" numFmtId="0">
      <sharedItems containsString="0" containsBlank="1" containsNumber="1" containsInteger="1" minValue="1" maxValue="1"/>
    </cacheField>
    <cacheField name="Diagrama de Secuencia UML" numFmtId="0">
      <sharedItems containsString="0" containsBlank="1" containsNumber="1" containsInteger="1" minValue="0" maxValue="1"/>
    </cacheField>
    <cacheField name="Diseño Arquitectura integración y datos" numFmtId="0">
      <sharedItems containsString="0" containsBlank="1" containsNumber="1" containsInteger="1" minValue="1" maxValue="1"/>
    </cacheField>
    <cacheField name="Diagrama de Conectividad" numFmtId="0">
      <sharedItems containsString="0" containsBlank="1" containsNumber="1" containsInteger="1" minValue="1" maxValue="1"/>
    </cacheField>
    <cacheField name="Diseño de infraestructura" numFmtId="0">
      <sharedItems containsString="0" containsBlank="1" containsNumber="1" containsInteger="1" minValue="1" maxValue="1"/>
    </cacheField>
    <cacheField name="Diseño de Seguridad de la información" numFmtId="0">
      <sharedItems containsString="0" containsBlank="1" containsNumber="1" containsInteger="1" minValue="1" maxValue="1"/>
    </cacheField>
    <cacheField name="Casos de Prueba/Escenarios de Pruebas" numFmtId="0">
      <sharedItems containsString="0" containsBlank="1" containsNumber="1" containsInteger="1" minValue="1" maxValue="1"/>
    </cacheField>
    <cacheField name="Matriz de Trazabilidad (Casos de Uso/Control de Cambio VS Casos de Prueba)" numFmtId="0">
      <sharedItems containsString="0" containsBlank="1" containsNumber="1" containsInteger="1" minValue="1" maxValue="1"/>
    </cacheField>
    <cacheField name="Plantilla de prueba de estrés" numFmtId="0">
      <sharedItems containsString="0" containsBlank="1" containsNumber="1" containsInteger="1" minValue="1" maxValue="1"/>
    </cacheField>
    <cacheField name="Plantilla de pruebas automatizadas" numFmtId="0">
      <sharedItems containsNonDate="0" containsString="0" containsBlank="1"/>
    </cacheField>
    <cacheField name="Documento de Negocio Final" numFmtId="0">
      <sharedItems containsString="0" containsBlank="1" containsNumber="1" containsInteger="1" minValue="1" maxValue="1"/>
    </cacheField>
    <cacheField name="Plantilla de monitoreo" numFmtId="0">
      <sharedItems containsNonDate="0" containsString="0" containsBlank="1"/>
    </cacheField>
    <cacheField name="Acta Comite de Diseño" numFmtId="0">
      <sharedItems containsString="0" containsBlank="1" containsNumber="1" containsInteger="1" minValue="1" maxValue="1"/>
    </cacheField>
    <cacheField name="Acta de Subcomite de TI" numFmtId="0">
      <sharedItems containsString="0" containsBlank="1" containsNumber="1" containsInteger="1" minValue="0" maxValue="1"/>
    </cacheField>
    <cacheField name="Diseño técnico desarrollado (Programacion)" numFmtId="0">
      <sharedItems containsString="0" containsBlank="1" containsNumber="1" containsInteger="1" minValue="1" maxValue="1"/>
    </cacheField>
    <cacheField name="Diagrama Entidad Relación " numFmtId="0">
      <sharedItems containsString="0" containsBlank="1" containsNumber="1" containsInteger="1" minValue="1" maxValue="1"/>
    </cacheField>
    <cacheField name="Documento de Evidencia de Prueba Unitarias" numFmtId="0">
      <sharedItems containsString="0" containsBlank="1" containsNumber="1" containsInteger="1" minValue="1" maxValue="1"/>
    </cacheField>
    <cacheField name="Manuales de Instalación " numFmtId="0">
      <sharedItems containsString="0" containsBlank="1" containsNumber="1" containsInteger="1" minValue="1" maxValue="1"/>
    </cacheField>
    <cacheField name="Manual de Usuario " numFmtId="0">
      <sharedItems containsString="0" containsBlank="1" containsNumber="1" containsInteger="1" minValue="1" maxValue="1"/>
    </cacheField>
    <cacheField name="Evidencias Pruebas Integradas en Testing" numFmtId="0">
      <sharedItems containsString="0" containsBlank="1" containsNumber="1" containsInteger="1" minValue="1" maxValue="1"/>
    </cacheField>
    <cacheField name="Aprobación Certificación de Usuarios" numFmtId="0">
      <sharedItems containsString="0" containsBlank="1" containsNumber="1" containsInteger="1" minValue="1" maxValue="1"/>
    </cacheField>
    <cacheField name="Aprobación Pase a Producción" numFmtId="0">
      <sharedItems containsString="0" containsBlank="1" containsNumber="1" containsInteger="1" minValue="0" maxValue="0"/>
    </cacheField>
    <cacheField name="Aceptación de Cierre"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
  <r>
    <x v="0"/>
    <s v="Evolutivo"/>
    <x v="0"/>
    <x v="0"/>
    <s v="Polanco, Junior"/>
    <s v="Div. Canales"/>
    <s v="Then, Igor"/>
    <x v="0"/>
    <m/>
    <m/>
    <m/>
    <m/>
    <s v="Confluence"/>
    <s v="Si"/>
    <m/>
    <s v="Si"/>
    <m/>
    <s v="Desarrollo"/>
    <s v="jira: https://bancopopular-bpd.atlassian.net/browse/CPDCRS_x000a_Confluence: https://bancopopular-bpd.atlassian.net/wiki/spaces/CPDCRS"/>
    <n v="1"/>
    <n v="1"/>
    <n v="1"/>
    <n v="1"/>
    <n v="1"/>
    <n v="1"/>
    <n v="1"/>
    <n v="1"/>
    <m/>
    <n v="1"/>
    <n v="1"/>
    <n v="1"/>
    <n v="1"/>
    <d v="2024-07-28T00:00:00"/>
    <n v="1"/>
    <m/>
    <n v="1"/>
    <n v="1"/>
    <m/>
    <n v="1"/>
    <m/>
    <n v="1"/>
    <n v="1"/>
    <n v="1"/>
    <n v="1"/>
    <n v="1"/>
    <n v="1"/>
    <m/>
    <n v="1"/>
    <m/>
    <n v="1"/>
    <n v="1"/>
    <n v="1"/>
    <n v="1"/>
    <n v="1"/>
    <n v="1"/>
    <n v="1"/>
    <n v="1"/>
    <n v="1"/>
    <n v="1"/>
    <n v="1"/>
    <m/>
    <m/>
    <n v="1"/>
    <m/>
    <n v="1"/>
    <n v="1"/>
    <n v="1"/>
    <n v="1"/>
    <n v="1"/>
    <n v="1"/>
    <n v="1"/>
    <m/>
    <m/>
    <m/>
    <m/>
  </r>
  <r>
    <x v="1"/>
    <s v="Evolutivo"/>
    <x v="1"/>
    <x v="1"/>
    <s v="Polanco, Junior"/>
    <s v="Div. Canales"/>
    <s v="Then, Igor"/>
    <x v="1"/>
    <m/>
    <m/>
    <m/>
    <m/>
    <s v="Confluence"/>
    <s v="Si"/>
    <m/>
    <s v="Si"/>
    <m/>
    <s v="Desarrollo"/>
    <s v="Jira: https://bancopopular-bpd.atlassian.net/browse/CIP_x000a_Confluence: https://bancopopular-bpd.atlassian.net/wiki/spaces/CIP"/>
    <n v="1"/>
    <n v="1"/>
    <n v="1"/>
    <n v="1"/>
    <n v="1"/>
    <n v="1"/>
    <n v="1"/>
    <n v="1"/>
    <m/>
    <m/>
    <m/>
    <n v="1"/>
    <n v="1"/>
    <d v="2024-07-27T00:00:00"/>
    <n v="1"/>
    <m/>
    <m/>
    <m/>
    <m/>
    <n v="1"/>
    <m/>
    <n v="1"/>
    <n v="1"/>
    <n v="1"/>
    <n v="1"/>
    <n v="1"/>
    <m/>
    <m/>
    <n v="1"/>
    <m/>
    <n v="1"/>
    <n v="1"/>
    <n v="1"/>
    <n v="1"/>
    <n v="1"/>
    <n v="1"/>
    <n v="1"/>
    <n v="1"/>
    <n v="1"/>
    <n v="1"/>
    <n v="1"/>
    <m/>
    <m/>
    <n v="1"/>
    <m/>
    <n v="1"/>
    <n v="1"/>
    <m/>
    <m/>
    <m/>
    <m/>
    <m/>
    <m/>
    <m/>
    <m/>
    <m/>
  </r>
  <r>
    <x v="2"/>
    <s v="Mediano"/>
    <x v="1"/>
    <x v="2"/>
    <s v="Alvarez, Bielca"/>
    <s v="Div. Canales"/>
    <s v="Then, Igor"/>
    <x v="2"/>
    <m/>
    <m/>
    <m/>
    <m/>
    <s v="Confluence"/>
    <s v="Si"/>
    <m/>
    <s v="Si"/>
    <m/>
    <s v="Desarrollo"/>
    <s v="Jira: https://bancopopular-bpd.atlassian.net/browse/HDMDFPP_x000a_Confluence: https://bancopopular-bpd.atlassian.net/wiki/spaces/HDMDFPP"/>
    <n v="0.96153846153846156"/>
    <n v="1"/>
    <n v="1"/>
    <n v="1"/>
    <n v="1"/>
    <n v="0.875"/>
    <n v="1"/>
    <n v="1"/>
    <m/>
    <n v="1"/>
    <n v="1"/>
    <n v="1"/>
    <n v="1"/>
    <d v="2024-07-28T00:00:00"/>
    <n v="1"/>
    <m/>
    <n v="1"/>
    <n v="1"/>
    <m/>
    <n v="1"/>
    <m/>
    <n v="1"/>
    <n v="1"/>
    <n v="1"/>
    <n v="1"/>
    <n v="1"/>
    <m/>
    <m/>
    <n v="1"/>
    <m/>
    <n v="1"/>
    <n v="1"/>
    <n v="1"/>
    <n v="1"/>
    <n v="0"/>
    <n v="1"/>
    <n v="1"/>
    <n v="1"/>
    <n v="1"/>
    <n v="1"/>
    <n v="1"/>
    <m/>
    <m/>
    <n v="1"/>
    <m/>
    <n v="1"/>
    <n v="0"/>
    <m/>
    <m/>
    <m/>
    <m/>
    <m/>
    <m/>
    <m/>
    <m/>
    <m/>
  </r>
  <r>
    <x v="3"/>
    <s v="Evolutivo"/>
    <x v="2"/>
    <x v="3"/>
    <s v="Alvarez, Bielca"/>
    <s v="Div. Canales"/>
    <s v="Then, Igor"/>
    <x v="0"/>
    <m/>
    <m/>
    <m/>
    <m/>
    <s v="Confluence"/>
    <s v="Si"/>
    <m/>
    <s v="Si"/>
    <m/>
    <s v="Desarrollo"/>
    <s v="Jira: https://bancopopular-bpd.atlassian.net/browse/MSICDMEA_x000a_Confluence: https://bancopopular-bpd.atlassian.net/wiki/spaces/MSICDMEA"/>
    <n v="1"/>
    <n v="1"/>
    <n v="1"/>
    <m/>
    <m/>
    <m/>
    <m/>
    <n v="1"/>
    <m/>
    <m/>
    <m/>
    <m/>
    <m/>
    <d v="2024-07-27T00:00:00"/>
    <n v="1"/>
    <m/>
    <m/>
    <m/>
    <m/>
    <m/>
    <m/>
    <m/>
    <n v="1"/>
    <n v="1"/>
    <n v="1"/>
    <n v="1"/>
    <n v="1"/>
    <m/>
    <n v="1"/>
    <m/>
    <m/>
    <m/>
    <m/>
    <m/>
    <m/>
    <m/>
    <m/>
    <m/>
    <m/>
    <m/>
    <m/>
    <m/>
    <m/>
    <m/>
    <m/>
    <m/>
    <m/>
    <m/>
    <m/>
    <m/>
    <m/>
    <m/>
    <m/>
    <m/>
    <m/>
    <m/>
  </r>
  <r>
    <x v="4"/>
    <s v="Mediano"/>
    <x v="1"/>
    <x v="4"/>
    <s v="Polanco, Junior"/>
    <s v="Div. Canales"/>
    <s v="Then, Igor"/>
    <x v="1"/>
    <m/>
    <m/>
    <m/>
    <m/>
    <s v="Confluence"/>
    <s v="Si"/>
    <m/>
    <s v="Si"/>
    <m/>
    <s v="Desarrollo"/>
    <s v="Jira: https://bancopopular-bpd.atlassian.net/browse/MALIBI_x000a_Confluence: https://bancopopular-bpd.atlassian.net/wiki/spaces/MALIBI"/>
    <n v="1"/>
    <n v="1"/>
    <n v="1"/>
    <n v="1"/>
    <n v="1"/>
    <n v="1"/>
    <n v="1"/>
    <n v="1"/>
    <m/>
    <m/>
    <m/>
    <n v="1"/>
    <n v="1"/>
    <d v="2024-07-27T00:00:00"/>
    <n v="1"/>
    <m/>
    <m/>
    <m/>
    <m/>
    <n v="1"/>
    <m/>
    <n v="1"/>
    <n v="1"/>
    <n v="1"/>
    <m/>
    <n v="1"/>
    <n v="1"/>
    <m/>
    <n v="1"/>
    <m/>
    <n v="1"/>
    <n v="1"/>
    <m/>
    <n v="1"/>
    <m/>
    <n v="1"/>
    <n v="1"/>
    <n v="1"/>
    <n v="1"/>
    <n v="1"/>
    <n v="1"/>
    <n v="1"/>
    <m/>
    <n v="1"/>
    <m/>
    <n v="1"/>
    <n v="1"/>
    <m/>
    <m/>
    <m/>
    <m/>
    <m/>
    <m/>
    <m/>
    <m/>
    <m/>
  </r>
  <r>
    <x v="5"/>
    <s v="Mediano"/>
    <x v="0"/>
    <x v="5"/>
    <s v="Polanco, Junior"/>
    <s v="Div. Canales"/>
    <s v="Then, Igor"/>
    <x v="0"/>
    <m/>
    <m/>
    <m/>
    <m/>
    <s v="Confluence"/>
    <s v="Si"/>
    <m/>
    <s v="Si"/>
    <m/>
    <s v="Desarrollo"/>
    <s v="Jira: https://bancopopular-bpd.atlassian.net/browse/MRATC_x000a_Confluence: https://bancopopular-bpd.atlassian.net/wiki/spaces/MRATC"/>
    <n v="1"/>
    <n v="1"/>
    <n v="1"/>
    <n v="1"/>
    <n v="1"/>
    <n v="1"/>
    <n v="1"/>
    <n v="1"/>
    <m/>
    <m/>
    <m/>
    <n v="1"/>
    <n v="1"/>
    <d v="2024-07-27T00:00:00"/>
    <n v="1"/>
    <m/>
    <m/>
    <m/>
    <m/>
    <n v="1"/>
    <m/>
    <n v="1"/>
    <n v="1"/>
    <n v="1"/>
    <m/>
    <n v="1"/>
    <m/>
    <m/>
    <n v="1"/>
    <n v="1"/>
    <n v="1"/>
    <n v="1"/>
    <n v="1"/>
    <n v="1"/>
    <m/>
    <n v="1"/>
    <n v="1"/>
    <n v="1"/>
    <n v="1"/>
    <n v="1"/>
    <n v="1"/>
    <m/>
    <m/>
    <n v="1"/>
    <m/>
    <n v="1"/>
    <n v="1"/>
    <n v="1"/>
    <n v="1"/>
    <n v="1"/>
    <n v="1"/>
    <n v="1"/>
    <m/>
    <m/>
    <m/>
    <m/>
  </r>
  <r>
    <x v="6"/>
    <s v="Release"/>
    <x v="3"/>
    <x v="6"/>
    <s v="Alvarez, Bielca"/>
    <s v="Div. Canales"/>
    <s v="Then, Igor"/>
    <x v="2"/>
    <m/>
    <m/>
    <m/>
    <m/>
    <s v="Confluence"/>
    <s v="Si"/>
    <m/>
    <s v="Si"/>
    <m/>
    <s v="Desarrollo"/>
    <s v="Jira: https://bancopopular-bpd.atlassian.net/browse/IBE_x000a_Confluence: https://bancopopular-bpd.atlassian.net/wiki/spaces/IBE"/>
    <n v="0.9285714285714286"/>
    <n v="1"/>
    <m/>
    <m/>
    <m/>
    <n v="1"/>
    <n v="0.83333333333333337"/>
    <n v="1"/>
    <m/>
    <m/>
    <m/>
    <n v="1"/>
    <n v="1"/>
    <d v="2024-07-30T00:00:00"/>
    <n v="1"/>
    <m/>
    <m/>
    <m/>
    <m/>
    <n v="1"/>
    <m/>
    <n v="1"/>
    <m/>
    <n v="1"/>
    <m/>
    <m/>
    <m/>
    <m/>
    <m/>
    <m/>
    <m/>
    <n v="1"/>
    <n v="1"/>
    <n v="1"/>
    <m/>
    <m/>
    <m/>
    <m/>
    <m/>
    <n v="1"/>
    <n v="1"/>
    <m/>
    <m/>
    <m/>
    <m/>
    <m/>
    <n v="1"/>
    <n v="1"/>
    <n v="1"/>
    <n v="1"/>
    <n v="1"/>
    <m/>
    <n v="1"/>
    <n v="1"/>
    <n v="0"/>
    <m/>
  </r>
  <r>
    <x v="7"/>
    <s v="Release"/>
    <x v="1"/>
    <x v="7"/>
    <s v="Alvarez, Bielca"/>
    <s v="Div. Canales"/>
    <s v="Then, Igor"/>
    <x v="0"/>
    <m/>
    <m/>
    <m/>
    <m/>
    <s v="Confluence"/>
    <s v="Si"/>
    <m/>
    <s v="Si"/>
    <m/>
    <s v="Desarrollo"/>
    <s v="Jira: https://bancopopular-bpd.atlassian.net/browse/R2T_x000a_Confluence: https://bancopopular-bpd.atlassian.net/wiki/spaces/R2T"/>
    <n v="1"/>
    <n v="1"/>
    <m/>
    <m/>
    <m/>
    <n v="1"/>
    <n v="1"/>
    <n v="1"/>
    <m/>
    <m/>
    <m/>
    <n v="1"/>
    <n v="1"/>
    <d v="2024-07-30T00:00:00"/>
    <n v="1"/>
    <m/>
    <m/>
    <m/>
    <m/>
    <n v="1"/>
    <m/>
    <n v="1"/>
    <m/>
    <n v="1"/>
    <m/>
    <m/>
    <m/>
    <m/>
    <m/>
    <m/>
    <m/>
    <n v="1"/>
    <n v="1"/>
    <n v="1"/>
    <m/>
    <m/>
    <m/>
    <m/>
    <m/>
    <n v="1"/>
    <n v="1"/>
    <m/>
    <m/>
    <m/>
    <m/>
    <m/>
    <n v="1"/>
    <m/>
    <m/>
    <m/>
    <m/>
    <m/>
    <m/>
    <m/>
    <m/>
    <m/>
  </r>
  <r>
    <x v="8"/>
    <s v="Evolutivo"/>
    <x v="1"/>
    <x v="8"/>
    <s v="Alvarez, Bielca"/>
    <s v="Div. Canales"/>
    <s v="Then, Igor"/>
    <x v="2"/>
    <m/>
    <m/>
    <m/>
    <m/>
    <s v="Confluence"/>
    <s v="No"/>
    <m/>
    <s v="Si"/>
    <m/>
    <s v="Desarrollo"/>
    <s v="Jira: https://bancopopular-bpd.atlassian.net/browse/UIACCDPS_x000a_Confluence: https://bancopopular-bpd.atlassian.net/wiki/spaces/UIACCDPS"/>
    <n v="1"/>
    <n v="1"/>
    <n v="1"/>
    <n v="1"/>
    <n v="1"/>
    <n v="1"/>
    <n v="1"/>
    <n v="1"/>
    <m/>
    <m/>
    <m/>
    <m/>
    <m/>
    <d v="2024-07-27T00:00:00"/>
    <n v="1"/>
    <m/>
    <m/>
    <m/>
    <m/>
    <m/>
    <m/>
    <m/>
    <n v="1"/>
    <n v="1"/>
    <m/>
    <n v="1"/>
    <n v="1"/>
    <m/>
    <n v="1"/>
    <m/>
    <n v="1"/>
    <n v="1"/>
    <m/>
    <m/>
    <m/>
    <n v="1"/>
    <n v="1"/>
    <n v="1"/>
    <n v="1"/>
    <n v="1"/>
    <m/>
    <m/>
    <m/>
    <n v="1"/>
    <m/>
    <n v="1"/>
    <n v="1"/>
    <m/>
    <m/>
    <m/>
    <m/>
    <m/>
    <m/>
    <m/>
    <m/>
    <m/>
  </r>
  <r>
    <x v="9"/>
    <m/>
    <x v="4"/>
    <x v="9"/>
    <m/>
    <m/>
    <m/>
    <x v="3"/>
    <m/>
    <m/>
    <m/>
    <m/>
    <m/>
    <m/>
    <m/>
    <m/>
    <m/>
    <m/>
    <m/>
    <m/>
    <m/>
    <m/>
    <m/>
    <m/>
    <m/>
    <m/>
    <m/>
    <m/>
    <m/>
    <m/>
    <m/>
    <m/>
    <m/>
    <m/>
    <m/>
    <m/>
    <m/>
    <m/>
    <m/>
    <m/>
    <m/>
    <m/>
    <m/>
    <m/>
    <m/>
    <m/>
    <m/>
    <m/>
    <m/>
    <m/>
    <m/>
    <m/>
    <m/>
    <m/>
    <m/>
    <m/>
    <m/>
    <m/>
    <m/>
    <m/>
    <m/>
    <m/>
    <m/>
    <m/>
    <m/>
    <m/>
    <m/>
    <m/>
    <m/>
    <m/>
    <m/>
    <m/>
    <m/>
    <m/>
    <m/>
  </r>
  <r>
    <x v="9"/>
    <m/>
    <x v="4"/>
    <x v="9"/>
    <m/>
    <m/>
    <m/>
    <x v="3"/>
    <m/>
    <m/>
    <m/>
    <m/>
    <m/>
    <m/>
    <m/>
    <m/>
    <m/>
    <m/>
    <m/>
    <m/>
    <m/>
    <m/>
    <m/>
    <m/>
    <m/>
    <m/>
    <m/>
    <m/>
    <m/>
    <m/>
    <m/>
    <m/>
    <m/>
    <m/>
    <m/>
    <m/>
    <m/>
    <m/>
    <m/>
    <m/>
    <m/>
    <m/>
    <m/>
    <m/>
    <m/>
    <m/>
    <m/>
    <m/>
    <m/>
    <m/>
    <m/>
    <m/>
    <m/>
    <m/>
    <m/>
    <m/>
    <m/>
    <m/>
    <m/>
    <m/>
    <m/>
    <m/>
    <m/>
    <m/>
    <m/>
    <m/>
    <m/>
    <m/>
    <m/>
    <m/>
    <m/>
    <m/>
    <m/>
    <m/>
    <m/>
  </r>
  <r>
    <x v="9"/>
    <m/>
    <x v="4"/>
    <x v="9"/>
    <m/>
    <m/>
    <m/>
    <x v="3"/>
    <m/>
    <m/>
    <m/>
    <m/>
    <m/>
    <m/>
    <m/>
    <m/>
    <m/>
    <m/>
    <m/>
    <m/>
    <m/>
    <m/>
    <m/>
    <m/>
    <m/>
    <m/>
    <m/>
    <m/>
    <m/>
    <m/>
    <m/>
    <m/>
    <m/>
    <m/>
    <m/>
    <m/>
    <m/>
    <m/>
    <m/>
    <m/>
    <m/>
    <m/>
    <m/>
    <m/>
    <m/>
    <m/>
    <m/>
    <m/>
    <m/>
    <m/>
    <m/>
    <m/>
    <m/>
    <m/>
    <m/>
    <m/>
    <m/>
    <m/>
    <m/>
    <m/>
    <m/>
    <m/>
    <m/>
    <m/>
    <m/>
    <m/>
    <m/>
    <m/>
    <m/>
    <m/>
    <m/>
    <m/>
    <m/>
    <m/>
    <m/>
  </r>
  <r>
    <x v="9"/>
    <m/>
    <x v="4"/>
    <x v="9"/>
    <m/>
    <m/>
    <m/>
    <x v="3"/>
    <m/>
    <m/>
    <m/>
    <m/>
    <m/>
    <m/>
    <m/>
    <m/>
    <m/>
    <m/>
    <m/>
    <m/>
    <m/>
    <m/>
    <m/>
    <m/>
    <m/>
    <m/>
    <m/>
    <m/>
    <m/>
    <m/>
    <m/>
    <m/>
    <m/>
    <m/>
    <m/>
    <m/>
    <m/>
    <m/>
    <m/>
    <m/>
    <m/>
    <m/>
    <m/>
    <m/>
    <m/>
    <m/>
    <m/>
    <m/>
    <m/>
    <m/>
    <m/>
    <m/>
    <m/>
    <m/>
    <m/>
    <m/>
    <m/>
    <m/>
    <m/>
    <m/>
    <m/>
    <m/>
    <m/>
    <m/>
    <m/>
    <m/>
    <m/>
    <m/>
    <m/>
    <m/>
    <m/>
    <m/>
    <m/>
    <m/>
    <m/>
  </r>
  <r>
    <x v="9"/>
    <m/>
    <x v="4"/>
    <x v="9"/>
    <m/>
    <m/>
    <m/>
    <x v="3"/>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I3:J14" firstHeaderRow="1" firstDataRow="1" firstDataCol="1"/>
  <pivotFields count="75">
    <pivotField axis="axisRow" showAll="0">
      <items count="20">
        <item m="1" x="14"/>
        <item x="0"/>
        <item m="1" x="15"/>
        <item m="1" x="16"/>
        <item x="2"/>
        <item x="3"/>
        <item x="4"/>
        <item x="5"/>
        <item m="1" x="10"/>
        <item m="1" x="18"/>
        <item x="6"/>
        <item m="1" x="12"/>
        <item x="7"/>
        <item m="1" x="13"/>
        <item x="8"/>
        <item x="1"/>
        <item m="1" x="17"/>
        <item x="9"/>
        <item m="1" x="11"/>
        <item t="default"/>
      </items>
    </pivotField>
    <pivotField showAll="0"/>
    <pivotField showAll="0">
      <items count="13">
        <item m="1" x="10"/>
        <item m="1" x="9"/>
        <item m="1" x="6"/>
        <item x="1"/>
        <item m="1" x="8"/>
        <item m="1" x="7"/>
        <item m="1" x="5"/>
        <item x="3"/>
        <item x="0"/>
        <item m="1" x="11"/>
        <item x="2"/>
        <item x="4"/>
        <item t="default"/>
      </items>
    </pivotField>
    <pivotField showAll="0">
      <items count="15">
        <item x="0"/>
        <item x="5"/>
        <item x="3"/>
        <item m="1" x="10"/>
        <item x="4"/>
        <item m="1" x="12"/>
        <item x="7"/>
        <item x="2"/>
        <item x="6"/>
        <item x="1"/>
        <item m="1" x="11"/>
        <item x="8"/>
        <item m="1" x="13"/>
        <item x="9"/>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numFmtId="9" showAll="0"/>
    <pivotField showAll="0"/>
    <pivotField showAll="0"/>
    <pivotField showAll="0"/>
    <pivotField showAll="0"/>
    <pivotField showAll="0"/>
    <pivotField showAll="0"/>
    <pivotField showAll="0"/>
    <pivotField showAll="0"/>
    <pivotField showAll="0"/>
    <pivotField dataField="1"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
    </i>
    <i>
      <x v="4"/>
    </i>
    <i>
      <x v="5"/>
    </i>
    <i>
      <x v="6"/>
    </i>
    <i>
      <x v="7"/>
    </i>
    <i>
      <x v="10"/>
    </i>
    <i>
      <x v="12"/>
    </i>
    <i>
      <x v="14"/>
    </i>
    <i>
      <x v="15"/>
    </i>
    <i>
      <x v="17"/>
    </i>
    <i t="grand">
      <x/>
    </i>
  </rowItems>
  <colItems count="1">
    <i/>
  </colItems>
  <dataFields count="1">
    <dataField name="Average of Jira Desarrollo" fld="30" subtotal="average" baseField="0" baseItem="0" numFmtId="10"/>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14" firstHeaderRow="1" firstDataRow="1" firstDataCol="1"/>
  <pivotFields count="75">
    <pivotField showAll="0"/>
    <pivotField showAll="0"/>
    <pivotField showAll="0">
      <items count="13">
        <item m="1" x="10"/>
        <item m="1" x="9"/>
        <item m="1" x="6"/>
        <item x="1"/>
        <item m="1" x="8"/>
        <item m="1" x="7"/>
        <item m="1" x="5"/>
        <item x="3"/>
        <item x="0"/>
        <item m="1" x="11"/>
        <item x="2"/>
        <item x="4"/>
        <item t="default"/>
      </items>
    </pivotField>
    <pivotField axis="axisRow" showAll="0">
      <items count="15">
        <item x="0"/>
        <item x="5"/>
        <item x="3"/>
        <item m="1" x="10"/>
        <item x="4"/>
        <item m="1" x="12"/>
        <item x="7"/>
        <item x="2"/>
        <item x="6"/>
        <item m="1" x="11"/>
        <item x="8"/>
        <item m="1" x="13"/>
        <item x="9"/>
        <item x="1"/>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1">
    <i>
      <x/>
    </i>
    <i>
      <x v="1"/>
    </i>
    <i>
      <x v="2"/>
    </i>
    <i>
      <x v="4"/>
    </i>
    <i>
      <x v="6"/>
    </i>
    <i>
      <x v="7"/>
    </i>
    <i>
      <x v="8"/>
    </i>
    <i>
      <x v="10"/>
    </i>
    <i>
      <x v="12"/>
    </i>
    <i>
      <x v="13"/>
    </i>
    <i t="grand">
      <x/>
    </i>
  </rowItems>
  <colItems count="1">
    <i/>
  </colItems>
  <dataFields count="1">
    <dataField name="Average of Calificación Lider Desarrollo " fld="24" subtotal="average" baseField="3" baseItem="0" numFmtId="10"/>
  </dataFields>
  <formats count="1">
    <format dxfId="1">
      <pivotArea outline="0" collapsedLevelsAreSubtotals="1"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Q14" firstHeaderRow="0" firstDataRow="1" firstDataCol="1"/>
  <pivotFields count="75">
    <pivotField axis="axisRow" showAll="0">
      <items count="20">
        <item m="1" x="14"/>
        <item x="0"/>
        <item m="1" x="15"/>
        <item m="1" x="16"/>
        <item x="2"/>
        <item x="3"/>
        <item x="4"/>
        <item x="5"/>
        <item m="1" x="10"/>
        <item m="1" x="18"/>
        <item x="6"/>
        <item m="1" x="12"/>
        <item x="7"/>
        <item m="1" x="13"/>
        <item x="8"/>
        <item x="1"/>
        <item m="1" x="17"/>
        <item x="9"/>
        <item m="1"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dataField="1" numFmtId="9" showAll="0"/>
    <pivotField dataField="1" showAll="0"/>
    <pivotField dataField="1" showAll="0"/>
    <pivotField dataField="1" showAll="0"/>
    <pivotField showAll="0"/>
    <pivotField dataField="1"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
    </i>
    <i>
      <x v="4"/>
    </i>
    <i>
      <x v="5"/>
    </i>
    <i>
      <x v="6"/>
    </i>
    <i>
      <x v="7"/>
    </i>
    <i>
      <x v="10"/>
    </i>
    <i>
      <x v="12"/>
    </i>
    <i>
      <x v="14"/>
    </i>
    <i>
      <x v="15"/>
    </i>
    <i>
      <x v="17"/>
    </i>
    <i t="grand">
      <x/>
    </i>
  </rowItems>
  <colFields count="1">
    <field x="-2"/>
  </colFields>
  <colItems count="5">
    <i>
      <x/>
    </i>
    <i i="1">
      <x v="1"/>
    </i>
    <i i="2">
      <x v="2"/>
    </i>
    <i i="3">
      <x v="3"/>
    </i>
    <i i="4">
      <x v="4"/>
    </i>
  </colItems>
  <dataFields count="5">
    <dataField name=" Gestor" fld="20" subtotal="average" baseField="0" baseItem="9"/>
    <dataField name="Arq Funcional" fld="21" subtotal="average" baseField="0" baseItem="4"/>
    <dataField name=" Arq I y D" fld="22" subtotal="average" baseField="0" baseItem="2"/>
    <dataField name="Lider Testing " fld="25" subtotal="average" baseField="0" baseItem="2"/>
    <dataField name="Infraestructura" fld="23" subtotal="average" baseField="0" baseItem="2"/>
  </dataFields>
  <formats count="4">
    <format dxfId="5">
      <pivotArea collapsedLevelsAreSubtotals="1" fieldPosition="0">
        <references count="2">
          <reference field="4294967294" count="1" selected="0">
            <x v="0"/>
          </reference>
          <reference field="0" count="0"/>
        </references>
      </pivotArea>
    </format>
    <format dxfId="4">
      <pivotArea collapsedLevelsAreSubtotals="1" fieldPosition="0">
        <references count="2">
          <reference field="4294967294" count="1" selected="0">
            <x v="1"/>
          </reference>
          <reference field="0" count="0"/>
        </references>
      </pivotArea>
    </format>
    <format dxfId="3">
      <pivotArea grandRow="1" outline="0" collapsedLevelsAreSubtotals="1" fieldPosition="0"/>
    </format>
    <format dxfId="2">
      <pivotArea collapsedLevelsAreSubtotals="1" fieldPosition="0">
        <references count="2">
          <reference field="4294967294" count="3" selected="0">
            <x v="2"/>
            <x v="3"/>
            <x v="4"/>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yecto asignado">
  <location ref="C3:D14" firstHeaderRow="1" firstDataRow="1" firstDataCol="1"/>
  <pivotFields count="75">
    <pivotField axis="axisRow" showAll="0">
      <items count="20">
        <item m="1" x="14"/>
        <item x="0"/>
        <item m="1" x="15"/>
        <item m="1" x="16"/>
        <item x="2"/>
        <item x="3"/>
        <item x="4"/>
        <item x="5"/>
        <item m="1" x="10"/>
        <item m="1" x="18"/>
        <item x="6"/>
        <item m="1" x="12"/>
        <item x="7"/>
        <item m="1" x="13"/>
        <item x="8"/>
        <item x="1"/>
        <item m="1" x="17"/>
        <item x="9"/>
        <item m="1" x="11"/>
        <item t="default"/>
      </items>
    </pivotField>
    <pivotField showAll="0"/>
    <pivotField showAll="0">
      <items count="13">
        <item m="1" x="10"/>
        <item m="1" x="9"/>
        <item m="1" x="6"/>
        <item x="1"/>
        <item m="1" x="8"/>
        <item m="1" x="7"/>
        <item m="1" x="5"/>
        <item x="3"/>
        <item x="0"/>
        <item m="1" x="11"/>
        <item x="2"/>
        <item x="4"/>
        <item t="default"/>
      </items>
    </pivotField>
    <pivotField showAll="0">
      <items count="15">
        <item x="0"/>
        <item x="5"/>
        <item x="3"/>
        <item m="1" x="10"/>
        <item x="4"/>
        <item m="1" x="12"/>
        <item x="7"/>
        <item x="2"/>
        <item x="6"/>
        <item x="1"/>
        <item m="1" x="11"/>
        <item x="8"/>
        <item m="1" x="13"/>
        <item x="9"/>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9" showAll="0"/>
    <pivotField numFmtId="9"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v="1"/>
    </i>
    <i>
      <x v="4"/>
    </i>
    <i>
      <x v="5"/>
    </i>
    <i>
      <x v="6"/>
    </i>
    <i>
      <x v="7"/>
    </i>
    <i>
      <x v="10"/>
    </i>
    <i>
      <x v="12"/>
    </i>
    <i>
      <x v="14"/>
    </i>
    <i>
      <x v="15"/>
    </i>
    <i>
      <x v="17"/>
    </i>
    <i t="grand">
      <x/>
    </i>
  </rowItems>
  <colItems count="1">
    <i/>
  </colItems>
  <dataFields count="1">
    <dataField name="Calificacion del Proyecto" fld="19" subtotal="average" baseField="3" baseItem="0" numFmtId="10"/>
  </dataFields>
  <formats count="1">
    <format dxfId="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tapa" sourceName="Etapa ">
  <pivotTables>
    <pivotTable tabId="2" name="PivotTable1"/>
    <pivotTable tabId="2" name="PivotTable2"/>
    <pivotTable tabId="2" name="PivotTable4"/>
  </pivotTables>
  <data>
    <tabular pivotCacheId="1">
      <items count="12">
        <i x="1" s="1"/>
        <i x="3" s="1"/>
        <i x="0" s="1"/>
        <i x="2" s="1"/>
        <i x="10" s="1" nd="1"/>
        <i x="9" s="1" nd="1"/>
        <i x="6" s="1" nd="1"/>
        <i x="8" s="1" nd="1"/>
        <i x="7" s="1" nd="1"/>
        <i x="5" s="1" nd="1"/>
        <i x="11"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rente" sourceName="Gerente ">
  <pivotTables>
    <pivotTable tabId="2" name="PivotTable1"/>
    <pivotTable tabId="2" name="PivotTable2"/>
    <pivotTable tabId="2" name="PivotTable4"/>
  </pivotTables>
  <data>
    <tabular pivotCacheId="1">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íder" sourceName="Líder ">
  <pivotTables>
    <pivotTable tabId="2" name="PivotTable1"/>
    <pivotTable tabId="2" name="PivotTable2"/>
    <pivotTable tabId="2" name="PivotTable4"/>
  </pivotTables>
  <data>
    <tabular pivotCacheId="1">
      <items count="14">
        <i x="0" s="1"/>
        <i x="5" s="1"/>
        <i x="3" s="1"/>
        <i x="4" s="1"/>
        <i x="7" s="1"/>
        <i x="2" s="1"/>
        <i x="6" s="1"/>
        <i x="1" s="1"/>
        <i x="8" s="1"/>
        <i x="10" s="1" nd="1"/>
        <i x="12" s="1" nd="1"/>
        <i x="11" s="1" nd="1"/>
        <i x="13" s="1" nd="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tapa  1" cache="Slicer_Etapa" columnCount="2" style="miEstilo1" rowHeight="234950"/>
  <slicer name="Gerente  1" cache="Slicer_Gerente" columnCount="3" style="miEstilo 2" rowHeight="234950"/>
  <slicer name="Líder  1" cache="Slicer_Líder" style="miEstilo3" rowHeight="234950"/>
</slicers>
</file>

<file path=xl/tables/table1.xml><?xml version="1.0" encoding="utf-8"?>
<table xmlns="http://schemas.openxmlformats.org/spreadsheetml/2006/main" id="1" name="BD" displayName="BD" ref="A3:BW17" totalsRowShown="0" headerRowDxfId="82" headerRowBorderDxfId="81" tableBorderDxfId="80">
  <autoFilter ref="A3:BW17"/>
  <tableColumns count="75">
    <tableColumn id="1" name="Proyecto" dataDxfId="79"/>
    <tableColumn id="2" name="Canal " dataDxfId="78" dataCellStyle="Normal 94"/>
    <tableColumn id="3" name="Etapa " dataDxfId="77"/>
    <tableColumn id="4" name="Líder " dataDxfId="76"/>
    <tableColumn id="5" name="Gestor de la Demanda " dataDxfId="75"/>
    <tableColumn id="6" name="División " dataDxfId="74" dataCellStyle="Normal 8"/>
    <tableColumn id="7" name="Gerente División " dataDxfId="73" dataCellStyle="Normal 8"/>
    <tableColumn id="8" name="Gerente " dataDxfId="72"/>
    <tableColumn id="9" name="Líder Testing " dataDxfId="71"/>
    <tableColumn id="10" name="Fecha planificada fin analisis" dataDxfId="70"/>
    <tableColumn id="11" name="Fecha real fin analisis" dataDxfId="69"/>
    <tableColumn id="12" name="Desvio Análisis" dataDxfId="68"/>
    <tableColumn id="13" name="Herramienta" dataDxfId="67"/>
    <tableColumn id="14" name="Incluir" dataDxfId="66"/>
    <tableColumn id="15" name="Documentación Completada" dataDxfId="65"/>
    <tableColumn id="16" name="Nuevo esquema" dataDxfId="64"/>
    <tableColumn id="17" name="Fecha_Cierre" dataDxfId="63"/>
    <tableColumn id="18" name="Implementador" dataDxfId="62"/>
    <tableColumn id="19" name="Espacio Jira / Confluence" dataDxfId="61"/>
    <tableColumn id="20" name="Calificación del proyecto  de acuerdo a la etapa " dataDxfId="60" dataCellStyle="Hyperlink"/>
    <tableColumn id="21" name="Calificación Gestor" dataDxfId="59" dataCellStyle="Percent"/>
    <tableColumn id="22" name="Calificación Arquictura Funcional" dataDxfId="58" dataCellStyle="Percent"/>
    <tableColumn id="23" name="Calificación Arquitectura Integración y Datos" dataDxfId="57" dataCellStyle="Percent"/>
    <tableColumn id="24" name="Calificación Infraestructura" dataDxfId="56" dataCellStyle="Percent"/>
    <tableColumn id="25" name="Calificación Lider Desarrollo " dataDxfId="55" dataCellStyle="Percent"/>
    <tableColumn id="26" name="Calificación Lider Testing " dataDxfId="54" dataCellStyle="Percent"/>
    <tableColumn id="27" name="Jira Gestor" dataDxfId="53" dataCellStyle="Percent"/>
    <tableColumn id="28" name="Jira Arq. Funcional" dataDxfId="52" dataCellStyle="Percent"/>
    <tableColumn id="29" name="Jira Arq. I&amp;D" dataDxfId="51" dataCellStyle="Percent"/>
    <tableColumn id="30" name="Jira Arq. Infra" dataDxfId="50" dataCellStyle="Percent"/>
    <tableColumn id="31" name="Jira Desarrollo" dataDxfId="49" dataCellStyle="Percent"/>
    <tableColumn id="32" name="Jira QA" dataDxfId="48" dataCellStyle="Percent"/>
    <tableColumn id="33" name="Fecha última calificación " dataDxfId="47" dataCellStyle="Percent"/>
    <tableColumn id="34" name="Tablero de Planeación Gestor" dataDxfId="46"/>
    <tableColumn id="35" name="Tablero de Planeación Funcional" dataDxfId="45"/>
    <tableColumn id="36" name="Tablero de Planeación I&amp;D" dataDxfId="44"/>
    <tableColumn id="37" name="Tablero de Planeación Infraestructura" dataDxfId="43"/>
    <tableColumn id="38" name="Tablero Planeación Desarrollo" dataDxfId="42"/>
    <tableColumn id="39" name="Tablero Trazabilidad Desarrollo" dataDxfId="41"/>
    <tableColumn id="40" name="Tablero Planeación QA" dataDxfId="40"/>
    <tableColumn id="41" name="Tablero Trazabilidad QA" dataDxfId="39"/>
    <tableColumn id="42" name="Ficha del Proyecto" dataDxfId="38"/>
    <tableColumn id="43" name="Matriz de Requerimiento Negocio y Usuario" dataDxfId="37"/>
    <tableColumn id="44" name="Flujos Funcionales Actuales" dataDxfId="36"/>
    <tableColumn id="45" name="Documento de Negocio Preliminar" dataDxfId="35"/>
    <tableColumn id="46" name="Formulario Catálogo de Servicios" dataDxfId="34"/>
    <tableColumn id="47" name="Plantilla de SLA" dataDxfId="33"/>
    <tableColumn id="48" name="Evaluación de Arquitectura" dataDxfId="32"/>
    <tableColumn id="49" name="Contrato de Servicio" dataDxfId="31"/>
    <tableColumn id="50" name="Matriz de Responsabilidades" dataDxfId="30"/>
    <tableColumn id="51" name="Matriz de Requerimiento Completa"/>
    <tableColumn id="52" name="Casos de Uso/Documento Control de Cambio" dataDxfId="29"/>
    <tableColumn id="53" name="Matriz de Trazabilidad (Requerimientos/Casos de Uso)" dataDxfId="28"/>
    <tableColumn id="54" name="Diagrama de Secuencia UML" dataDxfId="27"/>
    <tableColumn id="55" name="Diseño Arquitectura integración y datos" dataDxfId="26"/>
    <tableColumn id="56" name="Diagrama de Conectividad" dataDxfId="25"/>
    <tableColumn id="57" name="Diseño de infraestructura" dataDxfId="24"/>
    <tableColumn id="58" name="Diseño de Seguridad de la información" dataDxfId="23"/>
    <tableColumn id="59" name="Casos de Prueba/Escenarios de Pruebas" dataDxfId="22"/>
    <tableColumn id="60" name="Matriz de Trazabilidad (Casos de Uso/Control de Cambio VS Casos de Prueba)" dataDxfId="21"/>
    <tableColumn id="61" name="Plantilla de prueba de estrés" dataDxfId="20"/>
    <tableColumn id="62" name="Plantilla de pruebas automatizadas" dataDxfId="19"/>
    <tableColumn id="63" name="Documento de Negocio Final" dataDxfId="18"/>
    <tableColumn id="64" name="Plantilla de monitoreo" dataDxfId="17"/>
    <tableColumn id="65" name="Acta Comite de Diseño" dataDxfId="16"/>
    <tableColumn id="66" name="Acta de Subcomite de TI" dataDxfId="15"/>
    <tableColumn id="67" name="Diseño técnico desarrollado (Programacion)"/>
    <tableColumn id="68" name="Diagrama Entidad Relación " dataDxfId="14"/>
    <tableColumn id="69" name="Documento de Evidencia de Prueba Unitarias" dataDxfId="13"/>
    <tableColumn id="70" name="Manuales de Instalación " dataDxfId="12"/>
    <tableColumn id="71" name="Manual de Usuario " dataDxfId="11"/>
    <tableColumn id="72" name="Evidencias Pruebas Integradas en Testing"/>
    <tableColumn id="73" name="Aprobación Certificación de Usuarios"/>
    <tableColumn id="74" name="Aprobación Pase a Producción" dataDxfId="10"/>
    <tableColumn id="75" name="Aceptación de Cierr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N2:O14" totalsRowShown="0">
  <autoFilter ref="N2:O14"/>
  <tableColumns count="2">
    <tableColumn id="1" name="Etapa" dataDxfId="9"/>
    <tableColumn id="2" name="Puntos"/>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Q2:S17" totalsRowShown="0">
  <tableColumns count="3">
    <tableColumn id="1" name="Ranking" dataDxfId="8"/>
    <tableColumn id="2" name="Proyecto" dataDxfId="7">
      <calculatedColumnFormula>INDEX($C$3:$C$17, MATCH(Q3, $K$3:$K$17,0))</calculatedColumnFormula>
    </tableColumn>
    <tableColumn id="3" name="Lider">
      <calculatedColumnFormula>INDEX($B$3:$B$17, MATCH(Q3, $K$3:$K$17, 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8"/>
  <sheetViews>
    <sheetView zoomScale="70" zoomScaleNormal="70" workbookViewId="0">
      <pane xSplit="4" ySplit="3" topLeftCell="E4" activePane="bottomRight" state="frozen"/>
      <selection pane="topRight" activeCell="E1" sqref="E1"/>
      <selection pane="bottomLeft" activeCell="A3" sqref="A3"/>
      <selection pane="bottomRight" activeCell="H2" sqref="H2"/>
    </sheetView>
  </sheetViews>
  <sheetFormatPr defaultRowHeight="14.4"/>
  <cols>
    <col min="1" max="1" width="40.33203125" customWidth="1"/>
    <col min="2" max="4" width="15.44140625" customWidth="1"/>
    <col min="5" max="5" width="22.33203125" customWidth="1"/>
    <col min="6" max="6" width="15.44140625" customWidth="1"/>
    <col min="7" max="7" width="17.88671875" customWidth="1"/>
    <col min="8" max="9" width="15.44140625" customWidth="1"/>
    <col min="10" max="10" width="27.33203125" customWidth="1"/>
    <col min="11" max="11" width="21.21875" customWidth="1"/>
    <col min="12" max="12" width="15.88671875" customWidth="1"/>
    <col min="13" max="14" width="15.44140625" customWidth="1"/>
    <col min="15" max="15" width="27.21875" customWidth="1"/>
    <col min="16" max="16" width="17" customWidth="1"/>
    <col min="17" max="17" width="15.44140625" customWidth="1"/>
    <col min="18" max="18" width="16.44140625" customWidth="1"/>
    <col min="19" max="19" width="88.6640625" bestFit="1" customWidth="1"/>
    <col min="20" max="75" width="15.77734375" customWidth="1"/>
  </cols>
  <sheetData>
    <row r="1" spans="1:75">
      <c r="AO1" s="31" t="s">
        <v>126</v>
      </c>
      <c r="AP1" s="74" t="s">
        <v>101</v>
      </c>
      <c r="AQ1" s="74"/>
      <c r="AR1" s="74"/>
      <c r="AS1" s="74"/>
      <c r="AT1" s="74"/>
      <c r="AU1" s="74"/>
      <c r="AV1" s="74"/>
      <c r="AW1" s="74"/>
      <c r="AX1" s="32" t="s">
        <v>119</v>
      </c>
      <c r="AY1" s="75" t="s">
        <v>83</v>
      </c>
      <c r="AZ1" s="75"/>
      <c r="BA1" s="75"/>
      <c r="BB1" s="75"/>
      <c r="BC1" s="75"/>
      <c r="BD1" s="75"/>
      <c r="BE1" s="75"/>
      <c r="BF1" s="75"/>
      <c r="BG1" s="75"/>
      <c r="BH1" s="75"/>
      <c r="BI1" s="75"/>
      <c r="BJ1" s="75"/>
      <c r="BK1" s="75"/>
      <c r="BL1" s="75"/>
      <c r="BM1" s="75"/>
      <c r="BN1" s="75"/>
      <c r="BO1" s="76" t="s">
        <v>120</v>
      </c>
      <c r="BP1" s="76"/>
      <c r="BQ1" s="76"/>
      <c r="BR1" s="77" t="s">
        <v>121</v>
      </c>
      <c r="BS1" s="77"/>
      <c r="BT1" s="34" t="s">
        <v>122</v>
      </c>
      <c r="BU1" s="33" t="s">
        <v>123</v>
      </c>
      <c r="BV1" s="78" t="s">
        <v>124</v>
      </c>
      <c r="BW1" s="78"/>
    </row>
    <row r="2" spans="1:75" s="29" customFormat="1" ht="43.2">
      <c r="AO2" s="35" t="s">
        <v>125</v>
      </c>
      <c r="AP2" s="30" t="s">
        <v>113</v>
      </c>
      <c r="AQ2" s="30" t="s">
        <v>113</v>
      </c>
      <c r="AR2" s="30" t="s">
        <v>113</v>
      </c>
      <c r="AS2" s="30" t="s">
        <v>113</v>
      </c>
      <c r="AT2" s="30" t="s">
        <v>113</v>
      </c>
      <c r="AU2" s="30" t="s">
        <v>113</v>
      </c>
      <c r="AV2" s="30" t="s">
        <v>115</v>
      </c>
      <c r="AW2" s="30" t="s">
        <v>115</v>
      </c>
      <c r="AX2" s="30" t="s">
        <v>83</v>
      </c>
      <c r="AY2" s="30" t="s">
        <v>83</v>
      </c>
      <c r="AZ2" s="30" t="s">
        <v>83</v>
      </c>
      <c r="BA2" s="30" t="s">
        <v>83</v>
      </c>
      <c r="BB2" s="30" t="s">
        <v>83</v>
      </c>
      <c r="BC2" s="30" t="s">
        <v>116</v>
      </c>
      <c r="BD2" s="30" t="s">
        <v>117</v>
      </c>
      <c r="BE2" s="30" t="s">
        <v>117</v>
      </c>
      <c r="BF2" s="30" t="s">
        <v>83</v>
      </c>
      <c r="BG2" s="30" t="s">
        <v>114</v>
      </c>
      <c r="BH2" s="30" t="s">
        <v>114</v>
      </c>
      <c r="BI2" s="30" t="s">
        <v>83</v>
      </c>
      <c r="BJ2" s="30" t="s">
        <v>114</v>
      </c>
      <c r="BK2" s="30" t="s">
        <v>118</v>
      </c>
      <c r="BL2" s="30" t="s">
        <v>83</v>
      </c>
      <c r="BM2" s="30" t="s">
        <v>83</v>
      </c>
      <c r="BN2" s="30" t="s">
        <v>83</v>
      </c>
      <c r="BO2" s="30" t="s">
        <v>83</v>
      </c>
      <c r="BP2" s="30" t="s">
        <v>83</v>
      </c>
      <c r="BQ2" s="30" t="s">
        <v>83</v>
      </c>
      <c r="BR2" s="30" t="s">
        <v>83</v>
      </c>
      <c r="BS2" s="30" t="s">
        <v>83</v>
      </c>
      <c r="BT2" s="30" t="s">
        <v>114</v>
      </c>
      <c r="BU2" s="30" t="s">
        <v>114</v>
      </c>
      <c r="BV2" s="30" t="s">
        <v>114</v>
      </c>
      <c r="BW2" s="30" t="s">
        <v>83</v>
      </c>
    </row>
    <row r="3" spans="1:75" ht="87" thickBot="1">
      <c r="A3" s="39" t="s">
        <v>0</v>
      </c>
      <c r="B3" s="39" t="s">
        <v>1</v>
      </c>
      <c r="C3" s="39" t="s">
        <v>8</v>
      </c>
      <c r="D3" s="39" t="s">
        <v>6</v>
      </c>
      <c r="E3" s="39" t="s">
        <v>2</v>
      </c>
      <c r="F3" s="39" t="s">
        <v>3</v>
      </c>
      <c r="G3" s="39" t="s">
        <v>4</v>
      </c>
      <c r="H3" s="39" t="s">
        <v>5</v>
      </c>
      <c r="I3" s="39" t="s">
        <v>7</v>
      </c>
      <c r="J3" s="39" t="s">
        <v>9</v>
      </c>
      <c r="K3" s="39" t="s">
        <v>10</v>
      </c>
      <c r="L3" s="39" t="s">
        <v>11</v>
      </c>
      <c r="M3" s="39" t="s">
        <v>12</v>
      </c>
      <c r="N3" s="39" t="s">
        <v>13</v>
      </c>
      <c r="O3" s="39" t="s">
        <v>14</v>
      </c>
      <c r="P3" s="39" t="s">
        <v>15</v>
      </c>
      <c r="Q3" s="39" t="s">
        <v>16</v>
      </c>
      <c r="R3" s="39" t="s">
        <v>17</v>
      </c>
      <c r="S3" s="39" t="s">
        <v>18</v>
      </c>
      <c r="T3" s="39" t="s">
        <v>19</v>
      </c>
      <c r="U3" s="39" t="s">
        <v>20</v>
      </c>
      <c r="V3" s="39" t="s">
        <v>21</v>
      </c>
      <c r="W3" s="39" t="s">
        <v>22</v>
      </c>
      <c r="X3" s="39" t="s">
        <v>23</v>
      </c>
      <c r="Y3" s="39" t="s">
        <v>24</v>
      </c>
      <c r="Z3" s="39" t="s">
        <v>25</v>
      </c>
      <c r="AA3" s="39" t="s">
        <v>26</v>
      </c>
      <c r="AB3" s="39" t="s">
        <v>27</v>
      </c>
      <c r="AC3" s="39" t="s">
        <v>28</v>
      </c>
      <c r="AD3" s="39" t="s">
        <v>29</v>
      </c>
      <c r="AE3" s="39" t="s">
        <v>30</v>
      </c>
      <c r="AF3" s="39" t="s">
        <v>31</v>
      </c>
      <c r="AG3" s="39" t="s">
        <v>32</v>
      </c>
      <c r="AH3" s="39" t="s">
        <v>33</v>
      </c>
      <c r="AI3" s="39" t="s">
        <v>34</v>
      </c>
      <c r="AJ3" s="39" t="s">
        <v>35</v>
      </c>
      <c r="AK3" s="39" t="s">
        <v>36</v>
      </c>
      <c r="AL3" s="40" t="s">
        <v>37</v>
      </c>
      <c r="AM3" s="40" t="s">
        <v>38</v>
      </c>
      <c r="AN3" s="40" t="s">
        <v>39</v>
      </c>
      <c r="AO3" s="40" t="s">
        <v>40</v>
      </c>
      <c r="AP3" s="40" t="s">
        <v>41</v>
      </c>
      <c r="AQ3" s="41" t="s">
        <v>42</v>
      </c>
      <c r="AR3" s="40" t="s">
        <v>43</v>
      </c>
      <c r="AS3" s="40" t="s">
        <v>44</v>
      </c>
      <c r="AT3" s="40" t="s">
        <v>45</v>
      </c>
      <c r="AU3" s="40" t="s">
        <v>46</v>
      </c>
      <c r="AV3" s="40" t="s">
        <v>47</v>
      </c>
      <c r="AW3" s="40" t="s">
        <v>48</v>
      </c>
      <c r="AX3" s="40" t="s">
        <v>49</v>
      </c>
      <c r="AY3" s="41" t="s">
        <v>50</v>
      </c>
      <c r="AZ3" s="41" t="s">
        <v>51</v>
      </c>
      <c r="BA3" s="41" t="s">
        <v>52</v>
      </c>
      <c r="BB3" s="40" t="s">
        <v>53</v>
      </c>
      <c r="BC3" s="40" t="s">
        <v>54</v>
      </c>
      <c r="BD3" s="40" t="s">
        <v>55</v>
      </c>
      <c r="BE3" s="40" t="s">
        <v>56</v>
      </c>
      <c r="BF3" s="40" t="s">
        <v>57</v>
      </c>
      <c r="BG3" s="41" t="s">
        <v>58</v>
      </c>
      <c r="BH3" s="41" t="s">
        <v>59</v>
      </c>
      <c r="BI3" s="40" t="s">
        <v>60</v>
      </c>
      <c r="BJ3" s="40" t="s">
        <v>61</v>
      </c>
      <c r="BK3" s="40" t="s">
        <v>62</v>
      </c>
      <c r="BL3" s="40" t="s">
        <v>63</v>
      </c>
      <c r="BM3" s="40" t="s">
        <v>64</v>
      </c>
      <c r="BN3" s="41" t="s">
        <v>65</v>
      </c>
      <c r="BO3" s="41" t="s">
        <v>66</v>
      </c>
      <c r="BP3" s="41" t="s">
        <v>67</v>
      </c>
      <c r="BQ3" s="41" t="s">
        <v>68</v>
      </c>
      <c r="BR3" s="41" t="s">
        <v>69</v>
      </c>
      <c r="BS3" s="40" t="s">
        <v>70</v>
      </c>
      <c r="BT3" s="41" t="s">
        <v>71</v>
      </c>
      <c r="BU3" s="41" t="s">
        <v>72</v>
      </c>
      <c r="BV3" s="41" t="s">
        <v>73</v>
      </c>
      <c r="BW3" s="41" t="s">
        <v>74</v>
      </c>
    </row>
    <row r="4" spans="1:75" ht="40.200000000000003" customHeight="1" thickBot="1">
      <c r="A4" s="65" t="s">
        <v>84</v>
      </c>
      <c r="B4" s="1" t="s">
        <v>85</v>
      </c>
      <c r="C4" s="2" t="s">
        <v>128</v>
      </c>
      <c r="D4" s="4" t="s">
        <v>86</v>
      </c>
      <c r="E4" s="2" t="s">
        <v>76</v>
      </c>
      <c r="F4" s="3" t="s">
        <v>77</v>
      </c>
      <c r="G4" s="3" t="s">
        <v>78</v>
      </c>
      <c r="H4" s="11" t="s">
        <v>98</v>
      </c>
      <c r="I4" s="2"/>
      <c r="J4" s="2"/>
      <c r="K4" s="2"/>
      <c r="L4" s="2"/>
      <c r="M4" s="2" t="s">
        <v>81</v>
      </c>
      <c r="N4" s="2" t="s">
        <v>82</v>
      </c>
      <c r="O4" s="2"/>
      <c r="P4" s="2" t="s">
        <v>82</v>
      </c>
      <c r="Q4" s="2"/>
      <c r="R4" s="5" t="s">
        <v>83</v>
      </c>
      <c r="S4" s="67" t="s">
        <v>87</v>
      </c>
      <c r="T4" s="6">
        <v>1</v>
      </c>
      <c r="U4" s="7">
        <v>1</v>
      </c>
      <c r="V4" s="7">
        <v>1</v>
      </c>
      <c r="W4" s="7">
        <v>1</v>
      </c>
      <c r="X4" s="7">
        <v>1</v>
      </c>
      <c r="Y4" s="7">
        <v>1</v>
      </c>
      <c r="Z4" s="7">
        <v>1</v>
      </c>
      <c r="AA4" s="7">
        <v>1</v>
      </c>
      <c r="AB4" s="7"/>
      <c r="AC4" s="7">
        <v>1</v>
      </c>
      <c r="AD4" s="7">
        <v>1</v>
      </c>
      <c r="AE4" s="7">
        <v>1</v>
      </c>
      <c r="AF4" s="7">
        <v>1</v>
      </c>
      <c r="AG4" s="68">
        <v>45501</v>
      </c>
      <c r="AH4" s="17">
        <v>1</v>
      </c>
      <c r="AI4" s="18"/>
      <c r="AJ4" s="18">
        <v>1</v>
      </c>
      <c r="AK4" s="18">
        <v>1</v>
      </c>
      <c r="AL4" s="18"/>
      <c r="AM4" s="18">
        <v>1</v>
      </c>
      <c r="AN4" s="18"/>
      <c r="AO4" s="19">
        <v>1</v>
      </c>
      <c r="AP4" s="17">
        <v>1</v>
      </c>
      <c r="AQ4" s="18">
        <v>1</v>
      </c>
      <c r="AR4" s="18">
        <v>1</v>
      </c>
      <c r="AS4" s="18">
        <v>1</v>
      </c>
      <c r="AT4" s="18">
        <v>1</v>
      </c>
      <c r="AU4" s="18"/>
      <c r="AV4" s="18">
        <v>1</v>
      </c>
      <c r="AW4" s="19"/>
      <c r="AX4" s="20">
        <v>1</v>
      </c>
      <c r="AY4" s="17">
        <v>1</v>
      </c>
      <c r="AZ4" s="18">
        <v>1</v>
      </c>
      <c r="BA4" s="18">
        <v>1</v>
      </c>
      <c r="BB4" s="18">
        <v>1</v>
      </c>
      <c r="BC4" s="18">
        <v>1</v>
      </c>
      <c r="BD4" s="18">
        <v>1</v>
      </c>
      <c r="BE4" s="18">
        <v>1</v>
      </c>
      <c r="BF4" s="18">
        <v>1</v>
      </c>
      <c r="BG4" s="18">
        <v>1</v>
      </c>
      <c r="BH4" s="18">
        <v>1</v>
      </c>
      <c r="BI4" s="18"/>
      <c r="BJ4" s="18"/>
      <c r="BK4" s="18">
        <v>1</v>
      </c>
      <c r="BL4" s="18"/>
      <c r="BM4" s="18">
        <v>1</v>
      </c>
      <c r="BN4" s="69">
        <v>1</v>
      </c>
      <c r="BO4" s="17">
        <v>1</v>
      </c>
      <c r="BP4" s="18">
        <v>1</v>
      </c>
      <c r="BQ4" s="19">
        <v>1</v>
      </c>
      <c r="BR4" s="18">
        <v>1</v>
      </c>
      <c r="BS4" s="19">
        <v>1</v>
      </c>
      <c r="BT4" s="20"/>
      <c r="BU4" s="17"/>
      <c r="BV4" s="19"/>
      <c r="BW4" s="18"/>
    </row>
    <row r="5" spans="1:75" ht="40.200000000000003" customHeight="1" thickBot="1">
      <c r="A5" s="65" t="s">
        <v>170</v>
      </c>
      <c r="B5" s="10" t="s">
        <v>85</v>
      </c>
      <c r="C5" s="11" t="s">
        <v>83</v>
      </c>
      <c r="D5" s="11" t="s">
        <v>178</v>
      </c>
      <c r="E5" s="11" t="s">
        <v>76</v>
      </c>
      <c r="F5" s="12" t="s">
        <v>77</v>
      </c>
      <c r="G5" s="12" t="s">
        <v>78</v>
      </c>
      <c r="H5" s="11" t="s">
        <v>79</v>
      </c>
      <c r="I5" s="11"/>
      <c r="J5" s="11"/>
      <c r="K5" s="11"/>
      <c r="L5" s="11"/>
      <c r="M5" s="11" t="s">
        <v>81</v>
      </c>
      <c r="N5" s="11" t="s">
        <v>82</v>
      </c>
      <c r="O5" s="11"/>
      <c r="P5" s="11" t="s">
        <v>82</v>
      </c>
      <c r="Q5" s="11"/>
      <c r="R5" s="13" t="s">
        <v>83</v>
      </c>
      <c r="S5" s="67" t="s">
        <v>172</v>
      </c>
      <c r="T5" s="14">
        <v>1</v>
      </c>
      <c r="U5" s="15">
        <v>1</v>
      </c>
      <c r="V5" s="15">
        <v>1</v>
      </c>
      <c r="W5" s="15">
        <v>1</v>
      </c>
      <c r="X5" s="15">
        <v>1</v>
      </c>
      <c r="Y5" s="15">
        <v>1</v>
      </c>
      <c r="Z5" s="15">
        <v>1</v>
      </c>
      <c r="AA5" s="15">
        <v>1</v>
      </c>
      <c r="AB5" s="15"/>
      <c r="AC5" s="15"/>
      <c r="AD5" s="15"/>
      <c r="AE5" s="15">
        <v>1</v>
      </c>
      <c r="AF5" s="15">
        <v>1</v>
      </c>
      <c r="AG5" s="68">
        <v>45500</v>
      </c>
      <c r="AH5" s="17">
        <v>1</v>
      </c>
      <c r="AI5" s="18"/>
      <c r="AJ5" s="18"/>
      <c r="AK5" s="18"/>
      <c r="AL5" s="18"/>
      <c r="AM5" s="18">
        <v>1</v>
      </c>
      <c r="AN5" s="18"/>
      <c r="AO5" s="19">
        <v>1</v>
      </c>
      <c r="AP5" s="17">
        <v>1</v>
      </c>
      <c r="AQ5" s="18">
        <v>1</v>
      </c>
      <c r="AR5" s="18">
        <v>1</v>
      </c>
      <c r="AS5" s="18">
        <v>1</v>
      </c>
      <c r="AT5" s="18"/>
      <c r="AU5" s="18"/>
      <c r="AV5" s="18">
        <v>1</v>
      </c>
      <c r="AW5" s="19"/>
      <c r="AX5" s="20">
        <v>1</v>
      </c>
      <c r="AY5" s="17">
        <v>1</v>
      </c>
      <c r="AZ5" s="18">
        <v>1</v>
      </c>
      <c r="BA5" s="18">
        <v>1</v>
      </c>
      <c r="BB5" s="18">
        <v>1</v>
      </c>
      <c r="BC5" s="18">
        <v>1</v>
      </c>
      <c r="BD5" s="18">
        <v>1</v>
      </c>
      <c r="BE5" s="18">
        <v>1</v>
      </c>
      <c r="BF5" s="18">
        <v>1</v>
      </c>
      <c r="BG5" s="18">
        <v>1</v>
      </c>
      <c r="BH5" s="18">
        <v>1</v>
      </c>
      <c r="BI5" s="18"/>
      <c r="BJ5" s="18"/>
      <c r="BK5" s="18">
        <v>1</v>
      </c>
      <c r="BL5" s="18"/>
      <c r="BM5" s="18">
        <v>1</v>
      </c>
      <c r="BN5" s="69">
        <v>1</v>
      </c>
      <c r="BO5" s="18"/>
      <c r="BP5" s="18"/>
      <c r="BQ5" s="18"/>
      <c r="BR5" s="18"/>
      <c r="BS5" s="18"/>
      <c r="BT5" s="18"/>
      <c r="BU5" s="18"/>
      <c r="BV5" s="18"/>
      <c r="BW5" s="18"/>
    </row>
    <row r="6" spans="1:75" ht="40.200000000000003" customHeight="1" thickBot="1">
      <c r="A6" s="65" t="s">
        <v>93</v>
      </c>
      <c r="B6" s="36" t="s">
        <v>75</v>
      </c>
      <c r="C6" s="2" t="s">
        <v>83</v>
      </c>
      <c r="D6" s="4" t="s">
        <v>92</v>
      </c>
      <c r="E6" s="36" t="s">
        <v>88</v>
      </c>
      <c r="F6" s="12" t="s">
        <v>77</v>
      </c>
      <c r="G6" s="12" t="s">
        <v>78</v>
      </c>
      <c r="H6" s="11" t="s">
        <v>89</v>
      </c>
      <c r="I6" s="11"/>
      <c r="J6" s="11"/>
      <c r="K6" s="11"/>
      <c r="L6" s="11"/>
      <c r="M6" s="11" t="s">
        <v>81</v>
      </c>
      <c r="N6" s="11" t="s">
        <v>82</v>
      </c>
      <c r="O6" s="11"/>
      <c r="P6" s="11" t="s">
        <v>82</v>
      </c>
      <c r="Q6" s="11"/>
      <c r="R6" s="13" t="s">
        <v>83</v>
      </c>
      <c r="S6" s="66" t="s">
        <v>94</v>
      </c>
      <c r="T6" s="6">
        <v>0.96153846153846156</v>
      </c>
      <c r="U6" s="7">
        <v>1</v>
      </c>
      <c r="V6" s="7">
        <v>1</v>
      </c>
      <c r="W6" s="7">
        <v>1</v>
      </c>
      <c r="X6" s="7">
        <v>1</v>
      </c>
      <c r="Y6" s="7">
        <v>0.875</v>
      </c>
      <c r="Z6" s="7">
        <v>1</v>
      </c>
      <c r="AA6" s="7">
        <v>1</v>
      </c>
      <c r="AB6" s="7"/>
      <c r="AC6" s="7">
        <v>1</v>
      </c>
      <c r="AD6" s="7">
        <v>1</v>
      </c>
      <c r="AE6" s="7">
        <v>1</v>
      </c>
      <c r="AF6" s="7">
        <v>1</v>
      </c>
      <c r="AG6" s="68">
        <v>45501</v>
      </c>
      <c r="AH6" s="17">
        <v>1</v>
      </c>
      <c r="AI6" s="18"/>
      <c r="AJ6" s="18">
        <v>1</v>
      </c>
      <c r="AK6" s="18">
        <v>1</v>
      </c>
      <c r="AL6" s="18"/>
      <c r="AM6" s="18">
        <v>1</v>
      </c>
      <c r="AN6" s="18"/>
      <c r="AO6" s="19">
        <v>1</v>
      </c>
      <c r="AP6" s="17">
        <v>1</v>
      </c>
      <c r="AQ6" s="18">
        <v>1</v>
      </c>
      <c r="AR6" s="18">
        <v>1</v>
      </c>
      <c r="AS6" s="18">
        <v>1</v>
      </c>
      <c r="AT6" s="18"/>
      <c r="AU6" s="18"/>
      <c r="AV6" s="18">
        <v>1</v>
      </c>
      <c r="AW6" s="19"/>
      <c r="AX6" s="20">
        <v>1</v>
      </c>
      <c r="AY6" s="17">
        <v>1</v>
      </c>
      <c r="AZ6" s="18">
        <v>1</v>
      </c>
      <c r="BA6" s="18">
        <v>1</v>
      </c>
      <c r="BB6" s="18">
        <v>0</v>
      </c>
      <c r="BC6" s="18">
        <v>1</v>
      </c>
      <c r="BD6" s="18">
        <v>1</v>
      </c>
      <c r="BE6" s="18">
        <v>1</v>
      </c>
      <c r="BF6" s="18">
        <v>1</v>
      </c>
      <c r="BG6" s="18">
        <v>1</v>
      </c>
      <c r="BH6" s="18">
        <v>1</v>
      </c>
      <c r="BI6" s="18"/>
      <c r="BJ6" s="18"/>
      <c r="BK6" s="18">
        <v>1</v>
      </c>
      <c r="BL6" s="18"/>
      <c r="BM6" s="18">
        <v>1</v>
      </c>
      <c r="BN6" s="69">
        <v>0</v>
      </c>
      <c r="BO6" s="17"/>
      <c r="BP6" s="18"/>
      <c r="BQ6" s="19"/>
      <c r="BR6" s="18"/>
      <c r="BS6" s="19"/>
      <c r="BT6" s="20"/>
      <c r="BU6" s="17"/>
      <c r="BV6" s="19"/>
      <c r="BW6" s="20"/>
    </row>
    <row r="7" spans="1:75" ht="40.200000000000003" customHeight="1" thickBot="1">
      <c r="A7" s="65" t="s">
        <v>127</v>
      </c>
      <c r="B7" s="10" t="s">
        <v>85</v>
      </c>
      <c r="C7" s="11" t="s">
        <v>101</v>
      </c>
      <c r="D7" s="11" t="s">
        <v>103</v>
      </c>
      <c r="E7" s="11" t="s">
        <v>88</v>
      </c>
      <c r="F7" s="3" t="s">
        <v>77</v>
      </c>
      <c r="G7" s="3" t="s">
        <v>78</v>
      </c>
      <c r="H7" s="11" t="s">
        <v>98</v>
      </c>
      <c r="I7" s="2"/>
      <c r="J7" s="2"/>
      <c r="K7" s="2"/>
      <c r="L7" s="2"/>
      <c r="M7" s="2" t="s">
        <v>81</v>
      </c>
      <c r="N7" s="2" t="s">
        <v>82</v>
      </c>
      <c r="O7" s="2"/>
      <c r="P7" s="2" t="s">
        <v>82</v>
      </c>
      <c r="Q7" s="27"/>
      <c r="R7" s="5" t="s">
        <v>83</v>
      </c>
      <c r="S7" s="66" t="s">
        <v>129</v>
      </c>
      <c r="T7" s="14">
        <v>1</v>
      </c>
      <c r="U7" s="15">
        <v>1</v>
      </c>
      <c r="V7" s="15">
        <v>1</v>
      </c>
      <c r="W7" s="15"/>
      <c r="X7" s="15"/>
      <c r="Y7" s="15"/>
      <c r="Z7" s="15"/>
      <c r="AA7" s="15">
        <v>1</v>
      </c>
      <c r="AB7" s="15"/>
      <c r="AC7" s="15"/>
      <c r="AD7" s="15"/>
      <c r="AE7" s="15"/>
      <c r="AF7" s="15"/>
      <c r="AG7" s="68">
        <v>45500</v>
      </c>
      <c r="AH7" s="18">
        <v>1</v>
      </c>
      <c r="AI7" s="18"/>
      <c r="AJ7" s="18"/>
      <c r="AK7" s="18"/>
      <c r="AL7" s="18"/>
      <c r="AM7" s="18"/>
      <c r="AN7" s="18"/>
      <c r="AO7" s="18"/>
      <c r="AP7" s="18">
        <v>1</v>
      </c>
      <c r="AQ7" s="18">
        <v>1</v>
      </c>
      <c r="AR7" s="18">
        <v>1</v>
      </c>
      <c r="AS7" s="18">
        <v>1</v>
      </c>
      <c r="AT7" s="18">
        <v>1</v>
      </c>
      <c r="AU7" s="18"/>
      <c r="AV7" s="18">
        <v>1</v>
      </c>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row>
    <row r="8" spans="1:75" ht="40.200000000000003" customHeight="1" thickBot="1">
      <c r="A8" s="65" t="s">
        <v>95</v>
      </c>
      <c r="B8" s="1" t="s">
        <v>75</v>
      </c>
      <c r="C8" s="2" t="s">
        <v>83</v>
      </c>
      <c r="D8" s="3" t="s">
        <v>90</v>
      </c>
      <c r="E8" s="26" t="s">
        <v>76</v>
      </c>
      <c r="F8" s="3" t="s">
        <v>77</v>
      </c>
      <c r="G8" s="3" t="s">
        <v>78</v>
      </c>
      <c r="H8" s="36" t="s">
        <v>79</v>
      </c>
      <c r="I8" s="2"/>
      <c r="J8" s="2"/>
      <c r="K8" s="2"/>
      <c r="L8" s="2"/>
      <c r="M8" s="2" t="s">
        <v>81</v>
      </c>
      <c r="N8" s="2" t="s">
        <v>82</v>
      </c>
      <c r="O8" s="2"/>
      <c r="P8" s="2" t="s">
        <v>82</v>
      </c>
      <c r="Q8" s="2"/>
      <c r="R8" s="5" t="s">
        <v>83</v>
      </c>
      <c r="S8" s="66" t="s">
        <v>96</v>
      </c>
      <c r="T8" s="6">
        <v>1</v>
      </c>
      <c r="U8" s="7">
        <v>1</v>
      </c>
      <c r="V8" s="7">
        <v>1</v>
      </c>
      <c r="W8" s="7">
        <v>1</v>
      </c>
      <c r="X8" s="7">
        <v>1</v>
      </c>
      <c r="Y8" s="7">
        <v>1</v>
      </c>
      <c r="Z8" s="7">
        <v>1</v>
      </c>
      <c r="AA8" s="7">
        <v>1</v>
      </c>
      <c r="AB8" s="7"/>
      <c r="AC8" s="7"/>
      <c r="AD8" s="7"/>
      <c r="AE8" s="7">
        <v>1</v>
      </c>
      <c r="AF8" s="7">
        <v>1</v>
      </c>
      <c r="AG8" s="68">
        <v>45500</v>
      </c>
      <c r="AH8" s="17">
        <v>1</v>
      </c>
      <c r="AI8" s="18"/>
      <c r="AJ8" s="18"/>
      <c r="AK8" s="18"/>
      <c r="AL8" s="18"/>
      <c r="AM8" s="18">
        <v>1</v>
      </c>
      <c r="AN8" s="18"/>
      <c r="AO8" s="69">
        <v>1</v>
      </c>
      <c r="AP8" s="17">
        <v>1</v>
      </c>
      <c r="AQ8" s="18">
        <v>1</v>
      </c>
      <c r="AR8" s="18"/>
      <c r="AS8" s="18">
        <v>1</v>
      </c>
      <c r="AT8" s="18">
        <v>1</v>
      </c>
      <c r="AU8" s="18"/>
      <c r="AV8" s="18">
        <v>1</v>
      </c>
      <c r="AW8" s="19"/>
      <c r="AX8" s="20">
        <v>1</v>
      </c>
      <c r="AY8" s="17">
        <v>1</v>
      </c>
      <c r="AZ8" s="18"/>
      <c r="BA8" s="18">
        <v>1</v>
      </c>
      <c r="BB8" s="18"/>
      <c r="BC8" s="18">
        <v>1</v>
      </c>
      <c r="BD8" s="18">
        <v>1</v>
      </c>
      <c r="BE8" s="18">
        <v>1</v>
      </c>
      <c r="BF8" s="18">
        <v>1</v>
      </c>
      <c r="BG8" s="18">
        <v>1</v>
      </c>
      <c r="BH8" s="18">
        <v>1</v>
      </c>
      <c r="BI8" s="18">
        <v>1</v>
      </c>
      <c r="BJ8" s="18"/>
      <c r="BK8" s="18">
        <v>1</v>
      </c>
      <c r="BL8" s="18"/>
      <c r="BM8" s="18">
        <v>1</v>
      </c>
      <c r="BN8" s="69">
        <v>1</v>
      </c>
      <c r="BO8" s="17"/>
      <c r="BP8" s="18"/>
      <c r="BQ8" s="19"/>
      <c r="BR8" s="18"/>
      <c r="BS8" s="19"/>
      <c r="BT8" s="18"/>
      <c r="BU8" s="18"/>
      <c r="BV8" s="18"/>
      <c r="BW8" s="18"/>
    </row>
    <row r="9" spans="1:75" ht="40.200000000000003" customHeight="1" thickBot="1">
      <c r="A9" s="65" t="s">
        <v>97</v>
      </c>
      <c r="B9" s="10" t="s">
        <v>75</v>
      </c>
      <c r="C9" s="11" t="s">
        <v>128</v>
      </c>
      <c r="D9" s="11" t="s">
        <v>99</v>
      </c>
      <c r="E9" s="11" t="s">
        <v>76</v>
      </c>
      <c r="F9" s="12" t="s">
        <v>77</v>
      </c>
      <c r="G9" s="12" t="s">
        <v>78</v>
      </c>
      <c r="H9" s="11" t="s">
        <v>98</v>
      </c>
      <c r="I9" s="11"/>
      <c r="J9" s="11"/>
      <c r="K9" s="11"/>
      <c r="L9" s="11"/>
      <c r="M9" s="11" t="s">
        <v>81</v>
      </c>
      <c r="N9" s="11" t="s">
        <v>82</v>
      </c>
      <c r="O9" s="11"/>
      <c r="P9" s="11" t="s">
        <v>82</v>
      </c>
      <c r="Q9" s="13"/>
      <c r="R9" s="13" t="s">
        <v>83</v>
      </c>
      <c r="S9" s="66" t="s">
        <v>100</v>
      </c>
      <c r="T9" s="14">
        <v>1</v>
      </c>
      <c r="U9" s="15">
        <v>1</v>
      </c>
      <c r="V9" s="15">
        <v>1</v>
      </c>
      <c r="W9" s="15">
        <v>1</v>
      </c>
      <c r="X9" s="15">
        <v>1</v>
      </c>
      <c r="Y9" s="15">
        <v>1</v>
      </c>
      <c r="Z9" s="15">
        <v>1</v>
      </c>
      <c r="AA9" s="15">
        <v>1</v>
      </c>
      <c r="AB9" s="15"/>
      <c r="AC9" s="15"/>
      <c r="AD9" s="15"/>
      <c r="AE9" s="15">
        <v>1</v>
      </c>
      <c r="AF9" s="15">
        <v>1</v>
      </c>
      <c r="AG9" s="68">
        <v>45500</v>
      </c>
      <c r="AH9" s="17">
        <v>1</v>
      </c>
      <c r="AI9" s="18"/>
      <c r="AJ9" s="18"/>
      <c r="AK9" s="18"/>
      <c r="AL9" s="18"/>
      <c r="AM9" s="18">
        <v>1</v>
      </c>
      <c r="AN9" s="18"/>
      <c r="AO9" s="69">
        <v>1</v>
      </c>
      <c r="AP9" s="17">
        <v>1</v>
      </c>
      <c r="AQ9" s="18">
        <v>1</v>
      </c>
      <c r="AR9" s="18"/>
      <c r="AS9" s="18">
        <v>1</v>
      </c>
      <c r="AT9" s="18"/>
      <c r="AU9" s="18"/>
      <c r="AV9" s="18">
        <v>1</v>
      </c>
      <c r="AW9" s="19">
        <v>1</v>
      </c>
      <c r="AX9" s="73">
        <v>1</v>
      </c>
      <c r="AY9" s="17">
        <v>1</v>
      </c>
      <c r="AZ9" s="18">
        <v>1</v>
      </c>
      <c r="BA9" s="18">
        <v>1</v>
      </c>
      <c r="BB9" s="18"/>
      <c r="BC9" s="18">
        <v>1</v>
      </c>
      <c r="BD9" s="18">
        <v>1</v>
      </c>
      <c r="BE9" s="18">
        <v>1</v>
      </c>
      <c r="BF9" s="18">
        <v>1</v>
      </c>
      <c r="BG9" s="18">
        <v>1</v>
      </c>
      <c r="BH9" s="18">
        <v>1</v>
      </c>
      <c r="BI9" s="18"/>
      <c r="BJ9" s="18"/>
      <c r="BK9" s="18">
        <v>1</v>
      </c>
      <c r="BL9" s="18"/>
      <c r="BM9" s="18">
        <v>1</v>
      </c>
      <c r="BN9" s="19">
        <v>1</v>
      </c>
      <c r="BO9" s="72">
        <v>1</v>
      </c>
      <c r="BP9" s="18">
        <v>1</v>
      </c>
      <c r="BQ9" s="19">
        <v>1</v>
      </c>
      <c r="BR9" s="18">
        <v>1</v>
      </c>
      <c r="BS9" s="19">
        <v>1</v>
      </c>
      <c r="BT9" s="18"/>
      <c r="BU9" s="18"/>
      <c r="BV9" s="18"/>
      <c r="BW9" s="18"/>
    </row>
    <row r="10" spans="1:75" ht="40.200000000000003" customHeight="1" thickBot="1">
      <c r="A10" s="65" t="s">
        <v>104</v>
      </c>
      <c r="B10" s="10" t="s">
        <v>102</v>
      </c>
      <c r="C10" s="11" t="s">
        <v>179</v>
      </c>
      <c r="D10" s="12" t="s">
        <v>105</v>
      </c>
      <c r="E10" s="28" t="s">
        <v>88</v>
      </c>
      <c r="F10" s="3" t="s">
        <v>77</v>
      </c>
      <c r="G10" s="3" t="s">
        <v>78</v>
      </c>
      <c r="H10" s="11" t="s">
        <v>89</v>
      </c>
      <c r="I10" s="2"/>
      <c r="J10" s="2"/>
      <c r="K10" s="2"/>
      <c r="L10" s="2"/>
      <c r="M10" s="2" t="s">
        <v>81</v>
      </c>
      <c r="N10" s="2" t="s">
        <v>82</v>
      </c>
      <c r="O10" s="2"/>
      <c r="P10" s="2" t="s">
        <v>82</v>
      </c>
      <c r="Q10" s="27"/>
      <c r="R10" s="5" t="s">
        <v>83</v>
      </c>
      <c r="S10" s="66" t="s">
        <v>106</v>
      </c>
      <c r="T10" s="14">
        <v>0.9285714285714286</v>
      </c>
      <c r="U10" s="15">
        <v>1</v>
      </c>
      <c r="V10" s="15"/>
      <c r="W10" s="15"/>
      <c r="X10" s="15"/>
      <c r="Y10" s="15">
        <v>1</v>
      </c>
      <c r="Z10" s="15">
        <v>0.83333333333333337</v>
      </c>
      <c r="AA10" s="15">
        <v>1</v>
      </c>
      <c r="AB10" s="15"/>
      <c r="AC10" s="15"/>
      <c r="AD10" s="15"/>
      <c r="AE10" s="15">
        <v>1</v>
      </c>
      <c r="AF10" s="15">
        <v>1</v>
      </c>
      <c r="AG10" s="68">
        <v>45503</v>
      </c>
      <c r="AH10" s="17">
        <v>1</v>
      </c>
      <c r="AI10" s="18"/>
      <c r="AJ10" s="18"/>
      <c r="AK10" s="18"/>
      <c r="AL10" s="18"/>
      <c r="AM10" s="18">
        <v>1</v>
      </c>
      <c r="AN10" s="18"/>
      <c r="AO10" s="19">
        <v>1</v>
      </c>
      <c r="AP10" s="17"/>
      <c r="AQ10" s="18">
        <v>1</v>
      </c>
      <c r="AR10" s="18"/>
      <c r="AS10" s="18"/>
      <c r="AT10" s="18"/>
      <c r="AU10" s="18"/>
      <c r="AV10" s="18"/>
      <c r="AW10" s="19"/>
      <c r="AX10" s="20"/>
      <c r="AY10" s="17">
        <v>1</v>
      </c>
      <c r="AZ10" s="18">
        <v>1</v>
      </c>
      <c r="BA10" s="18">
        <v>1</v>
      </c>
      <c r="BB10" s="18"/>
      <c r="BC10" s="18"/>
      <c r="BD10" s="18"/>
      <c r="BE10" s="18"/>
      <c r="BF10" s="18"/>
      <c r="BG10" s="18">
        <v>1</v>
      </c>
      <c r="BH10" s="18">
        <v>1</v>
      </c>
      <c r="BI10" s="18"/>
      <c r="BJ10" s="18"/>
      <c r="BK10" s="18"/>
      <c r="BL10" s="18"/>
      <c r="BM10" s="18"/>
      <c r="BN10" s="69">
        <v>1</v>
      </c>
      <c r="BO10" s="17">
        <v>1</v>
      </c>
      <c r="BP10" s="18">
        <v>1</v>
      </c>
      <c r="BQ10" s="19">
        <v>1</v>
      </c>
      <c r="BR10" s="18">
        <v>1</v>
      </c>
      <c r="BS10" s="19"/>
      <c r="BT10" s="20">
        <v>1</v>
      </c>
      <c r="BU10" s="17">
        <v>1</v>
      </c>
      <c r="BV10" s="19">
        <v>0</v>
      </c>
      <c r="BW10" s="18"/>
    </row>
    <row r="11" spans="1:75" ht="40.200000000000003" customHeight="1" thickBot="1">
      <c r="A11" s="65" t="s">
        <v>107</v>
      </c>
      <c r="B11" s="1" t="s">
        <v>102</v>
      </c>
      <c r="C11" s="2" t="s">
        <v>83</v>
      </c>
      <c r="D11" s="2" t="s">
        <v>108</v>
      </c>
      <c r="E11" s="2" t="s">
        <v>88</v>
      </c>
      <c r="F11" s="12" t="s">
        <v>77</v>
      </c>
      <c r="G11" s="12" t="s">
        <v>78</v>
      </c>
      <c r="H11" s="11" t="s">
        <v>98</v>
      </c>
      <c r="I11" s="11"/>
      <c r="J11" s="11"/>
      <c r="K11" s="11"/>
      <c r="L11" s="11"/>
      <c r="M11" s="11" t="s">
        <v>81</v>
      </c>
      <c r="N11" s="11" t="s">
        <v>82</v>
      </c>
      <c r="O11" s="11"/>
      <c r="P11" s="11" t="s">
        <v>82</v>
      </c>
      <c r="Q11" s="11"/>
      <c r="R11" s="13" t="s">
        <v>83</v>
      </c>
      <c r="S11" s="66" t="s">
        <v>109</v>
      </c>
      <c r="T11" s="6">
        <v>1</v>
      </c>
      <c r="U11" s="7">
        <v>1</v>
      </c>
      <c r="V11" s="7"/>
      <c r="W11" s="7"/>
      <c r="X11" s="7"/>
      <c r="Y11" s="7">
        <v>1</v>
      </c>
      <c r="Z11" s="7">
        <v>1</v>
      </c>
      <c r="AA11" s="7">
        <v>1</v>
      </c>
      <c r="AB11" s="7"/>
      <c r="AC11" s="7"/>
      <c r="AD11" s="7"/>
      <c r="AE11" s="7">
        <v>1</v>
      </c>
      <c r="AF11" s="7">
        <v>1</v>
      </c>
      <c r="AG11" s="68">
        <v>45503</v>
      </c>
      <c r="AH11" s="17">
        <v>1</v>
      </c>
      <c r="AI11" s="18"/>
      <c r="AJ11" s="18"/>
      <c r="AK11" s="18"/>
      <c r="AL11" s="18"/>
      <c r="AM11" s="18">
        <v>1</v>
      </c>
      <c r="AN11" s="18"/>
      <c r="AO11" s="19">
        <v>1</v>
      </c>
      <c r="AP11" s="17"/>
      <c r="AQ11" s="18">
        <v>1</v>
      </c>
      <c r="AR11" s="18"/>
      <c r="AS11" s="18"/>
      <c r="AT11" s="18"/>
      <c r="AU11" s="18"/>
      <c r="AV11" s="18"/>
      <c r="AW11" s="19"/>
      <c r="AX11" s="20"/>
      <c r="AY11" s="17">
        <v>1</v>
      </c>
      <c r="AZ11" s="18">
        <v>1</v>
      </c>
      <c r="BA11" s="18">
        <v>1</v>
      </c>
      <c r="BB11" s="18"/>
      <c r="BC11" s="18"/>
      <c r="BD11" s="18"/>
      <c r="BE11" s="18"/>
      <c r="BF11" s="18"/>
      <c r="BG11" s="18">
        <v>1</v>
      </c>
      <c r="BH11" s="18">
        <v>1</v>
      </c>
      <c r="BI11" s="18"/>
      <c r="BJ11" s="18"/>
      <c r="BK11" s="18"/>
      <c r="BL11" s="18"/>
      <c r="BM11" s="18"/>
      <c r="BN11" s="69">
        <v>1</v>
      </c>
      <c r="BO11" s="18"/>
      <c r="BP11" s="18"/>
      <c r="BQ11" s="18"/>
      <c r="BR11" s="18"/>
      <c r="BS11" s="18"/>
      <c r="BT11" s="18"/>
      <c r="BU11" s="18"/>
      <c r="BV11" s="18"/>
      <c r="BW11" s="18"/>
    </row>
    <row r="12" spans="1:75" ht="40.200000000000003" customHeight="1">
      <c r="A12" s="65" t="s">
        <v>110</v>
      </c>
      <c r="B12" s="10" t="s">
        <v>85</v>
      </c>
      <c r="C12" s="11" t="s">
        <v>83</v>
      </c>
      <c r="D12" s="11" t="s">
        <v>111</v>
      </c>
      <c r="E12" s="11" t="s">
        <v>88</v>
      </c>
      <c r="F12" s="3" t="s">
        <v>77</v>
      </c>
      <c r="G12" s="3" t="s">
        <v>78</v>
      </c>
      <c r="H12" s="11" t="s">
        <v>89</v>
      </c>
      <c r="I12" s="2"/>
      <c r="J12" s="2"/>
      <c r="K12" s="2"/>
      <c r="L12" s="2"/>
      <c r="M12" s="2" t="s">
        <v>81</v>
      </c>
      <c r="N12" s="2" t="s">
        <v>91</v>
      </c>
      <c r="O12" s="2"/>
      <c r="P12" s="2" t="s">
        <v>82</v>
      </c>
      <c r="Q12" s="2"/>
      <c r="R12" s="5" t="s">
        <v>83</v>
      </c>
      <c r="S12" s="66" t="s">
        <v>112</v>
      </c>
      <c r="T12" s="14">
        <v>1</v>
      </c>
      <c r="U12" s="15">
        <v>1</v>
      </c>
      <c r="V12" s="15">
        <v>1</v>
      </c>
      <c r="W12" s="15">
        <v>1</v>
      </c>
      <c r="X12" s="15">
        <v>1</v>
      </c>
      <c r="Y12" s="15">
        <v>1</v>
      </c>
      <c r="Z12" s="15">
        <v>1</v>
      </c>
      <c r="AA12" s="15">
        <v>1</v>
      </c>
      <c r="AB12" s="15"/>
      <c r="AC12" s="15"/>
      <c r="AD12" s="15"/>
      <c r="AE12" s="15"/>
      <c r="AF12" s="15"/>
      <c r="AG12" s="68">
        <v>45500</v>
      </c>
      <c r="AH12" s="18">
        <v>1</v>
      </c>
      <c r="AI12" s="18"/>
      <c r="AJ12" s="18"/>
      <c r="AK12" s="18"/>
      <c r="AL12" s="18"/>
      <c r="AM12" s="18"/>
      <c r="AN12" s="18"/>
      <c r="AO12" s="18"/>
      <c r="AP12" s="18">
        <v>1</v>
      </c>
      <c r="AQ12" s="18">
        <v>1</v>
      </c>
      <c r="AR12" s="18"/>
      <c r="AS12" s="18">
        <v>1</v>
      </c>
      <c r="AT12" s="18">
        <v>1</v>
      </c>
      <c r="AU12" s="18"/>
      <c r="AV12" s="18">
        <v>1</v>
      </c>
      <c r="AW12" s="18"/>
      <c r="AX12" s="18">
        <v>1</v>
      </c>
      <c r="AY12" s="18">
        <v>1</v>
      </c>
      <c r="AZ12" s="18"/>
      <c r="BA12" s="18"/>
      <c r="BB12" s="18"/>
      <c r="BC12" s="18">
        <v>1</v>
      </c>
      <c r="BD12" s="18">
        <v>1</v>
      </c>
      <c r="BE12" s="18">
        <v>1</v>
      </c>
      <c r="BF12" s="18">
        <v>1</v>
      </c>
      <c r="BG12" s="18">
        <v>1</v>
      </c>
      <c r="BH12" s="18"/>
      <c r="BI12" s="18"/>
      <c r="BJ12" s="18"/>
      <c r="BK12" s="18">
        <v>1</v>
      </c>
      <c r="BL12" s="18"/>
      <c r="BM12" s="18">
        <v>1</v>
      </c>
      <c r="BN12" s="18">
        <v>1</v>
      </c>
      <c r="BO12" s="18"/>
      <c r="BP12" s="18"/>
      <c r="BQ12" s="18"/>
      <c r="BR12" s="18"/>
      <c r="BS12" s="18"/>
      <c r="BT12" s="18"/>
      <c r="BU12" s="18"/>
      <c r="BV12" s="18"/>
      <c r="BW12" s="18"/>
    </row>
    <row r="13" spans="1:75" ht="40.200000000000003" customHeight="1">
      <c r="A13" s="65"/>
      <c r="B13" s="1"/>
      <c r="C13" s="2"/>
      <c r="D13" s="2"/>
      <c r="E13" s="2"/>
      <c r="F13" s="12"/>
      <c r="G13" s="12"/>
      <c r="H13" s="11"/>
      <c r="I13" s="11"/>
      <c r="J13" s="11"/>
      <c r="K13" s="11"/>
      <c r="L13" s="11"/>
      <c r="M13" s="11"/>
      <c r="N13" s="11"/>
      <c r="O13" s="11"/>
      <c r="P13" s="11"/>
      <c r="Q13" s="11"/>
      <c r="R13" s="13"/>
      <c r="S13" s="66"/>
      <c r="T13" s="6"/>
      <c r="U13" s="7"/>
      <c r="V13" s="7"/>
      <c r="W13" s="7"/>
      <c r="X13" s="7"/>
      <c r="Y13" s="7"/>
      <c r="Z13" s="7"/>
      <c r="AA13" s="7"/>
      <c r="AB13" s="7"/>
      <c r="AC13" s="7"/>
      <c r="AD13" s="7"/>
      <c r="AE13" s="7"/>
      <c r="AF13" s="7"/>
      <c r="AG13" s="6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70"/>
      <c r="BP13" s="70"/>
      <c r="BQ13" s="70"/>
      <c r="BR13" s="70"/>
      <c r="BS13" s="70"/>
      <c r="BT13" s="70"/>
      <c r="BU13" s="70"/>
      <c r="BV13" s="70"/>
      <c r="BW13" s="70"/>
    </row>
    <row r="14" spans="1:75" ht="40.200000000000003" customHeight="1" thickBot="1">
      <c r="A14" s="65"/>
      <c r="B14" s="10"/>
      <c r="C14" s="11"/>
      <c r="D14" s="4"/>
      <c r="E14" s="11"/>
      <c r="F14" s="3"/>
      <c r="G14" s="3"/>
      <c r="H14" s="11"/>
      <c r="I14" s="2"/>
      <c r="J14" s="2"/>
      <c r="K14" s="2"/>
      <c r="L14" s="2"/>
      <c r="M14" s="2"/>
      <c r="N14" s="2"/>
      <c r="O14" s="2"/>
      <c r="P14" s="2"/>
      <c r="Q14" s="5"/>
      <c r="R14" s="5"/>
      <c r="S14" s="66"/>
      <c r="T14" s="14"/>
      <c r="U14" s="15"/>
      <c r="V14" s="15"/>
      <c r="W14" s="15"/>
      <c r="X14" s="15"/>
      <c r="Y14" s="15"/>
      <c r="Z14" s="15"/>
      <c r="AA14" s="15"/>
      <c r="AB14" s="15"/>
      <c r="AC14" s="15"/>
      <c r="AD14" s="15"/>
      <c r="AE14" s="15"/>
      <c r="AF14" s="15"/>
      <c r="AG14" s="6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70"/>
      <c r="BP14" s="70"/>
      <c r="BQ14" s="70"/>
      <c r="BR14" s="70"/>
      <c r="BS14" s="70"/>
      <c r="BT14" s="70"/>
      <c r="BU14" s="70"/>
      <c r="BV14" s="70"/>
      <c r="BW14" s="70"/>
    </row>
    <row r="15" spans="1:75" ht="40.200000000000003" customHeight="1" thickBot="1">
      <c r="A15" s="38"/>
      <c r="B15" s="1"/>
      <c r="C15" s="2"/>
      <c r="D15" s="2"/>
      <c r="E15" s="2"/>
      <c r="F15" s="12"/>
      <c r="G15" s="12"/>
      <c r="H15" s="11"/>
      <c r="I15" s="2"/>
      <c r="J15" s="2"/>
      <c r="K15" s="2"/>
      <c r="L15" s="2"/>
      <c r="M15" s="11"/>
      <c r="N15" s="11"/>
      <c r="O15" s="11"/>
      <c r="P15" s="11"/>
      <c r="Q15" s="11"/>
      <c r="R15" s="13"/>
      <c r="S15" s="5"/>
      <c r="T15" s="6"/>
      <c r="U15" s="7"/>
      <c r="V15" s="7"/>
      <c r="W15" s="7"/>
      <c r="X15" s="7"/>
      <c r="Y15" s="7"/>
      <c r="Z15" s="7"/>
      <c r="AA15" s="7"/>
      <c r="AB15" s="7"/>
      <c r="AC15" s="7"/>
      <c r="AD15" s="7"/>
      <c r="AE15" s="7"/>
      <c r="AF15" s="7"/>
      <c r="AG15" s="8"/>
      <c r="AH15" s="21"/>
      <c r="AI15" s="9"/>
      <c r="AJ15" s="9"/>
      <c r="AK15" s="9"/>
      <c r="AL15" s="9"/>
      <c r="AM15" s="9"/>
      <c r="AN15" s="9"/>
      <c r="AO15" s="22"/>
      <c r="AP15" s="21"/>
      <c r="AQ15" s="9"/>
      <c r="AR15" s="9"/>
      <c r="AS15" s="9"/>
      <c r="AT15" s="9"/>
      <c r="AU15" s="9"/>
      <c r="AV15" s="9"/>
      <c r="AW15" s="22"/>
      <c r="AX15" s="23"/>
      <c r="AY15" s="21"/>
      <c r="AZ15" s="9"/>
      <c r="BA15" s="9"/>
      <c r="BB15" s="9"/>
      <c r="BC15" s="9"/>
      <c r="BD15" s="9"/>
      <c r="BE15" s="9"/>
      <c r="BF15" s="9"/>
      <c r="BG15" s="9"/>
      <c r="BH15" s="9"/>
      <c r="BI15" s="9"/>
      <c r="BJ15" s="9"/>
      <c r="BK15" s="9"/>
      <c r="BL15" s="9"/>
      <c r="BM15" s="9"/>
      <c r="BN15" s="24"/>
      <c r="BO15" s="21"/>
      <c r="BP15" s="9"/>
      <c r="BQ15" s="22"/>
      <c r="BR15" s="9"/>
      <c r="BS15" s="22"/>
      <c r="BT15" s="23"/>
      <c r="BU15" s="21"/>
      <c r="BV15" s="22"/>
      <c r="BW15" s="23"/>
    </row>
    <row r="16" spans="1:75" ht="15" thickBot="1">
      <c r="A16" s="37"/>
      <c r="B16" s="10"/>
      <c r="C16" s="11"/>
      <c r="D16" s="12"/>
      <c r="E16" s="28"/>
      <c r="F16" s="12"/>
      <c r="G16" s="12"/>
      <c r="H16" s="36"/>
      <c r="I16" s="2"/>
      <c r="J16" s="2"/>
      <c r="K16" s="2"/>
      <c r="L16" s="2"/>
      <c r="M16" s="11"/>
      <c r="N16" s="11"/>
      <c r="O16" s="11"/>
      <c r="P16" s="11"/>
      <c r="Q16" s="11"/>
      <c r="R16" s="13"/>
      <c r="S16" s="13"/>
      <c r="T16" s="14"/>
      <c r="U16" s="15"/>
      <c r="V16" s="15"/>
      <c r="W16" s="15"/>
      <c r="X16" s="15"/>
      <c r="Y16" s="15"/>
      <c r="Z16" s="15"/>
      <c r="AA16" s="15"/>
      <c r="AB16" s="15"/>
      <c r="AC16" s="15"/>
      <c r="AD16" s="15"/>
      <c r="AE16" s="15"/>
      <c r="AF16" s="15"/>
      <c r="AG16" s="16"/>
      <c r="AH16" s="17"/>
      <c r="AI16" s="18"/>
      <c r="AJ16" s="18"/>
      <c r="AK16" s="18"/>
      <c r="AL16" s="18"/>
      <c r="AM16" s="18"/>
      <c r="AN16" s="18"/>
      <c r="AO16" s="19"/>
      <c r="AP16" s="17"/>
      <c r="AQ16" s="18"/>
      <c r="AR16" s="18"/>
      <c r="AS16" s="18"/>
      <c r="AT16" s="18"/>
      <c r="AU16" s="18"/>
      <c r="AV16" s="18"/>
      <c r="AW16" s="19"/>
      <c r="AX16" s="20"/>
      <c r="AY16" s="17"/>
      <c r="AZ16" s="18"/>
      <c r="BA16" s="18"/>
      <c r="BB16" s="18"/>
      <c r="BC16" s="18"/>
      <c r="BD16" s="18"/>
      <c r="BE16" s="18"/>
      <c r="BF16" s="18"/>
      <c r="BG16" s="18"/>
      <c r="BH16" s="18"/>
      <c r="BI16" s="18"/>
      <c r="BJ16" s="18"/>
      <c r="BK16" s="18"/>
      <c r="BL16" s="18"/>
      <c r="BM16" s="18"/>
      <c r="BN16" s="25"/>
      <c r="BO16" s="18"/>
      <c r="BP16" s="18"/>
      <c r="BQ16" s="18"/>
      <c r="BR16" s="18"/>
      <c r="BS16" s="18"/>
      <c r="BT16" s="18"/>
      <c r="BU16" s="18"/>
      <c r="BV16" s="18"/>
      <c r="BW16" s="18"/>
    </row>
    <row r="17" spans="1:75" ht="15" thickBot="1">
      <c r="A17" s="38"/>
      <c r="B17" s="1"/>
      <c r="C17" s="2"/>
      <c r="D17" s="2"/>
      <c r="E17" s="2"/>
      <c r="F17" s="12"/>
      <c r="G17" s="12"/>
      <c r="H17" s="11"/>
      <c r="I17" s="2"/>
      <c r="J17" s="2"/>
      <c r="K17" s="2"/>
      <c r="L17" s="2"/>
      <c r="M17" s="11"/>
      <c r="N17" s="11"/>
      <c r="O17" s="11"/>
      <c r="P17" s="11"/>
      <c r="Q17" s="11"/>
      <c r="R17" s="13"/>
      <c r="S17" s="5"/>
      <c r="T17" s="6"/>
      <c r="U17" s="7"/>
      <c r="V17" s="7"/>
      <c r="W17" s="7"/>
      <c r="X17" s="7"/>
      <c r="Y17" s="7"/>
      <c r="Z17" s="7"/>
      <c r="AA17" s="7"/>
      <c r="AB17" s="7"/>
      <c r="AC17" s="7"/>
      <c r="AD17" s="7"/>
      <c r="AE17" s="7"/>
      <c r="AF17" s="7"/>
      <c r="AG17" s="8"/>
      <c r="AH17" s="21"/>
      <c r="AI17" s="9"/>
      <c r="AJ17" s="9"/>
      <c r="AK17" s="9"/>
      <c r="AL17" s="9"/>
      <c r="AM17" s="9"/>
      <c r="AN17" s="9"/>
      <c r="AO17" s="24"/>
      <c r="AP17" s="21"/>
      <c r="AQ17" s="9"/>
      <c r="AR17" s="9"/>
      <c r="AS17" s="9"/>
      <c r="AT17" s="9"/>
      <c r="AU17" s="9"/>
      <c r="AV17" s="9"/>
      <c r="AW17" s="22"/>
      <c r="AX17" s="23"/>
      <c r="AY17" s="9"/>
      <c r="AZ17" s="9"/>
      <c r="BA17" s="9"/>
      <c r="BB17" s="9"/>
      <c r="BC17" s="9"/>
      <c r="BD17" s="9"/>
      <c r="BE17" s="9"/>
      <c r="BF17" s="9"/>
      <c r="BG17" s="9"/>
      <c r="BH17" s="9"/>
      <c r="BI17" s="9"/>
      <c r="BJ17" s="9"/>
      <c r="BK17" s="9"/>
      <c r="BL17" s="9"/>
      <c r="BM17" s="9"/>
      <c r="BN17" s="9"/>
      <c r="BO17" s="9"/>
      <c r="BP17" s="9"/>
      <c r="BQ17" s="9"/>
      <c r="BR17" s="9"/>
      <c r="BS17" s="9"/>
      <c r="BT17" s="9"/>
      <c r="BU17" s="9"/>
      <c r="BV17" s="9"/>
      <c r="BW17" s="9"/>
    </row>
    <row r="18" spans="1:75">
      <c r="A18" s="46"/>
      <c r="B18" s="46"/>
      <c r="C18" s="47"/>
      <c r="D18" s="46"/>
      <c r="E18" s="47"/>
      <c r="F18" s="47"/>
      <c r="G18" s="47"/>
      <c r="H18" s="47"/>
      <c r="I18" s="47"/>
      <c r="J18" s="47"/>
      <c r="K18" s="47"/>
      <c r="L18" s="47"/>
      <c r="M18" s="47"/>
      <c r="N18" s="47"/>
      <c r="O18" s="47"/>
      <c r="P18" s="47"/>
      <c r="Q18" s="47"/>
      <c r="R18" s="47"/>
      <c r="S18" s="47"/>
      <c r="T18" s="48">
        <f>IFERROR(AVERAGE(BD[[Calificación del proyecto  de acuerdo a la etapa ]]), "")</f>
        <v>0.98778998778998783</v>
      </c>
      <c r="U18" s="48">
        <f>IFERROR(AVERAGE(BD[Calificación Gestor]), "")</f>
        <v>1</v>
      </c>
      <c r="V18" s="48">
        <f>IFERROR(AVERAGE(BD[Calificación Arquictura Funcional]), "")</f>
        <v>1</v>
      </c>
      <c r="W18" s="48">
        <f>IFERROR(AVERAGE(BD[Calificación Arquitectura Integración y Datos]), "")</f>
        <v>1</v>
      </c>
      <c r="X18" s="48">
        <f>IFERROR(AVERAGE(BD[Calificación Infraestructura]), "")</f>
        <v>1</v>
      </c>
      <c r="Y18" s="48">
        <f>IFERROR(AVERAGE(BD[[Calificación Lider Desarrollo ]]), "")</f>
        <v>0.984375</v>
      </c>
      <c r="Z18" s="48">
        <f>IFERROR(AVERAGE(BD[[Calificación Lider Testing ]]), "")</f>
        <v>0.97916666666666663</v>
      </c>
      <c r="AA18" s="48">
        <f>IFERROR(AVERAGE(BD[Jira Gestor]), "")</f>
        <v>1</v>
      </c>
      <c r="AB18" s="48" t="str">
        <f>IFERROR(AVERAGE(BD[Jira Arq. Funcional]), "")</f>
        <v/>
      </c>
      <c r="AC18" s="48">
        <f>IFERROR(AVERAGE(BD[Jira Arq. I&amp;D]), "")</f>
        <v>1</v>
      </c>
      <c r="AD18" s="48">
        <f>IFERROR(AVERAGE(BD[Jira Arq. Infra]), "")</f>
        <v>1</v>
      </c>
      <c r="AE18" s="48">
        <f>IFERROR(AVERAGE(BD[Jira Desarrollo]), "")</f>
        <v>1</v>
      </c>
      <c r="AF18" s="48">
        <f>IFERROR(AVERAGE(BD[Jira QA]), "")</f>
        <v>1</v>
      </c>
      <c r="AG18" s="48"/>
      <c r="AH18" s="49">
        <f>IFERROR(AVERAGE(BD[Tablero de Planeación Gestor]), "")</f>
        <v>1</v>
      </c>
      <c r="AI18" s="49" t="str">
        <f>IFERROR(AVERAGE(BD[Tablero de Planeación Funcional]), "")</f>
        <v/>
      </c>
      <c r="AJ18" s="49">
        <f>IFERROR(AVERAGE(BD[Tablero de Planeación I&amp;D]), "")</f>
        <v>1</v>
      </c>
      <c r="AK18" s="49">
        <f>IFERROR(AVERAGE(BD[Tablero de Planeación Infraestructura]), "")</f>
        <v>1</v>
      </c>
      <c r="AL18" s="49" t="str">
        <f>IFERROR(AVERAGE(BD[Tablero Planeación Desarrollo]), "")</f>
        <v/>
      </c>
      <c r="AM18" s="49">
        <f>IFERROR(AVERAGE(BD[Tablero Trazabilidad Desarrollo]), "")</f>
        <v>1</v>
      </c>
      <c r="AN18" s="49" t="str">
        <f>IFERROR(AVERAGE(BD[Tablero Planeación QA]), "")</f>
        <v/>
      </c>
      <c r="AO18" s="49">
        <f>IFERROR(AVERAGE(BD[Tablero Trazabilidad QA]), "")</f>
        <v>1</v>
      </c>
      <c r="AP18" s="49">
        <f>IFERROR(AVERAGE(BD[Ficha del Proyecto]), "")</f>
        <v>1</v>
      </c>
      <c r="AQ18" s="49">
        <f>IFERROR(AVERAGE(BD[Matriz de Requerimiento Negocio y Usuario]), "")</f>
        <v>1</v>
      </c>
      <c r="AR18" s="49">
        <f>IFERROR(AVERAGE(BD[Flujos Funcionales Actuales]), "")</f>
        <v>1</v>
      </c>
      <c r="AS18" s="49">
        <f>IFERROR(AVERAGE(BD[Documento de Negocio Preliminar]), "")</f>
        <v>1</v>
      </c>
      <c r="AT18" s="49">
        <f>IFERROR(AVERAGE(BD[Formulario Catálogo de Servicios]), "")</f>
        <v>1</v>
      </c>
      <c r="AU18" s="49" t="str">
        <f>IFERROR(AVERAGE(BD[Plantilla de SLA]), "")</f>
        <v/>
      </c>
      <c r="AV18" s="49">
        <f>IFERROR(AVERAGE(BD[Evaluación de Arquitectura]), "")</f>
        <v>1</v>
      </c>
      <c r="AW18" s="49">
        <f>IFERROR(AVERAGE(BD[Contrato de Servicio]), "")</f>
        <v>1</v>
      </c>
      <c r="AX18" s="49">
        <f>IFERROR(AVERAGE(BD[Matriz de Responsabilidades]), "")</f>
        <v>1</v>
      </c>
      <c r="AY18" s="49">
        <f>IFERROR(AVERAGE(BD[Matriz de Requerimiento Completa]), "")</f>
        <v>1</v>
      </c>
      <c r="AZ18" s="49">
        <f>IFERROR(AVERAGE(BD[Casos de Uso/Documento Control de Cambio]), "")</f>
        <v>1</v>
      </c>
      <c r="BA18" s="49">
        <f>IFERROR(AVERAGE(BD[Matriz de Trazabilidad (Requerimientos/Casos de Uso)]), "")</f>
        <v>1</v>
      </c>
      <c r="BB18" s="49">
        <f>IFERROR(AVERAGE(BD[Diagrama de Secuencia UML]), "")</f>
        <v>0.66666666666666663</v>
      </c>
      <c r="BC18" s="49">
        <f>IFERROR(AVERAGE(BD[Diseño Arquitectura integración y datos]), "")</f>
        <v>1</v>
      </c>
      <c r="BD18" s="49">
        <f>IFERROR(AVERAGE(BD[Diagrama de Conectividad]), "")</f>
        <v>1</v>
      </c>
      <c r="BE18" s="49">
        <f>IFERROR(AVERAGE(BD[Diseño de infraestructura]), "")</f>
        <v>1</v>
      </c>
      <c r="BF18" s="49">
        <f>IFERROR(AVERAGE(BD[Diseño de Seguridad de la información]), "")</f>
        <v>1</v>
      </c>
      <c r="BG18" s="49">
        <f>IFERROR(AVERAGE(BD[Casos de Prueba/Escenarios de Pruebas]), "")</f>
        <v>1</v>
      </c>
      <c r="BH18" s="49">
        <f>IFERROR(AVERAGE(BD[Matriz de Trazabilidad (Casos de Uso/Control de Cambio VS Casos de Prueba)]), "")</f>
        <v>1</v>
      </c>
      <c r="BI18" s="49">
        <f>IFERROR(AVERAGE(BD[Plantilla de prueba de estrés]), "")</f>
        <v>1</v>
      </c>
      <c r="BJ18" s="49" t="str">
        <f>IFERROR(AVERAGE(BD[Plantilla de pruebas automatizadas]), "")</f>
        <v/>
      </c>
      <c r="BK18" s="49">
        <f>IFERROR(AVERAGE(BD[Documento de Negocio Final]), "")</f>
        <v>1</v>
      </c>
      <c r="BL18" s="49" t="str">
        <f>IFERROR(AVERAGE(BD[Plantilla de monitoreo]), "")</f>
        <v/>
      </c>
      <c r="BM18" s="49">
        <f>IFERROR(AVERAGE(BD[Acta Comite de Diseño]), "")</f>
        <v>1</v>
      </c>
      <c r="BN18" s="49">
        <f>IFERROR(AVERAGE(BD[Acta de Subcomite de TI]), "")</f>
        <v>0.875</v>
      </c>
      <c r="BO18" s="49">
        <f>IFERROR(AVERAGE(BD[Diseño técnico desarrollado (Programacion)]), "")</f>
        <v>1</v>
      </c>
      <c r="BP18" s="49">
        <f>IFERROR(AVERAGE(BD[[Diagrama Entidad Relación ]]), "")</f>
        <v>1</v>
      </c>
      <c r="BQ18" s="49">
        <f>IFERROR(AVERAGE(BD[Documento de Evidencia de Prueba Unitarias]), "")</f>
        <v>1</v>
      </c>
      <c r="BR18" s="49">
        <f>IFERROR(AVERAGE(BD[[Manuales de Instalación ]]), "")</f>
        <v>1</v>
      </c>
      <c r="BS18" s="49">
        <f>IFERROR(AVERAGE(BD[[Manual de Usuario ]]), "")</f>
        <v>1</v>
      </c>
      <c r="BT18" s="49">
        <f>IFERROR(AVERAGE(BD[Evidencias Pruebas Integradas en Testing]), "")</f>
        <v>1</v>
      </c>
      <c r="BU18" s="49">
        <f>IFERROR(AVERAGE(BD[Aprobación Certificación de Usuarios]), "")</f>
        <v>1</v>
      </c>
      <c r="BV18" s="49">
        <f>IFERROR(AVERAGE(BD[Aprobación Pase a Producción]), "")</f>
        <v>0</v>
      </c>
      <c r="BW18" s="49" t="str">
        <f>IFERROR(AVERAGE(BD[Aceptación de Cierre]), "")</f>
        <v/>
      </c>
    </row>
  </sheetData>
  <mergeCells count="5">
    <mergeCell ref="AP1:AW1"/>
    <mergeCell ref="AY1:BN1"/>
    <mergeCell ref="BO1:BQ1"/>
    <mergeCell ref="BR1:BS1"/>
    <mergeCell ref="BV1:BW1"/>
  </mergeCells>
  <dataValidations count="1">
    <dataValidation type="list" allowBlank="1" showInputMessage="1" showErrorMessage="1" sqref="B15:C17">
      <formula1>#REF!</formula1>
    </dataValidation>
  </dataValidations>
  <pageMargins left="0.7" right="0.7" top="0.75" bottom="0.75" header="0.3" footer="0.3"/>
  <pageSetup orientation="portrait" horizontalDpi="300" verticalDpi="0" copies="0"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589" id="{D0C0F01E-691A-4917-A2DE-79FA451A534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BO16:BS16</xm:sqref>
        </x14:conditionalFormatting>
        <x14:conditionalFormatting xmlns:xm="http://schemas.microsoft.com/office/excel/2006/main">
          <x14:cfRule type="iconSet" priority="588" id="{5A13C81B-4853-45D3-8062-2AA0FF5DE74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BT17:BV17 BO16:BV16</xm:sqref>
        </x14:conditionalFormatting>
        <x14:conditionalFormatting xmlns:xm="http://schemas.microsoft.com/office/excel/2006/main">
          <x14:cfRule type="iconSet" priority="586" id="{D4AE1F9E-8F92-424C-8EA8-D236CBAF490E}">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BO16:BS16</xm:sqref>
        </x14:conditionalFormatting>
        <x14:conditionalFormatting xmlns:xm="http://schemas.microsoft.com/office/excel/2006/main">
          <x14:cfRule type="iconSet" priority="585" id="{13548FC9-96D1-4FC0-B0D8-DCFB86F83AE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BT17:BV17</xm:sqref>
        </x14:conditionalFormatting>
        <x14:conditionalFormatting xmlns:xm="http://schemas.microsoft.com/office/excel/2006/main">
          <x14:cfRule type="iconSet" priority="581" id="{009D8036-883D-43FE-860D-281919CD23B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BO16:BS16</xm:sqref>
        </x14:conditionalFormatting>
        <x14:conditionalFormatting xmlns:xm="http://schemas.microsoft.com/office/excel/2006/main">
          <x14:cfRule type="iconSet" priority="576" id="{9895B843-D734-47A6-946D-6FCB281CFAC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BO16:BS16</xm:sqref>
        </x14:conditionalFormatting>
        <x14:conditionalFormatting xmlns:xm="http://schemas.microsoft.com/office/excel/2006/main">
          <x14:cfRule type="iconSet" priority="575" id="{9355CD09-E35B-4D04-ADE8-22D5299EDE9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BT16:BV17</xm:sqref>
        </x14:conditionalFormatting>
        <x14:conditionalFormatting xmlns:xm="http://schemas.microsoft.com/office/excel/2006/main">
          <x14:cfRule type="iconSet" priority="574" id="{6C37EF53-64EE-4253-87BD-3BA541FED28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BW16:BW17</xm:sqref>
        </x14:conditionalFormatting>
        <x14:conditionalFormatting xmlns:xm="http://schemas.microsoft.com/office/excel/2006/main">
          <x14:cfRule type="iconSet" priority="483" id="{FDB2C5FC-6F7F-4FF0-9940-B1EDB6B43B6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AH15</xm:sqref>
        </x14:conditionalFormatting>
        <x14:conditionalFormatting xmlns:xm="http://schemas.microsoft.com/office/excel/2006/main">
          <x14:cfRule type="iconSet" priority="484" id="{5FD78D1D-9A63-4DE2-9E23-DA6B630A77A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AI15:AK15</xm:sqref>
        </x14:conditionalFormatting>
        <x14:conditionalFormatting xmlns:xm="http://schemas.microsoft.com/office/excel/2006/main">
          <x14:cfRule type="iconSet" priority="485" id="{5C7344B6-D77C-4175-A881-7C5861D9205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AL15:AO15</xm:sqref>
        </x14:conditionalFormatting>
        <x14:conditionalFormatting xmlns:xm="http://schemas.microsoft.com/office/excel/2006/main">
          <x14:cfRule type="iconSet" priority="492" id="{3B3CCF56-23C6-4537-A414-A522562D6DE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AP15:AT15 AW15:AX15 BE15:BF15 BK15 BM15:BW15 BB15:BC15</xm:sqref>
        </x14:conditionalFormatting>
        <x14:conditionalFormatting xmlns:xm="http://schemas.microsoft.com/office/excel/2006/main">
          <x14:cfRule type="iconSet" priority="490" id="{03313EB6-9EB3-46F0-85EC-7A385E54CFC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AU15</xm:sqref>
        </x14:conditionalFormatting>
        <x14:conditionalFormatting xmlns:xm="http://schemas.microsoft.com/office/excel/2006/main">
          <x14:cfRule type="iconSet" priority="489" id="{FE20EF03-D0EF-4ED3-998E-DB7E3C6E65E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AV15</xm:sqref>
        </x14:conditionalFormatting>
        <x14:conditionalFormatting xmlns:xm="http://schemas.microsoft.com/office/excel/2006/main">
          <x14:cfRule type="iconSet" priority="491" id="{D66CE9B2-D45C-43A2-8116-1DC96BC0E29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BD15</xm:sqref>
        </x14:conditionalFormatting>
        <x14:conditionalFormatting xmlns:xm="http://schemas.microsoft.com/office/excel/2006/main">
          <x14:cfRule type="iconSet" priority="488" id="{411D86D6-1F1C-498C-8786-EE682540A5F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BI15</xm:sqref>
        </x14:conditionalFormatting>
        <x14:conditionalFormatting xmlns:xm="http://schemas.microsoft.com/office/excel/2006/main">
          <x14:cfRule type="iconSet" priority="487" id="{2DB57056-11EA-4EC9-8A99-03F2CD2E1B2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BJ15</xm:sqref>
        </x14:conditionalFormatting>
        <x14:conditionalFormatting xmlns:xm="http://schemas.microsoft.com/office/excel/2006/main">
          <x14:cfRule type="iconSet" priority="486" id="{8BFB908F-941E-460C-8CEC-2E688CCB210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BL15</xm:sqref>
        </x14:conditionalFormatting>
        <x14:conditionalFormatting xmlns:xm="http://schemas.microsoft.com/office/excel/2006/main">
          <x14:cfRule type="iconSet" priority="457" id="{C58AA428-0585-482D-A228-6372CEA57F6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AH16</xm:sqref>
        </x14:conditionalFormatting>
        <x14:conditionalFormatting xmlns:xm="http://schemas.microsoft.com/office/excel/2006/main">
          <x14:cfRule type="iconSet" priority="453" id="{DA626A81-DE4E-430C-AFD3-B37238DCB51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AH17</xm:sqref>
        </x14:conditionalFormatting>
        <x14:conditionalFormatting xmlns:xm="http://schemas.microsoft.com/office/excel/2006/main">
          <x14:cfRule type="iconSet" priority="458" id="{1FCD3B41-4128-4BC4-A0FF-014D8E8F8C3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AI16:AK16</xm:sqref>
        </x14:conditionalFormatting>
        <x14:conditionalFormatting xmlns:xm="http://schemas.microsoft.com/office/excel/2006/main">
          <x14:cfRule type="iconSet" priority="454" id="{45A4B80D-6D6F-481E-9FF0-370F3CF723F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AI17:AK17</xm:sqref>
        </x14:conditionalFormatting>
        <x14:conditionalFormatting xmlns:xm="http://schemas.microsoft.com/office/excel/2006/main">
          <x14:cfRule type="iconSet" priority="459" id="{CEB2E990-9386-44D2-9996-9FD53F1DCA4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AL16:AO16</xm:sqref>
        </x14:conditionalFormatting>
        <x14:conditionalFormatting xmlns:xm="http://schemas.microsoft.com/office/excel/2006/main">
          <x14:cfRule type="iconSet" priority="455" id="{4A0983DB-D2E4-41BF-BD2C-435BAA7E7A3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AL17:AO17</xm:sqref>
        </x14:conditionalFormatting>
        <x14:conditionalFormatting xmlns:xm="http://schemas.microsoft.com/office/excel/2006/main">
          <x14:cfRule type="iconSet" priority="466" id="{D36CE7AB-17E1-46CC-AAB8-8BCED5AEFAD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AP16:AT16 AW16:BC16 BE16:BH16 BK16 BM16:BN16</xm:sqref>
        </x14:conditionalFormatting>
        <x14:conditionalFormatting xmlns:xm="http://schemas.microsoft.com/office/excel/2006/main">
          <x14:cfRule type="iconSet" priority="456" id="{E4147F0F-41A4-4269-B9B6-E7F1317940D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AP17:AT17 AW17:AX17</xm:sqref>
        </x14:conditionalFormatting>
        <x14:conditionalFormatting xmlns:xm="http://schemas.microsoft.com/office/excel/2006/main">
          <x14:cfRule type="iconSet" priority="464" id="{7B719E8A-2383-47BA-B4FB-44C3FD1B679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AU16</xm:sqref>
        </x14:conditionalFormatting>
        <x14:conditionalFormatting xmlns:xm="http://schemas.microsoft.com/office/excel/2006/main">
          <x14:cfRule type="iconSet" priority="452" id="{91385147-AFA7-4676-857D-1C6F455894C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AU17</xm:sqref>
        </x14:conditionalFormatting>
        <x14:conditionalFormatting xmlns:xm="http://schemas.microsoft.com/office/excel/2006/main">
          <x14:cfRule type="iconSet" priority="463" id="{9351A6C6-3C16-4626-980F-1B61D266BA6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AV16</xm:sqref>
        </x14:conditionalFormatting>
        <x14:conditionalFormatting xmlns:xm="http://schemas.microsoft.com/office/excel/2006/main">
          <x14:cfRule type="iconSet" priority="451" id="{A9F9A489-AE1E-4016-8313-49D191ABD04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AV17</xm:sqref>
        </x14:conditionalFormatting>
        <x14:conditionalFormatting xmlns:xm="http://schemas.microsoft.com/office/excel/2006/main">
          <x14:cfRule type="iconSet" priority="465" id="{BBF7E94C-DB70-4A0B-915D-054E960AA65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BD16</xm:sqref>
        </x14:conditionalFormatting>
        <x14:conditionalFormatting xmlns:xm="http://schemas.microsoft.com/office/excel/2006/main">
          <x14:cfRule type="iconSet" priority="470" id="{ED289B4F-08F5-45D4-9583-9A42F8BD46A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BD17</xm:sqref>
        </x14:conditionalFormatting>
        <x14:conditionalFormatting xmlns:xm="http://schemas.microsoft.com/office/excel/2006/main">
          <x14:cfRule type="iconSet" priority="471" id="{5CD6BE15-D02C-4B74-986A-DC1965DC22D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BE17:BH17 BK17 BM17:BN17 AY17:BC17</xm:sqref>
        </x14:conditionalFormatting>
        <x14:conditionalFormatting xmlns:xm="http://schemas.microsoft.com/office/excel/2006/main">
          <x14:cfRule type="iconSet" priority="462" id="{53D82BDC-5B4D-4387-A041-6B1C2554517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BI16</xm:sqref>
        </x14:conditionalFormatting>
        <x14:conditionalFormatting xmlns:xm="http://schemas.microsoft.com/office/excel/2006/main">
          <x14:cfRule type="iconSet" priority="469" id="{57538338-8E5D-438C-ADFB-5EE6EE57520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BI17</xm:sqref>
        </x14:conditionalFormatting>
        <x14:conditionalFormatting xmlns:xm="http://schemas.microsoft.com/office/excel/2006/main">
          <x14:cfRule type="iconSet" priority="461" id="{5E9D5088-1735-49B1-ACFD-3B908EB284D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BJ16</xm:sqref>
        </x14:conditionalFormatting>
        <x14:conditionalFormatting xmlns:xm="http://schemas.microsoft.com/office/excel/2006/main">
          <x14:cfRule type="iconSet" priority="468" id="{624CBB91-4A46-4990-8A4C-62CD5871C9F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BJ17</xm:sqref>
        </x14:conditionalFormatting>
        <x14:conditionalFormatting xmlns:xm="http://schemas.microsoft.com/office/excel/2006/main">
          <x14:cfRule type="iconSet" priority="460" id="{6AB8111B-6B75-4904-8AB8-0112B552457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BL16</xm:sqref>
        </x14:conditionalFormatting>
        <x14:conditionalFormatting xmlns:xm="http://schemas.microsoft.com/office/excel/2006/main">
          <x14:cfRule type="iconSet" priority="467" id="{74558692-D1B4-4170-A970-4882514BFFF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BL17</xm:sqref>
        </x14:conditionalFormatting>
        <x14:conditionalFormatting xmlns:xm="http://schemas.microsoft.com/office/excel/2006/main">
          <x14:cfRule type="iconSet" priority="472" id="{97477187-3371-486B-B39D-67321D9F67D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BO17:BS17</xm:sqref>
        </x14:conditionalFormatting>
        <x14:conditionalFormatting xmlns:xm="http://schemas.microsoft.com/office/excel/2006/main">
          <x14:cfRule type="iconSet" priority="415" id="{C0C0C9DB-9A3B-4C4B-A37A-C400BA84C94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AY15:BA15</xm:sqref>
        </x14:conditionalFormatting>
        <x14:conditionalFormatting xmlns:xm="http://schemas.microsoft.com/office/excel/2006/main">
          <x14:cfRule type="iconSet" priority="414" id="{C784FBF5-26BE-4AE3-8824-CC3238F3D61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BG15:BH15</xm:sqref>
        </x14:conditionalFormatting>
        <x14:conditionalFormatting xmlns:xm="http://schemas.microsoft.com/office/excel/2006/main">
          <x14:cfRule type="iconSet" priority="399" id="{884AEE4F-94C7-4EE2-B970-AA258FAE9C8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BO14:BV14 AY13:BC13 BF13:BL13 BN13:BV13</xm:sqref>
        </x14:conditionalFormatting>
        <x14:conditionalFormatting xmlns:xm="http://schemas.microsoft.com/office/excel/2006/main">
          <x14:cfRule type="iconSet" priority="398" id="{ABE14DB2-30CC-4CB3-B552-35A73FFCB5A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BO14:BV14</xm:sqref>
        </x14:conditionalFormatting>
        <x14:conditionalFormatting xmlns:xm="http://schemas.microsoft.com/office/excel/2006/main">
          <x14:cfRule type="iconSet" priority="389" id="{D5D51169-CFF7-4F69-A087-1FF5402B8A2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BT13:BV14</xm:sqref>
        </x14:conditionalFormatting>
        <x14:conditionalFormatting xmlns:xm="http://schemas.microsoft.com/office/excel/2006/main">
          <x14:cfRule type="iconSet" priority="388" id="{3F8B9DD4-CEAE-442B-BEEC-8BC63CC79A2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BW13:BW14</xm:sqref>
        </x14:conditionalFormatting>
        <x14:conditionalFormatting xmlns:xm="http://schemas.microsoft.com/office/excel/2006/main">
          <x14:cfRule type="iconSet" priority="380" id="{1778A092-2280-4D38-9448-D9A7FC5AA85E}">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BO14:BS14 AY13:BC13 BF13:BL13 BN13:BS13</xm:sqref>
        </x14:conditionalFormatting>
        <x14:conditionalFormatting xmlns:xm="http://schemas.microsoft.com/office/excel/2006/main">
          <x14:cfRule type="iconSet" priority="379" id="{C59DABF1-091C-4685-8F72-4F892A891A3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BO14:BS14</xm:sqref>
        </x14:conditionalFormatting>
        <x14:conditionalFormatting xmlns:xm="http://schemas.microsoft.com/office/excel/2006/main">
          <x14:cfRule type="iconSet" priority="377" id="{885F5947-1344-4D7C-A9E3-6064F21FC0B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BE13 BO13:BS14</xm:sqref>
        </x14:conditionalFormatting>
        <x14:conditionalFormatting xmlns:xm="http://schemas.microsoft.com/office/excel/2006/main">
          <x14:cfRule type="iconSet" priority="373" id="{12155F23-C86E-43F2-8883-AEAAFCEF26E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BO13:BS14</xm:sqref>
        </x14:conditionalFormatting>
        <x14:conditionalFormatting xmlns:xm="http://schemas.microsoft.com/office/excel/2006/main">
          <x14:cfRule type="iconSet" priority="316" id="{919E5E2D-4C30-4B4B-9DC2-44AE79B21C0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AH13</xm:sqref>
        </x14:conditionalFormatting>
        <x14:conditionalFormatting xmlns:xm="http://schemas.microsoft.com/office/excel/2006/main">
          <x14:cfRule type="iconSet" priority="313" id="{52B9C819-2781-49BA-B61D-AFF21C9EF0B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AI13:AK13</xm:sqref>
        </x14:conditionalFormatting>
        <x14:conditionalFormatting xmlns:xm="http://schemas.microsoft.com/office/excel/2006/main">
          <x14:cfRule type="iconSet" priority="310" id="{FA39A546-2C50-4FD5-A622-D18CA73E1C1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AL13:AO13</xm:sqref>
        </x14:conditionalFormatting>
        <x14:conditionalFormatting xmlns:xm="http://schemas.microsoft.com/office/excel/2006/main">
          <x14:cfRule type="iconSet" priority="307" id="{04B98714-33BD-4885-846E-8A6ABE0777C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AP13:AT13 AW13:AX13</xm:sqref>
        </x14:conditionalFormatting>
        <x14:conditionalFormatting xmlns:xm="http://schemas.microsoft.com/office/excel/2006/main">
          <x14:cfRule type="iconSet" priority="304" id="{91A77572-1451-4629-9E6C-0CB2DCBE24D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AU13</xm:sqref>
        </x14:conditionalFormatting>
        <x14:conditionalFormatting xmlns:xm="http://schemas.microsoft.com/office/excel/2006/main">
          <x14:cfRule type="iconSet" priority="301" id="{6362C0D6-68DD-4AAC-ADCF-19B9B5E0447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AV13</xm:sqref>
        </x14:conditionalFormatting>
        <x14:conditionalFormatting xmlns:xm="http://schemas.microsoft.com/office/excel/2006/main">
          <x14:cfRule type="iconSet" priority="300" id="{92EC6D2A-4364-4E67-B4B0-E692A50716E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AY13:BC13 BF13:BL13 BN13</xm:sqref>
        </x14:conditionalFormatting>
        <x14:conditionalFormatting xmlns:xm="http://schemas.microsoft.com/office/excel/2006/main">
          <x14:cfRule type="iconSet" priority="299" id="{AA327B83-E8B1-4F5F-B3AD-F3EAB356A83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AY13:BC13</xm:sqref>
        </x14:conditionalFormatting>
        <x14:conditionalFormatting xmlns:xm="http://schemas.microsoft.com/office/excel/2006/main">
          <x14:cfRule type="iconSet" priority="298" id="{548706E3-FDED-40C0-B40A-75C52B5F353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AY13:BD13 BF13 BK13:BL13 BN13</xm:sqref>
        </x14:conditionalFormatting>
        <x14:conditionalFormatting xmlns:xm="http://schemas.microsoft.com/office/excel/2006/main">
          <x14:cfRule type="iconSet" priority="297" id="{815A7171-0AF4-44F0-A6A7-B7F5C331777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AY13:BD13</xm:sqref>
        </x14:conditionalFormatting>
        <x14:conditionalFormatting xmlns:xm="http://schemas.microsoft.com/office/excel/2006/main">
          <x14:cfRule type="iconSet" priority="294" id="{C91A4BF0-3F2E-4AE5-B9A9-C35AE2B639C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BD13</xm:sqref>
        </x14:conditionalFormatting>
        <x14:conditionalFormatting xmlns:xm="http://schemas.microsoft.com/office/excel/2006/main">
          <x14:cfRule type="iconSet" priority="293" id="{F64DA77C-1581-42CE-B80F-49BA85098F0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BE13</xm:sqref>
        </x14:conditionalFormatting>
        <x14:conditionalFormatting xmlns:xm="http://schemas.microsoft.com/office/excel/2006/main">
          <x14:cfRule type="iconSet" priority="292" id="{839BAD36-8060-433D-9729-37883114B5A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BG13:BJ13</xm:sqref>
        </x14:conditionalFormatting>
        <x14:conditionalFormatting xmlns:xm="http://schemas.microsoft.com/office/excel/2006/main">
          <x14:cfRule type="iconSet" priority="284" id="{910A649D-5C3B-4376-A2E4-49E9C33094C0}">
            <x14:iconSet iconSet="3Symbols2" showValue="0" custom="1">
              <x14:cfvo type="percent">
                <xm:f>0</xm:f>
              </x14:cfvo>
              <x14:cfvo type="num">
                <xm:f>0</xm:f>
              </x14:cfvo>
              <x14:cfvo type="num">
                <xm:f>1</xm:f>
              </x14:cfvo>
              <x14:cfIcon iconSet="3Symbols2" iconId="1"/>
              <x14:cfIcon iconSet="3Symbols2" iconId="0"/>
              <x14:cfIcon iconSet="3Symbols2" iconId="2"/>
            </x14:iconSet>
          </x14:cfRule>
          <x14:cfRule type="iconSet" priority="285" id="{92BE62C3-BC40-470F-96F5-A701BDE3D2C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BM13</xm:sqref>
        </x14:conditionalFormatting>
        <x14:conditionalFormatting xmlns:xm="http://schemas.microsoft.com/office/excel/2006/main">
          <x14:cfRule type="iconSet" priority="274" id="{DE1419E8-ED3C-424A-B6A7-4AA78A84034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AH14</xm:sqref>
        </x14:conditionalFormatting>
        <x14:conditionalFormatting xmlns:xm="http://schemas.microsoft.com/office/excel/2006/main">
          <x14:cfRule type="iconSet" priority="275" id="{656A5C39-64AD-498B-A50E-B5032A1196A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AI14:AK14</xm:sqref>
        </x14:conditionalFormatting>
        <x14:conditionalFormatting xmlns:xm="http://schemas.microsoft.com/office/excel/2006/main">
          <x14:cfRule type="iconSet" priority="276" id="{B5A7526F-CCFD-4438-A322-F1E02F83E6A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AL14:AO14</xm:sqref>
        </x14:conditionalFormatting>
        <x14:conditionalFormatting xmlns:xm="http://schemas.microsoft.com/office/excel/2006/main">
          <x14:cfRule type="iconSet" priority="283" id="{015BD18B-2F47-4764-9B29-5EDD4008D8A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AP14:AT14 AW14:BC14 BE14:BH14 BK14 BM14:BN14</xm:sqref>
        </x14:conditionalFormatting>
        <x14:conditionalFormatting xmlns:xm="http://schemas.microsoft.com/office/excel/2006/main">
          <x14:cfRule type="iconSet" priority="281" id="{434B6309-2C6A-4425-8906-234C8271956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AU14</xm:sqref>
        </x14:conditionalFormatting>
        <x14:conditionalFormatting xmlns:xm="http://schemas.microsoft.com/office/excel/2006/main">
          <x14:cfRule type="iconSet" priority="280" id="{43F59E3A-2308-4059-AAA7-89CDFDE97A7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AV14</xm:sqref>
        </x14:conditionalFormatting>
        <x14:conditionalFormatting xmlns:xm="http://schemas.microsoft.com/office/excel/2006/main">
          <x14:cfRule type="iconSet" priority="282" id="{6A579975-7DCD-4C5C-8F2B-34473F58641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BD14</xm:sqref>
        </x14:conditionalFormatting>
        <x14:conditionalFormatting xmlns:xm="http://schemas.microsoft.com/office/excel/2006/main">
          <x14:cfRule type="iconSet" priority="279" id="{CA0F3BDC-23A8-4E1F-BC5B-B48546430D9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BI14</xm:sqref>
        </x14:conditionalFormatting>
        <x14:conditionalFormatting xmlns:xm="http://schemas.microsoft.com/office/excel/2006/main">
          <x14:cfRule type="iconSet" priority="278" id="{C176EFF4-4512-4089-A0BC-E91734BB097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BJ14</xm:sqref>
        </x14:conditionalFormatting>
        <x14:conditionalFormatting xmlns:xm="http://schemas.microsoft.com/office/excel/2006/main">
          <x14:cfRule type="iconSet" priority="277" id="{2AA07413-127B-4DF5-B54C-2C0DC007EE4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BL14</xm:sqref>
        </x14:conditionalFormatting>
        <x14:conditionalFormatting xmlns:xm="http://schemas.microsoft.com/office/excel/2006/main">
          <x14:cfRule type="iconSet" priority="202" id="{3F25F9E9-ECB5-41EA-80A3-B54C65F41F4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BW6</xm:sqref>
        </x14:conditionalFormatting>
        <x14:conditionalFormatting xmlns:xm="http://schemas.microsoft.com/office/excel/2006/main">
          <x14:cfRule type="iconSet" priority="656" id="{EBF5F6C3-94E1-4DF8-85B5-96E9FA5A37B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BW7:BW12 BW4:BW5</xm:sqref>
        </x14:conditionalFormatting>
        <x14:conditionalFormatting xmlns:xm="http://schemas.microsoft.com/office/excel/2006/main">
          <x14:cfRule type="iconSet" priority="94" id="{38D02111-8E6C-4493-A952-AB49E49BE7D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AH4</xm:sqref>
        </x14:conditionalFormatting>
        <x14:conditionalFormatting xmlns:xm="http://schemas.microsoft.com/office/excel/2006/main">
          <x14:cfRule type="iconSet" priority="95" id="{5B6A8457-A392-43C2-8C4F-856717475D5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AI4:AK4</xm:sqref>
        </x14:conditionalFormatting>
        <x14:conditionalFormatting xmlns:xm="http://schemas.microsoft.com/office/excel/2006/main">
          <x14:cfRule type="iconSet" priority="96" id="{A2EB4FBD-01E7-4085-B3BD-7284DD9C521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AL4:AO4</xm:sqref>
        </x14:conditionalFormatting>
        <x14:conditionalFormatting xmlns:xm="http://schemas.microsoft.com/office/excel/2006/main">
          <x14:cfRule type="iconSet" priority="103" id="{67C67549-3C1A-4665-82D8-7E9F15201B5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AP4:AT4 AW4:BC4 BE4:BH4 BK4 BM4:BS4</xm:sqref>
        </x14:conditionalFormatting>
        <x14:conditionalFormatting xmlns:xm="http://schemas.microsoft.com/office/excel/2006/main">
          <x14:cfRule type="iconSet" priority="101" id="{56D1B37C-0768-45AD-8311-7FAF420CE80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AU4</xm:sqref>
        </x14:conditionalFormatting>
        <x14:conditionalFormatting xmlns:xm="http://schemas.microsoft.com/office/excel/2006/main">
          <x14:cfRule type="iconSet" priority="100" id="{DBFA3AF4-F2DC-461B-9872-15D14BF2903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AV4</xm:sqref>
        </x14:conditionalFormatting>
        <x14:conditionalFormatting xmlns:xm="http://schemas.microsoft.com/office/excel/2006/main">
          <x14:cfRule type="iconSet" priority="102" id="{4EE243F3-8B01-47B7-B22C-EA20F025582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BD4</xm:sqref>
        </x14:conditionalFormatting>
        <x14:conditionalFormatting xmlns:xm="http://schemas.microsoft.com/office/excel/2006/main">
          <x14:cfRule type="iconSet" priority="99" id="{C1F2303C-BD51-4476-868B-962343DB4D7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BI4</xm:sqref>
        </x14:conditionalFormatting>
        <x14:conditionalFormatting xmlns:xm="http://schemas.microsoft.com/office/excel/2006/main">
          <x14:cfRule type="iconSet" priority="98" id="{0D30FE49-9D38-4A4A-8CD3-186092D354D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BJ4</xm:sqref>
        </x14:conditionalFormatting>
        <x14:conditionalFormatting xmlns:xm="http://schemas.microsoft.com/office/excel/2006/main">
          <x14:cfRule type="iconSet" priority="97" id="{30F2776F-BBFC-40C0-9431-2BAD7CFD1EFE}">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BL4</xm:sqref>
        </x14:conditionalFormatting>
        <x14:conditionalFormatting xmlns:xm="http://schemas.microsoft.com/office/excel/2006/main">
          <x14:cfRule type="iconSet" priority="104" id="{A4E9DFFD-FE07-459F-AE24-04488B834C7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BT4:BV4</xm:sqref>
        </x14:conditionalFormatting>
        <x14:conditionalFormatting xmlns:xm="http://schemas.microsoft.com/office/excel/2006/main">
          <x14:cfRule type="iconSet" priority="93" id="{55D6D08C-BC9E-4463-AC07-B1ED7A6BAA6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AH5</xm:sqref>
        </x14:conditionalFormatting>
        <x14:conditionalFormatting xmlns:xm="http://schemas.microsoft.com/office/excel/2006/main">
          <x14:cfRule type="iconSet" priority="92" id="{E63C445F-2D07-40A1-861B-5C71CE43A73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AI5:AK5</xm:sqref>
        </x14:conditionalFormatting>
        <x14:conditionalFormatting xmlns:xm="http://schemas.microsoft.com/office/excel/2006/main">
          <x14:cfRule type="iconSet" priority="91" id="{B4614418-EF7E-47ED-9306-25E3D286C24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AL5:AO5</xm:sqref>
        </x14:conditionalFormatting>
        <x14:conditionalFormatting xmlns:xm="http://schemas.microsoft.com/office/excel/2006/main">
          <x14:cfRule type="iconSet" priority="90" id="{B1C87C6A-8193-410F-94BD-54190B4BC0E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AP5:AT5 AW5:BC5 BE5:BH5 BK5 BM5:BN5</xm:sqref>
        </x14:conditionalFormatting>
        <x14:conditionalFormatting xmlns:xm="http://schemas.microsoft.com/office/excel/2006/main">
          <x14:cfRule type="iconSet" priority="89" id="{392717C9-733F-4103-ABFE-FAB2ECCF0F5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AU5</xm:sqref>
        </x14:conditionalFormatting>
        <x14:conditionalFormatting xmlns:xm="http://schemas.microsoft.com/office/excel/2006/main">
          <x14:cfRule type="iconSet" priority="88" id="{E2A1880C-05B7-4817-A956-1157E6CF6B8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AV5</xm:sqref>
        </x14:conditionalFormatting>
        <x14:conditionalFormatting xmlns:xm="http://schemas.microsoft.com/office/excel/2006/main">
          <x14:cfRule type="iconSet" priority="87" id="{25547BDF-F04A-4EB1-B6DD-061B347C2A0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BO11:BS12 BR7:BS7 BO5:BS5</xm:sqref>
        </x14:conditionalFormatting>
        <x14:conditionalFormatting xmlns:xm="http://schemas.microsoft.com/office/excel/2006/main">
          <x14:cfRule type="iconSet" priority="86" id="{CADE3C67-8000-4328-B991-CAD455CF7D3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BO11:BS12 BR7:BS7 BO5:BS5</xm:sqref>
        </x14:conditionalFormatting>
        <x14:conditionalFormatting xmlns:xm="http://schemas.microsoft.com/office/excel/2006/main">
          <x14:cfRule type="iconSet" priority="85" id="{EE06E59F-D895-4EB2-BBC5-A67C3FD02DE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BD5</xm:sqref>
        </x14:conditionalFormatting>
        <x14:conditionalFormatting xmlns:xm="http://schemas.microsoft.com/office/excel/2006/main">
          <x14:cfRule type="iconSet" priority="84" id="{B123AA6C-50E5-4B78-BB16-47E1382059A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BI5</xm:sqref>
        </x14:conditionalFormatting>
        <x14:conditionalFormatting xmlns:xm="http://schemas.microsoft.com/office/excel/2006/main">
          <x14:cfRule type="iconSet" priority="83" id="{A4510937-D241-4A23-AEFA-BD1D7077C43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BJ5</xm:sqref>
        </x14:conditionalFormatting>
        <x14:conditionalFormatting xmlns:xm="http://schemas.microsoft.com/office/excel/2006/main">
          <x14:cfRule type="iconSet" priority="82" id="{44A58C46-97CC-4761-AC73-3C53F31F524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BL5</xm:sqref>
        </x14:conditionalFormatting>
        <x14:conditionalFormatting xmlns:xm="http://schemas.microsoft.com/office/excel/2006/main">
          <x14:cfRule type="iconSet" priority="81" id="{E15CC32A-CFBD-49F1-9309-397B160DD23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BO11:BS12 BR7:BS7 BO5:BS5</xm:sqref>
        </x14:conditionalFormatting>
        <x14:conditionalFormatting xmlns:xm="http://schemas.microsoft.com/office/excel/2006/main">
          <x14:cfRule type="iconSet" priority="80" id="{06C9779E-9ADD-4B80-A588-6122BACD368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BO11:BS12 BR7:BS7 BO5:BS5</xm:sqref>
        </x14:conditionalFormatting>
        <x14:conditionalFormatting xmlns:xm="http://schemas.microsoft.com/office/excel/2006/main">
          <x14:cfRule type="iconSet" priority="79" id="{2A44B6BB-874B-4C26-86BB-BCB2F9921B2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BT11:BV12 BT7:BV7 BU8:BV9 BT5:BV5</xm:sqref>
        </x14:conditionalFormatting>
        <x14:conditionalFormatting xmlns:xm="http://schemas.microsoft.com/office/excel/2006/main">
          <x14:cfRule type="iconSet" priority="78" id="{4E409767-8B54-4F90-B9B4-F654DA36E3E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BO11:BV12 BR7:BV7 BU8:BV9 BO5:BV5</xm:sqref>
        </x14:conditionalFormatting>
        <x14:conditionalFormatting xmlns:xm="http://schemas.microsoft.com/office/excel/2006/main">
          <x14:cfRule type="iconSet" priority="77" id="{2FFACC21-3BC4-4EC4-9355-C803689216E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BO11:BV12 BR7:BV7 BU8:BV9 BO5:BV5</xm:sqref>
        </x14:conditionalFormatting>
        <x14:conditionalFormatting xmlns:xm="http://schemas.microsoft.com/office/excel/2006/main">
          <x14:cfRule type="iconSet" priority="66" id="{082AE0BB-35BC-4770-BAA5-68DE1C37FC4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AH6</xm:sqref>
        </x14:conditionalFormatting>
        <x14:conditionalFormatting xmlns:xm="http://schemas.microsoft.com/office/excel/2006/main">
          <x14:cfRule type="iconSet" priority="67" id="{17E32E96-3918-4EE2-8344-3D558E506DC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AI6:AK6</xm:sqref>
        </x14:conditionalFormatting>
        <x14:conditionalFormatting xmlns:xm="http://schemas.microsoft.com/office/excel/2006/main">
          <x14:cfRule type="iconSet" priority="68" id="{7318EFDE-22C7-4921-AEA1-41336ECBB03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AL6:AO6</xm:sqref>
        </x14:conditionalFormatting>
        <x14:conditionalFormatting xmlns:xm="http://schemas.microsoft.com/office/excel/2006/main">
          <x14:cfRule type="iconSet" priority="75" id="{2C40E2BC-24EC-440B-BA10-9B435C092DB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AP6:AT6 AW6:BC6 BE6:BH6 BK6 BM6:BN6</xm:sqref>
        </x14:conditionalFormatting>
        <x14:conditionalFormatting xmlns:xm="http://schemas.microsoft.com/office/excel/2006/main">
          <x14:cfRule type="iconSet" priority="73" id="{DF571078-3890-4A0B-9BEF-36D666F84E4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AU6</xm:sqref>
        </x14:conditionalFormatting>
        <x14:conditionalFormatting xmlns:xm="http://schemas.microsoft.com/office/excel/2006/main">
          <x14:cfRule type="iconSet" priority="72" id="{442CC0C4-4AAD-4959-8687-5637272C8F8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AV6</xm:sqref>
        </x14:conditionalFormatting>
        <x14:conditionalFormatting xmlns:xm="http://schemas.microsoft.com/office/excel/2006/main">
          <x14:cfRule type="iconSet" priority="74" id="{DFFDBFCA-DFD7-487B-99C7-AAB814FCA0D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BD6</xm:sqref>
        </x14:conditionalFormatting>
        <x14:conditionalFormatting xmlns:xm="http://schemas.microsoft.com/office/excel/2006/main">
          <x14:cfRule type="iconSet" priority="71" id="{70A52D65-36B8-4657-8659-4D645F85A89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BI6</xm:sqref>
        </x14:conditionalFormatting>
        <x14:conditionalFormatting xmlns:xm="http://schemas.microsoft.com/office/excel/2006/main">
          <x14:cfRule type="iconSet" priority="70" id="{21488C7E-9828-4448-929F-F66FAF96A59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BJ6</xm:sqref>
        </x14:conditionalFormatting>
        <x14:conditionalFormatting xmlns:xm="http://schemas.microsoft.com/office/excel/2006/main">
          <x14:cfRule type="iconSet" priority="69" id="{6EA00CF3-4082-4AFB-82E6-8CE4A8D9D3A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BL6</xm:sqref>
        </x14:conditionalFormatting>
        <x14:conditionalFormatting xmlns:xm="http://schemas.microsoft.com/office/excel/2006/main">
          <x14:cfRule type="iconSet" priority="76" id="{E12F78F8-979B-4068-8B9F-E6D8722744F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BO6:BV6</xm:sqref>
        </x14:conditionalFormatting>
        <x14:conditionalFormatting xmlns:xm="http://schemas.microsoft.com/office/excel/2006/main">
          <x14:cfRule type="iconSet" priority="54" id="{31DCF56C-8AF2-44CB-91D7-A04E8FBBB6C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AH7</xm:sqref>
        </x14:conditionalFormatting>
        <x14:conditionalFormatting xmlns:xm="http://schemas.microsoft.com/office/excel/2006/main">
          <x14:cfRule type="iconSet" priority="37" id="{5BF0A47F-10FF-4658-B310-9824EE635E1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AH8</xm:sqref>
        </x14:conditionalFormatting>
        <x14:conditionalFormatting xmlns:xm="http://schemas.microsoft.com/office/excel/2006/main">
          <x14:cfRule type="iconSet" priority="48" id="{8919B917-7914-4E0C-9F13-87803E4628A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AH9</xm:sqref>
        </x14:conditionalFormatting>
        <x14:conditionalFormatting xmlns:xm="http://schemas.microsoft.com/office/excel/2006/main">
          <x14:cfRule type="iconSet" priority="55" id="{9DF79390-9A8B-4F81-A2D1-BF3F5138E28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AI7:AK7</xm:sqref>
        </x14:conditionalFormatting>
        <x14:conditionalFormatting xmlns:xm="http://schemas.microsoft.com/office/excel/2006/main">
          <x14:cfRule type="iconSet" priority="38" id="{15DC9FD3-ADB8-46AD-A2E3-7BCF11C0EBF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AI8:AK8</xm:sqref>
        </x14:conditionalFormatting>
        <x14:conditionalFormatting xmlns:xm="http://schemas.microsoft.com/office/excel/2006/main">
          <x14:cfRule type="iconSet" priority="49" id="{A8F1D073-C0B4-4903-9D40-B3719E5B2D1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AI9:AK9</xm:sqref>
        </x14:conditionalFormatting>
        <x14:conditionalFormatting xmlns:xm="http://schemas.microsoft.com/office/excel/2006/main">
          <x14:cfRule type="iconSet" priority="56" id="{6378C7A3-1B27-481B-B96D-D223B6D51EA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AL7:AO7</xm:sqref>
        </x14:conditionalFormatting>
        <x14:conditionalFormatting xmlns:xm="http://schemas.microsoft.com/office/excel/2006/main">
          <x14:cfRule type="iconSet" priority="40" id="{EBCA5792-3024-4105-BD59-80EB6598A35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AL8:AO8</xm:sqref>
        </x14:conditionalFormatting>
        <x14:conditionalFormatting xmlns:xm="http://schemas.microsoft.com/office/excel/2006/main">
          <x14:cfRule type="iconSet" priority="51" id="{5D16F7CC-BFE2-4A7D-92F6-8A6864B4AA2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AL9:AO9</xm:sqref>
        </x14:conditionalFormatting>
        <x14:conditionalFormatting xmlns:xm="http://schemas.microsoft.com/office/excel/2006/main">
          <x14:cfRule type="iconSet" priority="63" id="{45F5E537-7FEF-41E4-A55B-A9D43CE2196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AP7:AT7 AW7:BC7 BE7:BH7 BK7 BM7:BQ7</xm:sqref>
        </x14:conditionalFormatting>
        <x14:conditionalFormatting xmlns:xm="http://schemas.microsoft.com/office/excel/2006/main">
          <x14:cfRule type="iconSet" priority="41" id="{0F2F74C0-D18A-4D7D-B3C9-46228B395CA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AP8:AT8 AW8:BA8 BE8:BH8 BK8 BM8:BN8 BC8</xm:sqref>
        </x14:conditionalFormatting>
        <x14:conditionalFormatting xmlns:xm="http://schemas.microsoft.com/office/excel/2006/main">
          <x14:cfRule type="iconSet" priority="52" id="{7412FCAA-148D-429E-88AC-58102C9AACB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AP9:AT9 AW9:BA9 BE9:BH9 BK9 BM9:BS9 BC9</xm:sqref>
        </x14:conditionalFormatting>
        <x14:conditionalFormatting xmlns:xm="http://schemas.microsoft.com/office/excel/2006/main">
          <x14:cfRule type="iconSet" priority="61" id="{598F23CE-369E-4BD8-B764-02E11E47C34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AU7</xm:sqref>
        </x14:conditionalFormatting>
        <x14:conditionalFormatting xmlns:xm="http://schemas.microsoft.com/office/excel/2006/main">
          <x14:cfRule type="iconSet" priority="36" id="{EEA35B0B-78A1-424B-A268-DFE4CAE70B7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AU8</xm:sqref>
        </x14:conditionalFormatting>
        <x14:conditionalFormatting xmlns:xm="http://schemas.microsoft.com/office/excel/2006/main">
          <x14:cfRule type="iconSet" priority="47" id="{C414071B-917D-4471-AD76-8E5F220C558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AU9</xm:sqref>
        </x14:conditionalFormatting>
        <x14:conditionalFormatting xmlns:xm="http://schemas.microsoft.com/office/excel/2006/main">
          <x14:cfRule type="iconSet" priority="60" id="{9DD451CC-9FB8-439E-AB07-22CF1E5BD4B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AV7</xm:sqref>
        </x14:conditionalFormatting>
        <x14:conditionalFormatting xmlns:xm="http://schemas.microsoft.com/office/excel/2006/main">
          <x14:cfRule type="iconSet" priority="35" id="{0441347B-5417-4B06-80D3-845C7FAAC90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AV8</xm:sqref>
        </x14:conditionalFormatting>
        <x14:conditionalFormatting xmlns:xm="http://schemas.microsoft.com/office/excel/2006/main">
          <x14:cfRule type="iconSet" priority="46" id="{EF2CF8F8-D682-4269-8B77-BC400CAF3F2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AV9</xm:sqref>
        </x14:conditionalFormatting>
        <x14:conditionalFormatting xmlns:xm="http://schemas.microsoft.com/office/excel/2006/main">
          <x14:cfRule type="iconSet" priority="31" id="{F19EDA5A-3A8B-46CC-9B4E-1D3DA557167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BB8</xm:sqref>
        </x14:conditionalFormatting>
        <x14:conditionalFormatting xmlns:xm="http://schemas.microsoft.com/office/excel/2006/main">
          <x14:cfRule type="iconSet" priority="44" id="{581C65F7-0036-44CE-9BFC-0D75289DBC3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BB9</xm:sqref>
        </x14:conditionalFormatting>
        <x14:conditionalFormatting xmlns:xm="http://schemas.microsoft.com/office/excel/2006/main">
          <x14:cfRule type="iconSet" priority="62" id="{66B73C4D-DEA5-424A-A296-9ACEE5DAD86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BD7</xm:sqref>
        </x14:conditionalFormatting>
        <x14:conditionalFormatting xmlns:xm="http://schemas.microsoft.com/office/excel/2006/main">
          <x14:cfRule type="iconSet" priority="39" id="{298EBA17-D913-4CDB-9502-A198F12721E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BD8</xm:sqref>
        </x14:conditionalFormatting>
        <x14:conditionalFormatting xmlns:xm="http://schemas.microsoft.com/office/excel/2006/main">
          <x14:cfRule type="iconSet" priority="50" id="{57FCB403-2B35-4D84-8362-EB0C7ED8C96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BD9</xm:sqref>
        </x14:conditionalFormatting>
        <x14:conditionalFormatting xmlns:xm="http://schemas.microsoft.com/office/excel/2006/main">
          <x14:cfRule type="iconSet" priority="59" id="{207A4B4C-1C4A-4F65-94A3-290F6789802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BI7</xm:sqref>
        </x14:conditionalFormatting>
        <x14:conditionalFormatting xmlns:xm="http://schemas.microsoft.com/office/excel/2006/main">
          <x14:cfRule type="iconSet" priority="34" id="{3D20B64C-8394-4B00-81E7-3E401F77A2A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BI8</xm:sqref>
        </x14:conditionalFormatting>
        <x14:conditionalFormatting xmlns:xm="http://schemas.microsoft.com/office/excel/2006/main">
          <x14:cfRule type="iconSet" priority="43" id="{BD474B8D-B81C-40EA-A079-A1E7EAE9957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BI9</xm:sqref>
        </x14:conditionalFormatting>
        <x14:conditionalFormatting xmlns:xm="http://schemas.microsoft.com/office/excel/2006/main">
          <x14:cfRule type="iconSet" priority="58" id="{785746C6-A628-42EE-A005-BC89D8D6153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BJ7</xm:sqref>
        </x14:conditionalFormatting>
        <x14:conditionalFormatting xmlns:xm="http://schemas.microsoft.com/office/excel/2006/main">
          <x14:cfRule type="iconSet" priority="33" id="{75AC94DB-60F5-42D0-9E4E-B2BF6DD5E97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BJ8</xm:sqref>
        </x14:conditionalFormatting>
        <x14:conditionalFormatting xmlns:xm="http://schemas.microsoft.com/office/excel/2006/main">
          <x14:cfRule type="iconSet" priority="42" id="{693AFBD1-908E-420F-BFFE-CEFE6400CC8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BJ9</xm:sqref>
        </x14:conditionalFormatting>
        <x14:conditionalFormatting xmlns:xm="http://schemas.microsoft.com/office/excel/2006/main">
          <x14:cfRule type="iconSet" priority="57" id="{268F24AE-390C-4D5C-A3B2-DF851A82761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BL7</xm:sqref>
        </x14:conditionalFormatting>
        <x14:conditionalFormatting xmlns:xm="http://schemas.microsoft.com/office/excel/2006/main">
          <x14:cfRule type="iconSet" priority="32" id="{A61B8E64-8A3E-42C7-9467-EFBE2CEDA77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BL8</xm:sqref>
        </x14:conditionalFormatting>
        <x14:conditionalFormatting xmlns:xm="http://schemas.microsoft.com/office/excel/2006/main">
          <x14:cfRule type="iconSet" priority="45" id="{93ECE3EC-64CA-4604-AEA4-D8994976F0E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BL9</xm:sqref>
        </x14:conditionalFormatting>
        <x14:conditionalFormatting xmlns:xm="http://schemas.microsoft.com/office/excel/2006/main">
          <x14:cfRule type="iconSet" priority="53" id="{FBD37A2F-272E-4705-BAE1-E2E62C9361F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BO8:BS8</xm:sqref>
        </x14:conditionalFormatting>
        <x14:conditionalFormatting xmlns:xm="http://schemas.microsoft.com/office/excel/2006/main">
          <x14:cfRule type="iconSet" priority="64" id="{2B6B6599-319B-4DD0-B432-839A6769BFF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BT8</xm:sqref>
        </x14:conditionalFormatting>
        <x14:conditionalFormatting xmlns:xm="http://schemas.microsoft.com/office/excel/2006/main">
          <x14:cfRule type="iconSet" priority="65" id="{9B9C7B8C-F356-4B56-B6D5-C1E09CF641D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BT9</xm:sqref>
        </x14:conditionalFormatting>
        <x14:conditionalFormatting xmlns:xm="http://schemas.microsoft.com/office/excel/2006/main">
          <x14:cfRule type="iconSet" priority="11" id="{6D4C8406-9822-416D-85D5-4164D7ED880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AH10</xm:sqref>
        </x14:conditionalFormatting>
        <x14:conditionalFormatting xmlns:xm="http://schemas.microsoft.com/office/excel/2006/main">
          <x14:cfRule type="iconSet" priority="21" id="{43821634-EF42-4A1E-ACA8-DBCC5D5252C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AH11</xm:sqref>
        </x14:conditionalFormatting>
        <x14:conditionalFormatting xmlns:xm="http://schemas.microsoft.com/office/excel/2006/main">
          <x14:cfRule type="iconSet" priority="12" id="{D4926E59-9FD6-40CE-B88E-320A60A8B4B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AI10:AK10</xm:sqref>
        </x14:conditionalFormatting>
        <x14:conditionalFormatting xmlns:xm="http://schemas.microsoft.com/office/excel/2006/main">
          <x14:cfRule type="iconSet" priority="22" id="{35917EE2-7DA5-4AB7-BBA1-8A170A8E3A6F}">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AI11:AK11</xm:sqref>
        </x14:conditionalFormatting>
        <x14:conditionalFormatting xmlns:xm="http://schemas.microsoft.com/office/excel/2006/main">
          <x14:cfRule type="iconSet" priority="13" id="{AADEC78F-683B-4AAB-890B-3B76CD06520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AL10:AO10</xm:sqref>
        </x14:conditionalFormatting>
        <x14:conditionalFormatting xmlns:xm="http://schemas.microsoft.com/office/excel/2006/main">
          <x14:cfRule type="iconSet" priority="23" id="{D7AC789A-86BC-40B6-8A97-B594B51DE9F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AL11:AO11</xm:sqref>
        </x14:conditionalFormatting>
        <x14:conditionalFormatting xmlns:xm="http://schemas.microsoft.com/office/excel/2006/main">
          <x14:cfRule type="iconSet" priority="20" id="{1F4A3E5F-72BF-43F0-B5EF-0AA0BA76FEB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AP10:AT10 AW10:BC10 BE10:BH10 BK10 BM10:BV10</xm:sqref>
        </x14:conditionalFormatting>
        <x14:conditionalFormatting xmlns:xm="http://schemas.microsoft.com/office/excel/2006/main">
          <x14:cfRule type="iconSet" priority="30" id="{F92C5668-A20F-4DEA-9BB7-40BFAA18A6A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AP11:AT11 AW11:BC11 BE11:BH11 BK11 BM11:BN11</xm:sqref>
        </x14:conditionalFormatting>
        <x14:conditionalFormatting xmlns:xm="http://schemas.microsoft.com/office/excel/2006/main">
          <x14:cfRule type="iconSet" priority="18" id="{C3ED4E32-8F37-4CDA-A8BE-66E09682E25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AU10</xm:sqref>
        </x14:conditionalFormatting>
        <x14:conditionalFormatting xmlns:xm="http://schemas.microsoft.com/office/excel/2006/main">
          <x14:cfRule type="iconSet" priority="28" id="{D0BE1F5F-0FF5-42BA-96EE-214BEFF0950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AU11</xm:sqref>
        </x14:conditionalFormatting>
        <x14:conditionalFormatting xmlns:xm="http://schemas.microsoft.com/office/excel/2006/main">
          <x14:cfRule type="iconSet" priority="17" id="{2F718E9B-A672-429A-9246-79B1773DF09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AV10</xm:sqref>
        </x14:conditionalFormatting>
        <x14:conditionalFormatting xmlns:xm="http://schemas.microsoft.com/office/excel/2006/main">
          <x14:cfRule type="iconSet" priority="27" id="{C6075803-3CFF-4A81-BD19-DF68E82005D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AV11</xm:sqref>
        </x14:conditionalFormatting>
        <x14:conditionalFormatting xmlns:xm="http://schemas.microsoft.com/office/excel/2006/main">
          <x14:cfRule type="iconSet" priority="19" id="{47D48F21-1A8F-44BD-8EBC-FD786599AB7E}">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BD10</xm:sqref>
        </x14:conditionalFormatting>
        <x14:conditionalFormatting xmlns:xm="http://schemas.microsoft.com/office/excel/2006/main">
          <x14:cfRule type="iconSet" priority="29" id="{F8A71F37-C7AC-403D-A7CD-AB7F83B37681}">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BD11</xm:sqref>
        </x14:conditionalFormatting>
        <x14:conditionalFormatting xmlns:xm="http://schemas.microsoft.com/office/excel/2006/main">
          <x14:cfRule type="iconSet" priority="16" id="{8940CBB9-C12B-4C63-B437-794EE0EF6C5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BI10</xm:sqref>
        </x14:conditionalFormatting>
        <x14:conditionalFormatting xmlns:xm="http://schemas.microsoft.com/office/excel/2006/main">
          <x14:cfRule type="iconSet" priority="26" id="{4713CCB9-6707-4BFB-828C-DBBE74E9A6D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BI11</xm:sqref>
        </x14:conditionalFormatting>
        <x14:conditionalFormatting xmlns:xm="http://schemas.microsoft.com/office/excel/2006/main">
          <x14:cfRule type="iconSet" priority="15" id="{07BAD903-7F57-49AA-87ED-8482D4FC79C5}">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BJ10</xm:sqref>
        </x14:conditionalFormatting>
        <x14:conditionalFormatting xmlns:xm="http://schemas.microsoft.com/office/excel/2006/main">
          <x14:cfRule type="iconSet" priority="25" id="{E9D5DCE8-CC5E-476C-9007-B0A81546D8D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BJ11</xm:sqref>
        </x14:conditionalFormatting>
        <x14:conditionalFormatting xmlns:xm="http://schemas.microsoft.com/office/excel/2006/main">
          <x14:cfRule type="iconSet" priority="14" id="{B5298118-062C-48AF-B359-88231CE024E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BL10</xm:sqref>
        </x14:conditionalFormatting>
        <x14:conditionalFormatting xmlns:xm="http://schemas.microsoft.com/office/excel/2006/main">
          <x14:cfRule type="iconSet" priority="24" id="{CEE78023-981A-4FBC-9FEA-CEB827B585B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BL11</xm:sqref>
        </x14:conditionalFormatting>
        <x14:conditionalFormatting xmlns:xm="http://schemas.microsoft.com/office/excel/2006/main">
          <x14:cfRule type="iconSet" priority="1" id="{69A2A206-225B-4430-8E93-24B4DC08084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AH12</xm:sqref>
        </x14:conditionalFormatting>
        <x14:conditionalFormatting xmlns:xm="http://schemas.microsoft.com/office/excel/2006/main">
          <x14:cfRule type="iconSet" priority="2" id="{079DE519-B447-4A2D-B2F4-42FB6E887939}">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AI12:AK12</xm:sqref>
        </x14:conditionalFormatting>
        <x14:conditionalFormatting xmlns:xm="http://schemas.microsoft.com/office/excel/2006/main">
          <x14:cfRule type="iconSet" priority="3" id="{FAF750DF-0472-4A82-BA3D-A381C1F89A3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AL12:AO12</xm:sqref>
        </x14:conditionalFormatting>
        <x14:conditionalFormatting xmlns:xm="http://schemas.microsoft.com/office/excel/2006/main">
          <x14:cfRule type="iconSet" priority="10" id="{D7FECA44-C01A-44EF-825F-40169035DFF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AP12:AT12 AW12:BC12 BE12:BH12 BK12 BM12:BN12</xm:sqref>
        </x14:conditionalFormatting>
        <x14:conditionalFormatting xmlns:xm="http://schemas.microsoft.com/office/excel/2006/main">
          <x14:cfRule type="iconSet" priority="8" id="{87A1ABB1-38AA-47AF-B402-F4264F0A0FD2}">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AU12</xm:sqref>
        </x14:conditionalFormatting>
        <x14:conditionalFormatting xmlns:xm="http://schemas.microsoft.com/office/excel/2006/main">
          <x14:cfRule type="iconSet" priority="7" id="{99717E7C-3CAD-4AD8-8500-5948F815628C}">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AV12</xm:sqref>
        </x14:conditionalFormatting>
        <x14:conditionalFormatting xmlns:xm="http://schemas.microsoft.com/office/excel/2006/main">
          <x14:cfRule type="iconSet" priority="9" id="{77DF6596-F539-4906-B6FC-2B7C303AA4F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BD12</xm:sqref>
        </x14:conditionalFormatting>
        <x14:conditionalFormatting xmlns:xm="http://schemas.microsoft.com/office/excel/2006/main">
          <x14:cfRule type="iconSet" priority="6" id="{886FCE91-0EB8-4016-AF7D-DD78572088E7}">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BI12</xm:sqref>
        </x14:conditionalFormatting>
        <x14:conditionalFormatting xmlns:xm="http://schemas.microsoft.com/office/excel/2006/main">
          <x14:cfRule type="iconSet" priority="5" id="{18ABB3CB-6B65-4BE4-AC6F-B4DCCD9DB35B}">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BJ12</xm:sqref>
        </x14:conditionalFormatting>
        <x14:conditionalFormatting xmlns:xm="http://schemas.microsoft.com/office/excel/2006/main">
          <x14:cfRule type="iconSet" priority="4" id="{12D51BBD-8BCA-4437-929A-540A421D068D}">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BL12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'C:\Users\U49085\Downloads\Metodologia\[Resultados MetodologiaTradicional_Marzo 2024_Compartir.xlsx]Fases'!#REF!</xm:f>
          </x14:formula1>
          <xm:sqref>J4:L17 R4:R17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17"/>
  <sheetViews>
    <sheetView showGridLines="0" topLeftCell="I1" workbookViewId="0">
      <selection activeCell="D12" sqref="D12:K12"/>
    </sheetView>
  </sheetViews>
  <sheetFormatPr defaultRowHeight="14.4"/>
  <cols>
    <col min="2" max="2" width="18.88671875" bestFit="1" customWidth="1"/>
    <col min="3" max="3" width="36.88671875" customWidth="1"/>
    <col min="4" max="4" width="22.6640625" customWidth="1"/>
    <col min="5" max="5" width="11.21875" bestFit="1" customWidth="1"/>
    <col min="6" max="6" width="14.5546875" bestFit="1" customWidth="1"/>
    <col min="7" max="7" width="10.109375" bestFit="1" customWidth="1"/>
    <col min="8" max="8" width="18.44140625" bestFit="1" customWidth="1"/>
    <col min="9" max="9" width="14.44140625" bestFit="1" customWidth="1"/>
    <col min="10" max="10" width="10.5546875" bestFit="1" customWidth="1"/>
    <col min="11" max="11" width="7.33203125" bestFit="1" customWidth="1"/>
    <col min="14" max="14" width="23" bestFit="1" customWidth="1"/>
    <col min="17" max="17" width="9.5546875" bestFit="1" customWidth="1"/>
    <col min="18" max="18" width="72.88671875" bestFit="1" customWidth="1"/>
    <col min="19" max="19" width="18.88671875" bestFit="1" customWidth="1"/>
  </cols>
  <sheetData>
    <row r="2" spans="2:19" ht="15">
      <c r="B2" t="s">
        <v>135</v>
      </c>
      <c r="C2" s="55" t="s">
        <v>136</v>
      </c>
      <c r="D2" t="s">
        <v>158</v>
      </c>
      <c r="E2" t="s">
        <v>166</v>
      </c>
      <c r="F2" t="s">
        <v>159</v>
      </c>
      <c r="G2" t="s">
        <v>167</v>
      </c>
      <c r="H2" t="s">
        <v>160</v>
      </c>
      <c r="I2" t="s">
        <v>165</v>
      </c>
      <c r="J2" t="s">
        <v>168</v>
      </c>
      <c r="K2" t="s">
        <v>164</v>
      </c>
      <c r="N2" s="59" t="s">
        <v>158</v>
      </c>
      <c r="O2" s="59" t="s">
        <v>163</v>
      </c>
      <c r="Q2" s="64" t="s">
        <v>164</v>
      </c>
      <c r="R2" s="64" t="s">
        <v>0</v>
      </c>
      <c r="S2" s="64" t="s">
        <v>169</v>
      </c>
    </row>
    <row r="3" spans="2:19" ht="27.6">
      <c r="B3" t="str">
        <f>INDEX(BD[[Líder ]], MATCH(Ranking!C3, BD[Proyecto], 0))</f>
        <v>Berroa, Thamayra</v>
      </c>
      <c r="C3" s="50" t="s">
        <v>84</v>
      </c>
      <c r="D3" t="str">
        <f>INDEX(BD[[Etapa ]], MATCH(Ranking!C3, BD[Proyecto],0))</f>
        <v>Pruebas Integradas</v>
      </c>
      <c r="E3">
        <f>INDEX(Table2[Puntos], MATCH(D3, Table2[Etapa], 0))</f>
        <v>5</v>
      </c>
      <c r="F3" s="58">
        <f>INDEX(BD[[Calificación Lider Desarrollo ]], MATCH(Ranking!C3, BD[Proyecto], 0))</f>
        <v>1</v>
      </c>
      <c r="G3" s="61">
        <f>F3</f>
        <v>1</v>
      </c>
      <c r="H3" s="58">
        <f>INDEX(BD[[Calificación del proyecto  de acuerdo a la etapa ]], MATCH(Ranking!C3, BD[Proyecto], 0))</f>
        <v>1</v>
      </c>
      <c r="I3" s="61">
        <f>H3</f>
        <v>1</v>
      </c>
      <c r="J3" s="61">
        <f>E3+G3+I3</f>
        <v>7</v>
      </c>
      <c r="K3" s="61">
        <f>RANK(J3, $J$3:$J$17, 0) + COUNTIF($J$3:J3, J3)-1</f>
        <v>2</v>
      </c>
      <c r="N3" s="60" t="s">
        <v>101</v>
      </c>
      <c r="O3" s="59">
        <v>1</v>
      </c>
      <c r="Q3" s="63">
        <v>1</v>
      </c>
      <c r="R3" s="63" t="str">
        <f>INDEX($C$3:$C$17, MATCH(Q3, $K$3:$K$17,0))</f>
        <v>R1 2024 - IB Empresarial</v>
      </c>
      <c r="S3" t="str">
        <f>INDEX($B$3:$B$17, MATCH(Q3, $K$3:$K$17, 0))</f>
        <v>Rosa, Farinel</v>
      </c>
    </row>
    <row r="4" spans="2:19" ht="15">
      <c r="B4" t="str">
        <f>INDEX(BD[[Líder ]], MATCH(Ranking!C4, BD[Proyecto], 0))</f>
        <v>Santana, Daniela</v>
      </c>
      <c r="C4" s="51" t="s">
        <v>170</v>
      </c>
      <c r="D4" t="str">
        <f>INDEX(BD[[Etapa ]], MATCH(Ranking!C4, BD[Proyecto],0))</f>
        <v>Desarrollo</v>
      </c>
      <c r="E4">
        <f>INDEX(Table2[Puntos], MATCH(D4, Table2[Etapa], 0))</f>
        <v>3</v>
      </c>
      <c r="F4" s="58">
        <f>INDEX(BD[[Calificación Lider Desarrollo ]], MATCH(Ranking!C4, BD[Proyecto], 0))</f>
        <v>1</v>
      </c>
      <c r="G4" s="61">
        <f>F4</f>
        <v>1</v>
      </c>
      <c r="H4" s="58">
        <f>INDEX(BD[[Calificación del proyecto  de acuerdo a la etapa ]], MATCH(Ranking!C4, BD[Proyecto], 0))</f>
        <v>1</v>
      </c>
      <c r="I4" s="61">
        <f t="shared" ref="I4:I11" si="0">H4</f>
        <v>1</v>
      </c>
      <c r="J4" s="61">
        <f t="shared" ref="J4:J11" si="1">E4+G4+I4</f>
        <v>5</v>
      </c>
      <c r="K4" s="62">
        <f>RANK(J4, $J$3:$J$17, 0) + COUNTIF($J$3:J4, J4)-1</f>
        <v>4</v>
      </c>
      <c r="N4" s="60" t="s">
        <v>80</v>
      </c>
      <c r="O4" s="59">
        <v>2</v>
      </c>
      <c r="Q4" s="63">
        <v>2</v>
      </c>
      <c r="R4" s="63" t="str">
        <f t="shared" ref="R4:R17" si="2">INDEX($C$3:$C$17, MATCH(Q4, $K$3:$K$17,0))</f>
        <v>Cambio Protocolo de Comunicación RSA-SecureID</v>
      </c>
      <c r="S4" t="str">
        <f t="shared" ref="S4:S17" si="3">INDEX($B$3:$B$17, MATCH(Q4, $K$3:$K$17, 0))</f>
        <v>Berroa, Thamayra</v>
      </c>
    </row>
    <row r="5" spans="2:19" ht="41.4">
      <c r="B5" t="str">
        <f>INDEX(BD[[Líder ]], MATCH(Ranking!C5, BD[Proyecto], 0))</f>
        <v>Romero, Alan</v>
      </c>
      <c r="C5" s="50" t="s">
        <v>93</v>
      </c>
      <c r="D5" t="str">
        <f>INDEX(BD[[Etapa ]], MATCH(Ranking!C5, BD[Proyecto],0))</f>
        <v>Desarrollo</v>
      </c>
      <c r="E5">
        <f>INDEX(Table2[Puntos], MATCH(D5, Table2[Etapa], 0))</f>
        <v>3</v>
      </c>
      <c r="F5" s="58">
        <f>INDEX(BD[[Calificación Lider Desarrollo ]], MATCH(Ranking!C5, BD[Proyecto], 0))</f>
        <v>0.875</v>
      </c>
      <c r="G5" s="61">
        <f t="shared" ref="G5:G11" si="4">F5</f>
        <v>0.875</v>
      </c>
      <c r="H5" s="58">
        <f>INDEX(BD[[Calificación del proyecto  de acuerdo a la etapa ]], MATCH(Ranking!C5, BD[Proyecto], 0))</f>
        <v>0.96153846153846156</v>
      </c>
      <c r="I5" s="61">
        <f t="shared" si="0"/>
        <v>0.96153846153846156</v>
      </c>
      <c r="J5" s="61">
        <f t="shared" si="1"/>
        <v>4.8365384615384617</v>
      </c>
      <c r="K5" s="62">
        <f>RANK(J5, $J$3:$J$17, 0) + COUNTIF($J$3:J5, J5)-1</f>
        <v>8</v>
      </c>
      <c r="N5" s="60" t="s">
        <v>83</v>
      </c>
      <c r="O5" s="59">
        <v>3</v>
      </c>
      <c r="Q5" s="63">
        <v>3</v>
      </c>
      <c r="R5" s="63" t="str">
        <f t="shared" si="2"/>
        <v>Migración RSA AA a Cloud (Outseer)</v>
      </c>
      <c r="S5" t="str">
        <f t="shared" si="3"/>
        <v xml:space="preserve">Florentino, Adalberto </v>
      </c>
    </row>
    <row r="6" spans="2:19" ht="27.6">
      <c r="B6" t="str">
        <f>INDEX(BD[[Líder ]], MATCH(Ranking!C6, BD[Proyecto], 0))</f>
        <v>Hernandez, Brianny</v>
      </c>
      <c r="C6" s="51" t="s">
        <v>127</v>
      </c>
      <c r="D6" t="str">
        <f>INDEX(BD[[Etapa ]], MATCH(Ranking!C6, BD[Proyecto],0))</f>
        <v>Taller</v>
      </c>
      <c r="E6">
        <f>INDEX(Table2[Puntos], MATCH(D6, Table2[Etapa], 0))</f>
        <v>1</v>
      </c>
      <c r="F6" s="58">
        <f>INDEX(BD[[Calificación Lider Desarrollo ]], MATCH(Ranking!C6, BD[Proyecto], 0))</f>
        <v>0</v>
      </c>
      <c r="G6" s="61">
        <f t="shared" si="4"/>
        <v>0</v>
      </c>
      <c r="H6" s="58">
        <f>INDEX(BD[[Calificación del proyecto  de acuerdo a la etapa ]], MATCH(Ranking!C6, BD[Proyecto], 0))</f>
        <v>1</v>
      </c>
      <c r="I6" s="61">
        <f t="shared" si="0"/>
        <v>1</v>
      </c>
      <c r="J6" s="61">
        <f t="shared" si="1"/>
        <v>2</v>
      </c>
      <c r="K6" s="62">
        <f>RANK(J6, $J$3:$J$17, 0) + COUNTIF($J$3:J6, J6)-1</f>
        <v>9</v>
      </c>
      <c r="N6" s="60" t="s">
        <v>130</v>
      </c>
      <c r="O6" s="59">
        <v>4</v>
      </c>
      <c r="Q6" s="63">
        <v>4</v>
      </c>
      <c r="R6" s="63" t="str">
        <f t="shared" si="2"/>
        <v>Correcciones Panama</v>
      </c>
      <c r="S6" t="str">
        <f t="shared" si="3"/>
        <v>Santana, Daniela</v>
      </c>
    </row>
    <row r="7" spans="2:19" ht="27.6">
      <c r="B7" t="str">
        <f>INDEX(BD[[Líder ]], MATCH(Ranking!C7, BD[Proyecto], 0))</f>
        <v xml:space="preserve">Jimenez, Victor </v>
      </c>
      <c r="C7" s="50" t="s">
        <v>95</v>
      </c>
      <c r="D7" t="str">
        <f>INDEX(BD[[Etapa ]], MATCH(Ranking!C7, BD[Proyecto],0))</f>
        <v>Desarrollo</v>
      </c>
      <c r="E7">
        <f>INDEX(Table2[Puntos], MATCH(D7, Table2[Etapa], 0))</f>
        <v>3</v>
      </c>
      <c r="F7" s="58">
        <f>INDEX(BD[[Calificación Lider Desarrollo ]], MATCH(Ranking!C7, BD[Proyecto], 0))</f>
        <v>1</v>
      </c>
      <c r="G7" s="61">
        <f t="shared" si="4"/>
        <v>1</v>
      </c>
      <c r="H7" s="58">
        <f>INDEX(BD[[Calificación del proyecto  de acuerdo a la etapa ]], MATCH(Ranking!C7, BD[Proyecto], 0))</f>
        <v>1</v>
      </c>
      <c r="I7" s="61">
        <f t="shared" si="0"/>
        <v>1</v>
      </c>
      <c r="J7" s="61">
        <f t="shared" si="1"/>
        <v>5</v>
      </c>
      <c r="K7" s="62">
        <f>RANK(J7, $J$3:$J$17, 0) + COUNTIF($J$3:J7, J7)-1</f>
        <v>5</v>
      </c>
      <c r="N7" s="60" t="s">
        <v>128</v>
      </c>
      <c r="O7" s="59">
        <v>5</v>
      </c>
      <c r="Q7" s="63">
        <v>5</v>
      </c>
      <c r="R7" s="63" t="str">
        <f t="shared" si="2"/>
        <v>Migración AIX a Linux Internet Banking (Infosys) Popular Bank Panamá</v>
      </c>
      <c r="S7" t="str">
        <f t="shared" si="3"/>
        <v xml:space="preserve">Jimenez, Victor </v>
      </c>
    </row>
    <row r="8" spans="2:19" ht="15">
      <c r="B8" t="str">
        <f>INDEX(BD[[Líder ]], MATCH(Ranking!C8, BD[Proyecto], 0))</f>
        <v xml:space="preserve">Florentino, Adalberto </v>
      </c>
      <c r="C8" s="51" t="s">
        <v>97</v>
      </c>
      <c r="D8" t="str">
        <f>INDEX(BD[[Etapa ]], MATCH(Ranking!C8, BD[Proyecto],0))</f>
        <v>Pruebas Integradas</v>
      </c>
      <c r="E8">
        <f>INDEX(Table2[Puntos], MATCH(D8, Table2[Etapa], 0))</f>
        <v>5</v>
      </c>
      <c r="F8" s="58">
        <f>INDEX(BD[[Calificación Lider Desarrollo ]], MATCH(Ranking!C8, BD[Proyecto], 0))</f>
        <v>1</v>
      </c>
      <c r="G8" s="61">
        <f t="shared" si="4"/>
        <v>1</v>
      </c>
      <c r="H8" s="58">
        <f>INDEX(BD[[Calificación del proyecto  de acuerdo a la etapa ]], MATCH(Ranking!C8, BD[Proyecto], 0))</f>
        <v>1</v>
      </c>
      <c r="I8" s="61">
        <f t="shared" si="0"/>
        <v>1</v>
      </c>
      <c r="J8" s="61">
        <f t="shared" si="1"/>
        <v>7</v>
      </c>
      <c r="K8" s="62">
        <f>RANK(J8, $J$3:$J$17, 0) + COUNTIF($J$3:J8, J8)-1</f>
        <v>3</v>
      </c>
      <c r="N8" s="60" t="s">
        <v>161</v>
      </c>
      <c r="O8" s="59">
        <v>6</v>
      </c>
      <c r="Q8" s="63">
        <v>6</v>
      </c>
      <c r="R8" s="63" t="str">
        <f t="shared" si="2"/>
        <v>R1 2024 - Tpago</v>
      </c>
      <c r="S8" t="str">
        <f t="shared" si="3"/>
        <v>Mirabal, Adrián</v>
      </c>
    </row>
    <row r="9" spans="2:19" ht="15">
      <c r="B9" t="str">
        <f>INDEX(BD[[Líder ]], MATCH(Ranking!C9, BD[Proyecto], 0))</f>
        <v>Rosa, Farinel</v>
      </c>
      <c r="C9" s="50" t="s">
        <v>104</v>
      </c>
      <c r="D9" t="str">
        <f>INDEX(BD[[Etapa ]], MATCH(Ranking!C9, BD[Proyecto],0))</f>
        <v>Pase Producción/Piloto</v>
      </c>
      <c r="E9">
        <f>INDEX(Table2[Puntos], MATCH(D9, Table2[Etapa], 0))</f>
        <v>7</v>
      </c>
      <c r="F9" s="58">
        <f>INDEX(BD[[Calificación Lider Desarrollo ]], MATCH(Ranking!C9, BD[Proyecto], 0))</f>
        <v>1</v>
      </c>
      <c r="G9" s="61">
        <f t="shared" si="4"/>
        <v>1</v>
      </c>
      <c r="H9" s="58">
        <f>INDEX(BD[[Calificación del proyecto  de acuerdo a la etapa ]], MATCH(Ranking!C9, BD[Proyecto], 0))</f>
        <v>0.9285714285714286</v>
      </c>
      <c r="I9" s="61">
        <f t="shared" si="0"/>
        <v>0.9285714285714286</v>
      </c>
      <c r="J9" s="61">
        <f t="shared" si="1"/>
        <v>8.9285714285714288</v>
      </c>
      <c r="K9" s="62">
        <f>RANK(J9, $J$3:$J$17, 0) + COUNTIF($J$3:J9, J9)-1</f>
        <v>1</v>
      </c>
      <c r="N9" s="60" t="s">
        <v>131</v>
      </c>
      <c r="O9" s="59">
        <v>7</v>
      </c>
      <c r="Q9" s="63">
        <v>7</v>
      </c>
      <c r="R9" s="63" t="str">
        <f t="shared" si="2"/>
        <v>Upgrade IBM API Connect / Configuración de Portal / Sandbox</v>
      </c>
      <c r="S9" t="str">
        <f t="shared" si="3"/>
        <v>Santos, Ramon Emilio</v>
      </c>
    </row>
    <row r="10" spans="2:19" ht="15">
      <c r="B10" t="str">
        <f>INDEX(BD[[Líder ]], MATCH(Ranking!C10, BD[Proyecto], 0))</f>
        <v>Mirabal, Adrián</v>
      </c>
      <c r="C10" s="51" t="s">
        <v>107</v>
      </c>
      <c r="D10" t="str">
        <f>INDEX(BD[[Etapa ]], MATCH(Ranking!C10, BD[Proyecto],0))</f>
        <v>Desarrollo</v>
      </c>
      <c r="E10">
        <f>INDEX(Table2[Puntos], MATCH(D10, Table2[Etapa], 0))</f>
        <v>3</v>
      </c>
      <c r="F10" s="58">
        <f>INDEX(BD[[Calificación Lider Desarrollo ]], MATCH(Ranking!C10, BD[Proyecto], 0))</f>
        <v>1</v>
      </c>
      <c r="G10" s="61">
        <f t="shared" si="4"/>
        <v>1</v>
      </c>
      <c r="H10" s="58">
        <f>INDEX(BD[[Calificación del proyecto  de acuerdo a la etapa ]], MATCH(Ranking!C10, BD[Proyecto], 0))</f>
        <v>1</v>
      </c>
      <c r="I10" s="61">
        <f t="shared" si="0"/>
        <v>1</v>
      </c>
      <c r="J10" s="61">
        <f t="shared" si="1"/>
        <v>5</v>
      </c>
      <c r="K10" s="62">
        <f>RANK(J10, $J$3:$J$17, 0) + COUNTIF($J$3:J10, J10)-1</f>
        <v>6</v>
      </c>
      <c r="N10" s="60" t="s">
        <v>124</v>
      </c>
      <c r="O10" s="59">
        <v>8</v>
      </c>
      <c r="Q10" s="63">
        <v>8</v>
      </c>
      <c r="R10" s="63" t="str">
        <f t="shared" si="2"/>
        <v>Herramienta de Manejo de Finanzas Personale (Planificado personal de finanzas (PFM))</v>
      </c>
      <c r="S10" t="str">
        <f t="shared" si="3"/>
        <v>Romero, Alan</v>
      </c>
    </row>
    <row r="11" spans="2:19" ht="27.6">
      <c r="B11" t="str">
        <f>INDEX(BD[[Líder ]], MATCH(Ranking!C11, BD[Proyecto], 0))</f>
        <v>Santos, Ramon Emilio</v>
      </c>
      <c r="C11" s="50" t="s">
        <v>110</v>
      </c>
      <c r="D11" t="str">
        <f>INDEX(BD[[Etapa ]], MATCH(Ranking!C11, BD[Proyecto],0))</f>
        <v>Desarrollo</v>
      </c>
      <c r="E11">
        <f>INDEX(Table2[Puntos], MATCH(D11, Table2[Etapa], 0))</f>
        <v>3</v>
      </c>
      <c r="F11" s="58">
        <f>INDEX(BD[[Calificación Lider Desarrollo ]], MATCH(Ranking!C11, BD[Proyecto], 0))</f>
        <v>1</v>
      </c>
      <c r="G11" s="61">
        <f t="shared" si="4"/>
        <v>1</v>
      </c>
      <c r="H11" s="58">
        <f>INDEX(BD[[Calificación del proyecto  de acuerdo a la etapa ]], MATCH(Ranking!C11, BD[Proyecto], 0))</f>
        <v>1</v>
      </c>
      <c r="I11" s="61">
        <f t="shared" si="0"/>
        <v>1</v>
      </c>
      <c r="J11" s="61">
        <f t="shared" si="1"/>
        <v>5</v>
      </c>
      <c r="K11" s="62">
        <f>RANK(J11, $J$3:$J$17, 0) + COUNTIF($J$3:J11, J11)-1</f>
        <v>7</v>
      </c>
      <c r="N11" s="60" t="s">
        <v>162</v>
      </c>
      <c r="O11" s="59">
        <v>9</v>
      </c>
      <c r="Q11" s="63">
        <v>9</v>
      </c>
      <c r="R11" s="63" t="str">
        <f t="shared" si="2"/>
        <v>Mejoras Subsistemas IFC - Cambio de Modalidad a Ejecución Asincrónica</v>
      </c>
      <c r="S11" t="str">
        <f t="shared" si="3"/>
        <v>Hernandez, Brianny</v>
      </c>
    </row>
    <row r="12" spans="2:19" ht="15">
      <c r="B12" t="e">
        <f>INDEX(BD[[Líder ]], MATCH(Ranking!C12, BD[Proyecto], 0))</f>
        <v>#N/A</v>
      </c>
      <c r="C12" s="51"/>
      <c r="F12" s="58"/>
      <c r="G12" s="61"/>
      <c r="H12" s="58"/>
      <c r="I12" s="61"/>
      <c r="J12" s="61"/>
      <c r="K12" s="62"/>
      <c r="N12" s="71" t="s">
        <v>171</v>
      </c>
      <c r="O12" s="59">
        <v>5</v>
      </c>
      <c r="Q12" s="63">
        <v>10</v>
      </c>
      <c r="R12" s="63" t="e">
        <f t="shared" si="2"/>
        <v>#N/A</v>
      </c>
      <c r="S12" t="e">
        <f t="shared" si="3"/>
        <v>#N/A</v>
      </c>
    </row>
    <row r="13" spans="2:19" ht="15">
      <c r="B13" t="e">
        <f>INDEX(BD[[Líder ]], MATCH(Ranking!C13, BD[Proyecto], 0))</f>
        <v>#N/A</v>
      </c>
      <c r="C13" s="50"/>
      <c r="F13" s="58"/>
      <c r="G13" s="61"/>
      <c r="H13" s="58"/>
      <c r="I13" s="61"/>
      <c r="J13" s="61"/>
      <c r="K13" s="62"/>
      <c r="N13" s="71" t="s">
        <v>173</v>
      </c>
      <c r="O13">
        <v>7</v>
      </c>
      <c r="Q13" s="63">
        <v>11</v>
      </c>
      <c r="R13" s="63" t="e">
        <f t="shared" si="2"/>
        <v>#N/A</v>
      </c>
      <c r="S13" t="e">
        <f t="shared" si="3"/>
        <v>#N/A</v>
      </c>
    </row>
    <row r="14" spans="2:19" ht="15">
      <c r="B14" t="e">
        <f>INDEX(BD[[Líder ]], MATCH(Ranking!C14, BD[Proyecto], 0))</f>
        <v>#N/A</v>
      </c>
      <c r="C14" s="51"/>
      <c r="F14" s="58"/>
      <c r="G14" s="61"/>
      <c r="H14" s="58"/>
      <c r="I14" s="61"/>
      <c r="J14" s="61"/>
      <c r="K14" s="62"/>
      <c r="N14" s="71" t="s">
        <v>120</v>
      </c>
      <c r="O14">
        <v>4</v>
      </c>
      <c r="Q14" s="63">
        <v>12</v>
      </c>
      <c r="R14" s="63" t="e">
        <f t="shared" si="2"/>
        <v>#N/A</v>
      </c>
      <c r="S14" t="e">
        <f t="shared" si="3"/>
        <v>#N/A</v>
      </c>
    </row>
    <row r="15" spans="2:19" ht="15">
      <c r="B15" t="e">
        <f>INDEX(BD[[Líder ]], MATCH(Ranking!C15, BD[Proyecto], 0))</f>
        <v>#N/A</v>
      </c>
      <c r="C15" s="50"/>
      <c r="F15" s="58"/>
      <c r="G15" s="61"/>
      <c r="H15" s="58"/>
      <c r="I15" s="61"/>
      <c r="J15" s="61"/>
      <c r="K15" s="62"/>
      <c r="Q15" s="63">
        <v>13</v>
      </c>
      <c r="R15" s="63" t="e">
        <f t="shared" si="2"/>
        <v>#N/A</v>
      </c>
      <c r="S15" t="e">
        <f t="shared" si="3"/>
        <v>#N/A</v>
      </c>
    </row>
    <row r="16" spans="2:19" ht="15">
      <c r="B16" t="e">
        <f>INDEX(BD[[Líder ]], MATCH(Ranking!C16, BD[Proyecto], 0))</f>
        <v>#N/A</v>
      </c>
      <c r="C16" s="51"/>
      <c r="F16" s="58"/>
      <c r="G16" s="61"/>
      <c r="H16" s="58"/>
      <c r="I16" s="61"/>
      <c r="J16" s="61"/>
      <c r="K16" s="62"/>
      <c r="Q16" s="63">
        <v>14</v>
      </c>
      <c r="R16" s="63" t="e">
        <f t="shared" si="2"/>
        <v>#N/A</v>
      </c>
      <c r="S16" t="e">
        <f t="shared" si="3"/>
        <v>#N/A</v>
      </c>
    </row>
    <row r="17" spans="2:19" ht="15">
      <c r="B17" t="e">
        <f>INDEX(BD[[Líder ]], MATCH(Ranking!C17, BD[Proyecto], 0))</f>
        <v>#N/A</v>
      </c>
      <c r="C17" s="50"/>
      <c r="F17" s="58"/>
      <c r="G17" s="61"/>
      <c r="H17" s="58"/>
      <c r="I17" s="61"/>
      <c r="J17" s="61"/>
      <c r="K17" s="62"/>
      <c r="Q17" s="63">
        <v>15</v>
      </c>
      <c r="R17" s="63" t="e">
        <f t="shared" si="2"/>
        <v>#N/A</v>
      </c>
      <c r="S17" t="e">
        <f t="shared" si="3"/>
        <v>#N/A</v>
      </c>
    </row>
  </sheetData>
  <conditionalFormatting sqref="Q3:Q1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300" verticalDpi="0" copies="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37"/>
  <sheetViews>
    <sheetView topLeftCell="W1" zoomScale="110" zoomScaleNormal="110" workbookViewId="0">
      <selection activeCell="AH9" sqref="AH9"/>
    </sheetView>
  </sheetViews>
  <sheetFormatPr defaultRowHeight="14.4"/>
  <cols>
    <col min="1" max="2" width="2.77734375" customWidth="1"/>
    <col min="3" max="3" width="76.21875" customWidth="1"/>
    <col min="4" max="4" width="21.88671875" bestFit="1" customWidth="1"/>
    <col min="5" max="5" width="2.77734375" customWidth="1"/>
    <col min="6" max="6" width="19.88671875" customWidth="1"/>
    <col min="7" max="7" width="35.109375" customWidth="1"/>
    <col min="8" max="8" width="2.77734375" customWidth="1"/>
    <col min="9" max="9" width="76.21875" customWidth="1"/>
    <col min="10" max="10" width="22.88671875" customWidth="1"/>
    <col min="11" max="11" width="2.77734375" customWidth="1"/>
    <col min="12" max="12" width="76.21875" customWidth="1"/>
    <col min="13" max="13" width="8" customWidth="1"/>
    <col min="14" max="14" width="12.6640625" customWidth="1"/>
    <col min="15" max="15" width="8.6640625" customWidth="1"/>
    <col min="16" max="16" width="12.109375" customWidth="1"/>
    <col min="17" max="17" width="13.6640625" customWidth="1"/>
    <col min="18" max="18" width="2.77734375" customWidth="1"/>
    <col min="19" max="19" width="53.77734375" bestFit="1" customWidth="1"/>
    <col min="20" max="20" width="11" bestFit="1" customWidth="1"/>
    <col min="22" max="22" width="68" bestFit="1" customWidth="1"/>
    <col min="23" max="23" width="10.5546875" bestFit="1" customWidth="1"/>
    <col min="24" max="24" width="10.5546875" customWidth="1"/>
    <col min="25" max="25" width="27.33203125" customWidth="1"/>
    <col min="26" max="26" width="14.77734375" bestFit="1" customWidth="1"/>
    <col min="27" max="27" width="2.77734375" customWidth="1"/>
    <col min="28" max="28" width="13.5546875" customWidth="1"/>
    <col min="30" max="30" width="16.77734375" bestFit="1" customWidth="1"/>
  </cols>
  <sheetData>
    <row r="2" spans="1:32">
      <c r="A2" s="43"/>
    </row>
    <row r="3" spans="1:32">
      <c r="A3" s="42"/>
      <c r="C3" s="52" t="s">
        <v>138</v>
      </c>
      <c r="D3" t="s">
        <v>137</v>
      </c>
      <c r="F3" s="52" t="s">
        <v>132</v>
      </c>
      <c r="G3" t="s">
        <v>140</v>
      </c>
      <c r="I3" s="52" t="s">
        <v>132</v>
      </c>
      <c r="J3" t="s">
        <v>142</v>
      </c>
      <c r="L3" s="52" t="s">
        <v>132</v>
      </c>
      <c r="M3" t="s">
        <v>145</v>
      </c>
      <c r="N3" t="s">
        <v>146</v>
      </c>
      <c r="O3" t="s">
        <v>147</v>
      </c>
      <c r="P3" t="s">
        <v>148</v>
      </c>
      <c r="Q3" t="s">
        <v>149</v>
      </c>
      <c r="S3" s="31" t="s">
        <v>153</v>
      </c>
      <c r="T3" s="31" t="s">
        <v>154</v>
      </c>
      <c r="V3" s="31" t="s">
        <v>120</v>
      </c>
      <c r="W3" s="31" t="s">
        <v>155</v>
      </c>
      <c r="X3" s="31"/>
      <c r="Y3" s="31" t="s">
        <v>157</v>
      </c>
      <c r="Z3" s="31" t="s">
        <v>156</v>
      </c>
      <c r="AA3" s="31"/>
      <c r="AB3" s="31" t="s">
        <v>0</v>
      </c>
      <c r="AC3" s="31" t="s">
        <v>174</v>
      </c>
      <c r="AD3" s="31" t="s">
        <v>176</v>
      </c>
      <c r="AE3" s="31" t="s">
        <v>175</v>
      </c>
      <c r="AF3" s="31" t="s">
        <v>177</v>
      </c>
    </row>
    <row r="4" spans="1:32">
      <c r="A4" s="44"/>
      <c r="C4" s="53" t="s">
        <v>84</v>
      </c>
      <c r="D4" s="54">
        <v>1</v>
      </c>
      <c r="F4" s="53" t="s">
        <v>86</v>
      </c>
      <c r="G4" s="54">
        <v>1</v>
      </c>
      <c r="I4" s="53" t="s">
        <v>84</v>
      </c>
      <c r="J4" s="54">
        <v>1</v>
      </c>
      <c r="L4" s="53" t="s">
        <v>84</v>
      </c>
      <c r="M4" s="54">
        <v>1</v>
      </c>
      <c r="N4" s="54">
        <v>1</v>
      </c>
      <c r="O4" s="54">
        <v>1</v>
      </c>
      <c r="P4" s="54">
        <v>1</v>
      </c>
      <c r="Q4" s="54">
        <v>1</v>
      </c>
      <c r="S4" t="s">
        <v>113</v>
      </c>
      <c r="T4" s="54">
        <f>GETPIVOTDATA(" Gestor",$L$3)</f>
        <v>1</v>
      </c>
      <c r="V4" t="s">
        <v>41</v>
      </c>
      <c r="W4" s="57">
        <f>Evaluacion!$AP$18</f>
        <v>1</v>
      </c>
      <c r="X4" s="57"/>
      <c r="Y4" s="58" t="str">
        <f>INDEX($V$4:$V$37,MATCH(Z4,$W$4:$W$37,0))</f>
        <v>Aprobación Pase a Producción</v>
      </c>
      <c r="Z4" s="58">
        <f>SMALL(IF((W4:W37&lt;&gt;0)*(W4:W37&lt;&gt;""), W4:W37), 1)</f>
        <v>0</v>
      </c>
      <c r="AB4" t="s">
        <v>84</v>
      </c>
      <c r="AC4" s="54">
        <v>1</v>
      </c>
      <c r="AD4" s="54">
        <v>1</v>
      </c>
      <c r="AE4" s="54">
        <v>1</v>
      </c>
      <c r="AF4" s="54">
        <v>1</v>
      </c>
    </row>
    <row r="5" spans="1:32">
      <c r="C5" s="53" t="s">
        <v>93</v>
      </c>
      <c r="D5" s="54">
        <v>0.96153846153846156</v>
      </c>
      <c r="F5" s="53" t="s">
        <v>99</v>
      </c>
      <c r="G5" s="54">
        <v>1</v>
      </c>
      <c r="I5" s="53" t="s">
        <v>93</v>
      </c>
      <c r="J5" s="54">
        <v>1</v>
      </c>
      <c r="L5" s="53" t="s">
        <v>93</v>
      </c>
      <c r="M5" s="54">
        <v>1</v>
      </c>
      <c r="N5" s="54">
        <v>1</v>
      </c>
      <c r="O5" s="54">
        <v>1</v>
      </c>
      <c r="P5" s="54">
        <v>1</v>
      </c>
      <c r="Q5" s="54">
        <v>1</v>
      </c>
      <c r="S5" t="s">
        <v>150</v>
      </c>
      <c r="T5" s="54">
        <f>GETPIVOTDATA("Arq Funcional",$L$3)</f>
        <v>1</v>
      </c>
      <c r="V5" t="s">
        <v>42</v>
      </c>
      <c r="W5" s="57">
        <f>Evaluacion!$AQ$18</f>
        <v>1</v>
      </c>
      <c r="X5" s="57"/>
      <c r="Y5" s="58" t="str">
        <f>INDEX($V$4:$V$37,MATCH(Z5,$W$4:$W$37,0))</f>
        <v>Diagrama de Secuencia UML</v>
      </c>
      <c r="Z5" s="58">
        <f>SMALL(IF((W5:W38&lt;&gt;0)*(W5:W38&lt;&gt;""), W5:W38), 2)</f>
        <v>0.66666666666666663</v>
      </c>
      <c r="AB5" t="s">
        <v>170</v>
      </c>
      <c r="AC5" s="54">
        <v>1</v>
      </c>
      <c r="AD5" s="54">
        <v>1</v>
      </c>
      <c r="AE5" s="54">
        <v>1</v>
      </c>
      <c r="AF5" s="54">
        <v>1</v>
      </c>
    </row>
    <row r="6" spans="1:32">
      <c r="C6" s="53" t="s">
        <v>127</v>
      </c>
      <c r="D6" s="54">
        <v>1</v>
      </c>
      <c r="F6" s="53" t="s">
        <v>103</v>
      </c>
      <c r="G6" s="54"/>
      <c r="I6" s="53" t="s">
        <v>127</v>
      </c>
      <c r="J6" s="54"/>
      <c r="L6" s="53" t="s">
        <v>127</v>
      </c>
      <c r="M6" s="54">
        <v>1</v>
      </c>
      <c r="N6" s="54">
        <v>1</v>
      </c>
      <c r="O6" s="54"/>
      <c r="P6" s="54"/>
      <c r="Q6" s="54"/>
      <c r="S6" t="s">
        <v>151</v>
      </c>
      <c r="T6" s="54">
        <f>GETPIVOTDATA(" Arq I y D",$L$3)</f>
        <v>1</v>
      </c>
      <c r="V6" t="s">
        <v>43</v>
      </c>
      <c r="W6" s="57">
        <f>Evaluacion!$AR$18</f>
        <v>1</v>
      </c>
      <c r="X6" s="57"/>
      <c r="Y6" s="58" t="str">
        <f t="shared" ref="Y6:Y8" si="0">INDEX($V$4:$V$37,MATCH(Z6,$W$4:$W$37,0))</f>
        <v>Acta de Subcomite de TI</v>
      </c>
      <c r="Z6" s="58">
        <f>SMALL(IF((W6:W39&lt;&gt;0)*(W6:W39&lt;&gt;""), W6:W39), 3)</f>
        <v>0.875</v>
      </c>
      <c r="AB6" t="s">
        <v>93</v>
      </c>
      <c r="AC6" s="54">
        <v>1</v>
      </c>
      <c r="AD6" s="54">
        <v>0.875</v>
      </c>
      <c r="AE6" s="54">
        <v>1</v>
      </c>
      <c r="AF6" s="54">
        <v>0.96153846153846156</v>
      </c>
    </row>
    <row r="7" spans="1:32">
      <c r="C7" s="53" t="s">
        <v>95</v>
      </c>
      <c r="D7" s="54">
        <v>1</v>
      </c>
      <c r="F7" s="53" t="s">
        <v>90</v>
      </c>
      <c r="G7" s="54">
        <v>1</v>
      </c>
      <c r="I7" s="53" t="s">
        <v>95</v>
      </c>
      <c r="J7" s="54">
        <v>1</v>
      </c>
      <c r="L7" s="53" t="s">
        <v>95</v>
      </c>
      <c r="M7" s="54">
        <v>1</v>
      </c>
      <c r="N7" s="54">
        <v>1</v>
      </c>
      <c r="O7" s="54">
        <v>1</v>
      </c>
      <c r="P7" s="54">
        <v>1</v>
      </c>
      <c r="Q7" s="54">
        <v>1</v>
      </c>
      <c r="S7" t="s">
        <v>152</v>
      </c>
      <c r="T7" s="54">
        <f>GETPIVOTDATA("Lider Testing ",$L$3)</f>
        <v>0.97916666666666663</v>
      </c>
      <c r="V7" t="s">
        <v>44</v>
      </c>
      <c r="W7" s="57">
        <f>Evaluacion!$AS$18</f>
        <v>1</v>
      </c>
      <c r="X7" s="57"/>
      <c r="Y7" s="58" t="str">
        <f t="shared" si="0"/>
        <v>Ficha del Proyecto</v>
      </c>
      <c r="Z7" s="58">
        <f>SMALL(IF((W7:W40&lt;&gt;0)*(W7:W40&lt;&gt;""), W7:W40), 4)</f>
        <v>1</v>
      </c>
      <c r="AB7" t="s">
        <v>127</v>
      </c>
      <c r="AC7" s="54"/>
      <c r="AD7" s="54"/>
      <c r="AE7" s="54">
        <v>1</v>
      </c>
      <c r="AF7" s="54">
        <v>1</v>
      </c>
    </row>
    <row r="8" spans="1:32">
      <c r="C8" s="53" t="s">
        <v>97</v>
      </c>
      <c r="D8" s="54">
        <v>1</v>
      </c>
      <c r="F8" s="53" t="s">
        <v>108</v>
      </c>
      <c r="G8" s="54">
        <v>1</v>
      </c>
      <c r="I8" s="53" t="s">
        <v>97</v>
      </c>
      <c r="J8" s="54">
        <v>1</v>
      </c>
      <c r="L8" s="53" t="s">
        <v>97</v>
      </c>
      <c r="M8" s="54">
        <v>1</v>
      </c>
      <c r="N8" s="54">
        <v>1</v>
      </c>
      <c r="O8" s="54">
        <v>1</v>
      </c>
      <c r="P8" s="54">
        <v>1</v>
      </c>
      <c r="Q8" s="54">
        <v>1</v>
      </c>
      <c r="S8" t="s">
        <v>149</v>
      </c>
      <c r="T8" s="54">
        <f>GETPIVOTDATA("Infraestructura",$L$3)</f>
        <v>1</v>
      </c>
      <c r="V8" t="s">
        <v>45</v>
      </c>
      <c r="W8" s="57">
        <f>Evaluacion!$AT$18</f>
        <v>1</v>
      </c>
      <c r="X8" s="57"/>
      <c r="Y8" s="58" t="str">
        <f t="shared" si="0"/>
        <v>Ficha del Proyecto</v>
      </c>
      <c r="Z8" s="58">
        <f>SMALL(IF((W8:W41&lt;&gt;0)*(W8:W41&lt;&gt;""), W8:W41), 5)</f>
        <v>1</v>
      </c>
      <c r="AB8" t="s">
        <v>95</v>
      </c>
      <c r="AC8" s="54">
        <v>1</v>
      </c>
      <c r="AD8" s="54">
        <v>1</v>
      </c>
      <c r="AE8" s="54">
        <v>1</v>
      </c>
      <c r="AF8" s="54">
        <v>1</v>
      </c>
    </row>
    <row r="9" spans="1:32">
      <c r="C9" s="53" t="s">
        <v>104</v>
      </c>
      <c r="D9" s="54">
        <v>0.9285714285714286</v>
      </c>
      <c r="F9" s="53" t="s">
        <v>92</v>
      </c>
      <c r="G9" s="54">
        <v>0.875</v>
      </c>
      <c r="I9" s="53" t="s">
        <v>104</v>
      </c>
      <c r="J9" s="54">
        <v>1</v>
      </c>
      <c r="L9" s="53" t="s">
        <v>104</v>
      </c>
      <c r="M9" s="54">
        <v>1</v>
      </c>
      <c r="N9" s="54"/>
      <c r="O9" s="54"/>
      <c r="P9" s="54">
        <v>0.83333333333333337</v>
      </c>
      <c r="Q9" s="54"/>
      <c r="V9" t="s">
        <v>46</v>
      </c>
      <c r="W9" s="57" t="str">
        <f>Evaluacion!$AU$18</f>
        <v/>
      </c>
      <c r="X9" s="57"/>
      <c r="Y9" s="58"/>
      <c r="AB9" t="s">
        <v>97</v>
      </c>
      <c r="AC9" s="54">
        <v>1</v>
      </c>
      <c r="AD9" s="54">
        <v>1</v>
      </c>
      <c r="AE9" s="54">
        <v>1</v>
      </c>
      <c r="AF9" s="54">
        <v>1</v>
      </c>
    </row>
    <row r="10" spans="1:32">
      <c r="C10" s="53" t="s">
        <v>107</v>
      </c>
      <c r="D10" s="54">
        <v>1</v>
      </c>
      <c r="F10" s="53" t="s">
        <v>105</v>
      </c>
      <c r="G10" s="54">
        <v>1</v>
      </c>
      <c r="I10" s="53" t="s">
        <v>107</v>
      </c>
      <c r="J10" s="54">
        <v>1</v>
      </c>
      <c r="L10" s="53" t="s">
        <v>107</v>
      </c>
      <c r="M10" s="54">
        <v>1</v>
      </c>
      <c r="N10" s="54"/>
      <c r="O10" s="54"/>
      <c r="P10" s="54">
        <v>1</v>
      </c>
      <c r="Q10" s="54"/>
      <c r="V10" t="s">
        <v>47</v>
      </c>
      <c r="W10" s="57">
        <f>Evaluacion!$AV$18</f>
        <v>1</v>
      </c>
      <c r="X10" s="57"/>
      <c r="Y10" s="58"/>
      <c r="AB10" t="s">
        <v>104</v>
      </c>
      <c r="AC10" s="54">
        <v>1</v>
      </c>
      <c r="AD10" s="54">
        <v>1</v>
      </c>
      <c r="AE10" s="54">
        <v>1</v>
      </c>
      <c r="AF10" s="54">
        <v>0.9285714285714286</v>
      </c>
    </row>
    <row r="11" spans="1:32">
      <c r="C11" s="53" t="s">
        <v>110</v>
      </c>
      <c r="D11" s="54">
        <v>1</v>
      </c>
      <c r="F11" s="53" t="s">
        <v>111</v>
      </c>
      <c r="G11" s="54">
        <v>1</v>
      </c>
      <c r="I11" s="53" t="s">
        <v>110</v>
      </c>
      <c r="J11" s="54"/>
      <c r="L11" s="53" t="s">
        <v>110</v>
      </c>
      <c r="M11" s="54">
        <v>1</v>
      </c>
      <c r="N11" s="54">
        <v>1</v>
      </c>
      <c r="O11" s="54">
        <v>1</v>
      </c>
      <c r="P11" s="54">
        <v>1</v>
      </c>
      <c r="Q11" s="54">
        <v>1</v>
      </c>
      <c r="V11" t="s">
        <v>48</v>
      </c>
      <c r="W11" s="57">
        <f>Evaluacion!$AW$18</f>
        <v>1</v>
      </c>
      <c r="X11" s="57"/>
      <c r="Y11" s="58"/>
      <c r="AB11" t="s">
        <v>107</v>
      </c>
      <c r="AC11" s="54">
        <v>1</v>
      </c>
      <c r="AD11" s="54">
        <v>1</v>
      </c>
      <c r="AE11" s="54">
        <v>0.78</v>
      </c>
      <c r="AF11" s="54">
        <v>1</v>
      </c>
    </row>
    <row r="12" spans="1:32">
      <c r="C12" s="53" t="s">
        <v>170</v>
      </c>
      <c r="D12" s="54">
        <v>1</v>
      </c>
      <c r="F12" s="53" t="s">
        <v>134</v>
      </c>
      <c r="G12" s="54"/>
      <c r="I12" s="53" t="s">
        <v>170</v>
      </c>
      <c r="J12" s="54">
        <v>1</v>
      </c>
      <c r="L12" s="53" t="s">
        <v>170</v>
      </c>
      <c r="M12" s="54">
        <v>1</v>
      </c>
      <c r="N12" s="54">
        <v>1</v>
      </c>
      <c r="O12" s="54">
        <v>1</v>
      </c>
      <c r="P12" s="54">
        <v>1</v>
      </c>
      <c r="Q12" s="54">
        <v>1</v>
      </c>
      <c r="V12" t="s">
        <v>49</v>
      </c>
      <c r="W12" s="57">
        <f>Evaluacion!$AX$18</f>
        <v>1</v>
      </c>
      <c r="X12" s="57"/>
      <c r="Y12" s="58"/>
      <c r="AB12" t="s">
        <v>110</v>
      </c>
      <c r="AC12" s="54">
        <v>1</v>
      </c>
      <c r="AD12" s="54">
        <v>1</v>
      </c>
      <c r="AE12" s="54">
        <v>0.97</v>
      </c>
      <c r="AF12" s="54">
        <v>1</v>
      </c>
    </row>
    <row r="13" spans="1:32">
      <c r="C13" s="53" t="s">
        <v>134</v>
      </c>
      <c r="D13" s="54"/>
      <c r="F13" s="53" t="s">
        <v>178</v>
      </c>
      <c r="G13" s="54">
        <v>1</v>
      </c>
      <c r="I13" s="53" t="s">
        <v>134</v>
      </c>
      <c r="J13" s="54"/>
      <c r="L13" s="53" t="s">
        <v>134</v>
      </c>
      <c r="M13" s="54"/>
      <c r="N13" s="54"/>
      <c r="O13" s="54"/>
      <c r="P13" s="54"/>
      <c r="Q13" s="54"/>
      <c r="V13" t="s">
        <v>50</v>
      </c>
      <c r="W13" s="57">
        <f>Evaluacion!$AY$18</f>
        <v>1</v>
      </c>
      <c r="X13" s="57"/>
      <c r="Y13" s="58"/>
      <c r="AF13" s="54"/>
    </row>
    <row r="14" spans="1:32">
      <c r="C14" s="53" t="s">
        <v>133</v>
      </c>
      <c r="D14" s="54">
        <v>0.98778998778998783</v>
      </c>
      <c r="F14" s="53" t="s">
        <v>133</v>
      </c>
      <c r="G14" s="54">
        <v>0.984375</v>
      </c>
      <c r="I14" s="53" t="s">
        <v>133</v>
      </c>
      <c r="J14" s="54">
        <v>1</v>
      </c>
      <c r="L14" s="53" t="s">
        <v>133</v>
      </c>
      <c r="M14" s="54">
        <v>1</v>
      </c>
      <c r="N14" s="54">
        <v>1</v>
      </c>
      <c r="O14" s="54">
        <v>1</v>
      </c>
      <c r="P14" s="54">
        <v>0.97916666666666663</v>
      </c>
      <c r="Q14" s="54">
        <v>1</v>
      </c>
      <c r="V14" t="s">
        <v>51</v>
      </c>
      <c r="W14" s="57">
        <f>Evaluacion!$AZ$18</f>
        <v>1</v>
      </c>
      <c r="X14" s="57"/>
      <c r="Y14" s="58"/>
      <c r="AC14" s="54"/>
      <c r="AD14" s="54"/>
      <c r="AE14" s="54"/>
      <c r="AF14" s="54"/>
    </row>
    <row r="15" spans="1:32">
      <c r="V15" t="s">
        <v>52</v>
      </c>
      <c r="W15" s="57">
        <f>Evaluacion!$BA$18</f>
        <v>1</v>
      </c>
      <c r="X15" s="57"/>
      <c r="Y15" s="58"/>
      <c r="AC15" s="54"/>
      <c r="AD15" s="54"/>
      <c r="AE15" s="54"/>
      <c r="AF15" s="54"/>
    </row>
    <row r="16" spans="1:32">
      <c r="V16" t="s">
        <v>53</v>
      </c>
      <c r="W16" s="57">
        <f>Evaluacion!$BB$18</f>
        <v>0.66666666666666663</v>
      </c>
      <c r="X16" s="57"/>
      <c r="Y16" s="58"/>
    </row>
    <row r="17" spans="3:25">
      <c r="V17" t="s">
        <v>54</v>
      </c>
      <c r="W17" s="57">
        <f>Evaluacion!$BC$18</f>
        <v>1</v>
      </c>
      <c r="X17" s="57"/>
      <c r="Y17" s="58"/>
    </row>
    <row r="18" spans="3:25">
      <c r="V18" t="s">
        <v>55</v>
      </c>
      <c r="W18" s="57">
        <f>Evaluacion!$BD$18</f>
        <v>1</v>
      </c>
      <c r="X18" s="57"/>
      <c r="Y18" s="58"/>
    </row>
    <row r="19" spans="3:25">
      <c r="V19" t="s">
        <v>56</v>
      </c>
      <c r="W19" s="57">
        <f>Evaluacion!$BE$18</f>
        <v>1</v>
      </c>
      <c r="X19" s="57"/>
      <c r="Y19" s="58"/>
    </row>
    <row r="20" spans="3:25">
      <c r="V20" t="s">
        <v>57</v>
      </c>
      <c r="W20" s="57">
        <f>Evaluacion!$BF$18</f>
        <v>1</v>
      </c>
      <c r="X20" s="57"/>
      <c r="Y20" s="58"/>
    </row>
    <row r="21" spans="3:25">
      <c r="C21" s="56" t="s">
        <v>139</v>
      </c>
      <c r="D21" s="54">
        <f>GETPIVOTDATA("Calificación del proyecto  de acuerdo a la etapa ",$C$3)</f>
        <v>0.98778998778998783</v>
      </c>
      <c r="F21" s="56" t="s">
        <v>141</v>
      </c>
      <c r="G21" s="54">
        <f>GETPIVOTDATA("Calificación Lider Desarrollo ",$F$3)</f>
        <v>0.984375</v>
      </c>
      <c r="I21" s="53" t="s">
        <v>143</v>
      </c>
      <c r="J21" s="54">
        <f>GETPIVOTDATA("Jira Desarrollo",$I$3)</f>
        <v>1</v>
      </c>
      <c r="V21" t="s">
        <v>58</v>
      </c>
      <c r="W21" s="57">
        <f>Evaluacion!$BG$18</f>
        <v>1</v>
      </c>
      <c r="X21" s="57"/>
      <c r="Y21" s="58"/>
    </row>
    <row r="22" spans="3:25">
      <c r="I22" s="53" t="s">
        <v>144</v>
      </c>
      <c r="J22" s="54">
        <f>1-J21</f>
        <v>0</v>
      </c>
      <c r="V22" t="s">
        <v>59</v>
      </c>
      <c r="W22" s="57">
        <f>Evaluacion!$BH$18</f>
        <v>1</v>
      </c>
      <c r="X22" s="57"/>
      <c r="Y22" s="58"/>
    </row>
    <row r="23" spans="3:25">
      <c r="V23" t="s">
        <v>60</v>
      </c>
      <c r="W23" s="57">
        <f>Evaluacion!$BI$18</f>
        <v>1</v>
      </c>
      <c r="X23" s="57"/>
      <c r="Y23" s="58"/>
    </row>
    <row r="24" spans="3:25">
      <c r="V24" t="s">
        <v>61</v>
      </c>
      <c r="W24" s="57" t="str">
        <f>Evaluacion!$BJ$18</f>
        <v/>
      </c>
      <c r="X24" s="57"/>
      <c r="Y24" s="58"/>
    </row>
    <row r="25" spans="3:25">
      <c r="V25" t="s">
        <v>62</v>
      </c>
      <c r="W25" s="57">
        <f>Evaluacion!$BK$18</f>
        <v>1</v>
      </c>
      <c r="X25" s="57"/>
      <c r="Y25" s="58"/>
    </row>
    <row r="26" spans="3:25">
      <c r="V26" t="s">
        <v>63</v>
      </c>
      <c r="W26" s="57" t="str">
        <f>Evaluacion!$BL$18</f>
        <v/>
      </c>
      <c r="X26" s="57"/>
      <c r="Y26" s="58"/>
    </row>
    <row r="27" spans="3:25">
      <c r="V27" t="s">
        <v>64</v>
      </c>
      <c r="W27" s="57">
        <f>Evaluacion!$BM$18</f>
        <v>1</v>
      </c>
      <c r="X27" s="57"/>
      <c r="Y27" s="58"/>
    </row>
    <row r="28" spans="3:25">
      <c r="V28" t="s">
        <v>65</v>
      </c>
      <c r="W28" s="57">
        <f>Evaluacion!$BN$18</f>
        <v>0.875</v>
      </c>
      <c r="X28" s="57"/>
      <c r="Y28" s="58"/>
    </row>
    <row r="29" spans="3:25">
      <c r="V29" t="s">
        <v>66</v>
      </c>
      <c r="W29" s="57">
        <f>Evaluacion!$BO$18</f>
        <v>1</v>
      </c>
      <c r="X29" s="57"/>
      <c r="Y29" s="58"/>
    </row>
    <row r="30" spans="3:25">
      <c r="V30" t="s">
        <v>67</v>
      </c>
      <c r="W30" s="57">
        <f>Evaluacion!$BP$18</f>
        <v>1</v>
      </c>
      <c r="X30" s="57"/>
      <c r="Y30" s="58"/>
    </row>
    <row r="31" spans="3:25">
      <c r="V31" t="s">
        <v>68</v>
      </c>
      <c r="W31" s="57">
        <f>Evaluacion!$BQ$18</f>
        <v>1</v>
      </c>
      <c r="X31" s="57"/>
      <c r="Y31" s="58"/>
    </row>
    <row r="32" spans="3:25">
      <c r="V32" t="s">
        <v>69</v>
      </c>
      <c r="W32" s="57">
        <f>Evaluacion!$BR$18</f>
        <v>1</v>
      </c>
      <c r="X32" s="57"/>
      <c r="Y32" s="58"/>
    </row>
    <row r="33" spans="22:25">
      <c r="V33" t="s">
        <v>70</v>
      </c>
      <c r="W33" s="57">
        <f>Evaluacion!$BS$18</f>
        <v>1</v>
      </c>
      <c r="X33" s="57"/>
      <c r="Y33" s="58"/>
    </row>
    <row r="34" spans="22:25">
      <c r="V34" t="s">
        <v>71</v>
      </c>
      <c r="W34" s="57">
        <f>Evaluacion!$BT$18</f>
        <v>1</v>
      </c>
      <c r="X34" s="57"/>
      <c r="Y34" s="58"/>
    </row>
    <row r="35" spans="22:25">
      <c r="V35" t="s">
        <v>72</v>
      </c>
      <c r="W35" s="57">
        <f>Evaluacion!$BU$18</f>
        <v>1</v>
      </c>
      <c r="X35" s="57"/>
      <c r="Y35" s="58"/>
    </row>
    <row r="36" spans="22:25">
      <c r="V36" t="s">
        <v>73</v>
      </c>
      <c r="W36" s="57">
        <f>Evaluacion!$BV$18</f>
        <v>0</v>
      </c>
      <c r="X36" s="57"/>
      <c r="Y36" s="58"/>
    </row>
    <row r="37" spans="22:25">
      <c r="V37" t="s">
        <v>74</v>
      </c>
      <c r="W37" s="57" t="str">
        <f>Evaluacion!$BW$18</f>
        <v/>
      </c>
      <c r="X37" s="57"/>
      <c r="Y37" s="58"/>
    </row>
  </sheetData>
  <pageMargins left="0.7" right="0.7" top="0.75" bottom="0.75" header="0.3" footer="0.3"/>
  <pageSetup orientation="portrait" horizontalDpi="300" verticalDpi="0" copies="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showGridLines="0" tabSelected="1" topLeftCell="A3" zoomScale="90" zoomScaleNormal="90" workbookViewId="0">
      <selection activeCell="K33" sqref="K33"/>
    </sheetView>
  </sheetViews>
  <sheetFormatPr defaultRowHeight="14.4"/>
  <cols>
    <col min="1" max="1" width="2.77734375" customWidth="1"/>
    <col min="2" max="20" width="8.88671875" customWidth="1"/>
    <col min="24" max="24" width="2.77734375" customWidth="1"/>
  </cols>
  <sheetData>
    <row r="1" spans="1:33">
      <c r="A1" s="45"/>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row>
    <row r="2" spans="1:33">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c r="A3" s="45"/>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c r="A5" s="45"/>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c r="A6" s="45"/>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row>
    <row r="10" spans="1:33">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row>
    <row r="11" spans="1:33">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row>
    <row r="12" spans="1:33">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row>
    <row r="13" spans="1:33">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row>
    <row r="14" spans="1:33">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row>
    <row r="15" spans="1:33">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row>
    <row r="16" spans="1:33">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1:33">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row>
    <row r="18" spans="1:33">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row>
    <row r="19" spans="1:33">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row>
    <row r="20" spans="1:33">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row>
    <row r="21" spans="1:33">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row>
    <row r="22" spans="1:33">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row>
    <row r="23" spans="1:3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row>
    <row r="24" spans="1:33">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row>
    <row r="25" spans="1:33">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row>
    <row r="26" spans="1:33">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row>
    <row r="27" spans="1:33">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row>
    <row r="28" spans="1:33">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row>
    <row r="29" spans="1:33">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row>
    <row r="30" spans="1:33">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row>
    <row r="31" spans="1:33">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row>
    <row r="32" spans="1:33">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Evaluacion</vt:lpstr>
      <vt:lpstr>Ranking</vt:lpstr>
      <vt:lpstr>Analisis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BRIANNY DENISSE HERNANDEZ TRONCOSO</dc:creator>
  <cp:lastModifiedBy>BRIANNY DENISSE HERNANDEZ TRONCOSO</cp:lastModifiedBy>
  <dcterms:created xsi:type="dcterms:W3CDTF">2024-04-19T14:17:33Z</dcterms:created>
  <dcterms:modified xsi:type="dcterms:W3CDTF">2024-07-31T18:31:10Z</dcterms:modified>
</cp:coreProperties>
</file>