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wwu2-my.sharepoint.com/personal/pinkeb_wwu_edu/Documents/Thesis/ThesisCode/Data/"/>
    </mc:Choice>
  </mc:AlternateContent>
  <xr:revisionPtr revIDLastSave="135" documentId="13_ncr:1_{E8A413BD-4B0F-5D49-8B4C-1CFC68543123}" xr6:coauthVersionLast="47" xr6:coauthVersionMax="47" xr10:uidLastSave="{F86FF291-47B8-2841-90AB-714649B34F54}"/>
  <bookViews>
    <workbookView xWindow="940" yWindow="740" windowWidth="27220" windowHeight="18380" activeTab="1" xr2:uid="{F8A1656E-65CC-8049-9C82-DC4C4062B2BB}"/>
  </bookViews>
  <sheets>
    <sheet name="host gsd" sheetId="1" r:id="rId1"/>
    <sheet name="Density" sheetId="3" r:id="rId2"/>
    <sheet name="Raw" sheetId="2" r:id="rId3"/>
    <sheet name="Phase 1" sheetId="5" r:id="rId4"/>
    <sheet name="Phase 2" sheetId="6" r:id="rId5"/>
    <sheet name="Abrasion" sheetId="7" r:id="rId6"/>
  </sheets>
  <definedNames>
    <definedName name="_xlnm._FilterDatabase" localSheetId="5" hidden="1">Abrasion!$A$1:$J$23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87" i="6" l="1"/>
  <c r="X87" i="6"/>
  <c r="W87" i="6"/>
  <c r="V87" i="6"/>
  <c r="J100" i="6"/>
  <c r="I100" i="6"/>
  <c r="H100" i="6"/>
  <c r="G100" i="6"/>
  <c r="J99" i="6"/>
  <c r="I99" i="6"/>
  <c r="H99" i="6"/>
  <c r="G99" i="6"/>
  <c r="B99" i="6"/>
  <c r="A99" i="6"/>
  <c r="J98" i="6"/>
  <c r="I98" i="6"/>
  <c r="H98" i="6"/>
  <c r="G98" i="6"/>
  <c r="C98" i="6"/>
  <c r="D94" i="6"/>
  <c r="C94" i="6"/>
  <c r="C93" i="6"/>
  <c r="D93" i="6" s="1"/>
  <c r="C92" i="6"/>
  <c r="C91" i="6"/>
  <c r="D91" i="6" s="1"/>
  <c r="C90" i="6"/>
  <c r="C89" i="6"/>
  <c r="D89" i="6" s="1"/>
  <c r="E88" i="6"/>
  <c r="E99" i="6" s="1"/>
  <c r="D88" i="6"/>
  <c r="D99" i="6" s="1"/>
  <c r="C88" i="6"/>
  <c r="C99" i="6" s="1"/>
  <c r="E87" i="6"/>
  <c r="E98" i="6" s="1"/>
  <c r="D87" i="6"/>
  <c r="D98" i="6" s="1"/>
  <c r="T140" i="6"/>
  <c r="U140" i="6"/>
  <c r="S140" i="6"/>
  <c r="T120" i="6"/>
  <c r="U120" i="6"/>
  <c r="V120" i="6"/>
  <c r="S120" i="6"/>
  <c r="W69" i="6"/>
  <c r="X69" i="6"/>
  <c r="V69" i="6"/>
  <c r="Y46" i="6"/>
  <c r="L54" i="6"/>
  <c r="M53" i="6"/>
  <c r="L53" i="6"/>
  <c r="V46" i="6"/>
  <c r="X46" i="6"/>
  <c r="W46" i="6"/>
  <c r="X21" i="6"/>
  <c r="Y21" i="6"/>
  <c r="W21" i="6"/>
  <c r="V21" i="6"/>
  <c r="D100" i="6" l="1"/>
  <c r="E90" i="6"/>
  <c r="E92" i="6"/>
  <c r="E89" i="6"/>
  <c r="E100" i="6" s="1"/>
  <c r="D92" i="6"/>
  <c r="C100" i="6"/>
  <c r="E93" i="6"/>
  <c r="D90" i="6"/>
  <c r="E91" i="6" s="1"/>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E94" i="6" l="1"/>
  <c r="I77" i="6"/>
  <c r="I78" i="6"/>
  <c r="I79" i="6"/>
  <c r="I80" i="6"/>
  <c r="I81" i="6"/>
  <c r="I82" i="6"/>
  <c r="I76" i="6"/>
  <c r="H77" i="6"/>
  <c r="H78" i="6"/>
  <c r="H79" i="6"/>
  <c r="H80" i="6"/>
  <c r="H81" i="6"/>
  <c r="H82" i="6"/>
  <c r="N36" i="1"/>
  <c r="A123" i="6"/>
  <c r="B123" i="6"/>
  <c r="A124" i="6"/>
  <c r="B124" i="6"/>
  <c r="A125" i="6"/>
  <c r="B125" i="6"/>
  <c r="L123" i="6"/>
  <c r="I124" i="6"/>
  <c r="I125" i="6"/>
  <c r="I126" i="6"/>
  <c r="I127" i="6"/>
  <c r="I128" i="6"/>
  <c r="I123" i="6"/>
  <c r="G124" i="6"/>
  <c r="G125" i="6"/>
  <c r="G126" i="6"/>
  <c r="G127" i="6"/>
  <c r="G128" i="6"/>
  <c r="G123" i="6"/>
  <c r="H124" i="6"/>
  <c r="H125" i="6"/>
  <c r="H126" i="6"/>
  <c r="H127" i="6"/>
  <c r="H128" i="6"/>
  <c r="H123" i="6"/>
  <c r="J123" i="6"/>
  <c r="J124" i="6"/>
  <c r="J125" i="6"/>
  <c r="J126" i="6"/>
  <c r="J127" i="6"/>
  <c r="J128" i="6"/>
  <c r="J121" i="6"/>
  <c r="J122" i="6"/>
  <c r="H122" i="6"/>
  <c r="I122" i="6"/>
  <c r="M41" i="1" l="1"/>
  <c r="M42" i="1"/>
  <c r="M43" i="1"/>
  <c r="M44" i="1"/>
  <c r="M40" i="1"/>
  <c r="M46" i="1" s="1"/>
  <c r="H42" i="1"/>
  <c r="O139" i="6"/>
  <c r="G65" i="5"/>
  <c r="G64" i="5"/>
  <c r="A64" i="5"/>
  <c r="B64" i="5"/>
  <c r="C46" i="5"/>
  <c r="D46" i="5" s="1"/>
  <c r="D64" i="5" s="1"/>
  <c r="L46" i="1" l="1"/>
  <c r="C64" i="5"/>
  <c r="D6" i="6"/>
  <c r="G59" i="5"/>
  <c r="G60" i="5"/>
  <c r="G61" i="5"/>
  <c r="G62" i="5"/>
  <c r="G63" i="5"/>
  <c r="A63" i="5"/>
  <c r="B63" i="5"/>
  <c r="C45" i="5"/>
  <c r="D45" i="5" s="1"/>
  <c r="D63" i="5" s="1"/>
  <c r="C63" i="5" l="1"/>
  <c r="A62" i="5" l="1"/>
  <c r="B62" i="5"/>
  <c r="C44" i="5"/>
  <c r="D44" i="5" s="1"/>
  <c r="D62" i="5" s="1"/>
  <c r="I151" i="6"/>
  <c r="H151" i="6"/>
  <c r="G151" i="6"/>
  <c r="B151" i="6"/>
  <c r="A151" i="6"/>
  <c r="I150" i="6"/>
  <c r="H150" i="6"/>
  <c r="G150" i="6"/>
  <c r="B150" i="6"/>
  <c r="A150" i="6"/>
  <c r="I149" i="6"/>
  <c r="H149" i="6"/>
  <c r="G149" i="6"/>
  <c r="B149" i="6"/>
  <c r="A149" i="6"/>
  <c r="I148" i="6"/>
  <c r="H148" i="6"/>
  <c r="G148" i="6"/>
  <c r="B148" i="6"/>
  <c r="A148" i="6"/>
  <c r="I147" i="6"/>
  <c r="H147" i="6"/>
  <c r="G147" i="6"/>
  <c r="B147" i="6"/>
  <c r="A147" i="6"/>
  <c r="I146" i="6"/>
  <c r="H146" i="6"/>
  <c r="G146" i="6"/>
  <c r="B146" i="6"/>
  <c r="A146" i="6"/>
  <c r="I145" i="6"/>
  <c r="H145" i="6"/>
  <c r="G145" i="6"/>
  <c r="B145" i="6"/>
  <c r="A145" i="6"/>
  <c r="I144" i="6"/>
  <c r="H144" i="6"/>
  <c r="G144" i="6"/>
  <c r="C144" i="6"/>
  <c r="M140" i="6"/>
  <c r="C140" i="6"/>
  <c r="D140" i="6" s="1"/>
  <c r="D151" i="6" s="1"/>
  <c r="M139" i="6"/>
  <c r="C139" i="6"/>
  <c r="C150" i="6" s="1"/>
  <c r="M138" i="6"/>
  <c r="C138" i="6"/>
  <c r="D138" i="6" s="1"/>
  <c r="D149" i="6" s="1"/>
  <c r="M137" i="6"/>
  <c r="C137" i="6"/>
  <c r="D137" i="6" s="1"/>
  <c r="D148" i="6" s="1"/>
  <c r="M136" i="6"/>
  <c r="C136" i="6"/>
  <c r="D136" i="6" s="1"/>
  <c r="D147" i="6" s="1"/>
  <c r="M135" i="6"/>
  <c r="C135" i="6"/>
  <c r="M134" i="6"/>
  <c r="C134" i="6"/>
  <c r="D134" i="6" s="1"/>
  <c r="D145" i="6" s="1"/>
  <c r="M133" i="6"/>
  <c r="E133" i="6"/>
  <c r="E144" i="6" s="1"/>
  <c r="D133" i="6"/>
  <c r="G122" i="6"/>
  <c r="B122" i="6"/>
  <c r="A122" i="6"/>
  <c r="I121" i="6"/>
  <c r="H121" i="6"/>
  <c r="G121" i="6"/>
  <c r="C121" i="6"/>
  <c r="M117" i="6"/>
  <c r="C117" i="6"/>
  <c r="D117" i="6" s="1"/>
  <c r="D128" i="6" s="1"/>
  <c r="M116" i="6"/>
  <c r="C116" i="6"/>
  <c r="C127" i="6" s="1"/>
  <c r="M115" i="6"/>
  <c r="C115" i="6"/>
  <c r="D115" i="6" s="1"/>
  <c r="D126" i="6" s="1"/>
  <c r="M114" i="6"/>
  <c r="C114" i="6"/>
  <c r="C125" i="6" s="1"/>
  <c r="M113" i="6"/>
  <c r="C113" i="6"/>
  <c r="D113" i="6" s="1"/>
  <c r="D124" i="6" s="1"/>
  <c r="M112" i="6"/>
  <c r="C112" i="6"/>
  <c r="C123" i="6" s="1"/>
  <c r="M111" i="6"/>
  <c r="C111" i="6"/>
  <c r="D111" i="6" s="1"/>
  <c r="D122" i="6" s="1"/>
  <c r="M110" i="6"/>
  <c r="E110" i="6"/>
  <c r="E121" i="6" s="1"/>
  <c r="D110" i="6"/>
  <c r="J105" i="6"/>
  <c r="I105" i="6"/>
  <c r="H105" i="6"/>
  <c r="G105" i="6"/>
  <c r="J104" i="6"/>
  <c r="I104" i="6"/>
  <c r="H104" i="6"/>
  <c r="G104" i="6"/>
  <c r="J103" i="6"/>
  <c r="I103" i="6"/>
  <c r="H103" i="6"/>
  <c r="G103" i="6"/>
  <c r="J102" i="6"/>
  <c r="I102" i="6"/>
  <c r="H102" i="6"/>
  <c r="G102" i="6"/>
  <c r="J101" i="6"/>
  <c r="I101" i="6"/>
  <c r="H101" i="6"/>
  <c r="G101" i="6"/>
  <c r="M94" i="6"/>
  <c r="C105" i="6"/>
  <c r="M93" i="6"/>
  <c r="C104" i="6"/>
  <c r="M92" i="6"/>
  <c r="M91" i="6"/>
  <c r="C102" i="6"/>
  <c r="M90" i="6"/>
  <c r="C101" i="6"/>
  <c r="M89" i="6"/>
  <c r="M88" i="6"/>
  <c r="M87" i="6"/>
  <c r="G82" i="6"/>
  <c r="G81" i="6"/>
  <c r="G80" i="6"/>
  <c r="G79" i="6"/>
  <c r="G78" i="6"/>
  <c r="G77" i="6"/>
  <c r="H76" i="6"/>
  <c r="G76" i="6"/>
  <c r="B76" i="6"/>
  <c r="A76" i="6"/>
  <c r="I75" i="6"/>
  <c r="H75" i="6"/>
  <c r="G75" i="6"/>
  <c r="C75" i="6"/>
  <c r="M71" i="6"/>
  <c r="C71" i="6"/>
  <c r="M70" i="6"/>
  <c r="C70" i="6"/>
  <c r="C81" i="6" s="1"/>
  <c r="M69" i="6"/>
  <c r="C69" i="6"/>
  <c r="C80" i="6" s="1"/>
  <c r="M68" i="6"/>
  <c r="C68" i="6"/>
  <c r="C79" i="6" s="1"/>
  <c r="M67" i="6"/>
  <c r="C67" i="6"/>
  <c r="D67" i="6" s="1"/>
  <c r="D78" i="6" s="1"/>
  <c r="M66" i="6"/>
  <c r="C66" i="6"/>
  <c r="C77" i="6" s="1"/>
  <c r="M65" i="6"/>
  <c r="C65" i="6"/>
  <c r="M64" i="6"/>
  <c r="E64" i="6"/>
  <c r="E75" i="6" s="1"/>
  <c r="D64" i="6"/>
  <c r="D75" i="6" s="1"/>
  <c r="B58" i="6"/>
  <c r="A58" i="6"/>
  <c r="B57" i="6"/>
  <c r="A57" i="6"/>
  <c r="B56" i="6"/>
  <c r="A56" i="6"/>
  <c r="J55" i="6"/>
  <c r="I55" i="6"/>
  <c r="H55" i="6"/>
  <c r="G55" i="6"/>
  <c r="B55" i="6"/>
  <c r="A55" i="6"/>
  <c r="J54" i="6"/>
  <c r="I54" i="6"/>
  <c r="H54" i="6"/>
  <c r="G54" i="6"/>
  <c r="B54" i="6"/>
  <c r="A54" i="6"/>
  <c r="J53" i="6"/>
  <c r="I53" i="6"/>
  <c r="H53" i="6"/>
  <c r="G53" i="6"/>
  <c r="B53" i="6"/>
  <c r="A53" i="6"/>
  <c r="J52" i="6"/>
  <c r="I52" i="6"/>
  <c r="H52" i="6"/>
  <c r="G52" i="6"/>
  <c r="B52" i="6"/>
  <c r="A52" i="6"/>
  <c r="J51" i="6"/>
  <c r="I51" i="6"/>
  <c r="H51" i="6"/>
  <c r="G51" i="6"/>
  <c r="B51" i="6"/>
  <c r="A51" i="6"/>
  <c r="J50" i="6"/>
  <c r="I50" i="6"/>
  <c r="H50" i="6"/>
  <c r="G50" i="6"/>
  <c r="B50" i="6"/>
  <c r="A50" i="6"/>
  <c r="J49" i="6"/>
  <c r="I49" i="6"/>
  <c r="H49" i="6"/>
  <c r="G49" i="6"/>
  <c r="B49" i="6"/>
  <c r="A49" i="6"/>
  <c r="J48" i="6"/>
  <c r="I48" i="6"/>
  <c r="H48" i="6"/>
  <c r="G48" i="6"/>
  <c r="C48" i="6"/>
  <c r="M44" i="6"/>
  <c r="M43" i="6"/>
  <c r="C43" i="6"/>
  <c r="C58" i="6" s="1"/>
  <c r="M42" i="6"/>
  <c r="C42" i="6"/>
  <c r="C57" i="6" s="1"/>
  <c r="M41" i="6"/>
  <c r="C41" i="6"/>
  <c r="M40" i="6"/>
  <c r="C40" i="6"/>
  <c r="C55" i="6" s="1"/>
  <c r="M39" i="6"/>
  <c r="C39" i="6"/>
  <c r="D39" i="6" s="1"/>
  <c r="D54" i="6" s="1"/>
  <c r="M38" i="6"/>
  <c r="C38" i="6"/>
  <c r="C53" i="6" s="1"/>
  <c r="M37" i="6"/>
  <c r="C37" i="6"/>
  <c r="M36" i="6"/>
  <c r="C36" i="6"/>
  <c r="C51" i="6" s="1"/>
  <c r="M35" i="6"/>
  <c r="C35" i="6"/>
  <c r="D35" i="6" s="1"/>
  <c r="D50" i="6" s="1"/>
  <c r="M34" i="6"/>
  <c r="C34" i="6"/>
  <c r="D34" i="6" s="1"/>
  <c r="M33" i="6"/>
  <c r="E33" i="6"/>
  <c r="E48" i="6" s="1"/>
  <c r="D33" i="6"/>
  <c r="D48" i="6" s="1"/>
  <c r="P31" i="6"/>
  <c r="T31" i="6" s="1"/>
  <c r="A28" i="6"/>
  <c r="J27" i="6"/>
  <c r="I27" i="6"/>
  <c r="H27" i="6"/>
  <c r="G27" i="6"/>
  <c r="B27" i="6"/>
  <c r="A27" i="6"/>
  <c r="J26" i="6"/>
  <c r="I26" i="6"/>
  <c r="H26" i="6"/>
  <c r="G26" i="6"/>
  <c r="B26" i="6"/>
  <c r="A26" i="6"/>
  <c r="J25" i="6"/>
  <c r="I25" i="6"/>
  <c r="H25" i="6"/>
  <c r="G25" i="6"/>
  <c r="B25" i="6"/>
  <c r="A25" i="6"/>
  <c r="J24" i="6"/>
  <c r="I24" i="6"/>
  <c r="H24" i="6"/>
  <c r="G24" i="6"/>
  <c r="B24" i="6"/>
  <c r="A24" i="6"/>
  <c r="J23" i="6"/>
  <c r="I23" i="6"/>
  <c r="H23" i="6"/>
  <c r="G23" i="6"/>
  <c r="B23" i="6"/>
  <c r="A23" i="6"/>
  <c r="J22" i="6"/>
  <c r="I22" i="6"/>
  <c r="H22" i="6"/>
  <c r="G22" i="6"/>
  <c r="B22" i="6"/>
  <c r="A22" i="6"/>
  <c r="J21" i="6"/>
  <c r="I21" i="6"/>
  <c r="H21" i="6"/>
  <c r="G21" i="6"/>
  <c r="B21" i="6"/>
  <c r="A21" i="6"/>
  <c r="J20" i="6"/>
  <c r="I20" i="6"/>
  <c r="H20" i="6"/>
  <c r="G20" i="6"/>
  <c r="B20" i="6"/>
  <c r="A20" i="6"/>
  <c r="J19" i="6"/>
  <c r="I19" i="6"/>
  <c r="H19" i="6"/>
  <c r="G19" i="6"/>
  <c r="D19" i="6"/>
  <c r="C19" i="6"/>
  <c r="C15" i="6"/>
  <c r="D15" i="6" s="1"/>
  <c r="C14" i="6"/>
  <c r="M13" i="6"/>
  <c r="C13" i="6"/>
  <c r="M12" i="6"/>
  <c r="C12" i="6"/>
  <c r="M11" i="6"/>
  <c r="C11" i="6"/>
  <c r="M10" i="6"/>
  <c r="C10" i="6"/>
  <c r="M9" i="6"/>
  <c r="C9" i="6"/>
  <c r="C22" i="6" s="1"/>
  <c r="M8" i="6"/>
  <c r="C8" i="6"/>
  <c r="D8" i="6" s="1"/>
  <c r="M7" i="6"/>
  <c r="C7" i="6"/>
  <c r="M6" i="6"/>
  <c r="E6" i="6"/>
  <c r="E19" i="6" s="1"/>
  <c r="P4" i="6"/>
  <c r="T4" i="6" s="1"/>
  <c r="A152" i="5"/>
  <c r="B152" i="5"/>
  <c r="A153" i="5"/>
  <c r="B153" i="5"/>
  <c r="A154" i="5"/>
  <c r="B154" i="5"/>
  <c r="A155" i="5"/>
  <c r="B155" i="5"/>
  <c r="A156" i="5"/>
  <c r="B156" i="5"/>
  <c r="A157" i="5"/>
  <c r="B157" i="5"/>
  <c r="Q25" i="1"/>
  <c r="Q22" i="1"/>
  <c r="R22" i="1"/>
  <c r="R23" i="1"/>
  <c r="R24" i="1"/>
  <c r="R25" i="1"/>
  <c r="R21" i="1"/>
  <c r="P27" i="1"/>
  <c r="Q23" i="1" s="1"/>
  <c r="R27" i="1"/>
  <c r="C76" i="6" l="1"/>
  <c r="O66" i="6"/>
  <c r="P66" i="6" s="1"/>
  <c r="V8" i="6"/>
  <c r="W8" i="6"/>
  <c r="Y8" i="6"/>
  <c r="X8" i="6"/>
  <c r="C145" i="6"/>
  <c r="D102" i="6"/>
  <c r="D68" i="6"/>
  <c r="D79" i="6" s="1"/>
  <c r="D38" i="6"/>
  <c r="D53" i="6" s="1"/>
  <c r="C151" i="6"/>
  <c r="C147" i="6"/>
  <c r="C149" i="6"/>
  <c r="C24" i="6"/>
  <c r="D11" i="6"/>
  <c r="C23" i="6"/>
  <c r="D10" i="6"/>
  <c r="D14" i="6"/>
  <c r="D27" i="6" s="1"/>
  <c r="C26" i="6"/>
  <c r="D13" i="6"/>
  <c r="D26" i="6" s="1"/>
  <c r="C25" i="6"/>
  <c r="D12" i="6"/>
  <c r="D9" i="6"/>
  <c r="C20" i="6"/>
  <c r="D7" i="6"/>
  <c r="C62" i="5"/>
  <c r="E135" i="6"/>
  <c r="E146" i="6" s="1"/>
  <c r="C146" i="6"/>
  <c r="C122" i="6"/>
  <c r="C126" i="6"/>
  <c r="D104" i="6"/>
  <c r="D70" i="6"/>
  <c r="D81" i="6" s="1"/>
  <c r="D66" i="6"/>
  <c r="D77" i="6" s="1"/>
  <c r="C49" i="6"/>
  <c r="E34" i="6"/>
  <c r="E49" i="6" s="1"/>
  <c r="D42" i="6"/>
  <c r="D57" i="6" s="1"/>
  <c r="D36" i="6"/>
  <c r="D51" i="6" s="1"/>
  <c r="D40" i="6"/>
  <c r="D55" i="6" s="1"/>
  <c r="E7" i="6"/>
  <c r="E20" i="6" s="1"/>
  <c r="D20" i="6"/>
  <c r="C27" i="6"/>
  <c r="D49" i="6"/>
  <c r="E36" i="6"/>
  <c r="E51" i="6" s="1"/>
  <c r="D112" i="6"/>
  <c r="D123" i="6" s="1"/>
  <c r="D116" i="6"/>
  <c r="D127" i="6" s="1"/>
  <c r="C21" i="6"/>
  <c r="C78" i="6"/>
  <c r="C82" i="6"/>
  <c r="E112" i="6"/>
  <c r="E123" i="6" s="1"/>
  <c r="D135" i="6"/>
  <c r="D146" i="6" s="1"/>
  <c r="D139" i="6"/>
  <c r="D150" i="6" s="1"/>
  <c r="D144" i="6"/>
  <c r="D41" i="6"/>
  <c r="D56" i="6" s="1"/>
  <c r="C54" i="6"/>
  <c r="D65" i="6"/>
  <c r="D69" i="6"/>
  <c r="D80" i="6" s="1"/>
  <c r="C52" i="6"/>
  <c r="C56" i="6"/>
  <c r="E134" i="6"/>
  <c r="E145" i="6" s="1"/>
  <c r="D114" i="6"/>
  <c r="D125" i="6" s="1"/>
  <c r="D121" i="6"/>
  <c r="C148" i="6"/>
  <c r="D37" i="6"/>
  <c r="D52" i="6" s="1"/>
  <c r="C50" i="6"/>
  <c r="D71" i="6"/>
  <c r="D82" i="6" s="1"/>
  <c r="E35" i="6"/>
  <c r="E50" i="6" s="1"/>
  <c r="E65" i="6"/>
  <c r="E76" i="6" s="1"/>
  <c r="D101" i="6"/>
  <c r="D103" i="6"/>
  <c r="D105" i="6"/>
  <c r="C103" i="6"/>
  <c r="C124" i="6"/>
  <c r="C128" i="6"/>
  <c r="D43" i="6"/>
  <c r="D58" i="6" s="1"/>
  <c r="E111" i="6"/>
  <c r="E122" i="6" s="1"/>
  <c r="Q24" i="1"/>
  <c r="Q27" i="1"/>
  <c r="V7" i="6" l="1"/>
  <c r="W7" i="6"/>
  <c r="X7" i="6"/>
  <c r="Y7" i="6"/>
  <c r="D25" i="6"/>
  <c r="V12" i="6"/>
  <c r="Y12" i="6"/>
  <c r="W12" i="6"/>
  <c r="X12" i="6"/>
  <c r="D23" i="6"/>
  <c r="V10" i="6"/>
  <c r="W10" i="6"/>
  <c r="X10" i="6"/>
  <c r="Y10" i="6"/>
  <c r="D22" i="6"/>
  <c r="V9" i="6"/>
  <c r="Y9" i="6"/>
  <c r="W9" i="6"/>
  <c r="X9" i="6"/>
  <c r="D24" i="6"/>
  <c r="Y11" i="6"/>
  <c r="V11" i="6"/>
  <c r="W11" i="6"/>
  <c r="X11" i="6"/>
  <c r="E139" i="6"/>
  <c r="E150" i="6" s="1"/>
  <c r="E101" i="6"/>
  <c r="E71" i="6"/>
  <c r="E82" i="6" s="1"/>
  <c r="E69" i="6"/>
  <c r="E80" i="6" s="1"/>
  <c r="E67" i="6"/>
  <c r="E78" i="6" s="1"/>
  <c r="E37" i="6"/>
  <c r="E52" i="6" s="1"/>
  <c r="E102" i="6"/>
  <c r="E15" i="6"/>
  <c r="E8" i="6"/>
  <c r="E21" i="6" s="1"/>
  <c r="E138" i="6"/>
  <c r="E149" i="6" s="1"/>
  <c r="E136" i="6"/>
  <c r="E147" i="6" s="1"/>
  <c r="E137" i="6"/>
  <c r="E148" i="6" s="1"/>
  <c r="E140" i="6"/>
  <c r="E151" i="6" s="1"/>
  <c r="E116" i="6"/>
  <c r="E127" i="6" s="1"/>
  <c r="E115" i="6"/>
  <c r="E126" i="6" s="1"/>
  <c r="E114" i="6"/>
  <c r="E125" i="6" s="1"/>
  <c r="E113" i="6"/>
  <c r="E124" i="6" s="1"/>
  <c r="E117" i="6"/>
  <c r="E128" i="6" s="1"/>
  <c r="E105" i="6"/>
  <c r="E42" i="6"/>
  <c r="E57" i="6" s="1"/>
  <c r="E43" i="6"/>
  <c r="E58" i="6" s="1"/>
  <c r="E38" i="6"/>
  <c r="E53" i="6" s="1"/>
  <c r="E10" i="6"/>
  <c r="E39" i="6"/>
  <c r="E54" i="6" s="1"/>
  <c r="E41" i="6"/>
  <c r="E56" i="6" s="1"/>
  <c r="E104" i="6"/>
  <c r="E70" i="6"/>
  <c r="E81" i="6" s="1"/>
  <c r="E68" i="6"/>
  <c r="E79" i="6" s="1"/>
  <c r="D76" i="6"/>
  <c r="E66" i="6"/>
  <c r="E77" i="6" s="1"/>
  <c r="D21" i="6"/>
  <c r="E11" i="6"/>
  <c r="E24" i="6" s="1"/>
  <c r="E13" i="6"/>
  <c r="E26" i="6" s="1"/>
  <c r="E9" i="6"/>
  <c r="E22" i="6" s="1"/>
  <c r="E14" i="6"/>
  <c r="E27" i="6" s="1"/>
  <c r="E12" i="6"/>
  <c r="E40" i="6"/>
  <c r="E55" i="6" s="1"/>
  <c r="E103" i="6"/>
  <c r="C15" i="5"/>
  <c r="D15" i="5" s="1"/>
  <c r="A28" i="5"/>
  <c r="A27" i="5"/>
  <c r="B27" i="5"/>
  <c r="G27" i="5"/>
  <c r="H27" i="5"/>
  <c r="I27" i="5"/>
  <c r="J27" i="5"/>
  <c r="C13" i="5"/>
  <c r="C14" i="5"/>
  <c r="D14" i="5" s="1"/>
  <c r="D27" i="5" s="1"/>
  <c r="M44" i="5"/>
  <c r="K61" i="5"/>
  <c r="A61" i="5"/>
  <c r="B61" i="5"/>
  <c r="M43" i="5"/>
  <c r="C43" i="5"/>
  <c r="C61" i="5" s="1"/>
  <c r="M42" i="5"/>
  <c r="B26" i="5"/>
  <c r="A53" i="5"/>
  <c r="B53" i="5"/>
  <c r="A54" i="5"/>
  <c r="B54" i="5"/>
  <c r="A55" i="5"/>
  <c r="B55" i="5"/>
  <c r="A56" i="5"/>
  <c r="B56" i="5"/>
  <c r="A57" i="5"/>
  <c r="B57" i="5"/>
  <c r="A58" i="5"/>
  <c r="B58" i="5"/>
  <c r="A59" i="5"/>
  <c r="B59" i="5"/>
  <c r="A60" i="5"/>
  <c r="B60" i="5"/>
  <c r="K59" i="5"/>
  <c r="K60" i="5"/>
  <c r="C41" i="5"/>
  <c r="C59" i="5" s="1"/>
  <c r="C42" i="5"/>
  <c r="C60" i="5" s="1"/>
  <c r="M41" i="5"/>
  <c r="E23" i="6" l="1"/>
  <c r="V17" i="6"/>
  <c r="E25" i="6"/>
  <c r="Y14" i="6"/>
  <c r="W14" i="6"/>
  <c r="V14" i="6"/>
  <c r="X14" i="6"/>
  <c r="V15" i="6"/>
  <c r="V16" i="6"/>
  <c r="C27" i="5"/>
  <c r="D43" i="5"/>
  <c r="D61" i="5" s="1"/>
  <c r="D41" i="5"/>
  <c r="D59" i="5" s="1"/>
  <c r="D42" i="5"/>
  <c r="D60" i="5" s="1"/>
  <c r="G151" i="5"/>
  <c r="H151" i="5"/>
  <c r="I151" i="5"/>
  <c r="G152" i="5"/>
  <c r="H152" i="5"/>
  <c r="I152" i="5"/>
  <c r="G153" i="5"/>
  <c r="H153" i="5"/>
  <c r="I153" i="5"/>
  <c r="G154" i="5"/>
  <c r="H154" i="5"/>
  <c r="I154" i="5"/>
  <c r="G155" i="5"/>
  <c r="H155" i="5"/>
  <c r="I155" i="5"/>
  <c r="G156" i="5"/>
  <c r="H156" i="5"/>
  <c r="I156" i="5"/>
  <c r="G157" i="5"/>
  <c r="H157" i="5"/>
  <c r="I157" i="5"/>
  <c r="H150" i="5"/>
  <c r="I150" i="5"/>
  <c r="G150" i="5"/>
  <c r="G128" i="5"/>
  <c r="H128" i="5"/>
  <c r="I128" i="5"/>
  <c r="G129" i="5"/>
  <c r="H129" i="5"/>
  <c r="I129" i="5"/>
  <c r="G130" i="5"/>
  <c r="H130" i="5"/>
  <c r="I130" i="5"/>
  <c r="G131" i="5"/>
  <c r="H131" i="5"/>
  <c r="I131" i="5"/>
  <c r="G132" i="5"/>
  <c r="H132" i="5"/>
  <c r="I132" i="5"/>
  <c r="G133" i="5"/>
  <c r="H133" i="5"/>
  <c r="I133" i="5"/>
  <c r="G134" i="5"/>
  <c r="H134" i="5"/>
  <c r="I134" i="5"/>
  <c r="H127" i="5"/>
  <c r="I127" i="5"/>
  <c r="G127" i="5"/>
  <c r="G111" i="5"/>
  <c r="H111" i="5"/>
  <c r="I111" i="5"/>
  <c r="J111" i="5"/>
  <c r="G105" i="5"/>
  <c r="H105" i="5"/>
  <c r="I105" i="5"/>
  <c r="J105" i="5"/>
  <c r="G106" i="5"/>
  <c r="H106" i="5"/>
  <c r="I106" i="5"/>
  <c r="J106" i="5"/>
  <c r="G107" i="5"/>
  <c r="H107" i="5"/>
  <c r="I107" i="5"/>
  <c r="J107" i="5"/>
  <c r="G108" i="5"/>
  <c r="H108" i="5"/>
  <c r="I108" i="5"/>
  <c r="J108" i="5"/>
  <c r="G109" i="5"/>
  <c r="H109" i="5"/>
  <c r="I109" i="5"/>
  <c r="J109" i="5"/>
  <c r="G110" i="5"/>
  <c r="H110" i="5"/>
  <c r="I110" i="5"/>
  <c r="J110" i="5"/>
  <c r="H104" i="5"/>
  <c r="I104" i="5"/>
  <c r="J104" i="5"/>
  <c r="G104" i="5"/>
  <c r="G82" i="5"/>
  <c r="H82" i="5"/>
  <c r="I82" i="5"/>
  <c r="G83" i="5"/>
  <c r="H83" i="5"/>
  <c r="I83" i="5"/>
  <c r="G84" i="5"/>
  <c r="H84" i="5"/>
  <c r="I84" i="5"/>
  <c r="G85" i="5"/>
  <c r="H85" i="5"/>
  <c r="I85" i="5"/>
  <c r="G86" i="5"/>
  <c r="H86" i="5"/>
  <c r="I86" i="5"/>
  <c r="G87" i="5"/>
  <c r="H87" i="5"/>
  <c r="I87" i="5"/>
  <c r="G88" i="5"/>
  <c r="H88" i="5"/>
  <c r="I88" i="5"/>
  <c r="H81" i="5"/>
  <c r="I81" i="5"/>
  <c r="G81" i="5"/>
  <c r="G53" i="5"/>
  <c r="H53" i="5"/>
  <c r="I53" i="5"/>
  <c r="J53" i="5"/>
  <c r="K53" i="5"/>
  <c r="G54" i="5"/>
  <c r="H54" i="5"/>
  <c r="I54" i="5"/>
  <c r="J54" i="5"/>
  <c r="K54" i="5"/>
  <c r="G55" i="5"/>
  <c r="H55" i="5"/>
  <c r="I55" i="5"/>
  <c r="J55" i="5"/>
  <c r="K55" i="5"/>
  <c r="G56" i="5"/>
  <c r="H56" i="5"/>
  <c r="I56" i="5"/>
  <c r="J56" i="5"/>
  <c r="K56" i="5"/>
  <c r="G57" i="5"/>
  <c r="H57" i="5"/>
  <c r="I57" i="5"/>
  <c r="J57" i="5"/>
  <c r="K57" i="5"/>
  <c r="G58" i="5"/>
  <c r="H58" i="5"/>
  <c r="I58" i="5"/>
  <c r="J58" i="5"/>
  <c r="K58" i="5"/>
  <c r="H52" i="5"/>
  <c r="I52" i="5"/>
  <c r="J52" i="5"/>
  <c r="K52" i="5"/>
  <c r="G52" i="5"/>
  <c r="J51" i="5"/>
  <c r="O34" i="5"/>
  <c r="M34" i="5"/>
  <c r="M35" i="5"/>
  <c r="M36" i="5"/>
  <c r="M37" i="5"/>
  <c r="M38" i="5"/>
  <c r="M39" i="5"/>
  <c r="M40" i="5"/>
  <c r="M71" i="5"/>
  <c r="M72" i="5"/>
  <c r="M73" i="5"/>
  <c r="M74" i="5"/>
  <c r="M75" i="5"/>
  <c r="M76" i="5"/>
  <c r="M77" i="5"/>
  <c r="M94" i="5"/>
  <c r="M95" i="5"/>
  <c r="M96" i="5"/>
  <c r="M97" i="5"/>
  <c r="M98" i="5"/>
  <c r="M99" i="5"/>
  <c r="M100" i="5"/>
  <c r="M117" i="5"/>
  <c r="M118" i="5"/>
  <c r="M119" i="5"/>
  <c r="M120" i="5"/>
  <c r="M121" i="5"/>
  <c r="M122" i="5"/>
  <c r="M123" i="5"/>
  <c r="M140" i="5"/>
  <c r="M141" i="5"/>
  <c r="M142" i="5"/>
  <c r="M143" i="5"/>
  <c r="M144" i="5"/>
  <c r="M145" i="5"/>
  <c r="M146" i="5"/>
  <c r="C141" i="5"/>
  <c r="D141" i="5" s="1"/>
  <c r="D152" i="5" s="1"/>
  <c r="C142" i="5"/>
  <c r="C153" i="5" s="1"/>
  <c r="C143" i="5"/>
  <c r="C154" i="5" s="1"/>
  <c r="C144" i="5"/>
  <c r="D144" i="5" s="1"/>
  <c r="D155" i="5" s="1"/>
  <c r="C145" i="5"/>
  <c r="D145" i="5" s="1"/>
  <c r="D156" i="5" s="1"/>
  <c r="C146" i="5"/>
  <c r="D146" i="5" s="1"/>
  <c r="D157" i="5" s="1"/>
  <c r="C72" i="5"/>
  <c r="D72" i="5" s="1"/>
  <c r="D83" i="5" s="1"/>
  <c r="C73" i="5"/>
  <c r="D73" i="5" s="1"/>
  <c r="D84" i="5" s="1"/>
  <c r="C74" i="5"/>
  <c r="D74" i="5" s="1"/>
  <c r="D85" i="5" s="1"/>
  <c r="C75" i="5"/>
  <c r="C86" i="5" s="1"/>
  <c r="C76" i="5"/>
  <c r="C87" i="5" s="1"/>
  <c r="C77" i="5"/>
  <c r="D77" i="5" s="1"/>
  <c r="D88" i="5" s="1"/>
  <c r="C35" i="5"/>
  <c r="C53" i="5" s="1"/>
  <c r="C36" i="5"/>
  <c r="C54" i="5" s="1"/>
  <c r="C37" i="5"/>
  <c r="C55" i="5" s="1"/>
  <c r="C38" i="5"/>
  <c r="C56" i="5" s="1"/>
  <c r="C39" i="5"/>
  <c r="C57" i="5" s="1"/>
  <c r="C40" i="5"/>
  <c r="D40" i="5" s="1"/>
  <c r="D58" i="5" s="1"/>
  <c r="C95" i="5"/>
  <c r="D95" i="5" s="1"/>
  <c r="C96" i="5"/>
  <c r="C107" i="5" s="1"/>
  <c r="C97" i="5"/>
  <c r="D97" i="5" s="1"/>
  <c r="D108" i="5" s="1"/>
  <c r="C98" i="5"/>
  <c r="D98" i="5" s="1"/>
  <c r="D109" i="5" s="1"/>
  <c r="C99" i="5"/>
  <c r="D99" i="5" s="1"/>
  <c r="D110" i="5" s="1"/>
  <c r="C100" i="5"/>
  <c r="D100" i="5" s="1"/>
  <c r="D111" i="5" s="1"/>
  <c r="C118" i="5"/>
  <c r="D118" i="5" s="1"/>
  <c r="D129" i="5" s="1"/>
  <c r="C119" i="5"/>
  <c r="C130" i="5" s="1"/>
  <c r="C120" i="5"/>
  <c r="D120" i="5" s="1"/>
  <c r="D131" i="5" s="1"/>
  <c r="C121" i="5"/>
  <c r="D121" i="5" s="1"/>
  <c r="D132" i="5" s="1"/>
  <c r="C122" i="5"/>
  <c r="C133" i="5" s="1"/>
  <c r="C123" i="5"/>
  <c r="C134" i="5" s="1"/>
  <c r="B151" i="5"/>
  <c r="A151" i="5"/>
  <c r="C150" i="5"/>
  <c r="C140" i="5"/>
  <c r="D140" i="5" s="1"/>
  <c r="D151" i="5" s="1"/>
  <c r="M139" i="5"/>
  <c r="E139" i="5"/>
  <c r="E150" i="5" s="1"/>
  <c r="D139" i="5"/>
  <c r="D150" i="5" s="1"/>
  <c r="B128" i="5"/>
  <c r="A128" i="5"/>
  <c r="C127" i="5"/>
  <c r="C117" i="5"/>
  <c r="M116" i="5"/>
  <c r="E116" i="5"/>
  <c r="E127" i="5" s="1"/>
  <c r="D116" i="5"/>
  <c r="D127" i="5" s="1"/>
  <c r="D93" i="5"/>
  <c r="D104" i="5" s="1"/>
  <c r="E93" i="5"/>
  <c r="E104" i="5" s="1"/>
  <c r="E70" i="5"/>
  <c r="E81" i="5" s="1"/>
  <c r="D70" i="5"/>
  <c r="D81" i="5" s="1"/>
  <c r="E33" i="5"/>
  <c r="E51" i="5" s="1"/>
  <c r="D33" i="5"/>
  <c r="P31" i="5"/>
  <c r="T31" i="5" s="1"/>
  <c r="M7" i="5"/>
  <c r="M8" i="5"/>
  <c r="M9" i="5"/>
  <c r="M6" i="5"/>
  <c r="C9" i="5"/>
  <c r="C22" i="5" s="1"/>
  <c r="C10" i="5"/>
  <c r="C23" i="5" s="1"/>
  <c r="C11" i="5"/>
  <c r="C24" i="5" s="1"/>
  <c r="C12" i="5"/>
  <c r="C25" i="5" s="1"/>
  <c r="D13" i="5"/>
  <c r="J26" i="5"/>
  <c r="I26" i="5"/>
  <c r="H26" i="5"/>
  <c r="G26" i="5"/>
  <c r="J25" i="5"/>
  <c r="I25" i="5"/>
  <c r="H25" i="5"/>
  <c r="G25" i="5"/>
  <c r="J24" i="5"/>
  <c r="I24" i="5"/>
  <c r="H24" i="5"/>
  <c r="G24" i="5"/>
  <c r="J23" i="5"/>
  <c r="I23" i="5"/>
  <c r="H23" i="5"/>
  <c r="G23" i="5"/>
  <c r="J22" i="5"/>
  <c r="I22" i="5"/>
  <c r="H22" i="5"/>
  <c r="G22" i="5"/>
  <c r="J21" i="5"/>
  <c r="I21" i="5"/>
  <c r="H21" i="5"/>
  <c r="G21" i="5"/>
  <c r="J20" i="5"/>
  <c r="I20" i="5"/>
  <c r="H20" i="5"/>
  <c r="G20" i="5"/>
  <c r="J19" i="5"/>
  <c r="I19" i="5"/>
  <c r="H19" i="5"/>
  <c r="G19" i="5"/>
  <c r="A26" i="5"/>
  <c r="B25" i="5"/>
  <c r="A25" i="5"/>
  <c r="B24" i="5"/>
  <c r="A24" i="5"/>
  <c r="B23" i="5"/>
  <c r="A23" i="5"/>
  <c r="B22" i="5"/>
  <c r="A22" i="5"/>
  <c r="B21" i="5"/>
  <c r="A21" i="5"/>
  <c r="M13" i="5"/>
  <c r="M12" i="5"/>
  <c r="M11" i="5"/>
  <c r="M10" i="5"/>
  <c r="C8" i="5"/>
  <c r="C21" i="5" s="1"/>
  <c r="E6" i="5"/>
  <c r="E19" i="5" s="1"/>
  <c r="D6" i="5"/>
  <c r="B105" i="5"/>
  <c r="A105" i="5"/>
  <c r="C104" i="5"/>
  <c r="C94" i="5"/>
  <c r="D94" i="5" s="1"/>
  <c r="D105" i="5" s="1"/>
  <c r="M93" i="5"/>
  <c r="B82" i="5"/>
  <c r="A82" i="5"/>
  <c r="C81" i="5"/>
  <c r="C71" i="5"/>
  <c r="D71" i="5" s="1"/>
  <c r="D82" i="5" s="1"/>
  <c r="M70" i="5"/>
  <c r="M33" i="5"/>
  <c r="N21" i="1"/>
  <c r="N22" i="1"/>
  <c r="N23" i="1"/>
  <c r="N24" i="1"/>
  <c r="N25" i="1"/>
  <c r="N27" i="1"/>
  <c r="N20" i="1"/>
  <c r="J22" i="1"/>
  <c r="J23" i="1"/>
  <c r="J24" i="1"/>
  <c r="J25" i="1"/>
  <c r="J21" i="1"/>
  <c r="J10" i="1"/>
  <c r="F10" i="1"/>
  <c r="D10" i="1"/>
  <c r="H27" i="1"/>
  <c r="H22" i="1"/>
  <c r="H23" i="1"/>
  <c r="H24" i="1"/>
  <c r="H25" i="1"/>
  <c r="H21" i="1"/>
  <c r="L27" i="1"/>
  <c r="M25" i="1" s="1"/>
  <c r="K51" i="5"/>
  <c r="H51" i="5"/>
  <c r="I51" i="5"/>
  <c r="G51" i="5"/>
  <c r="B52" i="5"/>
  <c r="A52" i="5"/>
  <c r="C51" i="5"/>
  <c r="C34" i="5"/>
  <c r="P4" i="5"/>
  <c r="T4" i="5" s="1"/>
  <c r="C19" i="5"/>
  <c r="B20" i="5"/>
  <c r="A20" i="5"/>
  <c r="C7" i="5"/>
  <c r="C20" i="5" s="1"/>
  <c r="Q2" i="2"/>
  <c r="I23" i="1"/>
  <c r="D33" i="1"/>
  <c r="D34" i="1"/>
  <c r="D35" i="1"/>
  <c r="D36" i="1"/>
  <c r="D32" i="1"/>
  <c r="C27" i="1"/>
  <c r="D27" i="1"/>
  <c r="I27" i="1"/>
  <c r="G27" i="1"/>
  <c r="Q5" i="2"/>
  <c r="I10" i="1"/>
  <c r="J4" i="1"/>
  <c r="E10" i="1"/>
  <c r="C10" i="1"/>
  <c r="D6" i="1"/>
  <c r="F7" i="1"/>
  <c r="J9" i="1"/>
  <c r="J8" i="1"/>
  <c r="F6" i="1"/>
  <c r="J7" i="1"/>
  <c r="F5" i="1"/>
  <c r="J6" i="1"/>
  <c r="J5" i="1"/>
  <c r="D5" i="1"/>
  <c r="F4" i="1"/>
  <c r="F9" i="1"/>
  <c r="D8" i="1"/>
  <c r="F8" i="1"/>
  <c r="D7" i="1"/>
  <c r="D4" i="1"/>
  <c r="D9" i="1"/>
  <c r="J27" i="1"/>
  <c r="D51" i="5" l="1"/>
  <c r="M24" i="1"/>
  <c r="M23" i="1"/>
  <c r="M22" i="1"/>
  <c r="M21" i="1"/>
  <c r="D26" i="5"/>
  <c r="D143" i="5"/>
  <c r="D154" i="5" s="1"/>
  <c r="E34" i="5"/>
  <c r="C110" i="5"/>
  <c r="C152" i="5"/>
  <c r="D76" i="5"/>
  <c r="D87" i="5" s="1"/>
  <c r="C109" i="5"/>
  <c r="C26" i="5"/>
  <c r="D142" i="5"/>
  <c r="D153" i="5" s="1"/>
  <c r="C82" i="5"/>
  <c r="D75" i="5"/>
  <c r="D86" i="5" s="1"/>
  <c r="C129" i="5"/>
  <c r="C84" i="5"/>
  <c r="D7" i="5"/>
  <c r="D20" i="5" s="1"/>
  <c r="C83" i="5"/>
  <c r="C157" i="5"/>
  <c r="D39" i="5"/>
  <c r="D57" i="5" s="1"/>
  <c r="C132" i="5"/>
  <c r="D19" i="5"/>
  <c r="C105" i="5"/>
  <c r="C131" i="5"/>
  <c r="E72" i="5"/>
  <c r="E83" i="5" s="1"/>
  <c r="E94" i="5"/>
  <c r="D8" i="5"/>
  <c r="E71" i="5"/>
  <c r="C88" i="5"/>
  <c r="D9" i="5"/>
  <c r="D22" i="5" s="1"/>
  <c r="D119" i="5"/>
  <c r="D130" i="5" s="1"/>
  <c r="E7" i="5"/>
  <c r="E20" i="5" s="1"/>
  <c r="E117" i="5"/>
  <c r="E128" i="5" s="1"/>
  <c r="C58" i="5"/>
  <c r="E74" i="5"/>
  <c r="E85" i="5" s="1"/>
  <c r="C85" i="5"/>
  <c r="E140" i="5"/>
  <c r="E151" i="5" s="1"/>
  <c r="D123" i="5"/>
  <c r="D134" i="5" s="1"/>
  <c r="C156" i="5"/>
  <c r="D122" i="5"/>
  <c r="D133" i="5" s="1"/>
  <c r="C155" i="5"/>
  <c r="D38" i="5"/>
  <c r="D56" i="5" s="1"/>
  <c r="D37" i="5"/>
  <c r="D55" i="5" s="1"/>
  <c r="D36" i="5"/>
  <c r="D54" i="5" s="1"/>
  <c r="D35" i="5"/>
  <c r="D53" i="5" s="1"/>
  <c r="D34" i="5"/>
  <c r="D52" i="5" s="1"/>
  <c r="E142" i="5"/>
  <c r="E153" i="5" s="1"/>
  <c r="E141" i="5"/>
  <c r="E152" i="5" s="1"/>
  <c r="E73" i="5"/>
  <c r="E84" i="5" s="1"/>
  <c r="E75" i="5"/>
  <c r="E86" i="5" s="1"/>
  <c r="D106" i="5"/>
  <c r="E96" i="5"/>
  <c r="E107" i="5" s="1"/>
  <c r="D96" i="5"/>
  <c r="D107" i="5" s="1"/>
  <c r="C106" i="5"/>
  <c r="E95" i="5"/>
  <c r="E106" i="5" s="1"/>
  <c r="C111" i="5"/>
  <c r="C108" i="5"/>
  <c r="C151" i="5"/>
  <c r="C128" i="5"/>
  <c r="D117" i="5"/>
  <c r="C52" i="5"/>
  <c r="D12" i="5"/>
  <c r="D25" i="5" s="1"/>
  <c r="D11" i="5"/>
  <c r="D24" i="5" s="1"/>
  <c r="D10" i="5"/>
  <c r="E46" i="5" l="1"/>
  <c r="E64" i="5" s="1"/>
  <c r="E45" i="5"/>
  <c r="E63" i="5" s="1"/>
  <c r="E15" i="5"/>
  <c r="E44" i="5"/>
  <c r="E62" i="5" s="1"/>
  <c r="M27" i="1"/>
  <c r="E14" i="5"/>
  <c r="E27" i="5" s="1"/>
  <c r="E43" i="5"/>
  <c r="E61" i="5" s="1"/>
  <c r="E143" i="5"/>
  <c r="E154" i="5" s="1"/>
  <c r="E146" i="5"/>
  <c r="E157" i="5" s="1"/>
  <c r="E42" i="5"/>
  <c r="E60" i="5" s="1"/>
  <c r="E41" i="5"/>
  <c r="E59" i="5" s="1"/>
  <c r="E145" i="5"/>
  <c r="E156" i="5" s="1"/>
  <c r="E144" i="5"/>
  <c r="E155" i="5" s="1"/>
  <c r="E77" i="5"/>
  <c r="E88" i="5" s="1"/>
  <c r="E76" i="5"/>
  <c r="E87" i="5" s="1"/>
  <c r="E9" i="5"/>
  <c r="E22" i="5" s="1"/>
  <c r="E8" i="5"/>
  <c r="E21" i="5" s="1"/>
  <c r="E122" i="5"/>
  <c r="E133" i="5" s="1"/>
  <c r="E121" i="5"/>
  <c r="E132" i="5" s="1"/>
  <c r="E123" i="5"/>
  <c r="E134" i="5" s="1"/>
  <c r="D21" i="5"/>
  <c r="E119" i="5"/>
  <c r="E130" i="5" s="1"/>
  <c r="E10" i="5"/>
  <c r="E23" i="5" s="1"/>
  <c r="D128" i="5"/>
  <c r="E118" i="5"/>
  <c r="E129" i="5" s="1"/>
  <c r="E120" i="5"/>
  <c r="E131" i="5" s="1"/>
  <c r="E38" i="5"/>
  <c r="E56" i="5" s="1"/>
  <c r="E40" i="5"/>
  <c r="E58" i="5" s="1"/>
  <c r="E35" i="5"/>
  <c r="E53" i="5" s="1"/>
  <c r="E36" i="5"/>
  <c r="E54" i="5" s="1"/>
  <c r="E37" i="5"/>
  <c r="E55" i="5" s="1"/>
  <c r="E39" i="5"/>
  <c r="E57" i="5" s="1"/>
  <c r="E99" i="5"/>
  <c r="E110" i="5" s="1"/>
  <c r="E100" i="5"/>
  <c r="E111" i="5" s="1"/>
  <c r="E98" i="5"/>
  <c r="E109" i="5" s="1"/>
  <c r="E97" i="5"/>
  <c r="E108" i="5" s="1"/>
  <c r="E13" i="5"/>
  <c r="E26" i="5" s="1"/>
  <c r="E12" i="5"/>
  <c r="E25" i="5" s="1"/>
  <c r="E11" i="5"/>
  <c r="E24" i="5" s="1"/>
  <c r="D23" i="5"/>
  <c r="E52" i="5" l="1"/>
  <c r="E82" i="5"/>
  <c r="E105" i="5"/>
</calcChain>
</file>

<file path=xl/sharedStrings.xml><?xml version="1.0" encoding="utf-8"?>
<sst xmlns="http://schemas.openxmlformats.org/spreadsheetml/2006/main" count="825" uniqueCount="265">
  <si>
    <t>Using extra granitic host as well</t>
  </si>
  <si>
    <t>Brian Host by Finn</t>
  </si>
  <si>
    <t>numbers as of 9/25</t>
  </si>
  <si>
    <t>Size bins (mm)</t>
  </si>
  <si>
    <t>Volcanic Host rock (g)</t>
  </si>
  <si>
    <t>%</t>
  </si>
  <si>
    <t>Granite host rock</t>
  </si>
  <si>
    <t>Granitic host WD</t>
  </si>
  <si>
    <t>2-4.75</t>
  </si>
  <si>
    <t>4.75-9.5</t>
  </si>
  <si>
    <t>9.25-12.5</t>
  </si>
  <si>
    <t>12.5-25</t>
  </si>
  <si>
    <t>25-50</t>
  </si>
  <si>
    <t>&gt;50</t>
  </si>
  <si>
    <t xml:space="preserve">Total </t>
  </si>
  <si>
    <t>Allisons Host</t>
  </si>
  <si>
    <t>Brian Updated Host, pre phase 1 tumble</t>
  </si>
  <si>
    <t>Mass (g)</t>
  </si>
  <si>
    <t>Size bin</t>
  </si>
  <si>
    <t>Granite mix</t>
  </si>
  <si>
    <t>Volcanic mix</t>
  </si>
  <si>
    <t>2.0 Granite host rock</t>
  </si>
  <si>
    <t>allison granite percent</t>
  </si>
  <si>
    <t>mm</t>
  </si>
  <si>
    <t>0.187 - 3/8"</t>
  </si>
  <si>
    <t>3/8-1/2"</t>
  </si>
  <si>
    <t>9.5-12.5</t>
  </si>
  <si>
    <t>0.5 - 1"</t>
  </si>
  <si>
    <t>X</t>
  </si>
  <si>
    <t>1-2"</t>
  </si>
  <si>
    <t>&gt;2"</t>
  </si>
  <si>
    <t>total</t>
  </si>
  <si>
    <t>*2520.88</t>
  </si>
  <si>
    <t>need to add</t>
  </si>
  <si>
    <t>g</t>
  </si>
  <si>
    <t>Tumble ID</t>
  </si>
  <si>
    <t>P1</t>
  </si>
  <si>
    <t>P2</t>
  </si>
  <si>
    <t>P3</t>
  </si>
  <si>
    <t>P4</t>
  </si>
  <si>
    <t>P5</t>
  </si>
  <si>
    <t>P6</t>
  </si>
  <si>
    <t>P7</t>
  </si>
  <si>
    <t>P8</t>
  </si>
  <si>
    <t>P9</t>
  </si>
  <si>
    <t>P10</t>
  </si>
  <si>
    <t>P11</t>
  </si>
  <si>
    <t>P12</t>
  </si>
  <si>
    <t>P13</t>
  </si>
  <si>
    <t>P14</t>
  </si>
  <si>
    <t>P15</t>
  </si>
  <si>
    <t>P16</t>
  </si>
  <si>
    <t>P17</t>
  </si>
  <si>
    <t>P18</t>
  </si>
  <si>
    <t>P19</t>
  </si>
  <si>
    <t>P20</t>
  </si>
  <si>
    <t>P21</t>
  </si>
  <si>
    <t>P22</t>
  </si>
  <si>
    <t>Year</t>
  </si>
  <si>
    <t>Stop ID</t>
  </si>
  <si>
    <t>Lithology</t>
  </si>
  <si>
    <t>Size (cm)</t>
  </si>
  <si>
    <t>SH ID</t>
  </si>
  <si>
    <t>Mean_Median SHRS</t>
  </si>
  <si>
    <t>Std SHRS</t>
  </si>
  <si>
    <t>Collect ID</t>
  </si>
  <si>
    <t>Notes</t>
  </si>
  <si>
    <t>Color</t>
  </si>
  <si>
    <t>Tumble? Notes</t>
  </si>
  <si>
    <t>Cut</t>
  </si>
  <si>
    <t>Dry Pre-Tumble Mass (g)</t>
  </si>
  <si>
    <t>extra</t>
  </si>
  <si>
    <t>Wet Pre-Tumble Mass (g)</t>
  </si>
  <si>
    <t>dry G weight (g)</t>
  </si>
  <si>
    <t>dry weight V</t>
  </si>
  <si>
    <t>T4</t>
  </si>
  <si>
    <t>UG</t>
  </si>
  <si>
    <t>T4-5</t>
  </si>
  <si>
    <t>n</t>
  </si>
  <si>
    <t>PN</t>
  </si>
  <si>
    <t>T4-9</t>
  </si>
  <si>
    <t>GET PICTURES BEFPRE TUMBLE</t>
  </si>
  <si>
    <t>T5A</t>
  </si>
  <si>
    <t>TV</t>
  </si>
  <si>
    <t>STARTING NOW FIXED OLD SHRS TO MEDIAN FROM MEAN, no shrs number given assigned 51</t>
  </si>
  <si>
    <t>dg</t>
  </si>
  <si>
    <t>T5A-5</t>
  </si>
  <si>
    <t>T5A-17</t>
  </si>
  <si>
    <t>dp</t>
  </si>
  <si>
    <t>T5A-20</t>
  </si>
  <si>
    <t>3, medium thin moss</t>
  </si>
  <si>
    <t>T6</t>
  </si>
  <si>
    <t>VV</t>
  </si>
  <si>
    <t>b</t>
  </si>
  <si>
    <t>T6-18</t>
  </si>
  <si>
    <t>T8</t>
  </si>
  <si>
    <t>borderline tv</t>
  </si>
  <si>
    <t>T8-10</t>
  </si>
  <si>
    <t>3, small piece split, moss on big one?</t>
  </si>
  <si>
    <t>breccia but mostly dp tv</t>
  </si>
  <si>
    <t>T8-19</t>
  </si>
  <si>
    <t>MM2</t>
  </si>
  <si>
    <t>HDV</t>
  </si>
  <si>
    <t>A</t>
  </si>
  <si>
    <t>MM2-9</t>
  </si>
  <si>
    <t>LDV</t>
  </si>
  <si>
    <t>MM2-10</t>
  </si>
  <si>
    <t>3, cut in hald 2 large + 1 small</t>
  </si>
  <si>
    <t>MM5</t>
  </si>
  <si>
    <t>G</t>
  </si>
  <si>
    <t>Boulder 1</t>
  </si>
  <si>
    <t>MM5-9</t>
  </si>
  <si>
    <t>MM6</t>
  </si>
  <si>
    <t>MM6-1</t>
  </si>
  <si>
    <t>MM6-6</t>
  </si>
  <si>
    <t>3, medium has moss</t>
  </si>
  <si>
    <t>MM7</t>
  </si>
  <si>
    <t>MM7-6</t>
  </si>
  <si>
    <t>MM9</t>
  </si>
  <si>
    <t>sampling granite may be a cruel form of torture</t>
  </si>
  <si>
    <t>MM9-4</t>
  </si>
  <si>
    <t>MA1</t>
  </si>
  <si>
    <t>NA</t>
  </si>
  <si>
    <t>MA1-4</t>
  </si>
  <si>
    <t>MA1-11</t>
  </si>
  <si>
    <t>MA2</t>
  </si>
  <si>
    <t>NN</t>
  </si>
  <si>
    <t>MA2-4</t>
  </si>
  <si>
    <t>MA2B</t>
  </si>
  <si>
    <t>MA2B-6</t>
  </si>
  <si>
    <t>3, small broke into 2</t>
  </si>
  <si>
    <t>MA3</t>
  </si>
  <si>
    <t>VN</t>
  </si>
  <si>
    <t>MA3-13</t>
  </si>
  <si>
    <t>MA3B</t>
  </si>
  <si>
    <t>One of two VN</t>
  </si>
  <si>
    <t>MA3B-15</t>
  </si>
  <si>
    <t>KC1</t>
  </si>
  <si>
    <t>NV</t>
  </si>
  <si>
    <t>Gray</t>
  </si>
  <si>
    <t>KC1-9</t>
  </si>
  <si>
    <t>3, 9, 18</t>
  </si>
  <si>
    <t>Phase 1 Rounding of Grains. Distinct lithologies allowed for multiple grains to be tumbled at once.. Masses are Wet.</t>
  </si>
  <si>
    <t>FT Tumbler rate calcs</t>
  </si>
  <si>
    <t>Mass Change</t>
  </si>
  <si>
    <t>FT Tumbler</t>
  </si>
  <si>
    <t>rotation per minute</t>
  </si>
  <si>
    <t>rotate per hour</t>
  </si>
  <si>
    <t>inside circumference (cm)</t>
  </si>
  <si>
    <t>circumference km</t>
  </si>
  <si>
    <t>km/hr</t>
  </si>
  <si>
    <t>Granite in Volcanics: End mass (g) wet</t>
  </si>
  <si>
    <t>on oct 13 2023</t>
  </si>
  <si>
    <t>Start time</t>
  </si>
  <si>
    <t>End time</t>
  </si>
  <si>
    <t>Hours</t>
  </si>
  <si>
    <t>Dist (km)</t>
  </si>
  <si>
    <t>Cum. Dist (km)</t>
  </si>
  <si>
    <t>Total</t>
  </si>
  <si>
    <t>just under 33</t>
  </si>
  <si>
    <t>so 32.9?</t>
  </si>
  <si>
    <t>32.8?</t>
  </si>
  <si>
    <t>DID NOT PUT P1 BACK IN</t>
  </si>
  <si>
    <t>no P1</t>
  </si>
  <si>
    <t>Cumulative Percent Change</t>
  </si>
  <si>
    <t>WD Tumbler</t>
  </si>
  <si>
    <t>WD Tumbler rate calcs</t>
  </si>
  <si>
    <t>Volcanics Group 1 (20s) in Granite: End mass (g) wet</t>
  </si>
  <si>
    <t>on oct 16</t>
  </si>
  <si>
    <t xml:space="preserve">194.98 + two smaller pieces at 21.01 = </t>
  </si>
  <si>
    <t>15.03?</t>
  </si>
  <si>
    <t>is p21 filled with sediment now tho?</t>
  </si>
  <si>
    <t>so only 20 g loss really.</t>
  </si>
  <si>
    <t>Not putting P16 back in</t>
  </si>
  <si>
    <t>pieces broke off of P5</t>
  </si>
  <si>
    <t>just tumbling P21</t>
  </si>
  <si>
    <t>Percent Change</t>
  </si>
  <si>
    <t>Volcanics Group 2 (30s) in Granite: mass (g)</t>
  </si>
  <si>
    <t>Volcanics Group 3 (40s) in Granite: mass (g)</t>
  </si>
  <si>
    <t>Only P6</t>
  </si>
  <si>
    <t>New H2O</t>
  </si>
  <si>
    <t>found one chunk of P6 - 13.13 grams</t>
  </si>
  <si>
    <t>Volcanics Group 4 (50s) in Granite: mass (g)</t>
  </si>
  <si>
    <t>Volcanics Group 5 (60s) in Granite: mass (g)</t>
  </si>
  <si>
    <t>P12 = 152.76</t>
  </si>
  <si>
    <t>P6 = 172.53</t>
  </si>
  <si>
    <t>P17 = 126.02</t>
  </si>
  <si>
    <t>P19 = 127.83</t>
  </si>
  <si>
    <t>all but P17</t>
  </si>
  <si>
    <t>fill this granite, then get another granite</t>
  </si>
  <si>
    <t>Get one whole volcanic</t>
  </si>
  <si>
    <t>need</t>
  </si>
  <si>
    <t>600 12-25</t>
  </si>
  <si>
    <t>0 9-12</t>
  </si>
  <si>
    <t>0 25-50</t>
  </si>
  <si>
    <t>0 &gt;50</t>
  </si>
  <si>
    <t>still 34 rotations per minute on october 31</t>
  </si>
  <si>
    <t>P9 split into 2</t>
  </si>
  <si>
    <t>just P18</t>
  </si>
  <si>
    <t>Method</t>
  </si>
  <si>
    <t>Time</t>
  </si>
  <si>
    <t>Date</t>
  </si>
  <si>
    <t>Temperature</t>
  </si>
  <si>
    <t>Dry Mass</t>
  </si>
  <si>
    <t>Wet Mass</t>
  </si>
  <si>
    <t>Sample V</t>
  </si>
  <si>
    <t>Comment</t>
  </si>
  <si>
    <t xml:space="preserve"> Method 1: Wednesday October 11, 3:18 the density samples were submerged in DI water. Aim to do wet mass and complete density measurements at least 48 hours later (Friday 3:18) </t>
  </si>
  <si>
    <t>Method 2: This method was completed all on one day using dry samples then immediately putting in the wet beaker using the solution that decreases water tension to fill the vessicles. Wanted to check the density this way vs the other way. I expect the density to be lower this way
Mettler-Toledo AG Pervitro 75% 3 drops per 250 ml
bubbles just keep coming out and mass keeps rising. I don't have time to sit and wait for each one do i? just wait a minute…or to first "stable"
the scale also drifts upwards on its own due to water bubbles in the container leaking out regardless of the rock in it…</t>
  </si>
  <si>
    <t>bubbles just keep coming out… I stopped waiting after 10 mins and used the measurement</t>
  </si>
  <si>
    <t>Water ρ</t>
  </si>
  <si>
    <t>all three</t>
  </si>
  <si>
    <t>allison volcanic percent</t>
  </si>
  <si>
    <t>no p4, in sat tub</t>
  </si>
  <si>
    <t>just P2 because of a rough edge I want removed</t>
  </si>
  <si>
    <t>Phase 2 Rounding of Grains. Distinct lithologies allowed for multiple grains to be tumbled at once.. Masses are Wet.</t>
  </si>
  <si>
    <t>just P5</t>
  </si>
  <si>
    <t>2.0 Volcanic host rock for granite phase 2 tumble</t>
  </si>
  <si>
    <t>Granite in Volcanics 2.0 host gsd: End mass (g) wet</t>
  </si>
  <si>
    <t>just under 33…32.8?</t>
  </si>
  <si>
    <t>part of p5 broke off</t>
  </si>
  <si>
    <t>NEW H20</t>
  </si>
  <si>
    <t>I believe a chunk may have come off of P1</t>
  </si>
  <si>
    <t>can run soonest Friday morning 1015 am</t>
  </si>
  <si>
    <t>just under 34…33.8?</t>
  </si>
  <si>
    <t>on november 15</t>
  </si>
  <si>
    <t>on november 13</t>
  </si>
  <si>
    <t>for P10 just use first tumble, for P5 use second and third tumbles</t>
  </si>
  <si>
    <t>P10 broke in half…86.04+54.09, P5 may slow down abrasion as it becomes less rough since last major break…, why did P16 slow down so much????</t>
  </si>
  <si>
    <t>moved P21 to volcanic group 2 due to combined weight over topping 600 g, perhaps P16 wasn't *fully* "rounded" in the first run here</t>
  </si>
  <si>
    <t>may do another run or few later but want to get other rocks going</t>
  </si>
  <si>
    <t>host gsd mass at start of VG 5</t>
  </si>
  <si>
    <t>Did VG 1, then VG 5</t>
  </si>
  <si>
    <t>fresh at VG1</t>
  </si>
  <si>
    <t>new h20</t>
  </si>
  <si>
    <t>this mass likely had dust on it…</t>
  </si>
  <si>
    <t xml:space="preserve">End VG5= </t>
  </si>
  <si>
    <t>Start VG2</t>
  </si>
  <si>
    <t>Move P20 to V3 to balance weight</t>
  </si>
  <si>
    <t>move P6 to V4 to balance weight</t>
  </si>
  <si>
    <t>Start VG4 =</t>
  </si>
  <si>
    <t>End VG4/Start VG2 =</t>
  </si>
  <si>
    <t>End VG1/ Start VG5 =</t>
  </si>
  <si>
    <t>Sample</t>
  </si>
  <si>
    <t>Density (g/ml)</t>
  </si>
  <si>
    <t>Density (kg/m3)</t>
  </si>
  <si>
    <t>Deposit</t>
  </si>
  <si>
    <t>SHRS median</t>
  </si>
  <si>
    <t>Lith</t>
  </si>
  <si>
    <t>Tahoma</t>
  </si>
  <si>
    <t>Mt. Meager</t>
  </si>
  <si>
    <t>Mt. Adams</t>
  </si>
  <si>
    <t>Kautz</t>
  </si>
  <si>
    <t>Abrasion Avg</t>
  </si>
  <si>
    <t>Max Abrasion</t>
  </si>
  <si>
    <t>Min Abrasion</t>
  </si>
  <si>
    <t>Density mean</t>
  </si>
  <si>
    <t>SHRS stdev</t>
  </si>
  <si>
    <t>mass loss (g)/km</t>
  </si>
  <si>
    <t>avg</t>
  </si>
  <si>
    <t>Thru 36.87 km due to chunk loss in following round</t>
  </si>
  <si>
    <t>avg above</t>
  </si>
  <si>
    <t>%loss/km</t>
  </si>
  <si>
    <t>NAL</t>
  </si>
  <si>
    <t>Bad Abrasion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</si>
</sst>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h:mm;@"/>
  </numFmts>
  <fonts count="6" x14ac:knownFonts="1">
    <font>
      <sz val="12"/>
      <color theme="1"/>
      <name val="Calibri"/>
      <family val="2"/>
      <scheme val="minor"/>
    </font>
    <font>
      <sz val="12"/>
      <color rgb="FF000000"/>
      <name val="Calibri"/>
      <family val="2"/>
      <scheme val="minor"/>
    </font>
    <font>
      <b/>
      <sz val="11"/>
      <color rgb="FF000000"/>
      <name val="Calibri"/>
      <family val="2"/>
      <scheme val="minor"/>
    </font>
    <font>
      <b/>
      <sz val="11"/>
      <color theme="1"/>
      <name val="Calibri"/>
      <family val="2"/>
      <scheme val="minor"/>
    </font>
    <font>
      <sz val="12"/>
      <name val="Calibri"/>
      <family val="2"/>
      <scheme val="minor"/>
    </font>
    <font>
      <b/>
      <sz val="12"/>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bgColor indexed="64"/>
      </patternFill>
    </fill>
    <fill>
      <patternFill patternType="solid">
        <fgColor rgb="FFFF0000"/>
        <bgColor indexed="64"/>
      </patternFill>
    </fill>
    <fill>
      <patternFill patternType="solid">
        <fgColor theme="0" tint="-0.14999847407452621"/>
        <bgColor indexed="64"/>
      </patternFill>
    </fill>
    <fill>
      <patternFill patternType="solid">
        <fgColor theme="5"/>
        <bgColor indexed="64"/>
      </patternFill>
    </fill>
    <fill>
      <patternFill patternType="solid">
        <fgColor theme="2"/>
        <bgColor indexed="64"/>
      </patternFill>
    </fill>
    <fill>
      <patternFill patternType="solid">
        <fgColor rgb="FFCFC6B1"/>
        <bgColor indexed="64"/>
      </patternFill>
    </fill>
    <fill>
      <patternFill patternType="solid">
        <fgColor theme="1"/>
        <bgColor indexed="64"/>
      </patternFill>
    </fill>
    <fill>
      <patternFill patternType="solid">
        <fgColor theme="7"/>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31">
    <xf numFmtId="0" fontId="0" fillId="0" borderId="0" xfId="0"/>
    <xf numFmtId="0" fontId="0" fillId="2" borderId="1" xfId="0" applyFill="1" applyBorder="1"/>
    <xf numFmtId="0" fontId="0" fillId="2" borderId="2" xfId="0" applyFill="1" applyBorder="1"/>
    <xf numFmtId="0" fontId="0" fillId="2" borderId="3" xfId="0" applyFill="1" applyBorder="1"/>
    <xf numFmtId="0" fontId="1" fillId="0" borderId="0" xfId="0" applyFont="1"/>
    <xf numFmtId="0" fontId="1" fillId="0" borderId="4" xfId="0" applyFont="1" applyBorder="1"/>
    <xf numFmtId="0" fontId="2" fillId="0" borderId="0" xfId="0" applyFont="1"/>
    <xf numFmtId="0" fontId="1" fillId="3" borderId="0" xfId="0" applyFont="1" applyFill="1"/>
    <xf numFmtId="0" fontId="3" fillId="0" borderId="0" xfId="0" applyFont="1"/>
    <xf numFmtId="0" fontId="0" fillId="6" borderId="0" xfId="0" applyFill="1"/>
    <xf numFmtId="1" fontId="0" fillId="2" borderId="1" xfId="0" applyNumberFormat="1" applyFill="1" applyBorder="1"/>
    <xf numFmtId="0" fontId="0" fillId="7" borderId="0" xfId="0" applyFill="1"/>
    <xf numFmtId="0" fontId="0" fillId="8" borderId="0" xfId="0" applyFill="1"/>
    <xf numFmtId="16" fontId="0" fillId="0" borderId="0" xfId="0" applyNumberFormat="1"/>
    <xf numFmtId="2" fontId="0" fillId="0" borderId="0" xfId="0" applyNumberFormat="1"/>
    <xf numFmtId="165" fontId="0" fillId="0" borderId="0" xfId="0" applyNumberFormat="1"/>
    <xf numFmtId="2" fontId="0" fillId="7" borderId="0" xfId="0" applyNumberFormat="1" applyFill="1"/>
    <xf numFmtId="165" fontId="0" fillId="7" borderId="0" xfId="0" applyNumberFormat="1" applyFill="1"/>
    <xf numFmtId="164" fontId="0" fillId="0" borderId="0" xfId="0" applyNumberFormat="1"/>
    <xf numFmtId="0" fontId="0" fillId="9" borderId="0" xfId="0" applyFill="1"/>
    <xf numFmtId="0" fontId="0" fillId="2" borderId="0" xfId="0" applyFill="1"/>
    <xf numFmtId="0" fontId="0" fillId="3" borderId="1" xfId="0" applyFill="1" applyBorder="1"/>
    <xf numFmtId="0" fontId="0" fillId="4" borderId="0" xfId="0" applyFill="1"/>
    <xf numFmtId="166" fontId="0" fillId="0" borderId="0" xfId="0" applyNumberFormat="1"/>
    <xf numFmtId="14" fontId="0" fillId="0" borderId="0" xfId="0" applyNumberFormat="1"/>
    <xf numFmtId="20" fontId="0" fillId="0" borderId="0" xfId="0" applyNumberFormat="1"/>
    <xf numFmtId="0" fontId="4" fillId="3" borderId="1" xfId="0" applyFont="1" applyFill="1" applyBorder="1"/>
    <xf numFmtId="165" fontId="5" fillId="0" borderId="0" xfId="0" applyNumberFormat="1" applyFont="1"/>
    <xf numFmtId="0" fontId="0" fillId="10" borderId="0" xfId="0" applyFill="1"/>
    <xf numFmtId="0" fontId="0" fillId="11" borderId="0" xfId="0" applyFill="1"/>
    <xf numFmtId="0" fontId="0" fillId="5"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'Phase 2'!$E$19:$E$25</c:f>
              <c:numCache>
                <c:formatCode>0.00</c:formatCode>
                <c:ptCount val="7"/>
                <c:pt idx="0">
                  <c:v>0</c:v>
                </c:pt>
                <c:pt idx="1">
                  <c:v>3.0690000000461004</c:v>
                </c:pt>
                <c:pt idx="2">
                  <c:v>12.059400000161071</c:v>
                </c:pt>
                <c:pt idx="3">
                  <c:v>23.013600000155762</c:v>
                </c:pt>
                <c:pt idx="4">
                  <c:v>36.866280000303313</c:v>
                </c:pt>
                <c:pt idx="5">
                  <c:v>46.464120000330084</c:v>
                </c:pt>
                <c:pt idx="6">
                  <c:v>60.701040000459002</c:v>
                </c:pt>
              </c:numCache>
            </c:numRef>
          </c:xVal>
          <c:yVal>
            <c:numRef>
              <c:f>'Phase 2'!$G$19:$G$25</c:f>
              <c:numCache>
                <c:formatCode>0.000</c:formatCode>
                <c:ptCount val="7"/>
                <c:pt idx="0">
                  <c:v>0</c:v>
                </c:pt>
                <c:pt idx="1">
                  <c:v>1.2556433408577874</c:v>
                </c:pt>
                <c:pt idx="2">
                  <c:v>4.888544018058667</c:v>
                </c:pt>
                <c:pt idx="3">
                  <c:v>9.1069413092550775</c:v>
                </c:pt>
                <c:pt idx="4">
                  <c:v>14.263544018058681</c:v>
                </c:pt>
                <c:pt idx="5">
                  <c:v>19.35665914221218</c:v>
                </c:pt>
                <c:pt idx="6">
                  <c:v>24.738995485327308</c:v>
                </c:pt>
              </c:numCache>
            </c:numRef>
          </c:yVal>
          <c:smooth val="0"/>
          <c:extLst>
            <c:ext xmlns:c16="http://schemas.microsoft.com/office/drawing/2014/chart" uri="{C3380CC4-5D6E-409C-BE32-E72D297353CC}">
              <c16:uniqueId val="{00000000-0786-634D-96F9-D8D1641913FA}"/>
            </c:ext>
          </c:extLst>
        </c:ser>
        <c:dLbls>
          <c:showLegendKey val="0"/>
          <c:showVal val="0"/>
          <c:showCatName val="0"/>
          <c:showSerName val="0"/>
          <c:showPercent val="0"/>
          <c:showBubbleSize val="0"/>
        </c:dLbls>
        <c:axId val="2126092112"/>
        <c:axId val="2125927664"/>
      </c:scatterChart>
      <c:valAx>
        <c:axId val="21260921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27664"/>
        <c:crosses val="autoZero"/>
        <c:crossBetween val="midCat"/>
      </c:valAx>
      <c:valAx>
        <c:axId val="212592766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092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1</xdr:col>
      <xdr:colOff>304800</xdr:colOff>
      <xdr:row>16</xdr:row>
      <xdr:rowOff>101600</xdr:rowOff>
    </xdr:to>
    <xdr:sp macro="" textlink="">
      <xdr:nvSpPr>
        <xdr:cNvPr id="1025" name="AutoShape 1">
          <a:extLst>
            <a:ext uri="{FF2B5EF4-FFF2-40B4-BE49-F238E27FC236}">
              <a16:creationId xmlns:a16="http://schemas.microsoft.com/office/drawing/2014/main" id="{C97CD483-3F89-7D57-F9D0-C063A3872877}"/>
            </a:ext>
          </a:extLst>
        </xdr:cNvPr>
        <xdr:cNvSpPr>
          <a:spLocks noChangeAspect="1" noChangeArrowheads="1"/>
        </xdr:cNvSpPr>
      </xdr:nvSpPr>
      <xdr:spPr bwMode="auto">
        <a:xfrm>
          <a:off x="825500" y="304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17</xdr:row>
      <xdr:rowOff>0</xdr:rowOff>
    </xdr:from>
    <xdr:to>
      <xdr:col>3</xdr:col>
      <xdr:colOff>304800</xdr:colOff>
      <xdr:row>18</xdr:row>
      <xdr:rowOff>101600</xdr:rowOff>
    </xdr:to>
    <xdr:sp macro="" textlink="">
      <xdr:nvSpPr>
        <xdr:cNvPr id="1026" name="AutoShape 2">
          <a:extLst>
            <a:ext uri="{FF2B5EF4-FFF2-40B4-BE49-F238E27FC236}">
              <a16:creationId xmlns:a16="http://schemas.microsoft.com/office/drawing/2014/main" id="{03111025-30BE-4D56-4B17-3F46E7AD2397}"/>
            </a:ext>
          </a:extLst>
        </xdr:cNvPr>
        <xdr:cNvSpPr>
          <a:spLocks noChangeAspect="1" noChangeArrowheads="1"/>
        </xdr:cNvSpPr>
      </xdr:nvSpPr>
      <xdr:spPr bwMode="auto">
        <a:xfrm>
          <a:off x="2476500" y="345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431800</xdr:colOff>
      <xdr:row>12</xdr:row>
      <xdr:rowOff>50800</xdr:rowOff>
    </xdr:from>
    <xdr:to>
      <xdr:col>18</xdr:col>
      <xdr:colOff>457200</xdr:colOff>
      <xdr:row>25</xdr:row>
      <xdr:rowOff>152400</xdr:rowOff>
    </xdr:to>
    <xdr:graphicFrame macro="">
      <xdr:nvGraphicFramePr>
        <xdr:cNvPr id="2" name="Chart 1">
          <a:extLst>
            <a:ext uri="{FF2B5EF4-FFF2-40B4-BE49-F238E27FC236}">
              <a16:creationId xmlns:a16="http://schemas.microsoft.com/office/drawing/2014/main" id="{E56D0AAB-E811-DC72-BCF5-1E0D69776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45DE7-5382-CF42-BA59-F2F5E5174574}">
  <dimension ref="B1:R46"/>
  <sheetViews>
    <sheetView topLeftCell="A23" zoomScale="135" workbookViewId="0">
      <selection activeCell="L36" sqref="L36"/>
    </sheetView>
  </sheetViews>
  <sheetFormatPr baseColWidth="10" defaultColWidth="10.83203125" defaultRowHeight="16" x14ac:dyDescent="0.2"/>
  <cols>
    <col min="9" max="9" width="12.6640625" bestFit="1" customWidth="1"/>
  </cols>
  <sheetData>
    <row r="1" spans="2:10" x14ac:dyDescent="0.2">
      <c r="H1" t="s">
        <v>0</v>
      </c>
    </row>
    <row r="2" spans="2:10" x14ac:dyDescent="0.2">
      <c r="B2" t="s">
        <v>1</v>
      </c>
      <c r="I2" t="s">
        <v>2</v>
      </c>
    </row>
    <row r="3" spans="2:10" x14ac:dyDescent="0.2">
      <c r="B3" s="1" t="s">
        <v>3</v>
      </c>
      <c r="C3" s="1" t="s">
        <v>4</v>
      </c>
      <c r="D3" s="1" t="s">
        <v>5</v>
      </c>
      <c r="E3" s="1" t="s">
        <v>6</v>
      </c>
      <c r="F3" s="1" t="s">
        <v>5</v>
      </c>
      <c r="I3" s="2" t="s">
        <v>7</v>
      </c>
      <c r="J3" s="2" t="s">
        <v>5</v>
      </c>
    </row>
    <row r="4" spans="2:10" x14ac:dyDescent="0.2">
      <c r="B4" s="1" t="s">
        <v>8</v>
      </c>
      <c r="C4" s="1">
        <v>2.02</v>
      </c>
      <c r="D4" s="1">
        <f>(C4/$C$10)*100</f>
        <v>0.10821409247483485</v>
      </c>
      <c r="E4" s="1">
        <v>0</v>
      </c>
      <c r="F4" s="1">
        <f>(E4/$E$10)*100</f>
        <v>0</v>
      </c>
      <c r="H4" s="1" t="s">
        <v>8</v>
      </c>
      <c r="I4" s="2">
        <v>0</v>
      </c>
      <c r="J4" s="3">
        <f>(I4/$I$10)*100</f>
        <v>0</v>
      </c>
    </row>
    <row r="5" spans="2:10" x14ac:dyDescent="0.2">
      <c r="B5" s="1" t="s">
        <v>9</v>
      </c>
      <c r="C5" s="1">
        <v>20.62</v>
      </c>
      <c r="D5" s="1">
        <f t="shared" ref="D5:D9" si="0">(C5/$C$10)*100</f>
        <v>1.104640884569849</v>
      </c>
      <c r="E5" s="1">
        <v>20.09</v>
      </c>
      <c r="F5" s="1">
        <f t="shared" ref="F5:F9" si="1">(E5/$E$10)*100</f>
        <v>1.0655676839682187</v>
      </c>
      <c r="H5" s="1" t="s">
        <v>9</v>
      </c>
      <c r="I5" s="2">
        <v>27.55</v>
      </c>
      <c r="J5" s="3">
        <f>(I5/$I$10)*100</f>
        <v>1.6783123062021406</v>
      </c>
    </row>
    <row r="6" spans="2:10" x14ac:dyDescent="0.2">
      <c r="B6" s="1" t="s">
        <v>10</v>
      </c>
      <c r="C6" s="1">
        <v>45.33</v>
      </c>
      <c r="D6" s="1">
        <f t="shared" si="0"/>
        <v>2.4283885207347842</v>
      </c>
      <c r="E6" s="1">
        <v>46.19</v>
      </c>
      <c r="F6" s="1">
        <f t="shared" si="1"/>
        <v>2.449903998133002</v>
      </c>
      <c r="H6" s="1" t="s">
        <v>10</v>
      </c>
      <c r="I6" s="2">
        <v>43.25</v>
      </c>
      <c r="J6" s="3">
        <f t="shared" ref="J6:J9" si="2">(I6/$I$10)*100</f>
        <v>2.6347371050178792</v>
      </c>
    </row>
    <row r="7" spans="2:10" x14ac:dyDescent="0.2">
      <c r="B7" s="1" t="s">
        <v>11</v>
      </c>
      <c r="C7" s="1">
        <v>502.09</v>
      </c>
      <c r="D7" s="1">
        <f t="shared" si="0"/>
        <v>26.89763053994546</v>
      </c>
      <c r="E7" s="1">
        <v>501.85</v>
      </c>
      <c r="F7" s="1">
        <f t="shared" si="1"/>
        <v>26.617976216996041</v>
      </c>
      <c r="H7" s="1" t="s">
        <v>11</v>
      </c>
      <c r="I7" s="2">
        <v>472.92</v>
      </c>
      <c r="J7" s="3">
        <f t="shared" si="2"/>
        <v>28.809708016301862</v>
      </c>
    </row>
    <row r="8" spans="2:10" x14ac:dyDescent="0.2">
      <c r="B8" s="1" t="s">
        <v>12</v>
      </c>
      <c r="C8" s="1">
        <v>798.09</v>
      </c>
      <c r="D8" s="1">
        <f t="shared" si="0"/>
        <v>42.754745080812356</v>
      </c>
      <c r="E8" s="1">
        <v>961.02</v>
      </c>
      <c r="F8" s="1">
        <f t="shared" si="1"/>
        <v>50.972217802246753</v>
      </c>
      <c r="H8" s="1" t="s">
        <v>12</v>
      </c>
      <c r="I8" s="2">
        <v>785.64</v>
      </c>
      <c r="J8" s="3">
        <f t="shared" si="2"/>
        <v>47.860227958063504</v>
      </c>
    </row>
    <row r="9" spans="2:10" x14ac:dyDescent="0.2">
      <c r="B9" s="1" t="s">
        <v>13</v>
      </c>
      <c r="C9" s="1">
        <v>498.52</v>
      </c>
      <c r="D9" s="1">
        <f t="shared" si="0"/>
        <v>26.70638088146271</v>
      </c>
      <c r="E9" s="1">
        <v>356.23</v>
      </c>
      <c r="F9" s="1">
        <f t="shared" si="1"/>
        <v>18.894334298655973</v>
      </c>
      <c r="H9" s="1" t="s">
        <v>13</v>
      </c>
      <c r="I9" s="2">
        <v>312.17</v>
      </c>
      <c r="J9" s="3">
        <f t="shared" si="2"/>
        <v>19.017014614414599</v>
      </c>
    </row>
    <row r="10" spans="2:10" x14ac:dyDescent="0.2">
      <c r="B10" s="1" t="s">
        <v>14</v>
      </c>
      <c r="C10" s="1">
        <f>SUM(C4:C9)</f>
        <v>1866.67</v>
      </c>
      <c r="D10" s="1">
        <f>SUM(D4:D9)</f>
        <v>99.999999999999986</v>
      </c>
      <c r="E10" s="1">
        <f>SUM(E4:E9)</f>
        <v>1885.38</v>
      </c>
      <c r="F10" s="1">
        <f>SUM(F5:F9)</f>
        <v>99.999999999999986</v>
      </c>
      <c r="H10" s="1" t="s">
        <v>14</v>
      </c>
      <c r="I10" s="2">
        <f>SUM(I4:I9)</f>
        <v>1641.5300000000002</v>
      </c>
      <c r="J10" s="3">
        <f>SUM(J4:J9)</f>
        <v>99.999999999999972</v>
      </c>
    </row>
    <row r="17" spans="2:18" x14ac:dyDescent="0.2">
      <c r="B17" t="s">
        <v>15</v>
      </c>
      <c r="F17" t="s">
        <v>16</v>
      </c>
    </row>
    <row r="18" spans="2:18" x14ac:dyDescent="0.2">
      <c r="C18" s="30" t="s">
        <v>17</v>
      </c>
      <c r="D18" s="30"/>
    </row>
    <row r="19" spans="2:18" x14ac:dyDescent="0.2">
      <c r="B19" t="s">
        <v>18</v>
      </c>
      <c r="C19" t="s">
        <v>19</v>
      </c>
      <c r="D19" t="s">
        <v>20</v>
      </c>
      <c r="F19" s="1" t="s">
        <v>3</v>
      </c>
      <c r="G19" s="1" t="s">
        <v>4</v>
      </c>
      <c r="H19" s="1" t="s">
        <v>5</v>
      </c>
      <c r="I19" s="1" t="s">
        <v>6</v>
      </c>
      <c r="J19" s="1" t="s">
        <v>5</v>
      </c>
      <c r="L19" s="1" t="s">
        <v>21</v>
      </c>
      <c r="M19" s="1" t="s">
        <v>5</v>
      </c>
      <c r="N19" s="1" t="s">
        <v>22</v>
      </c>
      <c r="P19" s="1" t="s">
        <v>217</v>
      </c>
      <c r="Q19" s="1" t="s">
        <v>5</v>
      </c>
      <c r="R19" s="1" t="s">
        <v>212</v>
      </c>
    </row>
    <row r="20" spans="2:18" x14ac:dyDescent="0.2">
      <c r="E20" t="s">
        <v>23</v>
      </c>
      <c r="F20" s="1"/>
      <c r="G20" s="1"/>
      <c r="H20" s="1"/>
      <c r="I20" s="1"/>
      <c r="J20" s="1"/>
      <c r="L20" s="1"/>
      <c r="M20" s="1"/>
      <c r="N20" s="1">
        <f>(C20/$C$27)*100</f>
        <v>0</v>
      </c>
      <c r="P20" s="1"/>
      <c r="Q20" s="1"/>
      <c r="R20" s="1"/>
    </row>
    <row r="21" spans="2:18" x14ac:dyDescent="0.2">
      <c r="B21" s="8" t="s">
        <v>24</v>
      </c>
      <c r="C21">
        <v>14.6</v>
      </c>
      <c r="D21" s="9">
        <v>0</v>
      </c>
      <c r="E21" t="s">
        <v>9</v>
      </c>
      <c r="F21" s="1" t="s">
        <v>9</v>
      </c>
      <c r="G21" s="1">
        <v>0</v>
      </c>
      <c r="H21" s="1">
        <f>(G21/$G$27)*100</f>
        <v>0</v>
      </c>
      <c r="I21" s="1">
        <v>14.91</v>
      </c>
      <c r="J21" s="1">
        <f>(I21/$I$27)*100</f>
        <v>0.59143197143990478</v>
      </c>
      <c r="L21" s="21">
        <v>14.72</v>
      </c>
      <c r="M21" s="1">
        <f>(L21/$L$27)*100</f>
        <v>0.57627636209886746</v>
      </c>
      <c r="N21" s="1">
        <f t="shared" ref="N21:N25" si="3">(C21/$C$27)*100</f>
        <v>0.58014781848525787</v>
      </c>
      <c r="P21" s="21">
        <v>0</v>
      </c>
      <c r="Q21" s="1">
        <v>0</v>
      </c>
      <c r="R21" s="1">
        <f>(D21/$D$27)*100</f>
        <v>0</v>
      </c>
    </row>
    <row r="22" spans="2:18" x14ac:dyDescent="0.2">
      <c r="B22" s="8" t="s">
        <v>25</v>
      </c>
      <c r="C22">
        <v>48.2</v>
      </c>
      <c r="D22" s="9">
        <v>67</v>
      </c>
      <c r="E22" t="s">
        <v>26</v>
      </c>
      <c r="F22" s="1" t="s">
        <v>10</v>
      </c>
      <c r="G22" s="1">
        <v>67.36</v>
      </c>
      <c r="H22" s="1">
        <f t="shared" ref="H22:H25" si="4">(G22/$G$27)*100</f>
        <v>2.6828369726478876</v>
      </c>
      <c r="I22" s="1">
        <v>48.19</v>
      </c>
      <c r="J22" s="1">
        <f t="shared" ref="J22:J25" si="5">(I22/$I$27)*100</f>
        <v>1.9115430384767949</v>
      </c>
      <c r="L22" s="21">
        <v>48.17</v>
      </c>
      <c r="M22" s="1">
        <f t="shared" ref="M22:M25" si="6">(L22/$L$27)*100</f>
        <v>1.8858174159172858</v>
      </c>
      <c r="N22" s="1">
        <f t="shared" si="3"/>
        <v>1.9152825240403717</v>
      </c>
      <c r="P22" s="21">
        <v>67.38</v>
      </c>
      <c r="Q22" s="1">
        <f>(P22/$P$27)*100</f>
        <v>2.727802697844639</v>
      </c>
      <c r="R22" s="1">
        <f t="shared" ref="R22:R25" si="7">(D22/$D$27)*100</f>
        <v>2.7269027269027268</v>
      </c>
    </row>
    <row r="23" spans="2:18" x14ac:dyDescent="0.2">
      <c r="B23" s="8" t="s">
        <v>27</v>
      </c>
      <c r="C23">
        <v>1002.6</v>
      </c>
      <c r="D23" s="9">
        <v>1004</v>
      </c>
      <c r="E23" t="s">
        <v>11</v>
      </c>
      <c r="F23" s="1" t="s">
        <v>11</v>
      </c>
      <c r="G23" s="1">
        <v>1002.95</v>
      </c>
      <c r="H23" s="1">
        <f t="shared" si="4"/>
        <v>39.945833457796894</v>
      </c>
      <c r="I23" s="1">
        <f>606.51+350.58</f>
        <v>957.08999999999992</v>
      </c>
      <c r="J23" s="1">
        <f t="shared" si="5"/>
        <v>37.964696548988492</v>
      </c>
      <c r="K23" t="s">
        <v>28</v>
      </c>
      <c r="L23" s="21">
        <v>1001.55</v>
      </c>
      <c r="M23" s="1">
        <f t="shared" si="6"/>
        <v>39.209890656258196</v>
      </c>
      <c r="N23" s="1">
        <f t="shared" si="3"/>
        <v>39.839465946117777</v>
      </c>
      <c r="P23" s="21">
        <v>1003.56</v>
      </c>
      <c r="Q23" s="1">
        <f t="shared" ref="Q23:Q25" si="8">(P23/$P$27)*100</f>
        <v>40.627985684906001</v>
      </c>
      <c r="R23" s="1">
        <f t="shared" si="7"/>
        <v>40.862840862840862</v>
      </c>
    </row>
    <row r="24" spans="2:18" x14ac:dyDescent="0.2">
      <c r="B24" s="8" t="s">
        <v>29</v>
      </c>
      <c r="C24">
        <v>948.2</v>
      </c>
      <c r="D24" s="9">
        <v>943</v>
      </c>
      <c r="E24" t="s">
        <v>12</v>
      </c>
      <c r="F24" s="1" t="s">
        <v>12</v>
      </c>
      <c r="G24" s="1">
        <v>976.04499999999996</v>
      </c>
      <c r="H24" s="1">
        <f t="shared" si="4"/>
        <v>38.874251973992088</v>
      </c>
      <c r="I24" s="1">
        <v>949.25</v>
      </c>
      <c r="J24" s="1">
        <f t="shared" si="5"/>
        <v>37.653708845696151</v>
      </c>
      <c r="L24" s="21">
        <v>946.89</v>
      </c>
      <c r="M24" s="1">
        <f t="shared" si="6"/>
        <v>37.069994871453574</v>
      </c>
      <c r="N24" s="1">
        <f t="shared" si="3"/>
        <v>37.677819279980923</v>
      </c>
      <c r="P24" s="21">
        <v>947.72</v>
      </c>
      <c r="Q24" s="1">
        <f t="shared" si="8"/>
        <v>38.367366767606434</v>
      </c>
      <c r="R24" s="1">
        <f t="shared" si="7"/>
        <v>38.380138380138376</v>
      </c>
    </row>
    <row r="25" spans="2:18" x14ac:dyDescent="0.2">
      <c r="B25" s="8" t="s">
        <v>30</v>
      </c>
      <c r="C25">
        <v>503</v>
      </c>
      <c r="D25" s="9">
        <v>443</v>
      </c>
      <c r="E25" t="s">
        <v>13</v>
      </c>
      <c r="F25" s="1" t="s">
        <v>13</v>
      </c>
      <c r="G25" s="1">
        <v>464.42</v>
      </c>
      <c r="H25" s="1">
        <f t="shared" si="4"/>
        <v>18.497077595563123</v>
      </c>
      <c r="I25" s="1">
        <v>551.55999999999995</v>
      </c>
      <c r="J25" s="1">
        <f t="shared" si="5"/>
        <v>21.87861959539865</v>
      </c>
      <c r="L25" s="26">
        <v>543</v>
      </c>
      <c r="M25" s="1">
        <f t="shared" si="6"/>
        <v>21.25802069427208</v>
      </c>
      <c r="N25" s="1">
        <f t="shared" si="3"/>
        <v>19.987284431375663</v>
      </c>
      <c r="P25" s="26">
        <v>451.46</v>
      </c>
      <c r="Q25" s="1">
        <f t="shared" si="8"/>
        <v>18.276844849642931</v>
      </c>
      <c r="R25" s="1">
        <f t="shared" si="7"/>
        <v>18.030118030118032</v>
      </c>
    </row>
    <row r="27" spans="2:18" x14ac:dyDescent="0.2">
      <c r="B27" t="s">
        <v>31</v>
      </c>
      <c r="C27">
        <f>SUM(C21:C25)</f>
        <v>2516.6000000000004</v>
      </c>
      <c r="D27">
        <f>SUM(D22:D25)</f>
        <v>2457</v>
      </c>
      <c r="F27" s="1" t="s">
        <v>14</v>
      </c>
      <c r="G27" s="1">
        <f>SUM(G20:G25)</f>
        <v>2510.7750000000001</v>
      </c>
      <c r="H27" s="1">
        <f>SUM(H21:H25)</f>
        <v>100</v>
      </c>
      <c r="I27" s="10">
        <f>SUM(I20:I25)</f>
        <v>2521</v>
      </c>
      <c r="J27" s="1">
        <f>SUM(J21:J25)</f>
        <v>100</v>
      </c>
      <c r="L27" s="10">
        <f>SUM(L20:L25)</f>
        <v>2554.33</v>
      </c>
      <c r="M27" s="1">
        <f>SUM(M21:M25)</f>
        <v>100</v>
      </c>
      <c r="N27" s="20">
        <f>SUM(N20:N25)</f>
        <v>100</v>
      </c>
      <c r="P27" s="10">
        <f>SUM(P20:P25)</f>
        <v>2470.12</v>
      </c>
      <c r="Q27" s="1">
        <f>SUM(Q21:Q25)</f>
        <v>100</v>
      </c>
      <c r="R27" s="20">
        <f>SUM(R20:R25)</f>
        <v>100</v>
      </c>
    </row>
    <row r="28" spans="2:18" x14ac:dyDescent="0.2">
      <c r="I28" t="s">
        <v>32</v>
      </c>
      <c r="L28" t="s">
        <v>235</v>
      </c>
    </row>
    <row r="30" spans="2:18" x14ac:dyDescent="0.2">
      <c r="D30" t="s">
        <v>33</v>
      </c>
      <c r="E30" t="s">
        <v>34</v>
      </c>
      <c r="G30" t="s">
        <v>190</v>
      </c>
      <c r="L30" t="s">
        <v>189</v>
      </c>
    </row>
    <row r="31" spans="2:18" x14ac:dyDescent="0.2">
      <c r="C31" t="s">
        <v>8</v>
      </c>
      <c r="D31">
        <v>-2.02</v>
      </c>
      <c r="F31" t="s">
        <v>191</v>
      </c>
      <c r="G31" t="s">
        <v>193</v>
      </c>
    </row>
    <row r="32" spans="2:18" x14ac:dyDescent="0.2">
      <c r="C32" t="s">
        <v>9</v>
      </c>
      <c r="D32">
        <f>D21-C5</f>
        <v>-20.62</v>
      </c>
      <c r="G32" s="22" t="s">
        <v>192</v>
      </c>
      <c r="L32" t="s">
        <v>233</v>
      </c>
    </row>
    <row r="33" spans="3:16" x14ac:dyDescent="0.2">
      <c r="C33" t="s">
        <v>10</v>
      </c>
      <c r="D33">
        <f>D22-C6</f>
        <v>21.67</v>
      </c>
      <c r="G33" t="s">
        <v>194</v>
      </c>
      <c r="L33" t="s">
        <v>242</v>
      </c>
      <c r="M33">
        <v>2535.08</v>
      </c>
    </row>
    <row r="34" spans="3:16" x14ac:dyDescent="0.2">
      <c r="C34" t="s">
        <v>11</v>
      </c>
      <c r="D34">
        <f>D23-C7</f>
        <v>501.91</v>
      </c>
      <c r="G34" t="s">
        <v>195</v>
      </c>
      <c r="L34" t="s">
        <v>236</v>
      </c>
      <c r="M34">
        <v>2468.15</v>
      </c>
    </row>
    <row r="35" spans="3:16" x14ac:dyDescent="0.2">
      <c r="C35" t="s">
        <v>12</v>
      </c>
      <c r="D35">
        <f>D24-C8</f>
        <v>144.90999999999997</v>
      </c>
      <c r="L35" t="s">
        <v>240</v>
      </c>
      <c r="M35">
        <v>2545</v>
      </c>
    </row>
    <row r="36" spans="3:16" x14ac:dyDescent="0.2">
      <c r="C36" t="s">
        <v>13</v>
      </c>
      <c r="D36">
        <f>D25-C9</f>
        <v>-55.519999999999982</v>
      </c>
      <c r="L36" t="s">
        <v>241</v>
      </c>
      <c r="M36">
        <v>2466.12</v>
      </c>
      <c r="N36">
        <f>SUM(O36:P37)</f>
        <v>2466.12</v>
      </c>
      <c r="O36">
        <v>1470.87</v>
      </c>
      <c r="P36">
        <v>-5.27</v>
      </c>
    </row>
    <row r="37" spans="3:16" x14ac:dyDescent="0.2">
      <c r="O37">
        <v>1006.62</v>
      </c>
      <c r="P37">
        <v>-6.1</v>
      </c>
    </row>
    <row r="39" spans="3:16" x14ac:dyDescent="0.2">
      <c r="L39" s="1" t="s">
        <v>237</v>
      </c>
      <c r="M39" s="1"/>
      <c r="O39">
        <v>-6.13</v>
      </c>
    </row>
    <row r="40" spans="3:16" x14ac:dyDescent="0.2">
      <c r="L40" s="21">
        <v>14.84</v>
      </c>
      <c r="M40" s="1">
        <f>(L40/$L$46)*100</f>
        <v>0.58314193258109071</v>
      </c>
    </row>
    <row r="41" spans="3:16" x14ac:dyDescent="0.2">
      <c r="L41" s="21">
        <v>48.744999999999997</v>
      </c>
      <c r="M41" s="1">
        <f t="shared" ref="M41:M44" si="9">(L41/$L$46)*100</f>
        <v>1.9154483493035894</v>
      </c>
    </row>
    <row r="42" spans="3:16" x14ac:dyDescent="0.2">
      <c r="H42">
        <f>SUM(L40:L41)</f>
        <v>63.584999999999994</v>
      </c>
      <c r="L42" s="21">
        <v>1003.51</v>
      </c>
      <c r="M42" s="1">
        <f t="shared" si="9"/>
        <v>39.433204903264844</v>
      </c>
    </row>
    <row r="43" spans="3:16" x14ac:dyDescent="0.2">
      <c r="L43" s="21">
        <v>945.59</v>
      </c>
      <c r="M43" s="1">
        <f t="shared" si="9"/>
        <v>37.157222373945658</v>
      </c>
    </row>
    <row r="44" spans="3:16" x14ac:dyDescent="0.2">
      <c r="L44" s="26">
        <v>532.15</v>
      </c>
      <c r="M44" s="1">
        <f t="shared" si="9"/>
        <v>20.910982440904814</v>
      </c>
    </row>
    <row r="46" spans="3:16" x14ac:dyDescent="0.2">
      <c r="L46" s="10">
        <f>SUM(L39:L44)</f>
        <v>2544.835</v>
      </c>
      <c r="M46" s="1">
        <f>SUM(M40:M44)</f>
        <v>100</v>
      </c>
    </row>
  </sheetData>
  <mergeCells count="1">
    <mergeCell ref="C18:D18"/>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9D40-DE14-0A40-BBE3-0C1FAA2604AA}">
  <dimension ref="A1:Q45"/>
  <sheetViews>
    <sheetView tabSelected="1" zoomScale="116" workbookViewId="0">
      <selection activeCell="S38" sqref="S38"/>
    </sheetView>
  </sheetViews>
  <sheetFormatPr baseColWidth="10" defaultColWidth="10.83203125" defaultRowHeight="16" x14ac:dyDescent="0.2"/>
  <sheetData>
    <row r="1" spans="1:17" x14ac:dyDescent="0.2">
      <c r="A1" t="s">
        <v>199</v>
      </c>
      <c r="B1" t="s">
        <v>243</v>
      </c>
      <c r="C1" t="s">
        <v>200</v>
      </c>
      <c r="D1" t="s">
        <v>201</v>
      </c>
      <c r="E1" t="s">
        <v>202</v>
      </c>
      <c r="F1" t="s">
        <v>210</v>
      </c>
      <c r="G1" t="s">
        <v>203</v>
      </c>
      <c r="H1" t="s">
        <v>204</v>
      </c>
      <c r="I1" t="s">
        <v>244</v>
      </c>
      <c r="J1" s="28" t="s">
        <v>245</v>
      </c>
      <c r="K1" t="s">
        <v>205</v>
      </c>
      <c r="L1" t="s">
        <v>206</v>
      </c>
      <c r="M1" t="s">
        <v>246</v>
      </c>
      <c r="N1" t="s">
        <v>60</v>
      </c>
      <c r="O1" t="s">
        <v>247</v>
      </c>
      <c r="P1" t="s">
        <v>248</v>
      </c>
      <c r="Q1" t="s">
        <v>253</v>
      </c>
    </row>
    <row r="2" spans="1:17" x14ac:dyDescent="0.2">
      <c r="A2">
        <v>1</v>
      </c>
      <c r="B2">
        <v>1</v>
      </c>
      <c r="C2" s="23">
        <v>0.68333333333333324</v>
      </c>
      <c r="D2" s="24">
        <v>45212</v>
      </c>
      <c r="E2">
        <v>22.8</v>
      </c>
      <c r="F2">
        <v>0.99760999999998201</v>
      </c>
      <c r="G2">
        <v>8.1145999999999994</v>
      </c>
      <c r="H2">
        <v>4.9741999999999997</v>
      </c>
      <c r="I2">
        <v>2.5777627391414644</v>
      </c>
      <c r="J2" s="28">
        <f>I2*1000</f>
        <v>2577.7627391414644</v>
      </c>
      <c r="K2">
        <v>3.1512418984153676</v>
      </c>
      <c r="L2" t="s">
        <v>207</v>
      </c>
      <c r="M2" s="4" t="s">
        <v>249</v>
      </c>
      <c r="N2" s="4" t="s">
        <v>76</v>
      </c>
      <c r="O2">
        <v>62</v>
      </c>
      <c r="P2" t="s">
        <v>76</v>
      </c>
      <c r="Q2">
        <v>5.0000000000000001E-3</v>
      </c>
    </row>
    <row r="3" spans="1:17" x14ac:dyDescent="0.2">
      <c r="A3">
        <v>1</v>
      </c>
      <c r="B3">
        <v>2</v>
      </c>
      <c r="C3" s="23">
        <v>0.69652777777777775</v>
      </c>
      <c r="D3" s="24">
        <v>45212</v>
      </c>
      <c r="E3">
        <v>22.6</v>
      </c>
      <c r="F3">
        <v>0.99766000000000798</v>
      </c>
      <c r="G3">
        <v>11.7822</v>
      </c>
      <c r="H3">
        <v>7.3730000000000002</v>
      </c>
      <c r="I3">
        <v>2.665932516556313</v>
      </c>
      <c r="J3" s="28">
        <f t="shared" ref="J3:J45" si="0">I3*1000</f>
        <v>2665.9325165563132</v>
      </c>
      <c r="K3">
        <v>4.4242002890231058</v>
      </c>
      <c r="M3" s="4" t="s">
        <v>249</v>
      </c>
      <c r="N3" s="4" t="s">
        <v>79</v>
      </c>
      <c r="O3">
        <v>65.5</v>
      </c>
      <c r="P3" t="s">
        <v>79</v>
      </c>
      <c r="Q3">
        <v>8.9999999999999998E-4</v>
      </c>
    </row>
    <row r="4" spans="1:17" x14ac:dyDescent="0.2">
      <c r="A4">
        <v>1</v>
      </c>
      <c r="B4">
        <v>3</v>
      </c>
      <c r="C4" s="23">
        <v>0.69791666666666663</v>
      </c>
      <c r="D4" s="24">
        <v>45212</v>
      </c>
      <c r="E4">
        <v>22.6</v>
      </c>
      <c r="F4">
        <v>0.99766000000000798</v>
      </c>
      <c r="G4">
        <v>12.208500000000001</v>
      </c>
      <c r="H4">
        <v>7.6452</v>
      </c>
      <c r="I4">
        <v>2.6691061534416094</v>
      </c>
      <c r="J4" s="28">
        <f t="shared" si="0"/>
        <v>2669.1061534416094</v>
      </c>
      <c r="K4">
        <v>4.5788245438853181</v>
      </c>
      <c r="M4" s="4" t="s">
        <v>249</v>
      </c>
      <c r="N4" s="4" t="s">
        <v>83</v>
      </c>
      <c r="O4">
        <v>50.5</v>
      </c>
      <c r="P4" t="s">
        <v>83</v>
      </c>
      <c r="Q4">
        <v>3.0000000000000001E-3</v>
      </c>
    </row>
    <row r="5" spans="1:17" x14ac:dyDescent="0.2">
      <c r="A5">
        <v>1</v>
      </c>
      <c r="B5">
        <v>4</v>
      </c>
      <c r="C5" s="23">
        <v>0.69861111111111107</v>
      </c>
      <c r="D5" s="24">
        <v>45212</v>
      </c>
      <c r="E5">
        <v>22.6</v>
      </c>
      <c r="F5">
        <v>0.99766000000000798</v>
      </c>
      <c r="G5">
        <v>8.0108999999999995</v>
      </c>
      <c r="H5">
        <v>5.0145</v>
      </c>
      <c r="I5">
        <v>2.6672522006407906</v>
      </c>
      <c r="J5" s="28">
        <f t="shared" si="0"/>
        <v>2667.2522006407908</v>
      </c>
      <c r="K5">
        <v>3.0065938823434712</v>
      </c>
      <c r="M5" s="4" t="s">
        <v>249</v>
      </c>
      <c r="N5" s="4" t="s">
        <v>79</v>
      </c>
      <c r="O5">
        <v>65.5</v>
      </c>
      <c r="P5" t="s">
        <v>79</v>
      </c>
      <c r="Q5">
        <v>2E-3</v>
      </c>
    </row>
    <row r="6" spans="1:17" x14ac:dyDescent="0.2">
      <c r="A6">
        <v>1</v>
      </c>
      <c r="B6">
        <v>5</v>
      </c>
      <c r="C6" s="23">
        <v>0.69930555555555562</v>
      </c>
      <c r="D6" s="24">
        <v>45212</v>
      </c>
      <c r="E6">
        <v>22.6</v>
      </c>
      <c r="F6">
        <v>0.99766000000000798</v>
      </c>
      <c r="G6">
        <v>12.587300000000001</v>
      </c>
      <c r="H6">
        <v>7.8110999999999997</v>
      </c>
      <c r="I6">
        <v>2.6292545785352579</v>
      </c>
      <c r="J6" s="28">
        <f t="shared" si="0"/>
        <v>2629.2545785352577</v>
      </c>
      <c r="K6">
        <v>4.7924488388896318</v>
      </c>
      <c r="M6" s="4" t="s">
        <v>249</v>
      </c>
      <c r="N6" s="4" t="s">
        <v>83</v>
      </c>
      <c r="O6">
        <v>27.5</v>
      </c>
      <c r="P6" t="s">
        <v>83</v>
      </c>
      <c r="Q6">
        <v>7.0000000000000001E-3</v>
      </c>
    </row>
    <row r="7" spans="1:17" x14ac:dyDescent="0.2">
      <c r="A7">
        <v>1</v>
      </c>
      <c r="B7">
        <v>6</v>
      </c>
      <c r="C7" s="23">
        <v>0.6972222222222223</v>
      </c>
      <c r="D7" s="24">
        <v>45212</v>
      </c>
      <c r="E7">
        <v>22.6</v>
      </c>
      <c r="F7">
        <v>0.99766000000000798</v>
      </c>
      <c r="G7">
        <v>5.9204999999999997</v>
      </c>
      <c r="H7">
        <v>3.6366000000000001</v>
      </c>
      <c r="I7">
        <v>2.5862104426638854</v>
      </c>
      <c r="J7" s="28">
        <f t="shared" si="0"/>
        <v>2586.2104426638853</v>
      </c>
      <c r="K7">
        <v>2.291669926539933</v>
      </c>
      <c r="M7" s="4" t="s">
        <v>249</v>
      </c>
      <c r="N7" s="4" t="s">
        <v>92</v>
      </c>
      <c r="O7">
        <v>43</v>
      </c>
      <c r="P7" t="s">
        <v>92</v>
      </c>
      <c r="Q7">
        <v>2.9999999999999997E-4</v>
      </c>
    </row>
    <row r="8" spans="1:17" x14ac:dyDescent="0.2">
      <c r="A8">
        <v>1</v>
      </c>
      <c r="B8">
        <v>7</v>
      </c>
      <c r="C8" s="23">
        <v>0.68958333333333333</v>
      </c>
      <c r="D8" s="24">
        <v>45212</v>
      </c>
      <c r="E8">
        <v>22.8</v>
      </c>
      <c r="F8">
        <v>0.99760999999998201</v>
      </c>
      <c r="G8">
        <v>7.8141999999999996</v>
      </c>
      <c r="H8">
        <v>4.7127999999999997</v>
      </c>
      <c r="I8">
        <v>2.5135500296639774</v>
      </c>
      <c r="J8" s="28">
        <f t="shared" si="0"/>
        <v>2513.5500296639775</v>
      </c>
      <c r="K8">
        <v>3.1121072550456699</v>
      </c>
      <c r="M8" s="4" t="s">
        <v>249</v>
      </c>
      <c r="N8" s="4" t="s">
        <v>92</v>
      </c>
      <c r="O8">
        <v>28.5</v>
      </c>
      <c r="P8" t="s">
        <v>92</v>
      </c>
      <c r="Q8">
        <v>6.0000000000000001E-3</v>
      </c>
    </row>
    <row r="9" spans="1:17" x14ac:dyDescent="0.2">
      <c r="A9">
        <v>1</v>
      </c>
      <c r="B9">
        <v>8</v>
      </c>
      <c r="C9" s="25">
        <v>0.70277777777777783</v>
      </c>
      <c r="D9" s="24">
        <v>45212</v>
      </c>
      <c r="E9">
        <v>22.5</v>
      </c>
      <c r="F9">
        <v>0.997680000000008</v>
      </c>
      <c r="G9">
        <v>6.5205000000000002</v>
      </c>
      <c r="H9">
        <v>4.0029000000000003</v>
      </c>
      <c r="I9">
        <v>2.5839579122974468</v>
      </c>
      <c r="J9" s="28">
        <f t="shared" si="0"/>
        <v>2583.9579122974469</v>
      </c>
      <c r="K9">
        <v>2.5261142822735825</v>
      </c>
      <c r="M9" s="4" t="s">
        <v>249</v>
      </c>
      <c r="N9" s="4" t="s">
        <v>83</v>
      </c>
      <c r="O9">
        <v>33</v>
      </c>
      <c r="P9" t="s">
        <v>83</v>
      </c>
      <c r="Q9">
        <v>0.03</v>
      </c>
    </row>
    <row r="10" spans="1:17" x14ac:dyDescent="0.2">
      <c r="A10">
        <v>1</v>
      </c>
      <c r="B10">
        <v>9</v>
      </c>
      <c r="C10" s="23">
        <v>0.70138888888888884</v>
      </c>
      <c r="D10" s="24">
        <v>45212</v>
      </c>
      <c r="E10">
        <v>22.5</v>
      </c>
      <c r="F10">
        <v>0.997680000000008</v>
      </c>
      <c r="G10">
        <v>6.2030000000000003</v>
      </c>
      <c r="H10">
        <v>3.7138</v>
      </c>
      <c r="I10">
        <v>2.4861839305801254</v>
      </c>
      <c r="J10" s="28">
        <f t="shared" si="0"/>
        <v>2486.1839305801254</v>
      </c>
      <c r="K10">
        <v>2.4976182361913741</v>
      </c>
      <c r="M10" s="4" t="s">
        <v>250</v>
      </c>
      <c r="N10" s="4" t="s">
        <v>102</v>
      </c>
      <c r="O10">
        <v>51</v>
      </c>
      <c r="P10" t="s">
        <v>102</v>
      </c>
      <c r="Q10">
        <v>4.0000000000000001E-3</v>
      </c>
    </row>
    <row r="11" spans="1:17" x14ac:dyDescent="0.2">
      <c r="A11">
        <v>1</v>
      </c>
      <c r="B11">
        <v>10</v>
      </c>
      <c r="C11" s="23">
        <v>0.7006944444444444</v>
      </c>
      <c r="D11" s="24">
        <v>45212</v>
      </c>
      <c r="E11">
        <v>22.5</v>
      </c>
      <c r="F11">
        <v>0.997680000000008</v>
      </c>
      <c r="G11">
        <v>17.131900000000002</v>
      </c>
      <c r="H11">
        <v>9.7897999999999996</v>
      </c>
      <c r="I11">
        <v>2.327965294942882</v>
      </c>
      <c r="J11" s="28">
        <f t="shared" si="0"/>
        <v>2327.9652949428819</v>
      </c>
      <c r="K11">
        <v>7.3669302795840794</v>
      </c>
      <c r="M11" s="4" t="s">
        <v>250</v>
      </c>
      <c r="N11" s="4" t="s">
        <v>105</v>
      </c>
      <c r="O11">
        <v>27.5</v>
      </c>
      <c r="P11" t="s">
        <v>105</v>
      </c>
      <c r="Q11">
        <v>8.2000000000000003E-2</v>
      </c>
    </row>
    <row r="12" spans="1:17" x14ac:dyDescent="0.2">
      <c r="A12">
        <v>1</v>
      </c>
      <c r="B12">
        <v>11</v>
      </c>
      <c r="C12" s="23">
        <v>0.69444444444444453</v>
      </c>
      <c r="D12" s="24">
        <v>45212</v>
      </c>
      <c r="E12">
        <v>22.7</v>
      </c>
      <c r="F12">
        <v>0.99764000000000896</v>
      </c>
      <c r="G12">
        <v>8.3907000000000007</v>
      </c>
      <c r="H12">
        <v>5.2512999999999996</v>
      </c>
      <c r="I12">
        <v>2.666400569535603</v>
      </c>
      <c r="J12" s="28">
        <f t="shared" si="0"/>
        <v>2666.4005695356032</v>
      </c>
      <c r="K12">
        <v>3.150143601220317</v>
      </c>
      <c r="M12" s="4" t="s">
        <v>250</v>
      </c>
      <c r="N12" s="4" t="s">
        <v>109</v>
      </c>
      <c r="O12">
        <v>71</v>
      </c>
      <c r="P12" t="s">
        <v>109</v>
      </c>
      <c r="Q12">
        <v>8.9999999999999998E-4</v>
      </c>
    </row>
    <row r="13" spans="1:17" x14ac:dyDescent="0.2">
      <c r="A13">
        <v>1</v>
      </c>
      <c r="B13">
        <v>12</v>
      </c>
      <c r="C13" s="23">
        <v>0.70000000000000007</v>
      </c>
      <c r="D13" s="24">
        <v>45212</v>
      </c>
      <c r="E13">
        <v>22.6</v>
      </c>
      <c r="F13">
        <v>0.99766000000000798</v>
      </c>
      <c r="G13">
        <v>6.8728999999999996</v>
      </c>
      <c r="H13">
        <v>4.1421999999999999</v>
      </c>
      <c r="I13">
        <v>2.5110108814589869</v>
      </c>
      <c r="J13" s="28">
        <f t="shared" si="0"/>
        <v>2511.0108814589867</v>
      </c>
      <c r="K13">
        <v>2.7399899594564534</v>
      </c>
      <c r="M13" s="4" t="s">
        <v>250</v>
      </c>
      <c r="N13" s="4" t="s">
        <v>105</v>
      </c>
      <c r="O13">
        <v>45.5</v>
      </c>
      <c r="P13" t="s">
        <v>105</v>
      </c>
      <c r="Q13">
        <v>3.0000000000000001E-3</v>
      </c>
    </row>
    <row r="14" spans="1:17" x14ac:dyDescent="0.2">
      <c r="A14">
        <v>1</v>
      </c>
      <c r="B14">
        <v>13</v>
      </c>
      <c r="C14" s="23">
        <v>0.68472222222222223</v>
      </c>
      <c r="D14" s="24">
        <v>45212</v>
      </c>
      <c r="E14">
        <v>22.8</v>
      </c>
      <c r="F14">
        <v>0.99760999999998201</v>
      </c>
      <c r="G14">
        <v>11.4427</v>
      </c>
      <c r="H14">
        <v>6.7148000000000003</v>
      </c>
      <c r="I14">
        <v>2.4144656077750786</v>
      </c>
      <c r="J14" s="28">
        <f t="shared" si="0"/>
        <v>2414.4656077750788</v>
      </c>
      <c r="K14">
        <v>4.7442225740408919</v>
      </c>
      <c r="M14" s="4" t="s">
        <v>250</v>
      </c>
      <c r="N14" s="4" t="s">
        <v>105</v>
      </c>
      <c r="O14">
        <v>34</v>
      </c>
      <c r="P14" t="s">
        <v>105</v>
      </c>
      <c r="Q14">
        <v>4.0000000000000001E-3</v>
      </c>
    </row>
    <row r="15" spans="1:17" x14ac:dyDescent="0.2">
      <c r="A15">
        <v>1</v>
      </c>
      <c r="B15">
        <v>14</v>
      </c>
      <c r="C15" s="23">
        <v>0.6958333333333333</v>
      </c>
      <c r="D15" s="24">
        <v>45212</v>
      </c>
      <c r="E15">
        <v>22.6</v>
      </c>
      <c r="F15">
        <v>0.99766000000000798</v>
      </c>
      <c r="G15">
        <v>12.7263</v>
      </c>
      <c r="H15">
        <v>8.1279000000000003</v>
      </c>
      <c r="I15">
        <v>2.7610735164405233</v>
      </c>
      <c r="J15" s="28">
        <f t="shared" si="0"/>
        <v>2761.0735164405232</v>
      </c>
      <c r="K15">
        <v>4.6140439556027966</v>
      </c>
      <c r="M15" s="4" t="s">
        <v>250</v>
      </c>
      <c r="N15" s="4" t="s">
        <v>109</v>
      </c>
      <c r="O15">
        <v>73.5</v>
      </c>
      <c r="P15" t="s">
        <v>109</v>
      </c>
      <c r="Q15">
        <v>4.0000000000000002E-4</v>
      </c>
    </row>
    <row r="16" spans="1:17" x14ac:dyDescent="0.2">
      <c r="A16">
        <v>1</v>
      </c>
      <c r="B16">
        <v>15</v>
      </c>
      <c r="C16" s="23">
        <v>0.68541666666666667</v>
      </c>
      <c r="D16" s="24">
        <v>45212</v>
      </c>
      <c r="E16">
        <v>22.8</v>
      </c>
      <c r="F16">
        <v>0.99760999999998201</v>
      </c>
      <c r="G16">
        <v>7.9584000000000001</v>
      </c>
      <c r="H16">
        <v>5.0575999999999999</v>
      </c>
      <c r="I16">
        <v>2.7369620187533981</v>
      </c>
      <c r="J16" s="28">
        <f t="shared" si="0"/>
        <v>2736.9620187533978</v>
      </c>
      <c r="K16">
        <v>2.9108147047902495</v>
      </c>
      <c r="M16" s="4" t="s">
        <v>250</v>
      </c>
      <c r="N16" s="4" t="s">
        <v>109</v>
      </c>
      <c r="O16">
        <v>72</v>
      </c>
      <c r="P16" t="s">
        <v>109</v>
      </c>
      <c r="Q16">
        <v>5.0000000000000001E-4</v>
      </c>
    </row>
    <row r="17" spans="1:17" x14ac:dyDescent="0.2">
      <c r="A17">
        <v>1</v>
      </c>
      <c r="B17">
        <v>16</v>
      </c>
      <c r="C17" s="23">
        <v>0.70763888888888893</v>
      </c>
      <c r="D17" s="24">
        <v>45212</v>
      </c>
      <c r="E17">
        <v>22.4</v>
      </c>
      <c r="F17">
        <v>0.99771000000000798</v>
      </c>
      <c r="G17">
        <v>3.6631</v>
      </c>
      <c r="H17">
        <v>2.1078999999999999</v>
      </c>
      <c r="I17">
        <v>2.3499945351080433</v>
      </c>
      <c r="J17" s="28">
        <f t="shared" si="0"/>
        <v>2349.9945351080432</v>
      </c>
      <c r="K17">
        <v>1.5604125598338077</v>
      </c>
      <c r="M17" s="4" t="s">
        <v>251</v>
      </c>
      <c r="N17" s="4" t="s">
        <v>122</v>
      </c>
      <c r="O17">
        <v>25.5</v>
      </c>
      <c r="P17" t="s">
        <v>263</v>
      </c>
      <c r="Q17">
        <v>0.06</v>
      </c>
    </row>
    <row r="18" spans="1:17" x14ac:dyDescent="0.2">
      <c r="A18">
        <v>1</v>
      </c>
      <c r="B18">
        <v>17</v>
      </c>
      <c r="C18" s="23">
        <v>0.70416666666666661</v>
      </c>
      <c r="D18" s="24">
        <v>45212</v>
      </c>
      <c r="E18">
        <v>22.4</v>
      </c>
      <c r="F18">
        <v>0.99771000000000798</v>
      </c>
      <c r="G18">
        <v>7.1269999999999998</v>
      </c>
      <c r="H18">
        <v>3.8734999999999999</v>
      </c>
      <c r="I18">
        <v>2.1855476164131113</v>
      </c>
      <c r="J18" s="28">
        <f t="shared" si="0"/>
        <v>2185.5476164131114</v>
      </c>
      <c r="K18">
        <v>3.2644047475689897</v>
      </c>
      <c r="M18" s="4" t="s">
        <v>251</v>
      </c>
      <c r="N18" s="4" t="s">
        <v>122</v>
      </c>
      <c r="O18">
        <v>43.5</v>
      </c>
      <c r="P18" t="s">
        <v>263</v>
      </c>
      <c r="Q18">
        <v>8.9999999999999993E-3</v>
      </c>
    </row>
    <row r="19" spans="1:17" x14ac:dyDescent="0.2">
      <c r="A19">
        <v>1</v>
      </c>
      <c r="B19">
        <v>18</v>
      </c>
      <c r="C19" s="23">
        <v>0.70694444444444438</v>
      </c>
      <c r="D19" s="24">
        <v>45212</v>
      </c>
      <c r="E19">
        <v>22.4</v>
      </c>
      <c r="F19">
        <v>0.99771000000000798</v>
      </c>
      <c r="G19">
        <v>8.3792000000000009</v>
      </c>
      <c r="H19">
        <v>5.2686000000000002</v>
      </c>
      <c r="I19">
        <v>2.6875881283353906</v>
      </c>
      <c r="J19" s="28">
        <f t="shared" si="0"/>
        <v>2687.5881283353906</v>
      </c>
      <c r="K19">
        <v>3.1210257900071006</v>
      </c>
      <c r="M19" s="4" t="s">
        <v>251</v>
      </c>
      <c r="N19" s="4" t="s">
        <v>126</v>
      </c>
      <c r="O19">
        <v>57</v>
      </c>
      <c r="P19" t="s">
        <v>126</v>
      </c>
      <c r="Q19">
        <v>1E-3</v>
      </c>
    </row>
    <row r="20" spans="1:17" x14ac:dyDescent="0.2">
      <c r="A20">
        <v>1</v>
      </c>
      <c r="B20">
        <v>19</v>
      </c>
      <c r="C20" s="23">
        <v>0.70624999999999993</v>
      </c>
      <c r="D20" s="24">
        <v>45212</v>
      </c>
      <c r="E20">
        <v>22.4</v>
      </c>
      <c r="F20">
        <v>0.99771000000000798</v>
      </c>
      <c r="G20">
        <v>11.4696</v>
      </c>
      <c r="H20">
        <v>6.7327000000000004</v>
      </c>
      <c r="I20">
        <v>2.4157855593320723</v>
      </c>
      <c r="J20" s="28">
        <f t="shared" si="0"/>
        <v>2415.7855593320724</v>
      </c>
      <c r="K20">
        <v>4.7527766555277537</v>
      </c>
      <c r="M20" s="4" t="s">
        <v>251</v>
      </c>
      <c r="N20" s="4" t="s">
        <v>126</v>
      </c>
      <c r="O20">
        <v>42</v>
      </c>
      <c r="P20" t="s">
        <v>126</v>
      </c>
      <c r="Q20">
        <v>3.0000000000000001E-3</v>
      </c>
    </row>
    <row r="21" spans="1:17" x14ac:dyDescent="0.2">
      <c r="A21">
        <v>1</v>
      </c>
      <c r="B21">
        <v>20</v>
      </c>
      <c r="C21" s="25">
        <v>0.70486111111111116</v>
      </c>
      <c r="D21" s="24">
        <v>45212</v>
      </c>
      <c r="E21">
        <v>22.4</v>
      </c>
      <c r="F21">
        <v>0.99771000000000798</v>
      </c>
      <c r="G21">
        <v>8.8207000000000004</v>
      </c>
      <c r="H21">
        <v>5.4103000000000003</v>
      </c>
      <c r="I21">
        <v>2.5804892672414002</v>
      </c>
      <c r="J21" s="28">
        <f t="shared" si="0"/>
        <v>2580.4892672414003</v>
      </c>
      <c r="K21">
        <v>3.4218306288948157</v>
      </c>
      <c r="M21" s="4" t="s">
        <v>251</v>
      </c>
      <c r="N21" s="4" t="s">
        <v>132</v>
      </c>
      <c r="O21">
        <v>37</v>
      </c>
      <c r="P21" t="s">
        <v>132</v>
      </c>
      <c r="Q21">
        <v>2E-3</v>
      </c>
    </row>
    <row r="22" spans="1:17" x14ac:dyDescent="0.2">
      <c r="A22">
        <v>1</v>
      </c>
      <c r="B22">
        <v>21</v>
      </c>
      <c r="C22" s="25">
        <v>0.70347222222222217</v>
      </c>
      <c r="D22" s="24">
        <v>45212</v>
      </c>
      <c r="E22">
        <v>22.4</v>
      </c>
      <c r="F22">
        <v>0.99771000000000798</v>
      </c>
      <c r="G22">
        <v>8.1669</v>
      </c>
      <c r="H22">
        <v>4.7805999999999997</v>
      </c>
      <c r="I22">
        <v>2.4062244334524596</v>
      </c>
      <c r="J22" s="28">
        <f t="shared" si="0"/>
        <v>2406.2244334524598</v>
      </c>
      <c r="K22">
        <v>3.3976498529868975</v>
      </c>
      <c r="M22" s="4" t="s">
        <v>251</v>
      </c>
      <c r="N22" s="4" t="s">
        <v>132</v>
      </c>
      <c r="O22">
        <v>29</v>
      </c>
      <c r="P22" t="s">
        <v>132</v>
      </c>
      <c r="Q22">
        <v>1E-3</v>
      </c>
    </row>
    <row r="23" spans="1:17" x14ac:dyDescent="0.2">
      <c r="A23">
        <v>1</v>
      </c>
      <c r="B23">
        <v>22</v>
      </c>
      <c r="C23" s="25">
        <v>0.7090277777777777</v>
      </c>
      <c r="D23" s="24">
        <v>45212</v>
      </c>
      <c r="E23">
        <v>22.4</v>
      </c>
      <c r="F23">
        <v>0.99771000000000798</v>
      </c>
      <c r="G23">
        <v>7.9538000000000002</v>
      </c>
      <c r="H23">
        <v>4.8635000000000002</v>
      </c>
      <c r="I23">
        <v>2.5679014328706153</v>
      </c>
      <c r="J23" s="28">
        <f t="shared" si="0"/>
        <v>2567.9014328706153</v>
      </c>
      <c r="K23">
        <v>3.1006577505493929</v>
      </c>
      <c r="M23" s="4" t="s">
        <v>252</v>
      </c>
      <c r="N23" s="4" t="s">
        <v>138</v>
      </c>
      <c r="O23">
        <v>64.5</v>
      </c>
      <c r="P23" t="s">
        <v>138</v>
      </c>
      <c r="Q23">
        <v>6.9999999999999999E-4</v>
      </c>
    </row>
    <row r="24" spans="1:17" x14ac:dyDescent="0.2">
      <c r="A24">
        <v>2</v>
      </c>
      <c r="B24">
        <v>1</v>
      </c>
      <c r="C24" s="23">
        <v>6.8749999999999992E-2</v>
      </c>
      <c r="D24" s="24">
        <v>45215</v>
      </c>
      <c r="E24">
        <v>22</v>
      </c>
      <c r="F24">
        <v>0.99780000000000801</v>
      </c>
      <c r="G24">
        <v>8.1152999999999995</v>
      </c>
      <c r="H24">
        <v>4.8349000000000002</v>
      </c>
      <c r="I24">
        <v>2.4684326118766204</v>
      </c>
      <c r="J24" s="28">
        <f t="shared" si="0"/>
        <v>2468.4326118766203</v>
      </c>
      <c r="K24">
        <v>3.291097672085062</v>
      </c>
      <c r="L24" t="s">
        <v>208</v>
      </c>
      <c r="M24" s="4" t="s">
        <v>249</v>
      </c>
      <c r="N24" s="4" t="s">
        <v>76</v>
      </c>
      <c r="O24">
        <v>62</v>
      </c>
      <c r="P24" t="s">
        <v>76</v>
      </c>
      <c r="Q24">
        <v>5.0000000000000001E-3</v>
      </c>
    </row>
    <row r="25" spans="1:17" x14ac:dyDescent="0.2">
      <c r="A25">
        <v>2</v>
      </c>
      <c r="B25">
        <v>2</v>
      </c>
      <c r="C25" s="23">
        <v>5.5555555555555552E-2</v>
      </c>
      <c r="D25" s="24">
        <v>45215</v>
      </c>
      <c r="E25">
        <v>21.9</v>
      </c>
      <c r="F25">
        <v>0.99782000000000803</v>
      </c>
      <c r="G25">
        <v>11.779500000000001</v>
      </c>
      <c r="H25">
        <v>7.3181000000000003</v>
      </c>
      <c r="I25">
        <v>2.6345588133769882</v>
      </c>
      <c r="J25" s="28">
        <f t="shared" si="0"/>
        <v>2634.5588133769884</v>
      </c>
      <c r="K25">
        <v>4.4758591940759409</v>
      </c>
      <c r="M25" s="4" t="s">
        <v>249</v>
      </c>
      <c r="N25" s="4" t="s">
        <v>79</v>
      </c>
      <c r="O25">
        <v>65.5</v>
      </c>
      <c r="P25" t="s">
        <v>79</v>
      </c>
      <c r="Q25">
        <v>8.9999999999999998E-4</v>
      </c>
    </row>
    <row r="26" spans="1:17" x14ac:dyDescent="0.2">
      <c r="A26">
        <v>2</v>
      </c>
      <c r="B26">
        <v>3</v>
      </c>
      <c r="C26" s="23">
        <v>8.2638888888888887E-2</v>
      </c>
      <c r="D26" s="24">
        <v>45215</v>
      </c>
      <c r="E26">
        <v>22</v>
      </c>
      <c r="F26">
        <v>0.99780000000000801</v>
      </c>
      <c r="G26">
        <v>12.201499999999999</v>
      </c>
      <c r="H26">
        <v>7.6235999999999997</v>
      </c>
      <c r="I26">
        <v>2.6594413814194495</v>
      </c>
      <c r="J26" s="28">
        <f t="shared" si="0"/>
        <v>2659.4413814194495</v>
      </c>
      <c r="K26">
        <v>4.5928289333734327</v>
      </c>
      <c r="M26" s="4" t="s">
        <v>249</v>
      </c>
      <c r="N26" s="4" t="s">
        <v>83</v>
      </c>
      <c r="O26">
        <v>50.5</v>
      </c>
      <c r="P26" t="s">
        <v>83</v>
      </c>
      <c r="Q26">
        <v>3.0000000000000001E-3</v>
      </c>
    </row>
    <row r="27" spans="1:17" x14ac:dyDescent="0.2">
      <c r="A27">
        <v>2</v>
      </c>
      <c r="B27">
        <v>4</v>
      </c>
      <c r="C27" s="23">
        <v>7.0833333333333331E-2</v>
      </c>
      <c r="D27" s="24">
        <v>45215</v>
      </c>
      <c r="E27">
        <v>22</v>
      </c>
      <c r="F27">
        <v>0.99780000000000801</v>
      </c>
      <c r="G27">
        <v>8.0165000000000006</v>
      </c>
      <c r="H27">
        <v>4.9852999999999996</v>
      </c>
      <c r="I27">
        <v>2.6388439231987535</v>
      </c>
      <c r="J27" s="28">
        <f t="shared" si="0"/>
        <v>2638.8439231987536</v>
      </c>
      <c r="K27">
        <v>3.0410850090306809</v>
      </c>
      <c r="M27" s="4" t="s">
        <v>249</v>
      </c>
      <c r="N27" s="4" t="s">
        <v>79</v>
      </c>
      <c r="O27">
        <v>65.5</v>
      </c>
      <c r="P27" t="s">
        <v>79</v>
      </c>
      <c r="Q27">
        <v>2E-3</v>
      </c>
    </row>
    <row r="28" spans="1:17" x14ac:dyDescent="0.2">
      <c r="A28">
        <v>2</v>
      </c>
      <c r="B28">
        <v>5</v>
      </c>
      <c r="C28" s="23">
        <v>5.4166666666666669E-2</v>
      </c>
      <c r="D28" s="24">
        <v>45215</v>
      </c>
      <c r="E28">
        <v>21.9</v>
      </c>
      <c r="F28">
        <v>0.99782000000000803</v>
      </c>
      <c r="G28">
        <v>12.590299999999999</v>
      </c>
      <c r="H28">
        <v>7.5381</v>
      </c>
      <c r="I28">
        <v>2.4866104164522587</v>
      </c>
      <c r="J28" s="28">
        <f t="shared" si="0"/>
        <v>2486.6104164522585</v>
      </c>
      <c r="K28">
        <v>5.0685739499507925</v>
      </c>
      <c r="M28" s="4" t="s">
        <v>249</v>
      </c>
      <c r="N28" s="4" t="s">
        <v>83</v>
      </c>
      <c r="O28">
        <v>27.5</v>
      </c>
      <c r="P28" t="s">
        <v>83</v>
      </c>
      <c r="Q28">
        <v>7.0000000000000001E-3</v>
      </c>
    </row>
    <row r="29" spans="1:17" x14ac:dyDescent="0.2">
      <c r="A29">
        <v>2</v>
      </c>
      <c r="B29">
        <v>6</v>
      </c>
      <c r="C29" s="23">
        <v>7.2916666666666671E-2</v>
      </c>
      <c r="D29" s="24">
        <v>45215</v>
      </c>
      <c r="E29">
        <v>22</v>
      </c>
      <c r="F29">
        <v>0.99780000000000801</v>
      </c>
      <c r="G29">
        <v>5.9173999999999998</v>
      </c>
      <c r="H29">
        <v>3.5972</v>
      </c>
      <c r="I29">
        <v>2.5447727437290091</v>
      </c>
      <c r="J29" s="28">
        <f t="shared" si="0"/>
        <v>2544.7727437290091</v>
      </c>
      <c r="K29">
        <v>2.3277663756772839</v>
      </c>
      <c r="M29" s="4" t="s">
        <v>249</v>
      </c>
      <c r="N29" s="4" t="s">
        <v>92</v>
      </c>
      <c r="O29">
        <v>43</v>
      </c>
      <c r="P29" t="s">
        <v>92</v>
      </c>
      <c r="Q29">
        <v>2.9999999999999997E-4</v>
      </c>
    </row>
    <row r="30" spans="1:17" x14ac:dyDescent="0.2">
      <c r="A30">
        <v>2</v>
      </c>
      <c r="B30">
        <v>7</v>
      </c>
      <c r="C30" s="23">
        <v>8.4027777777777771E-2</v>
      </c>
      <c r="D30" s="24">
        <v>45215</v>
      </c>
      <c r="E30">
        <v>22</v>
      </c>
      <c r="F30">
        <v>0.99780000000000801</v>
      </c>
      <c r="G30">
        <v>7.8273000000000001</v>
      </c>
      <c r="H30">
        <v>4.5548000000000002</v>
      </c>
      <c r="I30">
        <v>2.3865790496562451</v>
      </c>
      <c r="J30" s="28">
        <f t="shared" si="0"/>
        <v>2386.5790496562449</v>
      </c>
      <c r="K30">
        <v>3.2831719094922476</v>
      </c>
      <c r="M30" s="4" t="s">
        <v>249</v>
      </c>
      <c r="N30" s="4" t="s">
        <v>92</v>
      </c>
      <c r="O30">
        <v>28.5</v>
      </c>
      <c r="P30" t="s">
        <v>92</v>
      </c>
      <c r="Q30">
        <v>6.0000000000000001E-3</v>
      </c>
    </row>
    <row r="31" spans="1:17" x14ac:dyDescent="0.2">
      <c r="A31">
        <v>2</v>
      </c>
      <c r="B31">
        <v>8</v>
      </c>
      <c r="C31" s="25">
        <v>6.3194444444444442E-2</v>
      </c>
      <c r="D31" s="24">
        <v>45215</v>
      </c>
      <c r="E31">
        <v>22</v>
      </c>
      <c r="F31">
        <v>0.99780000000000801</v>
      </c>
      <c r="G31">
        <v>6.5220000000000002</v>
      </c>
      <c r="H31">
        <v>3.7955000000000001</v>
      </c>
      <c r="I31">
        <v>2.3868151843022383</v>
      </c>
      <c r="J31" s="28">
        <f t="shared" si="0"/>
        <v>2386.8151843022383</v>
      </c>
      <c r="K31">
        <v>2.7353913556090492</v>
      </c>
      <c r="M31" s="4" t="s">
        <v>249</v>
      </c>
      <c r="N31" s="4" t="s">
        <v>83</v>
      </c>
      <c r="O31">
        <v>33</v>
      </c>
      <c r="P31" t="s">
        <v>83</v>
      </c>
      <c r="Q31">
        <v>0.03</v>
      </c>
    </row>
    <row r="32" spans="1:17" x14ac:dyDescent="0.2">
      <c r="A32">
        <v>2</v>
      </c>
      <c r="B32">
        <v>9</v>
      </c>
      <c r="C32" s="23">
        <v>5.8333333333333327E-2</v>
      </c>
      <c r="D32" s="24">
        <v>45215</v>
      </c>
      <c r="E32">
        <v>22</v>
      </c>
      <c r="F32">
        <v>0.99780000000000801</v>
      </c>
      <c r="G32">
        <v>6.2065000000000001</v>
      </c>
      <c r="H32">
        <v>3.5636999999999999</v>
      </c>
      <c r="I32">
        <v>2.3432895792341646</v>
      </c>
      <c r="J32" s="28">
        <f t="shared" si="0"/>
        <v>2343.2895792341646</v>
      </c>
      <c r="K32">
        <v>2.6514184025687126</v>
      </c>
      <c r="M32" s="4" t="s">
        <v>250</v>
      </c>
      <c r="N32" s="4" t="s">
        <v>102</v>
      </c>
      <c r="O32">
        <v>51</v>
      </c>
      <c r="P32" t="s">
        <v>102</v>
      </c>
      <c r="Q32">
        <v>4.0000000000000001E-3</v>
      </c>
    </row>
    <row r="33" spans="1:17" x14ac:dyDescent="0.2">
      <c r="A33">
        <v>2</v>
      </c>
      <c r="B33">
        <v>10</v>
      </c>
      <c r="C33" s="23">
        <v>5.2083333333333336E-2</v>
      </c>
      <c r="D33" s="24">
        <v>45215</v>
      </c>
      <c r="E33">
        <v>21.9</v>
      </c>
      <c r="F33">
        <v>0.99782000000000803</v>
      </c>
      <c r="G33">
        <v>17.088200000000001</v>
      </c>
      <c r="H33">
        <v>9.5424000000000007</v>
      </c>
      <c r="I33">
        <v>2.2596607018474035</v>
      </c>
      <c r="J33" s="28">
        <f t="shared" si="0"/>
        <v>2259.6607018474037</v>
      </c>
      <c r="K33">
        <v>7.5702555939073459</v>
      </c>
      <c r="M33" s="4" t="s">
        <v>250</v>
      </c>
      <c r="N33" s="4" t="s">
        <v>105</v>
      </c>
      <c r="O33">
        <v>27.5</v>
      </c>
      <c r="P33" t="s">
        <v>105</v>
      </c>
      <c r="Q33">
        <v>8.2000000000000003E-2</v>
      </c>
    </row>
    <row r="34" spans="1:17" x14ac:dyDescent="0.2">
      <c r="A34">
        <v>2</v>
      </c>
      <c r="B34">
        <v>11</v>
      </c>
      <c r="C34" s="23">
        <v>7.6388888888888895E-2</v>
      </c>
      <c r="D34" s="24">
        <v>45215</v>
      </c>
      <c r="E34">
        <v>22</v>
      </c>
      <c r="F34">
        <v>0.99780000000000801</v>
      </c>
      <c r="G34">
        <v>8.3874999999999993</v>
      </c>
      <c r="H34">
        <v>5.2091000000000003</v>
      </c>
      <c r="I34">
        <v>2.6331007739743484</v>
      </c>
      <c r="J34" s="28">
        <f t="shared" si="0"/>
        <v>2633.1007739743482</v>
      </c>
      <c r="K34">
        <v>3.1887650411398489</v>
      </c>
      <c r="M34" s="4" t="s">
        <v>250</v>
      </c>
      <c r="N34" s="4" t="s">
        <v>109</v>
      </c>
      <c r="O34">
        <v>71</v>
      </c>
      <c r="P34" t="s">
        <v>109</v>
      </c>
      <c r="Q34">
        <v>8.9999999999999998E-4</v>
      </c>
    </row>
    <row r="35" spans="1:17" x14ac:dyDescent="0.2">
      <c r="A35">
        <v>2</v>
      </c>
      <c r="B35">
        <v>12</v>
      </c>
      <c r="C35" s="23">
        <v>6.6666666666666666E-2</v>
      </c>
      <c r="D35" s="24">
        <v>45215</v>
      </c>
      <c r="E35">
        <v>22</v>
      </c>
      <c r="F35">
        <v>0.99780000000000801</v>
      </c>
      <c r="G35">
        <v>6.8707000000000003</v>
      </c>
      <c r="H35">
        <v>4.0303000000000004</v>
      </c>
      <c r="I35">
        <v>2.413598246725833</v>
      </c>
      <c r="J35" s="28">
        <f t="shared" si="0"/>
        <v>2413.5982467258332</v>
      </c>
      <c r="K35">
        <v>2.8496627934978696</v>
      </c>
      <c r="M35" s="4" t="s">
        <v>250</v>
      </c>
      <c r="N35" s="4" t="s">
        <v>105</v>
      </c>
      <c r="O35">
        <v>45.5</v>
      </c>
      <c r="P35" t="s">
        <v>105</v>
      </c>
      <c r="Q35">
        <v>3.0000000000000001E-3</v>
      </c>
    </row>
    <row r="36" spans="1:17" x14ac:dyDescent="0.2">
      <c r="A36">
        <v>2</v>
      </c>
      <c r="B36">
        <v>13</v>
      </c>
      <c r="C36" s="23">
        <v>6.1805555555555558E-2</v>
      </c>
      <c r="D36" s="24">
        <v>45215</v>
      </c>
      <c r="E36">
        <v>22</v>
      </c>
      <c r="F36">
        <v>0.99780000000000801</v>
      </c>
      <c r="G36">
        <v>11.353400000000001</v>
      </c>
      <c r="H36">
        <v>6.4119000000000002</v>
      </c>
      <c r="I36">
        <v>2.2925068339573187</v>
      </c>
      <c r="J36" s="28">
        <f t="shared" si="0"/>
        <v>2292.5068339573186</v>
      </c>
      <c r="K36">
        <v>4.9576146648604862</v>
      </c>
      <c r="M36" s="4" t="s">
        <v>250</v>
      </c>
      <c r="N36" s="4" t="s">
        <v>105</v>
      </c>
      <c r="O36">
        <v>34</v>
      </c>
      <c r="P36" t="s">
        <v>105</v>
      </c>
      <c r="Q36">
        <v>4.0000000000000001E-3</v>
      </c>
    </row>
    <row r="37" spans="1:17" x14ac:dyDescent="0.2">
      <c r="A37">
        <v>2</v>
      </c>
      <c r="B37">
        <v>14</v>
      </c>
      <c r="C37" s="23">
        <v>4.8611111111111112E-2</v>
      </c>
      <c r="D37" s="24">
        <v>45215</v>
      </c>
      <c r="E37">
        <v>21.9</v>
      </c>
      <c r="F37">
        <v>0.99782000000000803</v>
      </c>
      <c r="G37">
        <v>12.7247</v>
      </c>
      <c r="H37">
        <v>8.1058000000000003</v>
      </c>
      <c r="I37">
        <v>2.7489142769923798</v>
      </c>
      <c r="J37" s="28">
        <f t="shared" si="0"/>
        <v>2748.9142769923797</v>
      </c>
      <c r="K37">
        <v>4.6338696443980281</v>
      </c>
      <c r="M37" s="4" t="s">
        <v>250</v>
      </c>
      <c r="N37" s="4" t="s">
        <v>109</v>
      </c>
      <c r="O37">
        <v>73.5</v>
      </c>
      <c r="P37" t="s">
        <v>109</v>
      </c>
      <c r="Q37">
        <v>4.0000000000000002E-4</v>
      </c>
    </row>
    <row r="38" spans="1:17" x14ac:dyDescent="0.2">
      <c r="A38">
        <v>2</v>
      </c>
      <c r="B38">
        <v>15</v>
      </c>
      <c r="C38" s="23">
        <v>6.0416666666666667E-2</v>
      </c>
      <c r="D38" s="24">
        <v>45215</v>
      </c>
      <c r="E38">
        <v>22</v>
      </c>
      <c r="F38">
        <v>0.99780000000000801</v>
      </c>
      <c r="G38">
        <v>7.9560000000000004</v>
      </c>
      <c r="H38">
        <v>5.0313999999999997</v>
      </c>
      <c r="I38">
        <v>2.7143871982493546</v>
      </c>
      <c r="J38" s="28">
        <f t="shared" si="0"/>
        <v>2714.3871982493547</v>
      </c>
      <c r="K38">
        <v>2.9341373770820565</v>
      </c>
      <c r="M38" s="4" t="s">
        <v>250</v>
      </c>
      <c r="N38" s="4" t="s">
        <v>109</v>
      </c>
      <c r="O38">
        <v>72</v>
      </c>
      <c r="P38" t="s">
        <v>109</v>
      </c>
      <c r="Q38">
        <v>5.0000000000000001E-4</v>
      </c>
    </row>
    <row r="39" spans="1:17" x14ac:dyDescent="0.2">
      <c r="A39">
        <v>2</v>
      </c>
      <c r="B39">
        <v>16</v>
      </c>
      <c r="C39" s="23">
        <v>7.7777777777777779E-2</v>
      </c>
      <c r="D39" s="24">
        <v>45215</v>
      </c>
      <c r="E39">
        <v>22</v>
      </c>
      <c r="F39">
        <v>0.99780000000000801</v>
      </c>
      <c r="G39">
        <v>3.6823999999999999</v>
      </c>
      <c r="H39">
        <v>1.9049</v>
      </c>
      <c r="I39">
        <v>2.0671160168776539</v>
      </c>
      <c r="J39" s="28">
        <f t="shared" si="0"/>
        <v>2067.1160168776537</v>
      </c>
      <c r="K39">
        <v>1.7832965833834895</v>
      </c>
      <c r="M39" s="4" t="s">
        <v>251</v>
      </c>
      <c r="N39" s="4" t="s">
        <v>122</v>
      </c>
      <c r="O39">
        <v>25.5</v>
      </c>
      <c r="P39" t="s">
        <v>263</v>
      </c>
      <c r="Q39">
        <v>0.06</v>
      </c>
    </row>
    <row r="40" spans="1:17" x14ac:dyDescent="0.2">
      <c r="A40">
        <v>2</v>
      </c>
      <c r="B40">
        <v>17</v>
      </c>
      <c r="C40" s="23">
        <v>8.6111111111111124E-2</v>
      </c>
      <c r="D40" s="24">
        <v>45215</v>
      </c>
      <c r="E40">
        <v>22</v>
      </c>
      <c r="F40">
        <v>0.99780000000000801</v>
      </c>
      <c r="G40">
        <v>7.1200999999999999</v>
      </c>
      <c r="H40">
        <v>3.6501000000000001</v>
      </c>
      <c r="I40">
        <v>2.0473878328530426</v>
      </c>
      <c r="J40" s="28">
        <f t="shared" si="0"/>
        <v>2047.3878328530427</v>
      </c>
      <c r="K40">
        <v>3.4813159743126345</v>
      </c>
      <c r="M40" s="4" t="s">
        <v>251</v>
      </c>
      <c r="N40" s="4" t="s">
        <v>122</v>
      </c>
      <c r="O40">
        <v>43.5</v>
      </c>
      <c r="P40" t="s">
        <v>263</v>
      </c>
      <c r="Q40">
        <v>8.9999999999999993E-3</v>
      </c>
    </row>
    <row r="41" spans="1:17" x14ac:dyDescent="0.2">
      <c r="A41">
        <v>2</v>
      </c>
      <c r="B41">
        <v>18</v>
      </c>
      <c r="C41" s="23">
        <v>0.54027777777777775</v>
      </c>
      <c r="D41" s="24">
        <v>45215</v>
      </c>
      <c r="E41">
        <v>21.8</v>
      </c>
      <c r="F41">
        <v>0.99784000000000805</v>
      </c>
      <c r="G41">
        <v>8.3803000000000001</v>
      </c>
      <c r="H41">
        <v>5.2123999999999997</v>
      </c>
      <c r="I41">
        <v>2.6396661990593349</v>
      </c>
      <c r="J41" s="28">
        <f t="shared" si="0"/>
        <v>2639.6661990593348</v>
      </c>
      <c r="K41">
        <v>3.1781032418927344</v>
      </c>
      <c r="L41" t="s">
        <v>209</v>
      </c>
      <c r="M41" s="4" t="s">
        <v>251</v>
      </c>
      <c r="N41" s="4" t="s">
        <v>126</v>
      </c>
      <c r="O41">
        <v>57</v>
      </c>
      <c r="P41" t="s">
        <v>126</v>
      </c>
      <c r="Q41">
        <v>1E-3</v>
      </c>
    </row>
    <row r="42" spans="1:17" x14ac:dyDescent="0.2">
      <c r="A42">
        <v>2</v>
      </c>
      <c r="B42">
        <v>19</v>
      </c>
      <c r="C42" s="23">
        <v>4.9999999999999996E-2</v>
      </c>
      <c r="D42" s="24">
        <v>45215</v>
      </c>
      <c r="E42">
        <v>21.9</v>
      </c>
      <c r="F42">
        <v>0.99782000000000803</v>
      </c>
      <c r="G42">
        <v>11.4802</v>
      </c>
      <c r="H42">
        <v>6.5076999999999998</v>
      </c>
      <c r="I42">
        <v>2.3037050103569818</v>
      </c>
      <c r="J42" s="28">
        <f t="shared" si="0"/>
        <v>2303.7050103569818</v>
      </c>
      <c r="K42">
        <v>4.9886156458830442</v>
      </c>
      <c r="M42" s="4" t="s">
        <v>251</v>
      </c>
      <c r="N42" s="4" t="s">
        <v>126</v>
      </c>
      <c r="O42">
        <v>42</v>
      </c>
      <c r="P42" t="s">
        <v>126</v>
      </c>
      <c r="Q42">
        <v>3.0000000000000001E-3</v>
      </c>
    </row>
    <row r="43" spans="1:17" x14ac:dyDescent="0.2">
      <c r="A43">
        <v>2</v>
      </c>
      <c r="B43">
        <v>20</v>
      </c>
      <c r="C43" s="25">
        <v>6.458333333333334E-2</v>
      </c>
      <c r="D43" s="24">
        <v>45215</v>
      </c>
      <c r="E43">
        <v>22</v>
      </c>
      <c r="F43">
        <v>0.99780000000000801</v>
      </c>
      <c r="G43">
        <v>8.8251000000000008</v>
      </c>
      <c r="H43">
        <v>5.2546999999999997</v>
      </c>
      <c r="I43">
        <v>2.466302033385634</v>
      </c>
      <c r="J43" s="28">
        <f t="shared" si="0"/>
        <v>2466.3020333856339</v>
      </c>
      <c r="K43">
        <v>3.5820433875175319</v>
      </c>
      <c r="M43" s="4" t="s">
        <v>251</v>
      </c>
      <c r="N43" s="4" t="s">
        <v>132</v>
      </c>
      <c r="O43">
        <v>37</v>
      </c>
      <c r="P43" t="s">
        <v>132</v>
      </c>
      <c r="Q43">
        <v>2E-3</v>
      </c>
    </row>
    <row r="44" spans="1:17" x14ac:dyDescent="0.2">
      <c r="A44">
        <v>2</v>
      </c>
      <c r="B44">
        <v>21</v>
      </c>
      <c r="C44" s="25">
        <v>8.1250000000000003E-2</v>
      </c>
      <c r="D44" s="24">
        <v>45215</v>
      </c>
      <c r="E44">
        <v>22</v>
      </c>
      <c r="F44">
        <v>0.99780000000000801</v>
      </c>
      <c r="G44">
        <v>8.1595999999999993</v>
      </c>
      <c r="H44">
        <v>4.6159999999999997</v>
      </c>
      <c r="I44">
        <v>2.2975643074839334</v>
      </c>
      <c r="J44" s="28">
        <f t="shared" si="0"/>
        <v>2297.5643074839336</v>
      </c>
      <c r="K44">
        <v>3.5551559903672199</v>
      </c>
      <c r="M44" s="4" t="s">
        <v>251</v>
      </c>
      <c r="N44" s="4" t="s">
        <v>132</v>
      </c>
      <c r="O44">
        <v>29</v>
      </c>
      <c r="P44" t="s">
        <v>132</v>
      </c>
      <c r="Q44">
        <v>1E-3</v>
      </c>
    </row>
    <row r="45" spans="1:17" x14ac:dyDescent="0.2">
      <c r="A45">
        <v>2</v>
      </c>
      <c r="B45">
        <v>22</v>
      </c>
      <c r="C45" s="25">
        <v>7.9166666666666663E-2</v>
      </c>
      <c r="D45" s="24">
        <v>45215</v>
      </c>
      <c r="E45">
        <v>22</v>
      </c>
      <c r="F45">
        <v>0.99780000000000801</v>
      </c>
      <c r="G45">
        <v>7.5384000000000002</v>
      </c>
      <c r="H45">
        <v>4.5701999999999998</v>
      </c>
      <c r="I45">
        <v>2.5341336567616941</v>
      </c>
      <c r="J45" s="28">
        <f t="shared" si="0"/>
        <v>2534.1336567616941</v>
      </c>
      <c r="K45">
        <v>2.9778795605056958</v>
      </c>
      <c r="M45" s="4" t="s">
        <v>252</v>
      </c>
      <c r="N45" s="4" t="s">
        <v>138</v>
      </c>
      <c r="O45">
        <v>64.5</v>
      </c>
      <c r="P45" t="s">
        <v>138</v>
      </c>
      <c r="Q45">
        <v>6.9999999999999999E-4</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708C6-43DA-E643-A0DB-2AFB285372CC}">
  <dimension ref="A1:R25"/>
  <sheetViews>
    <sheetView zoomScale="163" workbookViewId="0">
      <selection activeCell="A23" sqref="A23:XFD23"/>
    </sheetView>
  </sheetViews>
  <sheetFormatPr baseColWidth="10" defaultColWidth="10.83203125" defaultRowHeight="16" x14ac:dyDescent="0.2"/>
  <cols>
    <col min="16" max="16" width="18" customWidth="1"/>
  </cols>
  <sheetData>
    <row r="1" spans="1:18" x14ac:dyDescent="0.2">
      <c r="A1" s="4" t="s">
        <v>58</v>
      </c>
      <c r="B1" s="4" t="s">
        <v>59</v>
      </c>
      <c r="C1" s="4" t="s">
        <v>60</v>
      </c>
      <c r="D1" s="4" t="s">
        <v>61</v>
      </c>
      <c r="E1" s="4" t="s">
        <v>62</v>
      </c>
      <c r="F1" s="4" t="s">
        <v>63</v>
      </c>
      <c r="G1" s="4" t="s">
        <v>64</v>
      </c>
      <c r="H1" s="4" t="s">
        <v>65</v>
      </c>
      <c r="I1" s="4" t="s">
        <v>66</v>
      </c>
      <c r="J1" s="4" t="s">
        <v>67</v>
      </c>
      <c r="K1" s="4" t="s">
        <v>68</v>
      </c>
      <c r="L1" s="5" t="s">
        <v>69</v>
      </c>
      <c r="M1" s="4" t="s">
        <v>35</v>
      </c>
      <c r="N1" s="4" t="s">
        <v>70</v>
      </c>
      <c r="O1" s="4" t="s">
        <v>71</v>
      </c>
      <c r="P1" s="4" t="s">
        <v>72</v>
      </c>
      <c r="Q1" s="4" t="s">
        <v>73</v>
      </c>
      <c r="R1" s="4" t="s">
        <v>74</v>
      </c>
    </row>
    <row r="2" spans="1:18" x14ac:dyDescent="0.2">
      <c r="A2" s="4">
        <v>2023</v>
      </c>
      <c r="B2" s="4" t="s">
        <v>75</v>
      </c>
      <c r="C2" s="4" t="s">
        <v>76</v>
      </c>
      <c r="D2" s="4">
        <v>25</v>
      </c>
      <c r="E2" s="4">
        <v>8</v>
      </c>
      <c r="F2" s="7">
        <v>62</v>
      </c>
      <c r="G2" s="4"/>
      <c r="H2" s="4">
        <v>5</v>
      </c>
      <c r="I2" s="4"/>
      <c r="J2" s="4"/>
      <c r="K2" s="4" t="s">
        <v>77</v>
      </c>
      <c r="L2" s="5">
        <v>2</v>
      </c>
      <c r="M2" s="7" t="s">
        <v>36</v>
      </c>
      <c r="N2" s="7">
        <v>180.08</v>
      </c>
      <c r="O2" t="s">
        <v>78</v>
      </c>
      <c r="P2">
        <v>184.55</v>
      </c>
      <c r="Q2">
        <f>SUM(N2,N12,N15,N16)</f>
        <v>738.05</v>
      </c>
    </row>
    <row r="3" spans="1:18" x14ac:dyDescent="0.2">
      <c r="A3" s="4">
        <v>2023</v>
      </c>
      <c r="B3" s="4" t="s">
        <v>75</v>
      </c>
      <c r="C3" s="4" t="s">
        <v>79</v>
      </c>
      <c r="D3" s="4">
        <v>38</v>
      </c>
      <c r="E3" s="4">
        <v>14</v>
      </c>
      <c r="F3" s="4">
        <v>65.5</v>
      </c>
      <c r="G3" s="4"/>
      <c r="H3" s="4">
        <v>9</v>
      </c>
      <c r="I3" s="4"/>
      <c r="J3" s="4"/>
      <c r="K3" s="4" t="s">
        <v>80</v>
      </c>
      <c r="L3" s="5">
        <v>2</v>
      </c>
      <c r="M3" s="4" t="s">
        <v>37</v>
      </c>
      <c r="N3" s="4">
        <v>198.54</v>
      </c>
      <c r="P3" t="s">
        <v>81</v>
      </c>
    </row>
    <row r="4" spans="1:18" x14ac:dyDescent="0.2">
      <c r="A4" s="4">
        <v>2023</v>
      </c>
      <c r="B4" s="4" t="s">
        <v>82</v>
      </c>
      <c r="C4" s="4" t="s">
        <v>83</v>
      </c>
      <c r="D4" s="4">
        <v>16</v>
      </c>
      <c r="E4" s="4">
        <v>51</v>
      </c>
      <c r="F4" s="7">
        <v>50.5</v>
      </c>
      <c r="G4" s="4">
        <v>11.3</v>
      </c>
      <c r="H4" s="4">
        <v>5</v>
      </c>
      <c r="I4" s="4" t="s">
        <v>84</v>
      </c>
      <c r="J4" s="4" t="s">
        <v>85</v>
      </c>
      <c r="K4" s="4" t="s">
        <v>86</v>
      </c>
      <c r="L4" s="5">
        <v>2</v>
      </c>
      <c r="M4" s="7" t="s">
        <v>38</v>
      </c>
      <c r="N4" s="4">
        <v>148.78</v>
      </c>
      <c r="O4" s="4" t="s">
        <v>78</v>
      </c>
    </row>
    <row r="5" spans="1:18" x14ac:dyDescent="0.2">
      <c r="A5" s="4">
        <v>2023</v>
      </c>
      <c r="B5" s="4" t="s">
        <v>82</v>
      </c>
      <c r="C5" s="4" t="s">
        <v>79</v>
      </c>
      <c r="D5" s="4">
        <v>26</v>
      </c>
      <c r="E5" s="4">
        <v>23</v>
      </c>
      <c r="F5" s="4">
        <v>65.5</v>
      </c>
      <c r="G5" s="4">
        <v>7.7</v>
      </c>
      <c r="H5" s="4">
        <v>17</v>
      </c>
      <c r="I5" s="4"/>
      <c r="J5" s="4"/>
      <c r="K5" s="4" t="s">
        <v>87</v>
      </c>
      <c r="L5" s="5">
        <v>2</v>
      </c>
      <c r="M5" s="4" t="s">
        <v>39</v>
      </c>
      <c r="N5" s="4">
        <v>92.62</v>
      </c>
      <c r="O5" t="s">
        <v>78</v>
      </c>
      <c r="Q5">
        <f>SUM(N7,N10,N6,N22)</f>
        <v>774.1</v>
      </c>
    </row>
    <row r="6" spans="1:18" x14ac:dyDescent="0.2">
      <c r="A6" s="4">
        <v>2023</v>
      </c>
      <c r="B6" s="4" t="s">
        <v>82</v>
      </c>
      <c r="C6" s="4" t="s">
        <v>83</v>
      </c>
      <c r="D6" s="4">
        <v>14</v>
      </c>
      <c r="E6" s="4">
        <v>26</v>
      </c>
      <c r="F6" s="7">
        <v>27.5</v>
      </c>
      <c r="G6" s="4"/>
      <c r="H6" s="4">
        <v>20</v>
      </c>
      <c r="I6" s="4"/>
      <c r="J6" s="4" t="s">
        <v>88</v>
      </c>
      <c r="K6" s="4" t="s">
        <v>89</v>
      </c>
      <c r="L6" s="5" t="s">
        <v>90</v>
      </c>
      <c r="M6" s="7" t="s">
        <v>40</v>
      </c>
      <c r="N6" s="4">
        <v>235.02</v>
      </c>
      <c r="O6" s="4"/>
    </row>
    <row r="7" spans="1:18" x14ac:dyDescent="0.2">
      <c r="A7" s="4">
        <v>2023</v>
      </c>
      <c r="B7" s="4" t="s">
        <v>91</v>
      </c>
      <c r="C7" s="4" t="s">
        <v>92</v>
      </c>
      <c r="D7" s="4">
        <v>11</v>
      </c>
      <c r="E7" s="4">
        <v>22</v>
      </c>
      <c r="F7" s="7">
        <v>43</v>
      </c>
      <c r="G7" s="4">
        <v>8.5</v>
      </c>
      <c r="H7" s="4">
        <v>18</v>
      </c>
      <c r="I7" s="4"/>
      <c r="J7" s="4" t="s">
        <v>93</v>
      </c>
      <c r="K7" s="4" t="s">
        <v>94</v>
      </c>
      <c r="L7" s="5">
        <v>2</v>
      </c>
      <c r="M7" s="7" t="s">
        <v>41</v>
      </c>
      <c r="N7" s="4">
        <v>206.9</v>
      </c>
      <c r="O7" s="4" t="s">
        <v>78</v>
      </c>
    </row>
    <row r="8" spans="1:18" x14ac:dyDescent="0.2">
      <c r="A8" s="4">
        <v>2023</v>
      </c>
      <c r="B8" s="4" t="s">
        <v>95</v>
      </c>
      <c r="C8" s="4" t="s">
        <v>92</v>
      </c>
      <c r="D8" s="4">
        <v>21</v>
      </c>
      <c r="E8" s="4">
        <v>24</v>
      </c>
      <c r="F8" s="7">
        <v>28.5</v>
      </c>
      <c r="G8" s="4">
        <v>6.3</v>
      </c>
      <c r="H8" s="4">
        <v>10</v>
      </c>
      <c r="I8" s="4" t="s">
        <v>96</v>
      </c>
      <c r="J8" s="4" t="s">
        <v>34</v>
      </c>
      <c r="K8" s="4" t="s">
        <v>97</v>
      </c>
      <c r="L8" s="5" t="s">
        <v>98</v>
      </c>
      <c r="M8" s="7" t="s">
        <v>42</v>
      </c>
      <c r="N8" s="4">
        <v>229.42</v>
      </c>
      <c r="O8" s="4"/>
    </row>
    <row r="9" spans="1:18" x14ac:dyDescent="0.2">
      <c r="A9" s="4">
        <v>2023</v>
      </c>
      <c r="B9" s="4" t="s">
        <v>95</v>
      </c>
      <c r="C9" s="4" t="s">
        <v>83</v>
      </c>
      <c r="D9" s="4">
        <v>15</v>
      </c>
      <c r="E9" s="4">
        <v>36</v>
      </c>
      <c r="F9" s="7">
        <v>33</v>
      </c>
      <c r="G9" s="4">
        <v>9.9</v>
      </c>
      <c r="H9" s="4">
        <v>19</v>
      </c>
      <c r="I9" s="4" t="s">
        <v>99</v>
      </c>
      <c r="J9" s="4" t="s">
        <v>88</v>
      </c>
      <c r="K9" s="4" t="s">
        <v>100</v>
      </c>
      <c r="L9" s="5">
        <v>2</v>
      </c>
      <c r="M9" s="7" t="s">
        <v>43</v>
      </c>
      <c r="N9" s="4">
        <v>137.55000000000001</v>
      </c>
      <c r="O9" s="4" t="s">
        <v>78</v>
      </c>
    </row>
    <row r="10" spans="1:18" x14ac:dyDescent="0.2">
      <c r="A10" s="4">
        <v>2023</v>
      </c>
      <c r="B10" s="4" t="s">
        <v>101</v>
      </c>
      <c r="C10" s="4" t="s">
        <v>102</v>
      </c>
      <c r="D10" s="4">
        <v>13</v>
      </c>
      <c r="E10" s="4">
        <v>5</v>
      </c>
      <c r="F10" s="7">
        <v>51</v>
      </c>
      <c r="G10" s="4"/>
      <c r="H10" s="4">
        <v>9</v>
      </c>
      <c r="I10" s="4" t="s">
        <v>103</v>
      </c>
      <c r="J10" s="4"/>
      <c r="K10" s="4" t="s">
        <v>104</v>
      </c>
      <c r="L10" s="5">
        <v>2</v>
      </c>
      <c r="M10" s="7" t="s">
        <v>44</v>
      </c>
      <c r="N10" s="4">
        <v>147.4</v>
      </c>
      <c r="O10" t="s">
        <v>78</v>
      </c>
    </row>
    <row r="11" spans="1:18" x14ac:dyDescent="0.2">
      <c r="A11" s="4">
        <v>2023</v>
      </c>
      <c r="B11" s="4" t="s">
        <v>101</v>
      </c>
      <c r="C11" s="4" t="s">
        <v>105</v>
      </c>
      <c r="D11" s="4">
        <v>12</v>
      </c>
      <c r="E11" s="4">
        <v>6</v>
      </c>
      <c r="F11" s="7">
        <v>27.5</v>
      </c>
      <c r="G11" s="4">
        <v>3.4</v>
      </c>
      <c r="H11" s="4">
        <v>10</v>
      </c>
      <c r="I11" s="4" t="s">
        <v>103</v>
      </c>
      <c r="J11" s="4" t="s">
        <v>34</v>
      </c>
      <c r="K11" s="4" t="s">
        <v>106</v>
      </c>
      <c r="L11" s="5" t="s">
        <v>107</v>
      </c>
      <c r="M11" s="7" t="s">
        <v>45</v>
      </c>
      <c r="N11" s="4">
        <v>210.4</v>
      </c>
      <c r="O11" s="4"/>
    </row>
    <row r="12" spans="1:18" x14ac:dyDescent="0.2">
      <c r="A12" s="4">
        <v>2023</v>
      </c>
      <c r="B12" s="4" t="s">
        <v>108</v>
      </c>
      <c r="C12" s="4" t="s">
        <v>109</v>
      </c>
      <c r="D12" s="4">
        <v>52</v>
      </c>
      <c r="E12" s="4">
        <v>6</v>
      </c>
      <c r="F12" s="7">
        <v>71</v>
      </c>
      <c r="G12" s="4"/>
      <c r="H12" s="4">
        <v>9</v>
      </c>
      <c r="I12" s="4" t="s">
        <v>110</v>
      </c>
      <c r="J12" s="4"/>
      <c r="K12" s="4" t="s">
        <v>111</v>
      </c>
      <c r="L12" s="5">
        <v>3</v>
      </c>
      <c r="M12" s="7" t="s">
        <v>46</v>
      </c>
      <c r="N12" s="7">
        <v>204.79</v>
      </c>
      <c r="P12">
        <v>205.87</v>
      </c>
    </row>
    <row r="13" spans="1:18" x14ac:dyDescent="0.2">
      <c r="A13" s="4">
        <v>2023</v>
      </c>
      <c r="B13" s="4" t="s">
        <v>112</v>
      </c>
      <c r="C13" s="4" t="s">
        <v>105</v>
      </c>
      <c r="D13" s="4">
        <v>19</v>
      </c>
      <c r="E13" s="4">
        <v>1</v>
      </c>
      <c r="F13" s="7">
        <v>45.5</v>
      </c>
      <c r="G13" s="4">
        <v>5.0999999999999996</v>
      </c>
      <c r="H13" s="4">
        <v>1</v>
      </c>
      <c r="I13" s="4"/>
      <c r="J13" s="4" t="s">
        <v>34</v>
      </c>
      <c r="K13" s="4" t="s">
        <v>113</v>
      </c>
      <c r="L13" s="5">
        <v>2</v>
      </c>
      <c r="M13" s="7" t="s">
        <v>47</v>
      </c>
      <c r="N13" s="4">
        <v>172.91</v>
      </c>
      <c r="O13" s="4"/>
    </row>
    <row r="14" spans="1:18" x14ac:dyDescent="0.2">
      <c r="A14" s="4">
        <v>2023</v>
      </c>
      <c r="B14" s="4" t="s">
        <v>112</v>
      </c>
      <c r="C14" s="4" t="s">
        <v>105</v>
      </c>
      <c r="D14" s="4">
        <v>14</v>
      </c>
      <c r="E14" s="4">
        <v>4</v>
      </c>
      <c r="F14" s="7">
        <v>34</v>
      </c>
      <c r="G14" s="4"/>
      <c r="H14" s="4">
        <v>6</v>
      </c>
      <c r="I14" s="4"/>
      <c r="J14" s="4" t="s">
        <v>34</v>
      </c>
      <c r="K14" s="4" t="s">
        <v>114</v>
      </c>
      <c r="L14" s="5" t="s">
        <v>115</v>
      </c>
      <c r="M14" s="7" t="s">
        <v>48</v>
      </c>
      <c r="N14" s="4">
        <v>154.81</v>
      </c>
      <c r="O14" s="4"/>
    </row>
    <row r="15" spans="1:18" x14ac:dyDescent="0.2">
      <c r="A15" s="4">
        <v>2023</v>
      </c>
      <c r="B15" s="4" t="s">
        <v>116</v>
      </c>
      <c r="C15" s="4" t="s">
        <v>109</v>
      </c>
      <c r="D15" s="4">
        <v>32</v>
      </c>
      <c r="E15" s="4">
        <v>5</v>
      </c>
      <c r="F15" s="7">
        <v>73.5</v>
      </c>
      <c r="G15" s="4"/>
      <c r="H15" s="4">
        <v>6</v>
      </c>
      <c r="I15" s="4"/>
      <c r="J15" s="4"/>
      <c r="K15" s="4" t="s">
        <v>117</v>
      </c>
      <c r="L15" s="5">
        <v>3</v>
      </c>
      <c r="M15" s="7" t="s">
        <v>49</v>
      </c>
      <c r="N15" s="7">
        <v>201.5</v>
      </c>
      <c r="O15" s="4"/>
      <c r="P15" s="4">
        <v>202.21</v>
      </c>
    </row>
    <row r="16" spans="1:18" x14ac:dyDescent="0.2">
      <c r="A16" s="4">
        <v>2023</v>
      </c>
      <c r="B16" s="4" t="s">
        <v>118</v>
      </c>
      <c r="C16" s="4" t="s">
        <v>109</v>
      </c>
      <c r="D16" s="4">
        <v>27</v>
      </c>
      <c r="E16" s="4">
        <v>3</v>
      </c>
      <c r="F16" s="7">
        <v>72</v>
      </c>
      <c r="G16" s="4"/>
      <c r="H16" s="4">
        <v>4</v>
      </c>
      <c r="I16" s="4" t="s">
        <v>119</v>
      </c>
      <c r="J16" s="4"/>
      <c r="K16" s="4" t="s">
        <v>120</v>
      </c>
      <c r="L16" s="5">
        <v>2</v>
      </c>
      <c r="M16" s="7" t="s">
        <v>50</v>
      </c>
      <c r="N16" s="7">
        <v>151.68</v>
      </c>
      <c r="O16" t="s">
        <v>78</v>
      </c>
      <c r="P16">
        <v>152.31</v>
      </c>
    </row>
    <row r="17" spans="1:15" x14ac:dyDescent="0.2">
      <c r="A17" s="4">
        <v>2023</v>
      </c>
      <c r="B17" s="4" t="s">
        <v>121</v>
      </c>
      <c r="C17" s="4" t="s">
        <v>122</v>
      </c>
      <c r="D17" s="4">
        <v>84</v>
      </c>
      <c r="E17" s="4">
        <v>6</v>
      </c>
      <c r="F17" s="7">
        <v>25.5</v>
      </c>
      <c r="G17" s="4">
        <v>3.7</v>
      </c>
      <c r="H17" s="4">
        <v>4</v>
      </c>
      <c r="I17" s="4"/>
      <c r="J17" s="4"/>
      <c r="K17" s="4" t="s">
        <v>123</v>
      </c>
      <c r="L17" s="5">
        <v>2</v>
      </c>
      <c r="M17" s="7" t="s">
        <v>51</v>
      </c>
      <c r="N17" s="4">
        <v>71.05</v>
      </c>
      <c r="O17" t="s">
        <v>78</v>
      </c>
    </row>
    <row r="18" spans="1:15" x14ac:dyDescent="0.2">
      <c r="A18" s="4">
        <v>2023</v>
      </c>
      <c r="B18" s="4" t="s">
        <v>121</v>
      </c>
      <c r="C18" s="4" t="s">
        <v>122</v>
      </c>
      <c r="D18" s="4">
        <v>38</v>
      </c>
      <c r="E18" s="4">
        <v>13</v>
      </c>
      <c r="F18" s="7">
        <v>43.5</v>
      </c>
      <c r="G18" s="4">
        <v>8.1</v>
      </c>
      <c r="H18" s="4">
        <v>11</v>
      </c>
      <c r="I18" s="4"/>
      <c r="J18" s="4"/>
      <c r="K18" s="4" t="s">
        <v>124</v>
      </c>
      <c r="L18" s="5">
        <v>2</v>
      </c>
      <c r="M18" s="7" t="s">
        <v>52</v>
      </c>
      <c r="N18" s="4">
        <v>177.92</v>
      </c>
      <c r="O18" s="4"/>
    </row>
    <row r="19" spans="1:15" x14ac:dyDescent="0.2">
      <c r="A19" s="4">
        <v>2023</v>
      </c>
      <c r="B19" s="4" t="s">
        <v>125</v>
      </c>
      <c r="C19" s="4" t="s">
        <v>126</v>
      </c>
      <c r="D19" s="4">
        <v>19</v>
      </c>
      <c r="E19" s="4">
        <v>2</v>
      </c>
      <c r="F19" s="7">
        <v>57</v>
      </c>
      <c r="G19" s="4">
        <v>7</v>
      </c>
      <c r="H19" s="4">
        <v>4</v>
      </c>
      <c r="I19" s="4"/>
      <c r="J19" s="4"/>
      <c r="K19" s="4" t="s">
        <v>127</v>
      </c>
      <c r="L19" s="5">
        <v>3</v>
      </c>
      <c r="M19" s="7" t="s">
        <v>53</v>
      </c>
      <c r="N19" s="4">
        <v>139.61000000000001</v>
      </c>
      <c r="O19" s="4"/>
    </row>
    <row r="20" spans="1:15" x14ac:dyDescent="0.2">
      <c r="A20" s="4">
        <v>2023</v>
      </c>
      <c r="B20" s="4" t="s">
        <v>128</v>
      </c>
      <c r="C20" s="4" t="s">
        <v>126</v>
      </c>
      <c r="D20" s="4">
        <v>16</v>
      </c>
      <c r="E20" s="4">
        <v>4</v>
      </c>
      <c r="F20" s="7">
        <v>42</v>
      </c>
      <c r="G20" s="4"/>
      <c r="H20" s="4">
        <v>6</v>
      </c>
      <c r="I20" s="4"/>
      <c r="J20" s="4"/>
      <c r="K20" s="4" t="s">
        <v>129</v>
      </c>
      <c r="L20" s="5" t="s">
        <v>130</v>
      </c>
      <c r="M20" s="7" t="s">
        <v>54</v>
      </c>
      <c r="N20" s="4">
        <v>142.41</v>
      </c>
      <c r="O20" s="4"/>
    </row>
    <row r="21" spans="1:15" x14ac:dyDescent="0.2">
      <c r="A21" s="4">
        <v>2023</v>
      </c>
      <c r="B21" s="4" t="s">
        <v>131</v>
      </c>
      <c r="C21" s="4" t="s">
        <v>132</v>
      </c>
      <c r="D21" s="4">
        <v>21</v>
      </c>
      <c r="E21" s="4">
        <v>10</v>
      </c>
      <c r="F21" s="7">
        <v>37</v>
      </c>
      <c r="G21" s="4"/>
      <c r="H21" s="4">
        <v>13</v>
      </c>
      <c r="I21" s="4"/>
      <c r="J21" s="4"/>
      <c r="K21" s="4" t="s">
        <v>133</v>
      </c>
      <c r="L21" s="5">
        <v>2</v>
      </c>
      <c r="M21" s="7" t="s">
        <v>55</v>
      </c>
      <c r="N21" s="4">
        <v>188.48</v>
      </c>
      <c r="O21" s="4"/>
    </row>
    <row r="22" spans="1:15" x14ac:dyDescent="0.2">
      <c r="A22" s="4">
        <v>2023</v>
      </c>
      <c r="B22" s="4" t="s">
        <v>134</v>
      </c>
      <c r="C22" s="4" t="s">
        <v>132</v>
      </c>
      <c r="D22" s="4">
        <v>17</v>
      </c>
      <c r="E22" s="4">
        <v>4</v>
      </c>
      <c r="F22" s="7">
        <v>29</v>
      </c>
      <c r="G22" s="4"/>
      <c r="H22" s="4">
        <v>15</v>
      </c>
      <c r="I22" s="6" t="s">
        <v>135</v>
      </c>
      <c r="J22" s="6"/>
      <c r="K22" s="4" t="s">
        <v>136</v>
      </c>
      <c r="L22" s="5"/>
      <c r="M22" s="7" t="s">
        <v>56</v>
      </c>
      <c r="N22" s="4">
        <v>184.78</v>
      </c>
      <c r="O22" s="4"/>
    </row>
    <row r="23" spans="1:15" x14ac:dyDescent="0.2">
      <c r="A23" s="4">
        <v>2023</v>
      </c>
      <c r="B23" s="4" t="s">
        <v>137</v>
      </c>
      <c r="C23" s="4" t="s">
        <v>138</v>
      </c>
      <c r="D23" s="4">
        <v>24</v>
      </c>
      <c r="E23" s="4">
        <v>9</v>
      </c>
      <c r="F23" s="4">
        <v>64.5</v>
      </c>
      <c r="G23" s="4"/>
      <c r="H23" s="4">
        <v>9</v>
      </c>
      <c r="I23" s="4"/>
      <c r="J23" s="4" t="s">
        <v>139</v>
      </c>
      <c r="K23" s="4" t="s">
        <v>140</v>
      </c>
      <c r="L23" s="5">
        <v>2</v>
      </c>
      <c r="M23" s="4" t="s">
        <v>57</v>
      </c>
      <c r="N23" s="4">
        <v>168.76</v>
      </c>
    </row>
    <row r="25" spans="1:15" x14ac:dyDescent="0.2">
      <c r="F25" t="s">
        <v>141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4027B-D60A-DE47-94A4-B15C8F60ACD0}">
  <dimension ref="A1:T158"/>
  <sheetViews>
    <sheetView topLeftCell="A84" workbookViewId="0">
      <selection activeCell="I140" sqref="I140"/>
    </sheetView>
  </sheetViews>
  <sheetFormatPr baseColWidth="10" defaultColWidth="10.83203125" defaultRowHeight="16" x14ac:dyDescent="0.2"/>
  <cols>
    <col min="3" max="5" width="11.6640625" bestFit="1" customWidth="1"/>
    <col min="16" max="16" width="16.33203125" customWidth="1"/>
  </cols>
  <sheetData>
    <row r="1" spans="1:20" x14ac:dyDescent="0.2">
      <c r="A1" s="8" t="s">
        <v>142</v>
      </c>
    </row>
    <row r="2" spans="1:20" x14ac:dyDescent="0.2">
      <c r="O2" t="s">
        <v>143</v>
      </c>
    </row>
    <row r="3" spans="1:20" x14ac:dyDescent="0.2">
      <c r="A3" s="11" t="s">
        <v>144</v>
      </c>
      <c r="B3" s="11" t="s">
        <v>145</v>
      </c>
      <c r="C3" s="11"/>
      <c r="D3" s="11"/>
      <c r="E3" s="11"/>
      <c r="F3" s="11"/>
      <c r="G3" s="11"/>
      <c r="H3" s="11"/>
      <c r="I3" s="11"/>
      <c r="J3" s="11"/>
      <c r="K3" s="11"/>
      <c r="L3" s="11"/>
      <c r="M3" s="11"/>
      <c r="O3" t="s">
        <v>146</v>
      </c>
      <c r="P3" t="s">
        <v>147</v>
      </c>
      <c r="Q3" t="s">
        <v>148</v>
      </c>
      <c r="R3" t="s">
        <v>149</v>
      </c>
      <c r="T3" t="s">
        <v>150</v>
      </c>
    </row>
    <row r="4" spans="1:20" x14ac:dyDescent="0.2">
      <c r="G4" s="12" t="s">
        <v>151</v>
      </c>
      <c r="H4" s="12"/>
      <c r="I4" s="12"/>
      <c r="J4" s="12"/>
      <c r="K4" s="12"/>
      <c r="L4" s="12"/>
      <c r="M4" s="12"/>
      <c r="N4" t="s">
        <v>152</v>
      </c>
      <c r="O4">
        <v>33</v>
      </c>
      <c r="P4">
        <f>O4*60</f>
        <v>1980</v>
      </c>
      <c r="Q4">
        <v>60</v>
      </c>
      <c r="R4">
        <v>5.9999999999999995E-4</v>
      </c>
      <c r="T4">
        <f>P4*R4</f>
        <v>1.1879999999999999</v>
      </c>
    </row>
    <row r="5" spans="1:20" x14ac:dyDescent="0.2">
      <c r="A5" s="8" t="s">
        <v>153</v>
      </c>
      <c r="B5" s="8" t="s">
        <v>154</v>
      </c>
      <c r="C5" s="8" t="s">
        <v>155</v>
      </c>
      <c r="D5" s="8" t="s">
        <v>156</v>
      </c>
      <c r="E5" s="8" t="s">
        <v>157</v>
      </c>
      <c r="F5" s="8"/>
      <c r="G5" s="8" t="s">
        <v>36</v>
      </c>
      <c r="H5" s="8" t="s">
        <v>46</v>
      </c>
      <c r="I5" s="8" t="s">
        <v>49</v>
      </c>
      <c r="J5" s="8" t="s">
        <v>50</v>
      </c>
      <c r="K5" s="8"/>
      <c r="L5" s="8"/>
      <c r="M5" s="8" t="s">
        <v>158</v>
      </c>
      <c r="O5" t="s">
        <v>159</v>
      </c>
    </row>
    <row r="6" spans="1:20" x14ac:dyDescent="0.2">
      <c r="C6">
        <v>0</v>
      </c>
      <c r="D6" s="14">
        <f>(1.188*C6)</f>
        <v>0</v>
      </c>
      <c r="E6" s="14">
        <f>(1.188*C6)</f>
        <v>0</v>
      </c>
      <c r="F6" s="14"/>
      <c r="G6">
        <v>184.55</v>
      </c>
      <c r="H6">
        <v>205.87</v>
      </c>
      <c r="I6" s="4">
        <v>202.21</v>
      </c>
      <c r="J6">
        <v>152.31</v>
      </c>
      <c r="K6" s="15"/>
      <c r="L6" s="15"/>
      <c r="M6" s="15">
        <f>SUM(H6:J6)</f>
        <v>560.3900000000001</v>
      </c>
      <c r="O6" t="s">
        <v>160</v>
      </c>
    </row>
    <row r="7" spans="1:20" x14ac:dyDescent="0.2">
      <c r="A7" s="13">
        <v>45212.576388888891</v>
      </c>
      <c r="B7" s="13">
        <v>45212.729861111111</v>
      </c>
      <c r="C7" s="14">
        <f>(B7-A7)*24</f>
        <v>3.6833333332906477</v>
      </c>
      <c r="D7" s="14">
        <f>(1.188*C7)</f>
        <v>4.3757999999492894</v>
      </c>
      <c r="E7" s="14">
        <f>(1.188*C7)+SUM(D$6:D6)</f>
        <v>4.3757999999492894</v>
      </c>
      <c r="F7" s="14"/>
      <c r="G7" s="15">
        <v>176.9</v>
      </c>
      <c r="H7" s="15">
        <v>202.69</v>
      </c>
      <c r="I7" s="15">
        <v>200.13</v>
      </c>
      <c r="J7" s="15">
        <v>150</v>
      </c>
      <c r="K7" s="15"/>
      <c r="L7" s="15"/>
      <c r="M7" s="15">
        <f t="shared" ref="M7:M9" si="0">SUM(H7:J7)</f>
        <v>552.81999999999994</v>
      </c>
      <c r="O7" t="s">
        <v>161</v>
      </c>
    </row>
    <row r="8" spans="1:20" x14ac:dyDescent="0.2">
      <c r="A8" s="13">
        <v>45212.736805555556</v>
      </c>
      <c r="B8" s="13">
        <v>45212.900694444441</v>
      </c>
      <c r="C8" s="14">
        <f>(B8-A8)*24</f>
        <v>3.9333333332324401</v>
      </c>
      <c r="D8" s="14">
        <f>(1.188*C8)</f>
        <v>4.6727999998801382</v>
      </c>
      <c r="E8" s="14">
        <f>(1.188*C8)+SUM(D$6:D7)</f>
        <v>9.0485999998294275</v>
      </c>
      <c r="F8" s="14"/>
      <c r="G8" s="15">
        <v>172.89</v>
      </c>
      <c r="H8" s="15">
        <v>201.06</v>
      </c>
      <c r="I8" s="15">
        <v>199.24</v>
      </c>
      <c r="J8" s="15">
        <v>149.11000000000001</v>
      </c>
      <c r="K8" s="15"/>
      <c r="L8" s="15"/>
      <c r="M8" s="15">
        <f t="shared" si="0"/>
        <v>549.41000000000008</v>
      </c>
    </row>
    <row r="9" spans="1:20" x14ac:dyDescent="0.2">
      <c r="A9" s="13">
        <v>45212.913194444445</v>
      </c>
      <c r="B9" s="13">
        <v>45213.36041666667</v>
      </c>
      <c r="C9" s="14">
        <f t="shared" ref="C9:C14" si="1">(B9-A9)*24</f>
        <v>10.733333333395422</v>
      </c>
      <c r="D9" s="14">
        <f t="shared" ref="D9:D14" si="2">(1.188*C9)</f>
        <v>12.75120000007376</v>
      </c>
      <c r="E9" s="14">
        <f>(1.188*C9)+SUM(D$6:D8)</f>
        <v>21.799799999903186</v>
      </c>
      <c r="F9" s="14"/>
      <c r="G9" s="15">
        <v>164.32</v>
      </c>
      <c r="H9" s="15">
        <v>197.58</v>
      </c>
      <c r="I9" s="15">
        <v>197.81</v>
      </c>
      <c r="J9" s="15">
        <v>147.41999999999999</v>
      </c>
      <c r="K9" s="15"/>
      <c r="L9" s="15"/>
      <c r="M9" s="15">
        <f t="shared" si="0"/>
        <v>542.80999999999995</v>
      </c>
      <c r="N9" t="s">
        <v>162</v>
      </c>
    </row>
    <row r="10" spans="1:20" x14ac:dyDescent="0.2">
      <c r="A10" s="13">
        <v>45213.367361111108</v>
      </c>
      <c r="B10" s="13">
        <v>45214.741666666669</v>
      </c>
      <c r="C10" s="14">
        <f t="shared" si="1"/>
        <v>32.983333333453629</v>
      </c>
      <c r="D10" s="14">
        <f t="shared" si="2"/>
        <v>39.184200000142908</v>
      </c>
      <c r="E10" s="14">
        <f>(1.188*C10)+SUM(D$6:D9)</f>
        <v>60.984000000046095</v>
      </c>
      <c r="F10" s="14"/>
      <c r="G10" s="15"/>
      <c r="H10" s="15">
        <v>189.61</v>
      </c>
      <c r="I10" s="15">
        <v>194.17</v>
      </c>
      <c r="J10" s="15">
        <v>143.94</v>
      </c>
      <c r="K10" s="15"/>
      <c r="L10" s="15"/>
      <c r="M10" s="15">
        <f t="shared" ref="M10:M13" si="3">SUM(G10:J10)</f>
        <v>527.72</v>
      </c>
      <c r="N10" s="13">
        <v>45215</v>
      </c>
      <c r="O10">
        <v>33</v>
      </c>
    </row>
    <row r="11" spans="1:20" x14ac:dyDescent="0.2">
      <c r="A11" s="13">
        <v>45214.747916666667</v>
      </c>
      <c r="B11" s="13">
        <v>45215.429861111108</v>
      </c>
      <c r="C11" s="14">
        <f t="shared" si="1"/>
        <v>16.366666666581295</v>
      </c>
      <c r="D11" s="14">
        <f t="shared" si="2"/>
        <v>19.443599999898577</v>
      </c>
      <c r="E11" s="14">
        <f>(1.188*C11)+SUM(D$6:D10)</f>
        <v>80.427599999944675</v>
      </c>
      <c r="F11" s="14"/>
      <c r="G11" s="15"/>
      <c r="H11" s="15">
        <v>186.35</v>
      </c>
      <c r="I11" s="15">
        <v>192.85</v>
      </c>
      <c r="J11" s="15">
        <v>142.6</v>
      </c>
      <c r="K11" s="15"/>
      <c r="L11" s="15"/>
      <c r="M11" s="15">
        <f t="shared" si="3"/>
        <v>521.79999999999995</v>
      </c>
    </row>
    <row r="12" spans="1:20" x14ac:dyDescent="0.2">
      <c r="A12" s="13">
        <v>45215.439583333333</v>
      </c>
      <c r="B12" s="13">
        <v>45217.885416666664</v>
      </c>
      <c r="C12" s="14">
        <f t="shared" si="1"/>
        <v>58.699999999953434</v>
      </c>
      <c r="D12" s="14">
        <f t="shared" si="2"/>
        <v>69.735599999944682</v>
      </c>
      <c r="E12" s="14">
        <f>(1.188*C12)+SUM(D$6:D11)</f>
        <v>150.16319999988934</v>
      </c>
      <c r="F12" s="14"/>
      <c r="G12" s="15"/>
      <c r="H12" s="15">
        <v>176.66</v>
      </c>
      <c r="I12" s="15">
        <v>188.5</v>
      </c>
      <c r="J12" s="15">
        <v>138.55000000000001</v>
      </c>
      <c r="K12" s="15"/>
      <c r="L12" s="15"/>
      <c r="M12" s="15">
        <f t="shared" si="3"/>
        <v>503.71</v>
      </c>
    </row>
    <row r="13" spans="1:20" x14ac:dyDescent="0.2">
      <c r="A13" s="13">
        <v>45217.894444444442</v>
      </c>
      <c r="B13" s="13">
        <v>45218.43472222222</v>
      </c>
      <c r="C13" s="14">
        <f t="shared" si="1"/>
        <v>12.966666666674428</v>
      </c>
      <c r="D13" s="14">
        <f t="shared" si="2"/>
        <v>15.40440000000922</v>
      </c>
      <c r="E13" s="14">
        <f>(1.188*C13)+SUM(D$6:D12)</f>
        <v>165.56759999989856</v>
      </c>
      <c r="F13" s="14"/>
      <c r="G13" s="15"/>
      <c r="H13" s="15">
        <v>174.05</v>
      </c>
      <c r="I13" s="15">
        <v>187.36</v>
      </c>
      <c r="J13" s="15">
        <v>137.53</v>
      </c>
      <c r="K13" s="15"/>
      <c r="L13" s="15"/>
      <c r="M13" s="15">
        <f t="shared" si="3"/>
        <v>498.94000000000005</v>
      </c>
    </row>
    <row r="14" spans="1:20" x14ac:dyDescent="0.2">
      <c r="A14" s="13">
        <v>45218.445138888892</v>
      </c>
      <c r="B14" s="13">
        <v>45219.75277777778</v>
      </c>
      <c r="C14" s="14">
        <f t="shared" si="1"/>
        <v>31.383333333302289</v>
      </c>
      <c r="D14" s="14">
        <f t="shared" si="2"/>
        <v>37.283399999963116</v>
      </c>
      <c r="E14" s="14">
        <f>(1.188*C14)+SUM(D$6:D13)</f>
        <v>202.85099999986167</v>
      </c>
      <c r="F14" s="14"/>
      <c r="G14" s="15">
        <v>141.72999999999999</v>
      </c>
      <c r="H14" s="15">
        <v>168.34</v>
      </c>
      <c r="I14" s="15">
        <v>184.86</v>
      </c>
      <c r="J14" s="15">
        <v>135.21</v>
      </c>
      <c r="K14" s="15"/>
      <c r="L14" s="15"/>
      <c r="M14" s="15"/>
    </row>
    <row r="15" spans="1:20" x14ac:dyDescent="0.2">
      <c r="A15" s="13">
        <v>45220.725694444445</v>
      </c>
      <c r="B15" s="13">
        <v>45222.461805555555</v>
      </c>
      <c r="C15" s="14">
        <f t="shared" ref="C15" si="4">(B15-A15)*24</f>
        <v>41.666666666627862</v>
      </c>
      <c r="D15" s="14">
        <f t="shared" ref="D15" si="5">(1.188*C15)</f>
        <v>49.4999999999539</v>
      </c>
      <c r="E15" s="14">
        <f>(1.188*C15)+SUM(D$6:D14)</f>
        <v>252.35099999981557</v>
      </c>
      <c r="F15" s="14"/>
      <c r="G15" s="15"/>
      <c r="H15" s="15">
        <v>160.44999999999999</v>
      </c>
      <c r="I15" s="15">
        <v>181.23</v>
      </c>
      <c r="J15" s="15">
        <v>131.97</v>
      </c>
      <c r="K15" s="15"/>
      <c r="L15" s="15"/>
      <c r="M15" s="15"/>
      <c r="N15" t="s">
        <v>163</v>
      </c>
    </row>
    <row r="16" spans="1:20" x14ac:dyDescent="0.2">
      <c r="A16" s="11" t="s">
        <v>164</v>
      </c>
      <c r="B16" s="11"/>
      <c r="C16" s="11"/>
      <c r="D16" s="11"/>
      <c r="E16" s="16"/>
      <c r="F16" s="16"/>
      <c r="G16" s="17"/>
      <c r="H16" s="17"/>
      <c r="I16" s="17"/>
      <c r="J16" s="17"/>
      <c r="K16" s="17"/>
      <c r="L16" s="17"/>
      <c r="M16" s="17"/>
      <c r="O16" s="14"/>
    </row>
    <row r="17" spans="1:20" x14ac:dyDescent="0.2">
      <c r="E17" s="14"/>
      <c r="F17" s="14"/>
      <c r="G17" s="15"/>
      <c r="H17" s="15"/>
      <c r="I17" s="15"/>
      <c r="J17" s="15"/>
      <c r="K17" s="15"/>
      <c r="L17" s="15"/>
      <c r="M17" s="15"/>
    </row>
    <row r="18" spans="1:20" x14ac:dyDescent="0.2">
      <c r="A18" s="8" t="s">
        <v>153</v>
      </c>
      <c r="B18" s="8" t="s">
        <v>154</v>
      </c>
      <c r="C18" s="8" t="s">
        <v>155</v>
      </c>
      <c r="D18" s="8" t="s">
        <v>156</v>
      </c>
      <c r="E18" s="8" t="s">
        <v>157</v>
      </c>
      <c r="F18" s="8"/>
      <c r="G18" s="8" t="s">
        <v>36</v>
      </c>
      <c r="H18" s="8" t="s">
        <v>46</v>
      </c>
      <c r="I18" s="8" t="s">
        <v>49</v>
      </c>
      <c r="J18" s="8" t="s">
        <v>50</v>
      </c>
      <c r="K18" s="8"/>
      <c r="L18" s="8"/>
      <c r="M18" s="8"/>
    </row>
    <row r="19" spans="1:20" x14ac:dyDescent="0.2">
      <c r="A19" s="13"/>
      <c r="B19" s="13"/>
      <c r="C19">
        <f>C6</f>
        <v>0</v>
      </c>
      <c r="D19" s="14">
        <f>D6</f>
        <v>0</v>
      </c>
      <c r="E19" s="14">
        <f>E6</f>
        <v>0</v>
      </c>
      <c r="F19" s="14"/>
      <c r="G19" s="18">
        <f>100-G6/G$6*100</f>
        <v>0</v>
      </c>
      <c r="H19" s="18">
        <f t="shared" ref="H19:J19" si="6">100-H6/H$6*100</f>
        <v>0</v>
      </c>
      <c r="I19" s="18">
        <f t="shared" si="6"/>
        <v>0</v>
      </c>
      <c r="J19" s="18">
        <f t="shared" si="6"/>
        <v>0</v>
      </c>
      <c r="K19" s="18"/>
      <c r="L19" s="18"/>
      <c r="M19" s="18"/>
    </row>
    <row r="20" spans="1:20" x14ac:dyDescent="0.2">
      <c r="A20" s="13">
        <f>A7</f>
        <v>45212.576388888891</v>
      </c>
      <c r="B20" s="13">
        <f>B7</f>
        <v>45212.729861111111</v>
      </c>
      <c r="C20" s="14">
        <f>C7</f>
        <v>3.6833333332906477</v>
      </c>
      <c r="D20" s="14">
        <f t="shared" ref="D20:E20" si="7">D7</f>
        <v>4.3757999999492894</v>
      </c>
      <c r="E20" s="14">
        <f t="shared" si="7"/>
        <v>4.3757999999492894</v>
      </c>
      <c r="F20" s="14"/>
      <c r="G20" s="18">
        <f t="shared" ref="G20:J20" si="8">100-G7/G$6*100</f>
        <v>4.1452180980764126</v>
      </c>
      <c r="H20" s="18">
        <f t="shared" si="8"/>
        <v>1.5446641084179333</v>
      </c>
      <c r="I20" s="18">
        <f t="shared" si="8"/>
        <v>1.0286335987339896</v>
      </c>
      <c r="J20" s="18">
        <f t="shared" si="8"/>
        <v>1.5166436872168561</v>
      </c>
      <c r="K20" s="18"/>
      <c r="L20" s="18"/>
      <c r="M20" s="18"/>
    </row>
    <row r="21" spans="1:20" x14ac:dyDescent="0.2">
      <c r="A21" s="13">
        <f t="shared" ref="A21:E21" si="9">A8</f>
        <v>45212.736805555556</v>
      </c>
      <c r="B21" s="13">
        <f t="shared" si="9"/>
        <v>45212.900694444441</v>
      </c>
      <c r="C21" s="14">
        <f t="shared" si="9"/>
        <v>3.9333333332324401</v>
      </c>
      <c r="D21" s="14">
        <f t="shared" si="9"/>
        <v>4.6727999998801382</v>
      </c>
      <c r="E21" s="14">
        <f t="shared" si="9"/>
        <v>9.0485999998294275</v>
      </c>
      <c r="G21" s="18">
        <f t="shared" ref="G21:J21" si="10">100-G8/G$6*100</f>
        <v>6.3180709834733193</v>
      </c>
      <c r="H21" s="18">
        <f t="shared" si="10"/>
        <v>2.3364258998396963</v>
      </c>
      <c r="I21" s="18">
        <f t="shared" si="10"/>
        <v>1.468770090499973</v>
      </c>
      <c r="J21" s="18">
        <f t="shared" si="10"/>
        <v>2.1009782680060312</v>
      </c>
      <c r="K21" s="15"/>
      <c r="L21" s="15"/>
      <c r="M21" s="15"/>
    </row>
    <row r="22" spans="1:20" x14ac:dyDescent="0.2">
      <c r="A22" s="13">
        <f t="shared" ref="A22:E22" si="11">A9</f>
        <v>45212.913194444445</v>
      </c>
      <c r="B22" s="13">
        <f t="shared" si="11"/>
        <v>45213.36041666667</v>
      </c>
      <c r="C22" s="14">
        <f t="shared" si="11"/>
        <v>10.733333333395422</v>
      </c>
      <c r="D22" s="14">
        <f t="shared" si="11"/>
        <v>12.75120000007376</v>
      </c>
      <c r="E22" s="14">
        <f t="shared" si="11"/>
        <v>21.799799999903186</v>
      </c>
      <c r="G22" s="18">
        <f t="shared" ref="G22:J22" si="12">100-G9/G$6*100</f>
        <v>10.96179897046872</v>
      </c>
      <c r="H22" s="18">
        <f t="shared" si="12"/>
        <v>4.0268130373536621</v>
      </c>
      <c r="I22" s="18">
        <f t="shared" si="12"/>
        <v>2.1759556896295891</v>
      </c>
      <c r="J22" s="18">
        <f t="shared" si="12"/>
        <v>3.2105574157967425</v>
      </c>
      <c r="K22" s="15"/>
      <c r="L22" s="15"/>
      <c r="M22" s="15"/>
    </row>
    <row r="23" spans="1:20" x14ac:dyDescent="0.2">
      <c r="A23" s="13">
        <f t="shared" ref="A23:E23" si="13">A10</f>
        <v>45213.367361111108</v>
      </c>
      <c r="B23" s="13">
        <f t="shared" si="13"/>
        <v>45214.741666666669</v>
      </c>
      <c r="C23" s="14">
        <f t="shared" si="13"/>
        <v>32.983333333453629</v>
      </c>
      <c r="D23" s="14">
        <f t="shared" si="13"/>
        <v>39.184200000142908</v>
      </c>
      <c r="E23" s="14">
        <f t="shared" si="13"/>
        <v>60.984000000046095</v>
      </c>
      <c r="G23" s="18">
        <f t="shared" ref="G23:J23" si="14">100-G10/G$6*100</f>
        <v>100</v>
      </c>
      <c r="H23" s="18">
        <f t="shared" si="14"/>
        <v>7.8981881770049114</v>
      </c>
      <c r="I23" s="18">
        <f t="shared" si="14"/>
        <v>3.9760644874140922</v>
      </c>
      <c r="J23" s="18">
        <f t="shared" si="14"/>
        <v>5.4953712822533021</v>
      </c>
    </row>
    <row r="24" spans="1:20" x14ac:dyDescent="0.2">
      <c r="A24" s="13">
        <f t="shared" ref="A24:E24" si="15">A11</f>
        <v>45214.747916666667</v>
      </c>
      <c r="B24" s="13">
        <f t="shared" si="15"/>
        <v>45215.429861111108</v>
      </c>
      <c r="C24" s="14">
        <f t="shared" si="15"/>
        <v>16.366666666581295</v>
      </c>
      <c r="D24" s="14">
        <f t="shared" si="15"/>
        <v>19.443599999898577</v>
      </c>
      <c r="E24" s="14">
        <f t="shared" si="15"/>
        <v>80.427599999944675</v>
      </c>
      <c r="G24" s="18">
        <f t="shared" ref="G24:J24" si="16">100-G11/G$6*100</f>
        <v>100</v>
      </c>
      <c r="H24" s="18">
        <f t="shared" si="16"/>
        <v>9.4817117598484515</v>
      </c>
      <c r="I24" s="18">
        <f t="shared" si="16"/>
        <v>4.6288511943029675</v>
      </c>
      <c r="J24" s="18">
        <f t="shared" si="16"/>
        <v>6.3751559319808422</v>
      </c>
    </row>
    <row r="25" spans="1:20" x14ac:dyDescent="0.2">
      <c r="A25" s="13">
        <f t="shared" ref="A25:E27" si="17">A12</f>
        <v>45215.439583333333</v>
      </c>
      <c r="B25" s="13">
        <f t="shared" si="17"/>
        <v>45217.885416666664</v>
      </c>
      <c r="C25" s="14">
        <f t="shared" si="17"/>
        <v>58.699999999953434</v>
      </c>
      <c r="D25" s="14">
        <f t="shared" si="17"/>
        <v>69.735599999944682</v>
      </c>
      <c r="E25" s="14">
        <f t="shared" si="17"/>
        <v>150.16319999988934</v>
      </c>
      <c r="G25" s="18">
        <f t="shared" ref="G25:J25" si="18">100-G12/G$6*100</f>
        <v>100</v>
      </c>
      <c r="H25" s="18">
        <f t="shared" si="18"/>
        <v>14.188565599650275</v>
      </c>
      <c r="I25" s="18">
        <f t="shared" si="18"/>
        <v>6.7800801147322147</v>
      </c>
      <c r="J25" s="18">
        <f t="shared" si="18"/>
        <v>9.0342065524259709</v>
      </c>
    </row>
    <row r="26" spans="1:20" x14ac:dyDescent="0.2">
      <c r="A26" s="13">
        <f t="shared" si="17"/>
        <v>45217.894444444442</v>
      </c>
      <c r="B26" s="13">
        <f t="shared" si="17"/>
        <v>45218.43472222222</v>
      </c>
      <c r="C26" s="14">
        <f t="shared" si="17"/>
        <v>12.966666666674428</v>
      </c>
      <c r="D26" s="14">
        <f t="shared" si="17"/>
        <v>15.40440000000922</v>
      </c>
      <c r="E26" s="14">
        <f t="shared" si="17"/>
        <v>165.56759999989856</v>
      </c>
      <c r="G26" s="18">
        <f t="shared" ref="G26:J27" si="19">100-G13/G$6*100</f>
        <v>100</v>
      </c>
      <c r="H26" s="18">
        <f t="shared" si="19"/>
        <v>15.456355952785742</v>
      </c>
      <c r="I26" s="18">
        <f t="shared" si="19"/>
        <v>7.3438504524998791</v>
      </c>
      <c r="J26" s="18">
        <f t="shared" si="19"/>
        <v>9.7038933753529051</v>
      </c>
    </row>
    <row r="27" spans="1:20" x14ac:dyDescent="0.2">
      <c r="A27" s="13">
        <f t="shared" si="17"/>
        <v>45218.445138888892</v>
      </c>
      <c r="B27" s="13">
        <f t="shared" si="17"/>
        <v>45219.75277777778</v>
      </c>
      <c r="C27" s="14">
        <f t="shared" si="17"/>
        <v>31.383333333302289</v>
      </c>
      <c r="D27" s="14">
        <f t="shared" si="17"/>
        <v>37.283399999963116</v>
      </c>
      <c r="E27" s="14">
        <f t="shared" si="17"/>
        <v>202.85099999986167</v>
      </c>
      <c r="G27" s="18">
        <f t="shared" si="19"/>
        <v>23.202384177729613</v>
      </c>
      <c r="H27" s="18">
        <f t="shared" si="19"/>
        <v>18.229950939913536</v>
      </c>
      <c r="I27" s="18">
        <f t="shared" si="19"/>
        <v>8.5801889125166895</v>
      </c>
      <c r="J27" s="18">
        <f t="shared" si="19"/>
        <v>11.227102619657273</v>
      </c>
    </row>
    <row r="28" spans="1:20" x14ac:dyDescent="0.2">
      <c r="A28" s="13">
        <f>A15</f>
        <v>45220.725694444445</v>
      </c>
      <c r="B28" s="13"/>
      <c r="C28" s="14"/>
      <c r="D28" s="14"/>
      <c r="E28" s="14"/>
      <c r="G28" s="18"/>
      <c r="H28" s="18"/>
      <c r="I28" s="18"/>
      <c r="J28" s="18"/>
    </row>
    <row r="29" spans="1:20" x14ac:dyDescent="0.2">
      <c r="A29" s="19"/>
      <c r="B29" s="19"/>
      <c r="C29" s="19"/>
      <c r="D29" s="19"/>
      <c r="E29" s="19"/>
      <c r="F29" s="19"/>
      <c r="G29" s="19"/>
      <c r="H29" s="19"/>
      <c r="I29" s="19"/>
      <c r="J29" s="19"/>
      <c r="K29" s="19"/>
      <c r="L29" s="19"/>
      <c r="M29" s="19"/>
    </row>
    <row r="30" spans="1:20" x14ac:dyDescent="0.2">
      <c r="A30" s="11" t="s">
        <v>144</v>
      </c>
      <c r="B30" s="11" t="s">
        <v>165</v>
      </c>
      <c r="C30" s="11"/>
      <c r="D30" s="11"/>
      <c r="E30" s="11"/>
      <c r="F30" s="11"/>
      <c r="G30" s="11"/>
      <c r="H30" s="11"/>
      <c r="I30" s="11"/>
      <c r="J30" s="11"/>
      <c r="K30" s="11"/>
      <c r="L30" s="11"/>
      <c r="M30" s="11"/>
      <c r="O30" t="s">
        <v>166</v>
      </c>
      <c r="Q30" t="s">
        <v>148</v>
      </c>
      <c r="R30" t="s">
        <v>149</v>
      </c>
      <c r="T30" t="s">
        <v>150</v>
      </c>
    </row>
    <row r="31" spans="1:20" x14ac:dyDescent="0.2">
      <c r="G31" s="12" t="s">
        <v>167</v>
      </c>
      <c r="H31" s="12"/>
      <c r="I31" s="12"/>
      <c r="J31" s="12"/>
      <c r="K31" s="12"/>
      <c r="L31" s="12"/>
      <c r="M31" s="12"/>
      <c r="N31" t="s">
        <v>168</v>
      </c>
      <c r="O31">
        <v>34</v>
      </c>
      <c r="P31">
        <f>O31*60</f>
        <v>2040</v>
      </c>
      <c r="Q31">
        <v>60</v>
      </c>
      <c r="R31">
        <v>5.9999999999999995E-4</v>
      </c>
      <c r="T31">
        <f>P31*R31</f>
        <v>1.224</v>
      </c>
    </row>
    <row r="32" spans="1:20" x14ac:dyDescent="0.2">
      <c r="A32" s="8" t="s">
        <v>153</v>
      </c>
      <c r="B32" s="8" t="s">
        <v>154</v>
      </c>
      <c r="C32" s="8" t="s">
        <v>155</v>
      </c>
      <c r="D32" s="8" t="s">
        <v>156</v>
      </c>
      <c r="E32" s="8" t="s">
        <v>157</v>
      </c>
      <c r="F32" s="8"/>
      <c r="G32" s="8" t="s">
        <v>40</v>
      </c>
      <c r="H32" s="8" t="s">
        <v>42</v>
      </c>
      <c r="I32" s="8" t="s">
        <v>45</v>
      </c>
      <c r="J32" s="8" t="s">
        <v>51</v>
      </c>
      <c r="K32" s="8" t="s">
        <v>56</v>
      </c>
      <c r="L32" s="8"/>
      <c r="M32" s="8" t="s">
        <v>158</v>
      </c>
      <c r="O32" s="8"/>
    </row>
    <row r="33" spans="1:17" x14ac:dyDescent="0.2">
      <c r="C33">
        <v>0</v>
      </c>
      <c r="D33" s="14">
        <f>(1.224*C33)</f>
        <v>0</v>
      </c>
      <c r="E33" s="14">
        <f>(1.224*C33)</f>
        <v>0</v>
      </c>
      <c r="F33" s="14"/>
      <c r="G33">
        <v>249.42</v>
      </c>
      <c r="H33">
        <v>235.03</v>
      </c>
      <c r="I33" s="4">
        <v>214.69</v>
      </c>
      <c r="J33">
        <v>76.55</v>
      </c>
      <c r="K33" s="15">
        <v>188.63</v>
      </c>
      <c r="L33" s="15"/>
      <c r="M33" s="15">
        <f>SUM(G33:K33)</f>
        <v>964.31999999999994</v>
      </c>
    </row>
    <row r="34" spans="1:17" x14ac:dyDescent="0.2">
      <c r="A34" s="13">
        <v>45215.459027777775</v>
      </c>
      <c r="B34" s="13">
        <v>45215.504166666666</v>
      </c>
      <c r="C34" s="14">
        <f>(B34-A34)*24</f>
        <v>1.0833333333721384</v>
      </c>
      <c r="D34" s="14">
        <f>(1.224*C34)</f>
        <v>1.3260000000474974</v>
      </c>
      <c r="E34" s="14">
        <f>(1.224*C34)+SUM(D$33:D33)</f>
        <v>1.3260000000474974</v>
      </c>
      <c r="F34" s="14"/>
      <c r="G34" s="15">
        <v>230.17</v>
      </c>
      <c r="H34" s="15">
        <v>194.98</v>
      </c>
      <c r="I34" s="15">
        <v>206.75</v>
      </c>
      <c r="J34" s="15">
        <v>68.150000000000006</v>
      </c>
      <c r="K34" s="15">
        <v>186.63</v>
      </c>
      <c r="L34" s="15"/>
      <c r="M34" s="15">
        <f t="shared" ref="M34:M44" si="20">SUM(G34:K34)</f>
        <v>886.68</v>
      </c>
      <c r="N34" t="s">
        <v>169</v>
      </c>
      <c r="O34">
        <f>194.98+21.01</f>
        <v>215.98999999999998</v>
      </c>
      <c r="P34" t="s">
        <v>170</v>
      </c>
      <c r="Q34" t="s">
        <v>171</v>
      </c>
    </row>
    <row r="35" spans="1:17" x14ac:dyDescent="0.2">
      <c r="A35" s="13">
        <v>45215.520833333336</v>
      </c>
      <c r="B35" s="13">
        <v>45215.615277777775</v>
      </c>
      <c r="C35" s="14">
        <f t="shared" ref="C35:C43" si="21">(B35-A35)*24</f>
        <v>2.2666666665463708</v>
      </c>
      <c r="D35" s="14">
        <f t="shared" ref="D35:D43" si="22">(1.224*C35)</f>
        <v>2.7743999998527578</v>
      </c>
      <c r="E35" s="14">
        <f>(1.224*C35)+SUM(D$33:D34)</f>
        <v>4.1003999999002554</v>
      </c>
      <c r="F35" s="14"/>
      <c r="G35" s="15">
        <v>216.39</v>
      </c>
      <c r="H35" s="15">
        <v>189.25</v>
      </c>
      <c r="I35" s="15">
        <v>198.24</v>
      </c>
      <c r="J35" s="15">
        <v>54.51</v>
      </c>
      <c r="K35" s="15">
        <v>184.13</v>
      </c>
      <c r="L35" s="15"/>
      <c r="M35" s="15">
        <f t="shared" si="20"/>
        <v>842.52</v>
      </c>
      <c r="O35" t="s">
        <v>172</v>
      </c>
    </row>
    <row r="36" spans="1:17" x14ac:dyDescent="0.2">
      <c r="A36" s="13">
        <v>45215.625</v>
      </c>
      <c r="B36" s="13">
        <v>45215.796527777777</v>
      </c>
      <c r="C36" s="14">
        <f t="shared" si="21"/>
        <v>4.1166666666395031</v>
      </c>
      <c r="D36" s="14">
        <f t="shared" si="22"/>
        <v>5.0387999999667521</v>
      </c>
      <c r="E36" s="14">
        <f>(1.224*C36)+SUM(D$33:D35)</f>
        <v>9.1391999998670066</v>
      </c>
      <c r="F36" s="14"/>
      <c r="G36" s="15">
        <v>203.19</v>
      </c>
      <c r="H36" s="15">
        <v>181.86</v>
      </c>
      <c r="I36" s="15">
        <v>184.89</v>
      </c>
      <c r="J36" s="15">
        <v>54.5</v>
      </c>
      <c r="K36" s="15">
        <v>181.2</v>
      </c>
      <c r="L36" s="15"/>
      <c r="M36" s="15">
        <f t="shared" si="20"/>
        <v>805.6400000000001</v>
      </c>
      <c r="N36" t="s">
        <v>173</v>
      </c>
    </row>
    <row r="37" spans="1:17" x14ac:dyDescent="0.2">
      <c r="A37" s="13">
        <v>45216.422222222223</v>
      </c>
      <c r="B37" s="13">
        <v>45216.651388888888</v>
      </c>
      <c r="C37" s="14">
        <f t="shared" si="21"/>
        <v>5.4999999999417923</v>
      </c>
      <c r="D37" s="14">
        <f t="shared" si="22"/>
        <v>6.7319999999287541</v>
      </c>
      <c r="E37" s="14">
        <f>(1.224*C37)+SUM(D$33:D36)</f>
        <v>15.87119999979576</v>
      </c>
      <c r="F37" s="14"/>
      <c r="G37" s="15">
        <v>196.61</v>
      </c>
      <c r="H37" s="15">
        <v>174.05</v>
      </c>
      <c r="I37" s="15">
        <v>168.58</v>
      </c>
      <c r="J37" s="15">
        <v>54.5</v>
      </c>
      <c r="K37" s="15">
        <v>179.15</v>
      </c>
      <c r="L37" s="15"/>
      <c r="M37" s="15">
        <f t="shared" si="20"/>
        <v>772.89</v>
      </c>
    </row>
    <row r="38" spans="1:17" x14ac:dyDescent="0.2">
      <c r="A38" s="13">
        <v>45216.659722222219</v>
      </c>
      <c r="B38" s="13">
        <v>45216.840277777781</v>
      </c>
      <c r="C38" s="14">
        <f t="shared" si="21"/>
        <v>4.3333333334885538</v>
      </c>
      <c r="D38" s="14">
        <f t="shared" si="22"/>
        <v>5.3040000001899896</v>
      </c>
      <c r="E38" s="14">
        <f>(1.224*C38)+SUM(D$33:D37)</f>
        <v>21.17519999998575</v>
      </c>
      <c r="F38" s="14"/>
      <c r="G38" s="15">
        <v>155.47</v>
      </c>
      <c r="H38" s="15">
        <v>168.31</v>
      </c>
      <c r="I38" s="15">
        <v>156.01</v>
      </c>
      <c r="J38" s="15"/>
      <c r="K38" s="15">
        <v>176.5</v>
      </c>
      <c r="L38" s="15"/>
      <c r="M38" s="15">
        <f t="shared" si="20"/>
        <v>656.29</v>
      </c>
      <c r="N38" t="s">
        <v>174</v>
      </c>
    </row>
    <row r="39" spans="1:17" x14ac:dyDescent="0.2">
      <c r="A39" s="13">
        <v>45217.398611111108</v>
      </c>
      <c r="B39" s="13">
        <v>45217.453472222223</v>
      </c>
      <c r="C39" s="14">
        <f t="shared" si="21"/>
        <v>1.3166666667675599</v>
      </c>
      <c r="D39" s="14">
        <f t="shared" si="22"/>
        <v>1.6116000001234934</v>
      </c>
      <c r="E39" s="14">
        <f>(1.224*C39)+SUM(D$33:D38)</f>
        <v>22.786800000109245</v>
      </c>
      <c r="F39" s="14"/>
      <c r="G39" s="15">
        <v>154.52000000000001</v>
      </c>
      <c r="H39" s="15">
        <v>166.99</v>
      </c>
      <c r="I39" s="15">
        <v>152.76</v>
      </c>
      <c r="J39" s="15"/>
      <c r="K39" s="15">
        <v>176.84</v>
      </c>
      <c r="L39" s="15"/>
      <c r="M39" s="15">
        <f t="shared" si="20"/>
        <v>651.11</v>
      </c>
    </row>
    <row r="40" spans="1:17" x14ac:dyDescent="0.2">
      <c r="A40" s="13">
        <v>45217.620833333334</v>
      </c>
      <c r="B40" s="13">
        <v>45217.676388888889</v>
      </c>
      <c r="C40" s="14">
        <f t="shared" si="21"/>
        <v>1.3333333333139308</v>
      </c>
      <c r="D40" s="14">
        <f t="shared" si="22"/>
        <v>1.6319999999762513</v>
      </c>
      <c r="E40" s="14">
        <f>(1.224*C40)+SUM(D$33:D39)</f>
        <v>24.418800000085497</v>
      </c>
      <c r="F40" s="14"/>
      <c r="G40" s="15"/>
      <c r="H40" s="15"/>
      <c r="I40" s="15"/>
      <c r="J40" s="15"/>
      <c r="K40" s="15">
        <v>174.79</v>
      </c>
      <c r="L40" s="15"/>
      <c r="M40" s="15">
        <f t="shared" si="20"/>
        <v>174.79</v>
      </c>
      <c r="N40" t="s">
        <v>175</v>
      </c>
    </row>
    <row r="41" spans="1:17" x14ac:dyDescent="0.2">
      <c r="A41" s="13">
        <v>45217.679166666669</v>
      </c>
      <c r="B41" s="13">
        <v>45217.880555555559</v>
      </c>
      <c r="C41" s="14">
        <f t="shared" si="21"/>
        <v>4.8333333333721384</v>
      </c>
      <c r="D41" s="14">
        <f t="shared" si="22"/>
        <v>5.9160000000474975</v>
      </c>
      <c r="E41" s="14">
        <f>(1.224*C41)+SUM(D$33:D40)</f>
        <v>30.334800000132994</v>
      </c>
      <c r="F41" s="14"/>
      <c r="G41" s="15"/>
      <c r="H41" s="15"/>
      <c r="I41" s="15"/>
      <c r="J41" s="15"/>
      <c r="K41" s="15">
        <v>172.56</v>
      </c>
      <c r="L41" s="15"/>
      <c r="M41" s="15">
        <f t="shared" si="20"/>
        <v>172.56</v>
      </c>
    </row>
    <row r="42" spans="1:17" x14ac:dyDescent="0.2">
      <c r="A42" s="13">
        <v>45217.884722222225</v>
      </c>
      <c r="B42" s="13">
        <v>45218.435416666667</v>
      </c>
      <c r="C42" s="14">
        <f t="shared" si="21"/>
        <v>13.21666666661622</v>
      </c>
      <c r="D42" s="14">
        <f t="shared" si="22"/>
        <v>16.177199999938253</v>
      </c>
      <c r="E42" s="14">
        <f>(1.224*C42)+SUM(D$33:D41)</f>
        <v>46.512000000071247</v>
      </c>
      <c r="F42" s="14"/>
      <c r="G42" s="15"/>
      <c r="H42" s="15"/>
      <c r="I42" s="15"/>
      <c r="J42" s="15"/>
      <c r="K42" s="15">
        <v>167.47</v>
      </c>
      <c r="L42" s="15"/>
      <c r="M42" s="15">
        <f t="shared" si="20"/>
        <v>167.47</v>
      </c>
    </row>
    <row r="43" spans="1:17" x14ac:dyDescent="0.2">
      <c r="A43" s="13">
        <v>45218.906944444447</v>
      </c>
      <c r="B43" s="13">
        <v>45219.331944444442</v>
      </c>
      <c r="C43" s="14">
        <f t="shared" si="21"/>
        <v>10.199999999895226</v>
      </c>
      <c r="D43" s="14">
        <f t="shared" si="22"/>
        <v>12.484799999871756</v>
      </c>
      <c r="E43" s="14">
        <f>(1.224*C43)+SUM(D$33:D42)</f>
        <v>58.996799999943001</v>
      </c>
      <c r="F43" s="14"/>
      <c r="G43" s="15"/>
      <c r="H43" s="15"/>
      <c r="I43" s="15"/>
      <c r="J43" s="15"/>
      <c r="K43" s="15">
        <v>163.36000000000001</v>
      </c>
      <c r="L43" s="15"/>
      <c r="M43" s="15">
        <f t="shared" si="20"/>
        <v>163.36000000000001</v>
      </c>
    </row>
    <row r="44" spans="1:17" x14ac:dyDescent="0.2">
      <c r="A44" s="13">
        <v>45219.341666666667</v>
      </c>
      <c r="B44" s="13">
        <v>45220.74722222222</v>
      </c>
      <c r="C44" s="14">
        <f t="shared" ref="C44" si="23">(B44-A44)*24</f>
        <v>33.733333333279006</v>
      </c>
      <c r="D44" s="14">
        <f t="shared" ref="D44" si="24">(1.224*C44)</f>
        <v>41.2895999999335</v>
      </c>
      <c r="E44" s="14">
        <f>(1.224*C44)+SUM(D$33:D43)</f>
        <v>100.28639999987649</v>
      </c>
      <c r="F44" s="14"/>
      <c r="G44" s="15"/>
      <c r="H44" s="15"/>
      <c r="I44" s="15"/>
      <c r="J44" s="15"/>
      <c r="K44" s="15">
        <v>161.02000000000001</v>
      </c>
      <c r="L44" s="15"/>
      <c r="M44" s="15">
        <f t="shared" si="20"/>
        <v>161.02000000000001</v>
      </c>
      <c r="N44" t="s">
        <v>216</v>
      </c>
    </row>
    <row r="45" spans="1:17" x14ac:dyDescent="0.2">
      <c r="A45" s="13">
        <v>45243.445833333331</v>
      </c>
      <c r="B45" s="13">
        <v>45243.536805555559</v>
      </c>
      <c r="C45" s="14">
        <f t="shared" ref="C45" si="25">(B45-A45)*24</f>
        <v>2.1833333334652707</v>
      </c>
      <c r="D45" s="14">
        <f t="shared" ref="D45" si="26">(1.224*C45)</f>
        <v>2.6724000001614914</v>
      </c>
      <c r="E45" s="14">
        <f>(1.224*C45)+SUM(D$33:D44)</f>
        <v>102.95880000003798</v>
      </c>
      <c r="F45" s="14"/>
      <c r="G45" s="15">
        <v>149.66</v>
      </c>
      <c r="H45" s="15"/>
      <c r="I45" s="15"/>
      <c r="J45" s="15"/>
      <c r="K45" s="15"/>
      <c r="L45" s="15"/>
      <c r="M45" s="15"/>
    </row>
    <row r="46" spans="1:17" x14ac:dyDescent="0.2">
      <c r="A46" s="13">
        <v>45243.540277777778</v>
      </c>
      <c r="B46" s="13">
        <v>45243.652777777781</v>
      </c>
      <c r="C46" s="14">
        <f t="shared" ref="C46" si="27">(B46-A46)*24</f>
        <v>2.7000000000698492</v>
      </c>
      <c r="D46" s="14">
        <f t="shared" ref="D46" si="28">(1.224*C46)</f>
        <v>3.3048000000854953</v>
      </c>
      <c r="E46" s="14">
        <f>(1.224*C46)+SUM(D$33:D45)</f>
        <v>106.26360000012347</v>
      </c>
      <c r="F46" s="14"/>
      <c r="G46" s="15">
        <v>142.25</v>
      </c>
      <c r="H46" s="15"/>
      <c r="I46" s="15"/>
      <c r="J46" s="15"/>
      <c r="K46" s="15"/>
      <c r="L46" s="15"/>
      <c r="M46" s="15"/>
    </row>
    <row r="47" spans="1:17" x14ac:dyDescent="0.2">
      <c r="A47" s="13">
        <v>45243.65625</v>
      </c>
      <c r="B47" s="13">
        <v>45243.978472222225</v>
      </c>
      <c r="C47" s="14"/>
      <c r="D47" s="14"/>
      <c r="E47" s="14"/>
      <c r="F47" s="14"/>
      <c r="G47" s="15">
        <v>88.93</v>
      </c>
      <c r="H47" s="15"/>
      <c r="I47" s="15"/>
      <c r="J47" s="15"/>
      <c r="K47" s="15"/>
      <c r="L47" s="15"/>
      <c r="M47" s="15"/>
      <c r="N47" t="s">
        <v>220</v>
      </c>
    </row>
    <row r="48" spans="1:17" x14ac:dyDescent="0.2">
      <c r="A48" s="11" t="s">
        <v>176</v>
      </c>
      <c r="B48" s="11"/>
      <c r="C48" s="11"/>
      <c r="D48" s="11"/>
      <c r="E48" s="16"/>
      <c r="F48" s="16"/>
      <c r="G48" s="17"/>
      <c r="H48" s="17"/>
      <c r="I48" s="17"/>
      <c r="J48" s="17"/>
      <c r="K48" s="17"/>
      <c r="L48" s="17"/>
      <c r="M48" s="17"/>
    </row>
    <row r="49" spans="1:13" x14ac:dyDescent="0.2">
      <c r="E49" s="14"/>
      <c r="F49" s="14"/>
      <c r="G49" s="15"/>
      <c r="H49" s="15"/>
      <c r="I49" s="15"/>
      <c r="J49" s="15"/>
      <c r="K49" s="15"/>
      <c r="L49" s="15"/>
      <c r="M49" s="15"/>
    </row>
    <row r="50" spans="1:13" x14ac:dyDescent="0.2">
      <c r="A50" s="8" t="s">
        <v>153</v>
      </c>
      <c r="B50" s="8" t="s">
        <v>154</v>
      </c>
      <c r="C50" s="8" t="s">
        <v>155</v>
      </c>
      <c r="D50" s="8" t="s">
        <v>156</v>
      </c>
      <c r="E50" s="8" t="s">
        <v>157</v>
      </c>
      <c r="F50" s="8"/>
      <c r="G50" s="8" t="s">
        <v>40</v>
      </c>
      <c r="H50" s="8" t="s">
        <v>42</v>
      </c>
      <c r="I50" s="8" t="s">
        <v>45</v>
      </c>
      <c r="J50" s="8" t="s">
        <v>51</v>
      </c>
      <c r="K50" s="8" t="s">
        <v>56</v>
      </c>
      <c r="L50" s="8"/>
      <c r="M50" s="8"/>
    </row>
    <row r="51" spans="1:13" x14ac:dyDescent="0.2">
      <c r="A51" s="13"/>
      <c r="B51" s="13"/>
      <c r="C51">
        <f t="shared" ref="C51:E57" si="29">C33</f>
        <v>0</v>
      </c>
      <c r="D51" s="14">
        <f t="shared" si="29"/>
        <v>0</v>
      </c>
      <c r="E51" s="14">
        <f t="shared" si="29"/>
        <v>0</v>
      </c>
      <c r="F51" s="14"/>
      <c r="G51" s="18">
        <f>1-G33/G$33</f>
        <v>0</v>
      </c>
      <c r="H51" s="18">
        <f>1-H33/H$33</f>
        <v>0</v>
      </c>
      <c r="I51" s="18">
        <f>1-I33/I$33</f>
        <v>0</v>
      </c>
      <c r="J51" s="18">
        <f>1-J33/J$33</f>
        <v>0</v>
      </c>
      <c r="K51" s="18">
        <f>1-K33/K$33</f>
        <v>0</v>
      </c>
      <c r="L51" s="18"/>
      <c r="M51" s="18"/>
    </row>
    <row r="52" spans="1:13" x14ac:dyDescent="0.2">
      <c r="A52" s="13">
        <f>A34</f>
        <v>45215.459027777775</v>
      </c>
      <c r="B52" s="13">
        <f>B34</f>
        <v>45215.504166666666</v>
      </c>
      <c r="C52" s="14">
        <f t="shared" si="29"/>
        <v>1.0833333333721384</v>
      </c>
      <c r="D52" s="14">
        <f t="shared" si="29"/>
        <v>1.3260000000474974</v>
      </c>
      <c r="E52" s="14">
        <f t="shared" si="29"/>
        <v>1.3260000000474974</v>
      </c>
      <c r="F52" s="14"/>
      <c r="G52" s="18">
        <f t="shared" ref="G52:K57" si="30">100-G34/G$33*100</f>
        <v>7.7179055408547868</v>
      </c>
      <c r="H52" s="18">
        <f t="shared" si="30"/>
        <v>17.040377824107566</v>
      </c>
      <c r="I52" s="18">
        <f t="shared" si="30"/>
        <v>3.6983557687828892</v>
      </c>
      <c r="J52" s="18">
        <f t="shared" si="30"/>
        <v>10.973220117570207</v>
      </c>
      <c r="K52" s="18">
        <f t="shared" si="30"/>
        <v>1.0602767322271234</v>
      </c>
      <c r="L52" s="18"/>
      <c r="M52" s="18"/>
    </row>
    <row r="53" spans="1:13" x14ac:dyDescent="0.2">
      <c r="A53" s="13">
        <f t="shared" ref="A53:B53" si="31">A35</f>
        <v>45215.520833333336</v>
      </c>
      <c r="B53" s="13">
        <f t="shared" si="31"/>
        <v>45215.615277777775</v>
      </c>
      <c r="C53" s="14">
        <f t="shared" si="29"/>
        <v>2.2666666665463708</v>
      </c>
      <c r="D53" s="14">
        <f t="shared" si="29"/>
        <v>2.7743999998527578</v>
      </c>
      <c r="E53" s="14">
        <f t="shared" si="29"/>
        <v>4.1003999999002554</v>
      </c>
      <c r="G53" s="18">
        <f t="shared" si="30"/>
        <v>13.242723117632906</v>
      </c>
      <c r="H53" s="18">
        <f t="shared" si="30"/>
        <v>19.478364464110967</v>
      </c>
      <c r="I53" s="18">
        <f t="shared" si="30"/>
        <v>7.6622106292794143</v>
      </c>
      <c r="J53" s="18">
        <f t="shared" si="30"/>
        <v>28.791639451338995</v>
      </c>
      <c r="K53" s="18">
        <f t="shared" si="30"/>
        <v>2.3856226475109992</v>
      </c>
      <c r="L53" s="15"/>
      <c r="M53" s="15"/>
    </row>
    <row r="54" spans="1:13" x14ac:dyDescent="0.2">
      <c r="A54" s="13">
        <f t="shared" ref="A54:B54" si="32">A36</f>
        <v>45215.625</v>
      </c>
      <c r="B54" s="13">
        <f t="shared" si="32"/>
        <v>45215.796527777777</v>
      </c>
      <c r="C54" s="14">
        <f t="shared" si="29"/>
        <v>4.1166666666395031</v>
      </c>
      <c r="D54" s="14">
        <f t="shared" si="29"/>
        <v>5.0387999999667521</v>
      </c>
      <c r="E54" s="14">
        <f t="shared" si="29"/>
        <v>9.1391999998670066</v>
      </c>
      <c r="G54" s="18">
        <f t="shared" si="30"/>
        <v>18.535001202790468</v>
      </c>
      <c r="H54" s="18">
        <f t="shared" si="30"/>
        <v>22.622643917797731</v>
      </c>
      <c r="I54" s="18">
        <f t="shared" si="30"/>
        <v>13.880478829940841</v>
      </c>
      <c r="J54" s="18">
        <f t="shared" si="30"/>
        <v>28.804702808621812</v>
      </c>
      <c r="K54" s="18">
        <f t="shared" si="30"/>
        <v>3.9389280602237164</v>
      </c>
      <c r="L54" s="15"/>
      <c r="M54" s="15"/>
    </row>
    <row r="55" spans="1:13" x14ac:dyDescent="0.2">
      <c r="A55" s="13">
        <f t="shared" ref="A55:B55" si="33">A37</f>
        <v>45216.422222222223</v>
      </c>
      <c r="B55" s="13">
        <f t="shared" si="33"/>
        <v>45216.651388888888</v>
      </c>
      <c r="C55" s="14">
        <f t="shared" si="29"/>
        <v>5.4999999999417923</v>
      </c>
      <c r="D55" s="14">
        <f t="shared" si="29"/>
        <v>6.7319999999287541</v>
      </c>
      <c r="E55" s="14">
        <f t="shared" si="29"/>
        <v>15.87119999979576</v>
      </c>
      <c r="G55" s="18">
        <f t="shared" si="30"/>
        <v>21.173121642209907</v>
      </c>
      <c r="H55" s="18">
        <f t="shared" si="30"/>
        <v>25.945623962898338</v>
      </c>
      <c r="I55" s="18">
        <f t="shared" si="30"/>
        <v>21.477479155992356</v>
      </c>
      <c r="J55" s="18">
        <f t="shared" si="30"/>
        <v>28.804702808621812</v>
      </c>
      <c r="K55" s="18">
        <f t="shared" si="30"/>
        <v>5.0257117107564966</v>
      </c>
    </row>
    <row r="56" spans="1:13" x14ac:dyDescent="0.2">
      <c r="A56" s="13">
        <f t="shared" ref="A56:B56" si="34">A38</f>
        <v>45216.659722222219</v>
      </c>
      <c r="B56" s="13">
        <f t="shared" si="34"/>
        <v>45216.840277777781</v>
      </c>
      <c r="C56" s="14">
        <f t="shared" si="29"/>
        <v>4.3333333334885538</v>
      </c>
      <c r="D56" s="14">
        <f t="shared" si="29"/>
        <v>5.3040000001899896</v>
      </c>
      <c r="E56" s="14">
        <f t="shared" si="29"/>
        <v>21.17519999998575</v>
      </c>
      <c r="G56" s="18">
        <f t="shared" si="30"/>
        <v>37.667388340951</v>
      </c>
      <c r="H56" s="18">
        <f t="shared" si="30"/>
        <v>28.387865378887795</v>
      </c>
      <c r="I56" s="18">
        <f t="shared" si="30"/>
        <v>27.332432810098283</v>
      </c>
      <c r="J56" s="18">
        <f t="shared" si="30"/>
        <v>100</v>
      </c>
      <c r="K56" s="18">
        <f t="shared" si="30"/>
        <v>6.430578380957428</v>
      </c>
    </row>
    <row r="57" spans="1:13" x14ac:dyDescent="0.2">
      <c r="A57" s="13">
        <f t="shared" ref="A57:B57" si="35">A39</f>
        <v>45217.398611111108</v>
      </c>
      <c r="B57" s="13">
        <f t="shared" si="35"/>
        <v>45217.453472222223</v>
      </c>
      <c r="C57" s="14">
        <f t="shared" si="29"/>
        <v>1.3166666667675599</v>
      </c>
      <c r="D57" s="14">
        <f t="shared" si="29"/>
        <v>1.6116000001234934</v>
      </c>
      <c r="E57" s="14">
        <f t="shared" si="29"/>
        <v>22.786800000109245</v>
      </c>
      <c r="G57" s="18">
        <f t="shared" si="30"/>
        <v>38.048271991019156</v>
      </c>
      <c r="H57" s="18">
        <f t="shared" si="30"/>
        <v>28.949495809045658</v>
      </c>
      <c r="I57" s="18">
        <f t="shared" si="30"/>
        <v>28.846243420746191</v>
      </c>
      <c r="J57" s="18">
        <f t="shared" si="30"/>
        <v>100</v>
      </c>
      <c r="K57" s="18">
        <f t="shared" si="30"/>
        <v>6.2503313364788227</v>
      </c>
    </row>
    <row r="58" spans="1:13" x14ac:dyDescent="0.2">
      <c r="A58" s="13">
        <f t="shared" ref="A58:B58" si="36">A40</f>
        <v>45217.620833333334</v>
      </c>
      <c r="B58" s="13">
        <f t="shared" si="36"/>
        <v>45217.676388888889</v>
      </c>
      <c r="C58" s="14">
        <f t="shared" ref="C58:E58" si="37">C40</f>
        <v>1.3333333333139308</v>
      </c>
      <c r="D58" s="14">
        <f t="shared" si="37"/>
        <v>1.6319999999762513</v>
      </c>
      <c r="E58" s="14">
        <f t="shared" si="37"/>
        <v>24.418800000085497</v>
      </c>
      <c r="G58" s="18">
        <f t="shared" ref="G58:K58" si="38">100-G40/G$33*100</f>
        <v>100</v>
      </c>
      <c r="H58" s="18">
        <f t="shared" si="38"/>
        <v>100</v>
      </c>
      <c r="I58" s="18">
        <f t="shared" si="38"/>
        <v>100</v>
      </c>
      <c r="J58" s="18">
        <f t="shared" si="38"/>
        <v>100</v>
      </c>
      <c r="K58" s="18">
        <f t="shared" si="38"/>
        <v>7.337114987011617</v>
      </c>
    </row>
    <row r="59" spans="1:13" x14ac:dyDescent="0.2">
      <c r="A59" s="13">
        <f t="shared" ref="A59:B59" si="39">A41</f>
        <v>45217.679166666669</v>
      </c>
      <c r="B59" s="13">
        <f t="shared" si="39"/>
        <v>45217.880555555559</v>
      </c>
      <c r="C59" s="14">
        <f t="shared" ref="C59:E59" si="40">C41</f>
        <v>4.8333333333721384</v>
      </c>
      <c r="D59" s="14">
        <f t="shared" si="40"/>
        <v>5.9160000000474975</v>
      </c>
      <c r="E59" s="14">
        <f t="shared" si="40"/>
        <v>30.334800000132994</v>
      </c>
      <c r="G59" s="18">
        <f t="shared" ref="G59" si="41">100-G41/G$33*100</f>
        <v>100</v>
      </c>
      <c r="H59" s="18"/>
      <c r="I59" s="18"/>
      <c r="J59" s="18"/>
      <c r="K59" s="18">
        <f t="shared" ref="K59" si="42">100-K41/K$33*100</f>
        <v>8.5193235434448411</v>
      </c>
    </row>
    <row r="60" spans="1:13" x14ac:dyDescent="0.2">
      <c r="A60" s="13">
        <f t="shared" ref="A60:E64" si="43">A42</f>
        <v>45217.884722222225</v>
      </c>
      <c r="B60" s="13">
        <f t="shared" si="43"/>
        <v>45218.435416666667</v>
      </c>
      <c r="C60" s="14">
        <f t="shared" si="43"/>
        <v>13.21666666661622</v>
      </c>
      <c r="D60" s="14">
        <f t="shared" si="43"/>
        <v>16.177199999938253</v>
      </c>
      <c r="E60" s="14">
        <f t="shared" si="43"/>
        <v>46.512000000071247</v>
      </c>
      <c r="G60" s="18">
        <f t="shared" ref="G60" si="44">100-G42/G$33*100</f>
        <v>100</v>
      </c>
      <c r="H60" s="18"/>
      <c r="I60" s="18"/>
      <c r="J60" s="18"/>
      <c r="K60" s="18">
        <f>100-K42/K$33*100</f>
        <v>11.217727826962829</v>
      </c>
    </row>
    <row r="61" spans="1:13" x14ac:dyDescent="0.2">
      <c r="A61" s="13">
        <f t="shared" si="43"/>
        <v>45218.906944444447</v>
      </c>
      <c r="B61" s="13">
        <f t="shared" si="43"/>
        <v>45219.331944444442</v>
      </c>
      <c r="C61" s="14">
        <f t="shared" si="43"/>
        <v>10.199999999895226</v>
      </c>
      <c r="D61" s="14">
        <f t="shared" si="43"/>
        <v>12.484799999871756</v>
      </c>
      <c r="E61" s="14">
        <f t="shared" si="43"/>
        <v>58.996799999943001</v>
      </c>
      <c r="G61" s="18">
        <f t="shared" ref="G61" si="45">100-G43/G$33*100</f>
        <v>100</v>
      </c>
      <c r="H61" s="18"/>
      <c r="I61" s="18"/>
      <c r="J61" s="18"/>
      <c r="K61" s="18">
        <f>100-K43/K$33*100</f>
        <v>13.396596511689538</v>
      </c>
    </row>
    <row r="62" spans="1:13" x14ac:dyDescent="0.2">
      <c r="A62" s="13">
        <f t="shared" si="43"/>
        <v>45219.341666666667</v>
      </c>
      <c r="B62" s="13">
        <f t="shared" si="43"/>
        <v>45220.74722222222</v>
      </c>
      <c r="C62" s="14">
        <f t="shared" si="43"/>
        <v>33.733333333279006</v>
      </c>
      <c r="D62" s="14">
        <f t="shared" si="43"/>
        <v>41.2895999999335</v>
      </c>
      <c r="E62" s="14">
        <f t="shared" si="43"/>
        <v>100.28639999987649</v>
      </c>
      <c r="G62" s="18">
        <f t="shared" ref="G62" si="46">100-G44/G$33*100</f>
        <v>100</v>
      </c>
      <c r="H62" s="18"/>
      <c r="I62" s="18"/>
      <c r="J62" s="18"/>
      <c r="K62" s="18"/>
    </row>
    <row r="63" spans="1:13" x14ac:dyDescent="0.2">
      <c r="A63" s="13">
        <f t="shared" si="43"/>
        <v>45243.445833333331</v>
      </c>
      <c r="B63" s="13">
        <f t="shared" si="43"/>
        <v>45243.536805555559</v>
      </c>
      <c r="C63" s="14">
        <f t="shared" si="43"/>
        <v>2.1833333334652707</v>
      </c>
      <c r="D63" s="14">
        <f t="shared" si="43"/>
        <v>2.6724000001614914</v>
      </c>
      <c r="E63" s="14">
        <f t="shared" si="43"/>
        <v>102.95880000003798</v>
      </c>
      <c r="G63" s="18">
        <f>100-G45/G$33*100</f>
        <v>39.996792558736274</v>
      </c>
      <c r="H63" s="18"/>
      <c r="I63" s="18"/>
      <c r="J63" s="18"/>
      <c r="K63" s="18"/>
    </row>
    <row r="64" spans="1:13" x14ac:dyDescent="0.2">
      <c r="A64" s="13">
        <f t="shared" si="43"/>
        <v>45243.540277777778</v>
      </c>
      <c r="B64" s="13">
        <f t="shared" si="43"/>
        <v>45243.652777777781</v>
      </c>
      <c r="C64" s="14">
        <f t="shared" si="43"/>
        <v>2.7000000000698492</v>
      </c>
      <c r="D64" s="14">
        <f t="shared" si="43"/>
        <v>3.3048000000854953</v>
      </c>
      <c r="E64" s="14">
        <f t="shared" si="43"/>
        <v>106.26360000012347</v>
      </c>
      <c r="G64" s="18">
        <f>100-G46/G$33*100</f>
        <v>42.967685029267898</v>
      </c>
      <c r="H64" s="18"/>
      <c r="I64" s="18"/>
      <c r="J64" s="18"/>
      <c r="K64" s="18"/>
    </row>
    <row r="65" spans="1:13" x14ac:dyDescent="0.2">
      <c r="A65" s="13"/>
      <c r="B65" s="13"/>
      <c r="C65" s="14"/>
      <c r="D65" s="14"/>
      <c r="E65" s="14"/>
      <c r="G65" s="18">
        <f>100-G47/G$33*100</f>
        <v>64.345281052040733</v>
      </c>
      <c r="H65" s="18"/>
      <c r="I65" s="18"/>
      <c r="J65" s="18"/>
      <c r="K65" s="18"/>
    </row>
    <row r="66" spans="1:13" x14ac:dyDescent="0.2">
      <c r="A66" s="19"/>
      <c r="B66" s="19"/>
      <c r="C66" s="19"/>
      <c r="D66" s="19"/>
      <c r="E66" s="19"/>
      <c r="F66" s="19"/>
      <c r="G66" s="19"/>
      <c r="H66" s="19"/>
      <c r="I66" s="19"/>
      <c r="J66" s="19"/>
      <c r="K66" s="19"/>
      <c r="L66" s="19"/>
      <c r="M66" s="19"/>
    </row>
    <row r="67" spans="1:13" x14ac:dyDescent="0.2">
      <c r="A67" s="11" t="s">
        <v>144</v>
      </c>
      <c r="B67" s="11" t="s">
        <v>165</v>
      </c>
      <c r="C67" s="11"/>
      <c r="D67" s="11"/>
      <c r="E67" s="11"/>
      <c r="F67" s="11"/>
      <c r="G67" s="11"/>
      <c r="H67" s="11"/>
      <c r="I67" s="11"/>
      <c r="J67" s="11"/>
      <c r="K67" s="11"/>
      <c r="L67" s="11"/>
      <c r="M67" s="11"/>
    </row>
    <row r="68" spans="1:13" x14ac:dyDescent="0.2">
      <c r="G68" s="12" t="s">
        <v>177</v>
      </c>
      <c r="H68" s="12"/>
      <c r="I68" s="12"/>
      <c r="J68" s="12"/>
      <c r="K68" s="12"/>
      <c r="L68" s="12"/>
      <c r="M68" s="12"/>
    </row>
    <row r="69" spans="1:13" x14ac:dyDescent="0.2">
      <c r="A69" s="8" t="s">
        <v>153</v>
      </c>
      <c r="B69" s="8" t="s">
        <v>154</v>
      </c>
      <c r="C69" s="8" t="s">
        <v>155</v>
      </c>
      <c r="D69" s="8" t="s">
        <v>156</v>
      </c>
      <c r="E69" s="8" t="s">
        <v>157</v>
      </c>
      <c r="F69" s="8"/>
      <c r="G69" s="8" t="s">
        <v>43</v>
      </c>
      <c r="H69" s="8" t="s">
        <v>48</v>
      </c>
      <c r="I69" s="8" t="s">
        <v>55</v>
      </c>
      <c r="J69" s="8"/>
      <c r="K69" s="8"/>
      <c r="L69" s="8"/>
      <c r="M69" s="8" t="s">
        <v>158</v>
      </c>
    </row>
    <row r="70" spans="1:13" x14ac:dyDescent="0.2">
      <c r="C70">
        <v>0</v>
      </c>
      <c r="D70" s="14">
        <f>(1.224*C70)</f>
        <v>0</v>
      </c>
      <c r="E70" s="14">
        <f>(1.224*C70)</f>
        <v>0</v>
      </c>
      <c r="F70" s="14"/>
      <c r="G70">
        <v>153.12</v>
      </c>
      <c r="H70">
        <v>160.27000000000001</v>
      </c>
      <c r="I70">
        <v>191.91</v>
      </c>
      <c r="L70" s="15"/>
      <c r="M70" s="15">
        <f>SUM(G70:K70)</f>
        <v>505.29999999999995</v>
      </c>
    </row>
    <row r="71" spans="1:13" x14ac:dyDescent="0.2">
      <c r="A71" s="13">
        <v>45218.45416666667</v>
      </c>
      <c r="B71" s="13">
        <v>45218.539583333331</v>
      </c>
      <c r="C71" s="14">
        <f>(B71-A71)*24</f>
        <v>2.0499999998719431</v>
      </c>
      <c r="D71" s="14">
        <f>(1.224*C71)</f>
        <v>2.5091999998432581</v>
      </c>
      <c r="E71" s="14">
        <f>(1.224*C71)+SUM(D$70:D70)</f>
        <v>2.5091999998432581</v>
      </c>
      <c r="F71" s="14"/>
      <c r="G71" s="15">
        <v>135.75</v>
      </c>
      <c r="H71" s="15">
        <v>152.51</v>
      </c>
      <c r="I71" s="15">
        <v>186.57</v>
      </c>
      <c r="J71" s="15"/>
      <c r="K71" s="15"/>
      <c r="L71" s="15"/>
      <c r="M71" s="15">
        <f t="shared" ref="M71:M77" si="47">SUM(G71:K71)</f>
        <v>474.83</v>
      </c>
    </row>
    <row r="72" spans="1:13" x14ac:dyDescent="0.2">
      <c r="A72" s="13">
        <v>45218.556250000001</v>
      </c>
      <c r="B72" s="13">
        <v>45218.685416666667</v>
      </c>
      <c r="C72" s="14">
        <f t="shared" ref="C72:C77" si="48">(B72-A72)*24</f>
        <v>3.0999999999767169</v>
      </c>
      <c r="D72" s="14">
        <f t="shared" ref="D72:D77" si="49">(1.224*C72)</f>
        <v>3.7943999999715015</v>
      </c>
      <c r="E72" s="14">
        <f>(1.224*C72)+SUM(D$70:D71)</f>
        <v>6.3035999998147592</v>
      </c>
      <c r="F72" s="14"/>
      <c r="G72" s="15">
        <v>120.17</v>
      </c>
      <c r="H72" s="15">
        <v>149.69999999999999</v>
      </c>
      <c r="I72" s="15">
        <v>183.35</v>
      </c>
      <c r="J72" s="15"/>
      <c r="K72" s="15"/>
      <c r="L72" s="15"/>
      <c r="M72" s="15">
        <f t="shared" si="47"/>
        <v>453.22</v>
      </c>
    </row>
    <row r="73" spans="1:13" x14ac:dyDescent="0.2">
      <c r="A73" s="13">
        <v>45218.69027777778</v>
      </c>
      <c r="B73" s="13">
        <v>45218.90347222222</v>
      </c>
      <c r="C73" s="14">
        <f t="shared" si="48"/>
        <v>5.1166666665812954</v>
      </c>
      <c r="D73" s="14">
        <f t="shared" si="49"/>
        <v>6.2627999998955053</v>
      </c>
      <c r="E73" s="14">
        <f>(1.224*C73)+SUM(D$70:D72)</f>
        <v>12.566399999710264</v>
      </c>
      <c r="F73" s="14"/>
      <c r="G73" s="15"/>
      <c r="H73" s="15">
        <v>145.4</v>
      </c>
      <c r="I73" s="15">
        <v>179.9</v>
      </c>
      <c r="J73" s="15"/>
      <c r="K73" s="15"/>
      <c r="L73" s="15"/>
      <c r="M73" s="15">
        <f t="shared" si="47"/>
        <v>325.3</v>
      </c>
    </row>
    <row r="74" spans="1:13" x14ac:dyDescent="0.2">
      <c r="A74" s="13">
        <v>45218.906944444447</v>
      </c>
      <c r="B74" s="13">
        <v>45219.331944444442</v>
      </c>
      <c r="C74" s="14">
        <f t="shared" si="48"/>
        <v>10.199999999895226</v>
      </c>
      <c r="D74" s="14">
        <f t="shared" si="49"/>
        <v>12.484799999871756</v>
      </c>
      <c r="E74" s="14">
        <f>(1.224*C74)+SUM(D$70:D73)</f>
        <v>25.051199999582018</v>
      </c>
      <c r="F74" s="14"/>
      <c r="G74" s="15"/>
      <c r="H74" s="15"/>
      <c r="I74" s="15">
        <v>174.14</v>
      </c>
      <c r="J74" s="15"/>
      <c r="K74" s="15"/>
      <c r="L74" s="15"/>
      <c r="M74" s="15">
        <f t="shared" si="47"/>
        <v>174.14</v>
      </c>
    </row>
    <row r="75" spans="1:13" x14ac:dyDescent="0.2">
      <c r="A75" s="13">
        <v>45219.341666666667</v>
      </c>
      <c r="B75" s="13">
        <v>45220.74722222222</v>
      </c>
      <c r="C75" s="14">
        <f t="shared" si="48"/>
        <v>33.733333333279006</v>
      </c>
      <c r="D75" s="14">
        <f t="shared" si="49"/>
        <v>41.2895999999335</v>
      </c>
      <c r="E75" s="14">
        <f>(1.224*C75)+SUM(D$70:D74)</f>
        <v>66.340799999515525</v>
      </c>
      <c r="F75" s="14"/>
      <c r="G75" s="15"/>
      <c r="H75" s="15">
        <v>138.35</v>
      </c>
      <c r="I75" s="15">
        <v>169.09</v>
      </c>
      <c r="J75" s="15"/>
      <c r="K75" s="15"/>
      <c r="L75" s="15"/>
      <c r="M75" s="15">
        <f t="shared" si="47"/>
        <v>307.44</v>
      </c>
    </row>
    <row r="76" spans="1:13" x14ac:dyDescent="0.2">
      <c r="A76" s="13"/>
      <c r="B76" s="13"/>
      <c r="C76" s="14">
        <f t="shared" si="48"/>
        <v>0</v>
      </c>
      <c r="D76" s="14">
        <f t="shared" si="49"/>
        <v>0</v>
      </c>
      <c r="E76" s="14">
        <f>(1.224*C76)+SUM(D$70:D75)</f>
        <v>66.340799999515525</v>
      </c>
      <c r="F76" s="14"/>
      <c r="G76" s="15"/>
      <c r="H76" s="15"/>
      <c r="I76" s="15"/>
      <c r="J76" s="15"/>
      <c r="K76" s="15"/>
      <c r="L76" s="15"/>
      <c r="M76" s="15">
        <f t="shared" si="47"/>
        <v>0</v>
      </c>
    </row>
    <row r="77" spans="1:13" x14ac:dyDescent="0.2">
      <c r="C77" s="14">
        <f t="shared" si="48"/>
        <v>0</v>
      </c>
      <c r="D77" s="14">
        <f t="shared" si="49"/>
        <v>0</v>
      </c>
      <c r="E77" s="14">
        <f>(1.224*C77)+SUM(D$70:D76)</f>
        <v>66.340799999515525</v>
      </c>
      <c r="F77" s="14"/>
      <c r="G77" s="15"/>
      <c r="H77" s="15"/>
      <c r="I77" s="15"/>
      <c r="J77" s="15"/>
      <c r="K77" s="15"/>
      <c r="L77" s="15"/>
      <c r="M77" s="15">
        <f t="shared" si="47"/>
        <v>0</v>
      </c>
    </row>
    <row r="78" spans="1:13" x14ac:dyDescent="0.2">
      <c r="A78" s="11" t="s">
        <v>176</v>
      </c>
      <c r="B78" s="11"/>
      <c r="C78" s="11"/>
      <c r="D78" s="11"/>
      <c r="E78" s="16"/>
      <c r="F78" s="16"/>
      <c r="G78" s="17"/>
      <c r="H78" s="17"/>
      <c r="I78" s="17"/>
      <c r="J78" s="17"/>
      <c r="K78" s="17"/>
      <c r="L78" s="17"/>
      <c r="M78" s="17"/>
    </row>
    <row r="79" spans="1:13" x14ac:dyDescent="0.2">
      <c r="E79" s="14"/>
      <c r="F79" s="14"/>
      <c r="G79" s="8" t="s">
        <v>43</v>
      </c>
      <c r="H79" s="8" t="s">
        <v>48</v>
      </c>
      <c r="I79" s="8" t="s">
        <v>55</v>
      </c>
      <c r="J79" s="15"/>
      <c r="K79" s="15"/>
      <c r="L79" s="15"/>
      <c r="M79" s="15"/>
    </row>
    <row r="80" spans="1:13" x14ac:dyDescent="0.2">
      <c r="A80" s="8" t="s">
        <v>153</v>
      </c>
      <c r="B80" s="8" t="s">
        <v>154</v>
      </c>
      <c r="C80" s="8" t="s">
        <v>155</v>
      </c>
      <c r="D80" s="8" t="s">
        <v>156</v>
      </c>
      <c r="E80" s="8" t="s">
        <v>157</v>
      </c>
      <c r="F80" s="8"/>
      <c r="G80" s="8"/>
      <c r="H80" s="8"/>
      <c r="I80" s="8"/>
      <c r="J80" s="8"/>
      <c r="K80" s="8"/>
      <c r="L80" s="8"/>
      <c r="M80" s="8"/>
    </row>
    <row r="81" spans="1:13" x14ac:dyDescent="0.2">
      <c r="A81" s="13"/>
      <c r="B81" s="13"/>
      <c r="C81">
        <f>C70</f>
        <v>0</v>
      </c>
      <c r="D81" s="14">
        <f>D70</f>
        <v>0</v>
      </c>
      <c r="E81" s="14">
        <f>E70</f>
        <v>0</v>
      </c>
      <c r="F81" s="14"/>
      <c r="G81" s="18">
        <f>100-G70/G$70*100</f>
        <v>0</v>
      </c>
      <c r="H81" s="18">
        <f t="shared" ref="H81:I81" si="50">100-H70/H$70*100</f>
        <v>0</v>
      </c>
      <c r="I81" s="18">
        <f t="shared" si="50"/>
        <v>0</v>
      </c>
      <c r="J81" s="18"/>
      <c r="K81" s="18"/>
      <c r="L81" s="18"/>
      <c r="M81" s="18"/>
    </row>
    <row r="82" spans="1:13" x14ac:dyDescent="0.2">
      <c r="A82" s="13">
        <f>A71</f>
        <v>45218.45416666667</v>
      </c>
      <c r="B82" s="13">
        <f>B71</f>
        <v>45218.539583333331</v>
      </c>
      <c r="C82" s="14">
        <f>C71</f>
        <v>2.0499999998719431</v>
      </c>
      <c r="D82" s="14">
        <f t="shared" ref="D82:E82" si="51">D71</f>
        <v>2.5091999998432581</v>
      </c>
      <c r="E82" s="14">
        <f t="shared" si="51"/>
        <v>2.5091999998432581</v>
      </c>
      <c r="F82" s="14"/>
      <c r="G82" s="18">
        <f t="shared" ref="G82:I82" si="52">100-G71/G$70*100</f>
        <v>11.344043887147336</v>
      </c>
      <c r="H82" s="18">
        <f t="shared" si="52"/>
        <v>4.8418294128658061</v>
      </c>
      <c r="I82" s="18">
        <f t="shared" si="52"/>
        <v>2.7825543223385978</v>
      </c>
      <c r="J82" s="18"/>
      <c r="K82" s="18"/>
      <c r="L82" s="18"/>
      <c r="M82" s="18"/>
    </row>
    <row r="83" spans="1:13" x14ac:dyDescent="0.2">
      <c r="A83" s="13"/>
      <c r="B83" s="13"/>
      <c r="C83" s="14">
        <f t="shared" ref="C83:E83" si="53">C72</f>
        <v>3.0999999999767169</v>
      </c>
      <c r="D83" s="14">
        <f t="shared" si="53"/>
        <v>3.7943999999715015</v>
      </c>
      <c r="E83" s="14">
        <f t="shared" si="53"/>
        <v>6.3035999998147592</v>
      </c>
      <c r="G83" s="18">
        <f t="shared" ref="G83:I83" si="54">100-G72/G$70*100</f>
        <v>21.519070010449326</v>
      </c>
      <c r="H83" s="18">
        <f t="shared" si="54"/>
        <v>6.5951207337617888</v>
      </c>
      <c r="I83" s="18">
        <f t="shared" si="54"/>
        <v>4.4604241571570071</v>
      </c>
      <c r="J83" s="18"/>
      <c r="K83" s="18"/>
      <c r="L83" s="15"/>
      <c r="M83" s="15"/>
    </row>
    <row r="84" spans="1:13" x14ac:dyDescent="0.2">
      <c r="A84" s="13"/>
      <c r="B84" s="13"/>
      <c r="C84" s="14">
        <f t="shared" ref="C84:E84" si="55">C73</f>
        <v>5.1166666665812954</v>
      </c>
      <c r="D84" s="14">
        <f t="shared" si="55"/>
        <v>6.2627999998955053</v>
      </c>
      <c r="E84" s="14">
        <f t="shared" si="55"/>
        <v>12.566399999710264</v>
      </c>
      <c r="G84" s="18">
        <f t="shared" ref="G84:I84" si="56">100-G73/G$70*100</f>
        <v>100</v>
      </c>
      <c r="H84" s="18">
        <f t="shared" si="56"/>
        <v>9.2780932176951438</v>
      </c>
      <c r="I84" s="18">
        <f t="shared" si="56"/>
        <v>6.2581418373195703</v>
      </c>
      <c r="J84" s="18"/>
      <c r="K84" s="18"/>
      <c r="L84" s="15"/>
      <c r="M84" s="15"/>
    </row>
    <row r="85" spans="1:13" x14ac:dyDescent="0.2">
      <c r="A85" s="13"/>
      <c r="B85" s="13"/>
      <c r="C85" s="14">
        <f t="shared" ref="C85:E85" si="57">C74</f>
        <v>10.199999999895226</v>
      </c>
      <c r="D85" s="14">
        <f t="shared" si="57"/>
        <v>12.484799999871756</v>
      </c>
      <c r="E85" s="14">
        <f t="shared" si="57"/>
        <v>25.051199999582018</v>
      </c>
      <c r="G85" s="18">
        <f t="shared" ref="G85:I85" si="58">100-G74/G$70*100</f>
        <v>100</v>
      </c>
      <c r="H85" s="18">
        <f t="shared" si="58"/>
        <v>100</v>
      </c>
      <c r="I85" s="18">
        <f t="shared" si="58"/>
        <v>9.2595487468084059</v>
      </c>
      <c r="J85" s="18"/>
      <c r="K85" s="18"/>
    </row>
    <row r="86" spans="1:13" x14ac:dyDescent="0.2">
      <c r="A86" s="13"/>
      <c r="B86" s="13"/>
      <c r="C86" s="14">
        <f t="shared" ref="C86:E86" si="59">C75</f>
        <v>33.733333333279006</v>
      </c>
      <c r="D86" s="14">
        <f t="shared" si="59"/>
        <v>41.2895999999335</v>
      </c>
      <c r="E86" s="14">
        <f t="shared" si="59"/>
        <v>66.340799999515525</v>
      </c>
      <c r="G86" s="18">
        <f t="shared" ref="G86:I86" si="60">100-G75/G$70*100</f>
        <v>100</v>
      </c>
      <c r="H86" s="18">
        <f t="shared" si="60"/>
        <v>13.676920197167291</v>
      </c>
      <c r="I86" s="18">
        <f t="shared" si="60"/>
        <v>11.890990568495639</v>
      </c>
      <c r="J86" s="18"/>
      <c r="K86" s="18"/>
    </row>
    <row r="87" spans="1:13" x14ac:dyDescent="0.2">
      <c r="A87" s="13"/>
      <c r="B87" s="13"/>
      <c r="C87" s="14">
        <f t="shared" ref="C87:E87" si="61">C76</f>
        <v>0</v>
      </c>
      <c r="D87" s="14">
        <f t="shared" si="61"/>
        <v>0</v>
      </c>
      <c r="E87" s="14">
        <f t="shared" si="61"/>
        <v>66.340799999515525</v>
      </c>
      <c r="G87" s="18">
        <f t="shared" ref="G87:I87" si="62">100-G76/G$70*100</f>
        <v>100</v>
      </c>
      <c r="H87" s="18">
        <f t="shared" si="62"/>
        <v>100</v>
      </c>
      <c r="I87" s="18">
        <f t="shared" si="62"/>
        <v>100</v>
      </c>
      <c r="J87" s="18"/>
      <c r="K87" s="18"/>
    </row>
    <row r="88" spans="1:13" x14ac:dyDescent="0.2">
      <c r="C88" s="14">
        <f t="shared" ref="C88:E88" si="63">C77</f>
        <v>0</v>
      </c>
      <c r="D88" s="14">
        <f t="shared" si="63"/>
        <v>0</v>
      </c>
      <c r="E88" s="14">
        <f t="shared" si="63"/>
        <v>66.340799999515525</v>
      </c>
      <c r="G88" s="18">
        <f t="shared" ref="G88:I88" si="64">100-G77/G$70*100</f>
        <v>100</v>
      </c>
      <c r="H88" s="18">
        <f t="shared" si="64"/>
        <v>100</v>
      </c>
      <c r="I88" s="18">
        <f t="shared" si="64"/>
        <v>100</v>
      </c>
      <c r="J88" s="18"/>
      <c r="K88" s="18"/>
    </row>
    <row r="89" spans="1:13" x14ac:dyDescent="0.2">
      <c r="A89" s="19"/>
      <c r="B89" s="19"/>
      <c r="C89" s="19"/>
      <c r="D89" s="19"/>
      <c r="E89" s="19"/>
      <c r="F89" s="19"/>
      <c r="G89" s="19"/>
      <c r="H89" s="19"/>
      <c r="I89" s="19"/>
      <c r="J89" s="19"/>
      <c r="K89" s="19"/>
      <c r="L89" s="19"/>
      <c r="M89" s="19"/>
    </row>
    <row r="90" spans="1:13" x14ac:dyDescent="0.2">
      <c r="A90" s="11" t="s">
        <v>144</v>
      </c>
      <c r="B90" s="11" t="s">
        <v>165</v>
      </c>
      <c r="C90" s="11"/>
      <c r="D90" s="11"/>
      <c r="E90" s="11"/>
      <c r="F90" s="11"/>
      <c r="G90" s="11"/>
      <c r="H90" s="11"/>
      <c r="I90" s="11"/>
      <c r="J90" s="11"/>
      <c r="K90" s="11"/>
      <c r="L90" s="11"/>
      <c r="M90" s="11"/>
    </row>
    <row r="91" spans="1:13" x14ac:dyDescent="0.2">
      <c r="G91" s="12" t="s">
        <v>178</v>
      </c>
      <c r="H91" s="12"/>
      <c r="I91" s="12"/>
      <c r="J91" s="12"/>
      <c r="K91" s="12"/>
      <c r="L91" s="12"/>
      <c r="M91" s="12"/>
    </row>
    <row r="92" spans="1:13" x14ac:dyDescent="0.2">
      <c r="A92" s="8" t="s">
        <v>153</v>
      </c>
      <c r="B92" s="8" t="s">
        <v>154</v>
      </c>
      <c r="C92" s="8" t="s">
        <v>155</v>
      </c>
      <c r="D92" s="8" t="s">
        <v>156</v>
      </c>
      <c r="E92" s="8" t="s">
        <v>157</v>
      </c>
      <c r="F92" s="8"/>
      <c r="G92" s="8" t="s">
        <v>41</v>
      </c>
      <c r="H92" s="8" t="s">
        <v>47</v>
      </c>
      <c r="I92" s="8" t="s">
        <v>52</v>
      </c>
      <c r="J92" s="8" t="s">
        <v>54</v>
      </c>
      <c r="K92" s="8"/>
      <c r="L92" s="8"/>
      <c r="M92" s="8" t="s">
        <v>158</v>
      </c>
    </row>
    <row r="93" spans="1:13" x14ac:dyDescent="0.2">
      <c r="C93">
        <v>0</v>
      </c>
      <c r="D93" s="14">
        <f>(1.224*C93)</f>
        <v>0</v>
      </c>
      <c r="E93" s="14">
        <f>(1.224*C93)</f>
        <v>0</v>
      </c>
      <c r="F93" s="14"/>
      <c r="G93">
        <v>208.83</v>
      </c>
      <c r="H93">
        <v>178.79</v>
      </c>
      <c r="I93">
        <v>186.59</v>
      </c>
      <c r="J93">
        <v>145.77000000000001</v>
      </c>
      <c r="L93" s="15"/>
      <c r="M93" s="15">
        <f>SUM(G93:K93)</f>
        <v>719.98</v>
      </c>
    </row>
    <row r="94" spans="1:13" x14ac:dyDescent="0.2">
      <c r="A94" s="13">
        <v>45222.373611111114</v>
      </c>
      <c r="B94" s="13">
        <v>45222.956250000003</v>
      </c>
      <c r="C94" s="14">
        <f>(B94-A94)*24</f>
        <v>13.983333333337214</v>
      </c>
      <c r="D94" s="14">
        <f>(1.224*C94)</f>
        <v>17.115600000004751</v>
      </c>
      <c r="E94" s="14">
        <f>(1.224*C94)+SUM(D$93:D93)</f>
        <v>17.115600000004751</v>
      </c>
      <c r="F94" s="14"/>
      <c r="G94" s="15">
        <v>202.72</v>
      </c>
      <c r="H94" s="15">
        <v>174.57</v>
      </c>
      <c r="I94" s="15">
        <v>171.39</v>
      </c>
      <c r="J94" s="15">
        <v>142.41999999999999</v>
      </c>
      <c r="K94" s="15"/>
      <c r="L94" s="15"/>
      <c r="M94" s="15">
        <f t="shared" ref="M94:M100" si="65">SUM(G94:K94)</f>
        <v>691.09999999999991</v>
      </c>
    </row>
    <row r="95" spans="1:13" x14ac:dyDescent="0.2">
      <c r="A95" s="13">
        <v>45222.460416666669</v>
      </c>
      <c r="B95" s="13">
        <v>45222.636111111111</v>
      </c>
      <c r="C95" s="14">
        <f t="shared" ref="C95:C100" si="66">(B95-A95)*24</f>
        <v>4.21666666661622</v>
      </c>
      <c r="D95" s="14">
        <f t="shared" ref="D95:D100" si="67">(1.224*C95)</f>
        <v>5.161199999938253</v>
      </c>
      <c r="E95" s="14">
        <f>(1.224*C95)+SUM(D$93:D94)</f>
        <v>22.276799999943002</v>
      </c>
      <c r="F95" s="14"/>
      <c r="G95" s="15">
        <v>200.54</v>
      </c>
      <c r="H95" s="15">
        <v>167.99</v>
      </c>
      <c r="I95" s="15">
        <v>157.88999999999999</v>
      </c>
      <c r="J95" s="15">
        <v>139.04</v>
      </c>
      <c r="K95" s="15"/>
      <c r="L95" s="15"/>
      <c r="M95" s="15">
        <f t="shared" si="65"/>
        <v>665.45999999999992</v>
      </c>
    </row>
    <row r="96" spans="1:13" x14ac:dyDescent="0.2">
      <c r="A96" s="13">
        <v>45222.640277777777</v>
      </c>
      <c r="B96" s="13">
        <v>45223.337500000001</v>
      </c>
      <c r="C96" s="14">
        <f t="shared" si="66"/>
        <v>16.733333333395422</v>
      </c>
      <c r="D96" s="14">
        <f t="shared" si="67"/>
        <v>20.481600000075996</v>
      </c>
      <c r="E96" s="14">
        <f>(1.224*C96)+SUM(D$93:D95)</f>
        <v>42.758400000018995</v>
      </c>
      <c r="F96" s="14"/>
      <c r="G96" s="15">
        <v>194.86</v>
      </c>
      <c r="H96" s="15">
        <v>155.04</v>
      </c>
      <c r="I96" s="15">
        <v>129.63</v>
      </c>
      <c r="J96" s="15">
        <v>130.1</v>
      </c>
      <c r="K96" s="15"/>
      <c r="L96" s="15"/>
      <c r="M96" s="15">
        <f t="shared" si="65"/>
        <v>609.63</v>
      </c>
    </row>
    <row r="97" spans="1:20" x14ac:dyDescent="0.2">
      <c r="A97" s="13">
        <v>45223.345138888886</v>
      </c>
      <c r="B97" s="13">
        <v>45224.412499999999</v>
      </c>
      <c r="C97" s="14">
        <f t="shared" si="66"/>
        <v>25.616666666697711</v>
      </c>
      <c r="D97" s="14">
        <f t="shared" si="67"/>
        <v>31.354800000037997</v>
      </c>
      <c r="E97" s="14">
        <f>(1.224*C97)+SUM(D$93:D96)</f>
        <v>74.113200000056992</v>
      </c>
      <c r="F97" s="14"/>
      <c r="G97" s="15">
        <v>191.75</v>
      </c>
      <c r="H97" s="15">
        <v>155.04</v>
      </c>
      <c r="I97" s="15">
        <v>129.63</v>
      </c>
      <c r="J97" s="15">
        <v>130.1</v>
      </c>
      <c r="K97" s="15"/>
      <c r="L97" s="15"/>
      <c r="M97" s="15">
        <f t="shared" si="65"/>
        <v>606.52</v>
      </c>
      <c r="N97" t="s">
        <v>179</v>
      </c>
    </row>
    <row r="98" spans="1:20" x14ac:dyDescent="0.2">
      <c r="A98" s="13">
        <v>45224.416666666664</v>
      </c>
      <c r="B98" s="13">
        <v>45225.320138888892</v>
      </c>
      <c r="C98" s="14">
        <f t="shared" si="66"/>
        <v>21.683333333465271</v>
      </c>
      <c r="D98" s="14">
        <f t="shared" si="67"/>
        <v>26.54040000016149</v>
      </c>
      <c r="E98" s="14">
        <f>(1.224*C98)+SUM(D$93:D97)</f>
        <v>100.65360000021849</v>
      </c>
      <c r="F98" s="14"/>
      <c r="G98" s="15">
        <v>189.31</v>
      </c>
      <c r="H98" s="15">
        <v>155.04</v>
      </c>
      <c r="I98" s="15">
        <v>129.63</v>
      </c>
      <c r="J98" s="15">
        <v>130.1</v>
      </c>
      <c r="K98" s="15"/>
      <c r="L98" s="15"/>
      <c r="M98" s="15">
        <f t="shared" si="65"/>
        <v>604.08000000000004</v>
      </c>
      <c r="N98" t="s">
        <v>180</v>
      </c>
    </row>
    <row r="99" spans="1:20" x14ac:dyDescent="0.2">
      <c r="A99" s="13">
        <v>45225.323611111111</v>
      </c>
      <c r="B99" s="13">
        <v>45226.359027777777</v>
      </c>
      <c r="C99" s="14">
        <f t="shared" si="66"/>
        <v>24.849999999976717</v>
      </c>
      <c r="D99" s="14">
        <f t="shared" si="67"/>
        <v>30.4163999999715</v>
      </c>
      <c r="E99" s="14">
        <f>(1.224*C99)+SUM(D$93:D98)</f>
        <v>131.07000000018999</v>
      </c>
      <c r="F99" s="14"/>
      <c r="G99" s="15">
        <v>172.97</v>
      </c>
      <c r="H99" s="15">
        <v>155.04</v>
      </c>
      <c r="I99" s="15">
        <v>129.63</v>
      </c>
      <c r="J99" s="15">
        <v>130.1</v>
      </c>
      <c r="K99" s="15"/>
      <c r="L99" s="15"/>
      <c r="M99" s="15">
        <f t="shared" si="65"/>
        <v>587.74</v>
      </c>
      <c r="N99" t="s">
        <v>181</v>
      </c>
      <c r="Q99" t="s">
        <v>184</v>
      </c>
      <c r="R99" t="s">
        <v>185</v>
      </c>
      <c r="S99" t="s">
        <v>186</v>
      </c>
      <c r="T99" t="s">
        <v>187</v>
      </c>
    </row>
    <row r="100" spans="1:20" x14ac:dyDescent="0.2">
      <c r="A100" s="13">
        <v>45229.396527777775</v>
      </c>
      <c r="B100" s="13">
        <v>45230.392361111109</v>
      </c>
      <c r="C100" s="14">
        <f t="shared" si="66"/>
        <v>23.900000000023283</v>
      </c>
      <c r="D100" s="14">
        <f t="shared" si="67"/>
        <v>29.253600000028499</v>
      </c>
      <c r="E100" s="14">
        <f>(1.224*C100)+SUM(D$93:D99)</f>
        <v>160.32360000021851</v>
      </c>
      <c r="F100" s="14"/>
      <c r="G100" s="15">
        <v>171.03</v>
      </c>
      <c r="H100" s="15">
        <v>139.49</v>
      </c>
      <c r="I100" s="15">
        <v>129.63</v>
      </c>
      <c r="J100" s="15">
        <v>118.51</v>
      </c>
      <c r="K100" s="15"/>
      <c r="L100" s="15"/>
      <c r="M100" s="15">
        <f t="shared" si="65"/>
        <v>558.66</v>
      </c>
      <c r="N100" t="s">
        <v>188</v>
      </c>
    </row>
    <row r="101" spans="1:20" x14ac:dyDescent="0.2">
      <c r="A101" s="11" t="s">
        <v>176</v>
      </c>
      <c r="B101" s="11"/>
      <c r="C101" s="11"/>
      <c r="D101" s="11"/>
      <c r="E101" s="16"/>
      <c r="F101" s="16"/>
      <c r="G101" s="17"/>
      <c r="H101" s="17"/>
      <c r="I101" s="17"/>
      <c r="J101" s="17"/>
      <c r="K101" s="17"/>
      <c r="L101" s="17"/>
      <c r="M101" s="17"/>
    </row>
    <row r="102" spans="1:20" x14ac:dyDescent="0.2">
      <c r="E102" s="14"/>
      <c r="F102" s="14"/>
      <c r="G102" s="8" t="s">
        <v>41</v>
      </c>
      <c r="H102" s="8" t="s">
        <v>47</v>
      </c>
      <c r="I102" s="8" t="s">
        <v>52</v>
      </c>
      <c r="J102" s="8" t="s">
        <v>54</v>
      </c>
      <c r="K102" s="15"/>
      <c r="L102" s="15"/>
      <c r="M102" s="15"/>
    </row>
    <row r="103" spans="1:20" x14ac:dyDescent="0.2">
      <c r="A103" s="8" t="s">
        <v>153</v>
      </c>
      <c r="B103" s="8" t="s">
        <v>154</v>
      </c>
      <c r="C103" s="8" t="s">
        <v>155</v>
      </c>
      <c r="D103" s="8" t="s">
        <v>156</v>
      </c>
      <c r="E103" s="8" t="s">
        <v>157</v>
      </c>
      <c r="F103" s="8"/>
      <c r="G103" s="8"/>
      <c r="H103" s="8"/>
      <c r="I103" s="8"/>
      <c r="J103" s="8"/>
      <c r="K103" s="8"/>
      <c r="L103" s="8"/>
      <c r="M103" s="8"/>
    </row>
    <row r="104" spans="1:20" x14ac:dyDescent="0.2">
      <c r="A104" s="13"/>
      <c r="B104" s="13"/>
      <c r="C104">
        <f>C93</f>
        <v>0</v>
      </c>
      <c r="D104" s="14">
        <f>D93</f>
        <v>0</v>
      </c>
      <c r="E104" s="14">
        <f>E93</f>
        <v>0</v>
      </c>
      <c r="F104" s="14"/>
      <c r="G104" s="18">
        <f>100-G93/G$93*100</f>
        <v>0</v>
      </c>
      <c r="H104" s="18">
        <f t="shared" ref="H104:J104" si="68">100-H93/H$93*100</f>
        <v>0</v>
      </c>
      <c r="I104" s="18">
        <f t="shared" si="68"/>
        <v>0</v>
      </c>
      <c r="J104" s="18">
        <f t="shared" si="68"/>
        <v>0</v>
      </c>
      <c r="K104" s="18"/>
      <c r="L104" s="18"/>
      <c r="M104" s="18"/>
    </row>
    <row r="105" spans="1:20" x14ac:dyDescent="0.2">
      <c r="A105" s="13">
        <f>A94</f>
        <v>45222.373611111114</v>
      </c>
      <c r="B105" s="13">
        <f>B94</f>
        <v>45222.956250000003</v>
      </c>
      <c r="C105" s="14">
        <f>C94</f>
        <v>13.983333333337214</v>
      </c>
      <c r="D105" s="14">
        <f t="shared" ref="D105:E105" si="69">D94</f>
        <v>17.115600000004751</v>
      </c>
      <c r="E105" s="14">
        <f t="shared" si="69"/>
        <v>17.115600000004751</v>
      </c>
      <c r="F105" s="14"/>
      <c r="G105" s="18">
        <f t="shared" ref="G105:J105" si="70">100-G94/G$93*100</f>
        <v>2.9258248335967068</v>
      </c>
      <c r="H105" s="18">
        <f t="shared" si="70"/>
        <v>2.3603109793612589</v>
      </c>
      <c r="I105" s="18">
        <f t="shared" si="70"/>
        <v>8.1462029047644648</v>
      </c>
      <c r="J105" s="18">
        <f t="shared" si="70"/>
        <v>2.2981409069081593</v>
      </c>
      <c r="K105" s="18"/>
      <c r="L105" s="18"/>
      <c r="M105" s="18"/>
    </row>
    <row r="106" spans="1:20" x14ac:dyDescent="0.2">
      <c r="A106" s="13"/>
      <c r="B106" s="13"/>
      <c r="C106" s="14">
        <f t="shared" ref="C106:E106" si="71">C95</f>
        <v>4.21666666661622</v>
      </c>
      <c r="D106" s="14">
        <f t="shared" si="71"/>
        <v>5.161199999938253</v>
      </c>
      <c r="E106" s="14">
        <f t="shared" si="71"/>
        <v>22.276799999943002</v>
      </c>
      <c r="G106" s="18">
        <f t="shared" ref="G106:J106" si="72">100-G95/G$93*100</f>
        <v>3.969736149020747</v>
      </c>
      <c r="H106" s="18">
        <f t="shared" si="72"/>
        <v>6.0406062978913724</v>
      </c>
      <c r="I106" s="18">
        <f t="shared" si="72"/>
        <v>15.381317326759216</v>
      </c>
      <c r="J106" s="18">
        <f t="shared" si="72"/>
        <v>4.6168621801468248</v>
      </c>
      <c r="K106" s="18"/>
      <c r="L106" s="15"/>
      <c r="M106" s="15"/>
    </row>
    <row r="107" spans="1:20" x14ac:dyDescent="0.2">
      <c r="A107" s="13"/>
      <c r="B107" s="13"/>
      <c r="C107" s="14">
        <f t="shared" ref="C107:E107" si="73">C96</f>
        <v>16.733333333395422</v>
      </c>
      <c r="D107" s="14">
        <f t="shared" si="73"/>
        <v>20.481600000075996</v>
      </c>
      <c r="E107" s="14">
        <f t="shared" si="73"/>
        <v>42.758400000018995</v>
      </c>
      <c r="G107" s="18">
        <f t="shared" ref="G107:J107" si="74">100-G96/G$93*100</f>
        <v>6.689651869942054</v>
      </c>
      <c r="H107" s="18">
        <f t="shared" si="74"/>
        <v>13.283740701381504</v>
      </c>
      <c r="I107" s="18">
        <f t="shared" si="74"/>
        <v>30.526823516801542</v>
      </c>
      <c r="J107" s="18">
        <f t="shared" si="74"/>
        <v>10.749811346641977</v>
      </c>
      <c r="K107" s="18"/>
      <c r="L107" s="15"/>
      <c r="M107" s="15"/>
    </row>
    <row r="108" spans="1:20" x14ac:dyDescent="0.2">
      <c r="A108" s="13"/>
      <c r="B108" s="13"/>
      <c r="C108" s="14">
        <f t="shared" ref="C108:E108" si="75">C97</f>
        <v>25.616666666697711</v>
      </c>
      <c r="D108" s="14">
        <f t="shared" si="75"/>
        <v>31.354800000037997</v>
      </c>
      <c r="E108" s="14">
        <f t="shared" si="75"/>
        <v>74.113200000056992</v>
      </c>
      <c r="G108" s="18">
        <f t="shared" ref="G108:J108" si="76">100-G97/G$93*100</f>
        <v>8.1789014988268036</v>
      </c>
      <c r="H108" s="18">
        <f t="shared" si="76"/>
        <v>13.283740701381504</v>
      </c>
      <c r="I108" s="18">
        <f t="shared" si="76"/>
        <v>30.526823516801542</v>
      </c>
      <c r="J108" s="18">
        <f t="shared" si="76"/>
        <v>10.749811346641977</v>
      </c>
      <c r="K108" s="18"/>
    </row>
    <row r="109" spans="1:20" x14ac:dyDescent="0.2">
      <c r="A109" s="13"/>
      <c r="B109" s="13"/>
      <c r="C109" s="14">
        <f t="shared" ref="C109:E109" si="77">C98</f>
        <v>21.683333333465271</v>
      </c>
      <c r="D109" s="14">
        <f t="shared" si="77"/>
        <v>26.54040000016149</v>
      </c>
      <c r="E109" s="14">
        <f t="shared" si="77"/>
        <v>100.65360000021849</v>
      </c>
      <c r="G109" s="18">
        <f t="shared" ref="G109:J109" si="78">100-G98/G$93*100</f>
        <v>9.347315998659198</v>
      </c>
      <c r="H109" s="18">
        <f t="shared" si="78"/>
        <v>13.283740701381504</v>
      </c>
      <c r="I109" s="18">
        <f t="shared" si="78"/>
        <v>30.526823516801542</v>
      </c>
      <c r="J109" s="18">
        <f t="shared" si="78"/>
        <v>10.749811346641977</v>
      </c>
      <c r="K109" s="18"/>
    </row>
    <row r="110" spans="1:20" x14ac:dyDescent="0.2">
      <c r="A110" s="13"/>
      <c r="B110" s="13"/>
      <c r="C110" s="14">
        <f t="shared" ref="C110:E110" si="79">C99</f>
        <v>24.849999999976717</v>
      </c>
      <c r="D110" s="14">
        <f t="shared" si="79"/>
        <v>30.4163999999715</v>
      </c>
      <c r="E110" s="14">
        <f t="shared" si="79"/>
        <v>131.07000000018999</v>
      </c>
      <c r="G110" s="18">
        <f t="shared" ref="G110:J111" si="80">100-G99/G$93*100</f>
        <v>17.171862280323708</v>
      </c>
      <c r="H110" s="18">
        <f t="shared" si="80"/>
        <v>13.283740701381504</v>
      </c>
      <c r="I110" s="18">
        <f t="shared" si="80"/>
        <v>30.526823516801542</v>
      </c>
      <c r="J110" s="18">
        <f t="shared" si="80"/>
        <v>10.749811346641977</v>
      </c>
      <c r="K110" s="18"/>
    </row>
    <row r="111" spans="1:20" x14ac:dyDescent="0.2">
      <c r="C111" s="14">
        <f t="shared" ref="C111:E111" si="81">C100</f>
        <v>23.900000000023283</v>
      </c>
      <c r="D111" s="14">
        <f t="shared" si="81"/>
        <v>29.253600000028499</v>
      </c>
      <c r="E111" s="14">
        <f t="shared" si="81"/>
        <v>160.32360000021851</v>
      </c>
      <c r="G111" s="18">
        <f t="shared" si="80"/>
        <v>18.100847579370779</v>
      </c>
      <c r="H111" s="18">
        <f t="shared" si="80"/>
        <v>21.981095139549183</v>
      </c>
      <c r="I111" s="18">
        <f t="shared" si="80"/>
        <v>30.526823516801542</v>
      </c>
      <c r="J111" s="18">
        <f t="shared" si="80"/>
        <v>18.700692872333121</v>
      </c>
      <c r="K111" s="18"/>
    </row>
    <row r="112" spans="1:20" x14ac:dyDescent="0.2">
      <c r="A112" s="19"/>
      <c r="B112" s="19"/>
      <c r="C112" s="19"/>
      <c r="D112" s="19"/>
      <c r="E112" s="19"/>
      <c r="F112" s="19"/>
      <c r="G112" s="19"/>
      <c r="H112" s="19"/>
      <c r="I112" s="19"/>
      <c r="J112" s="19"/>
      <c r="K112" s="19"/>
      <c r="L112" s="19"/>
      <c r="M112" s="19"/>
    </row>
    <row r="113" spans="1:15" x14ac:dyDescent="0.2">
      <c r="A113" s="11" t="s">
        <v>144</v>
      </c>
      <c r="B113" s="11" t="s">
        <v>165</v>
      </c>
      <c r="C113" s="11"/>
      <c r="D113" s="11"/>
      <c r="E113" s="11"/>
      <c r="F113" s="11"/>
      <c r="G113" s="11"/>
      <c r="H113" s="11"/>
      <c r="I113" s="11"/>
      <c r="J113" s="11"/>
      <c r="K113" s="11"/>
      <c r="L113" s="11"/>
      <c r="M113" s="11"/>
    </row>
    <row r="114" spans="1:15" x14ac:dyDescent="0.2">
      <c r="G114" s="12" t="s">
        <v>182</v>
      </c>
      <c r="H114" s="12"/>
      <c r="I114" s="12"/>
      <c r="J114" s="12"/>
      <c r="K114" s="12"/>
      <c r="L114" s="12"/>
      <c r="M114" s="12"/>
    </row>
    <row r="115" spans="1:15" x14ac:dyDescent="0.2">
      <c r="A115" s="8" t="s">
        <v>153</v>
      </c>
      <c r="B115" s="8" t="s">
        <v>154</v>
      </c>
      <c r="C115" s="8" t="s">
        <v>155</v>
      </c>
      <c r="D115" s="8" t="s">
        <v>156</v>
      </c>
      <c r="E115" s="8" t="s">
        <v>157</v>
      </c>
      <c r="F115" s="8"/>
      <c r="G115" s="8" t="s">
        <v>38</v>
      </c>
      <c r="H115" s="8" t="s">
        <v>44</v>
      </c>
      <c r="I115" s="8" t="s">
        <v>53</v>
      </c>
      <c r="J115" s="8"/>
      <c r="K115" s="8"/>
      <c r="L115" s="8"/>
      <c r="M115" s="8" t="s">
        <v>158</v>
      </c>
    </row>
    <row r="116" spans="1:15" x14ac:dyDescent="0.2">
      <c r="C116">
        <v>0</v>
      </c>
      <c r="D116" s="14">
        <f>(1.224*C116)</f>
        <v>0</v>
      </c>
      <c r="E116" s="14">
        <f>(1.224*C116)</f>
        <v>0</v>
      </c>
      <c r="F116" s="14"/>
      <c r="G116">
        <v>149.55000000000001</v>
      </c>
      <c r="H116">
        <v>152.56</v>
      </c>
      <c r="I116">
        <v>140.84</v>
      </c>
      <c r="L116" s="15"/>
      <c r="M116" s="15">
        <f>SUM(G116:K116)</f>
        <v>442.95000000000005</v>
      </c>
    </row>
    <row r="117" spans="1:15" x14ac:dyDescent="0.2">
      <c r="A117" s="13">
        <v>45230.405555555553</v>
      </c>
      <c r="B117" s="13">
        <v>45230.90625</v>
      </c>
      <c r="C117" s="14">
        <f>(B117-A117)*24</f>
        <v>12.016666666720994</v>
      </c>
      <c r="D117" s="14">
        <f>(1.224*C117)</f>
        <v>14.708400000066495</v>
      </c>
      <c r="E117" s="14">
        <f>(1.224*C117)+SUM(D$116:D116)</f>
        <v>14.708400000066495</v>
      </c>
      <c r="F117" s="14"/>
      <c r="G117" s="15">
        <v>136.68</v>
      </c>
      <c r="H117" s="15">
        <v>83.33</v>
      </c>
      <c r="I117" s="15">
        <v>133.59</v>
      </c>
      <c r="J117" s="15"/>
      <c r="K117" s="15"/>
      <c r="L117" s="15"/>
      <c r="M117" s="15">
        <f t="shared" ref="M117:M123" si="82">SUM(G117:K117)</f>
        <v>353.6</v>
      </c>
      <c r="N117" t="s">
        <v>197</v>
      </c>
      <c r="O117" t="s">
        <v>196</v>
      </c>
    </row>
    <row r="118" spans="1:15" x14ac:dyDescent="0.2">
      <c r="A118" s="13">
        <v>45230.913194444445</v>
      </c>
      <c r="B118" s="13">
        <v>45231.799305555556</v>
      </c>
      <c r="C118" s="14">
        <f t="shared" ref="C118:C123" si="83">(B118-A118)*24</f>
        <v>21.266666666662786</v>
      </c>
      <c r="D118" s="14">
        <f t="shared" ref="D118:D123" si="84">(1.224*C118)</f>
        <v>26.03039999999525</v>
      </c>
      <c r="E118" s="14">
        <f>(1.224*C118)+SUM(D$116:D117)</f>
        <v>40.738800000061744</v>
      </c>
      <c r="F118" s="14"/>
      <c r="G118" s="15">
        <v>136.68</v>
      </c>
      <c r="H118" s="15">
        <v>83.33</v>
      </c>
      <c r="I118" s="15">
        <v>126.24</v>
      </c>
      <c r="J118" s="15"/>
      <c r="K118" s="15"/>
      <c r="L118" s="15"/>
      <c r="M118" s="15">
        <f t="shared" si="82"/>
        <v>346.25</v>
      </c>
      <c r="N118" t="s">
        <v>198</v>
      </c>
    </row>
    <row r="119" spans="1:15" x14ac:dyDescent="0.2">
      <c r="A119" s="13">
        <v>45231.802083333336</v>
      </c>
      <c r="B119" s="13">
        <v>45232.887499999997</v>
      </c>
      <c r="C119" s="14">
        <f t="shared" si="83"/>
        <v>26.049999999871943</v>
      </c>
      <c r="D119" s="14">
        <f t="shared" si="84"/>
        <v>31.885199999843259</v>
      </c>
      <c r="E119" s="14">
        <f>(1.224*C119)+SUM(D$116:D118)</f>
        <v>72.62399999990501</v>
      </c>
      <c r="F119" s="14"/>
      <c r="G119" s="15">
        <v>136.68</v>
      </c>
      <c r="H119" s="15">
        <v>83.33</v>
      </c>
      <c r="I119" s="15">
        <v>119.2</v>
      </c>
      <c r="J119" s="15"/>
      <c r="K119" s="15"/>
      <c r="L119" s="15"/>
      <c r="M119" s="15">
        <f t="shared" si="82"/>
        <v>339.21</v>
      </c>
    </row>
    <row r="120" spans="1:15" x14ac:dyDescent="0.2">
      <c r="A120" s="13">
        <v>45232.890277777777</v>
      </c>
      <c r="B120" s="13">
        <v>45233.586805555555</v>
      </c>
      <c r="C120" s="14">
        <f t="shared" si="83"/>
        <v>16.716666666674428</v>
      </c>
      <c r="D120" s="14">
        <f t="shared" si="84"/>
        <v>20.461200000009498</v>
      </c>
      <c r="E120" s="14">
        <f>(1.224*C120)+SUM(D$116:D119)</f>
        <v>93.085199999914508</v>
      </c>
      <c r="F120" s="14"/>
      <c r="G120" s="15">
        <v>127.73</v>
      </c>
      <c r="H120" s="15">
        <v>76.790000000000006</v>
      </c>
      <c r="I120" s="15">
        <v>115.66</v>
      </c>
      <c r="J120" s="15"/>
      <c r="K120" s="15"/>
      <c r="L120" s="15"/>
      <c r="M120" s="15">
        <f t="shared" si="82"/>
        <v>320.18</v>
      </c>
      <c r="N120" t="s">
        <v>211</v>
      </c>
    </row>
    <row r="121" spans="1:15" x14ac:dyDescent="0.2">
      <c r="A121" s="13">
        <v>45233.59097222222</v>
      </c>
      <c r="B121" s="13">
        <v>45235.700694444444</v>
      </c>
      <c r="C121" s="14">
        <f t="shared" si="83"/>
        <v>50.633333333360497</v>
      </c>
      <c r="D121" s="14">
        <f t="shared" si="84"/>
        <v>61.975200000033247</v>
      </c>
      <c r="E121" s="14">
        <f>(1.224*C121)+SUM(D$116:D120)</f>
        <v>155.06039999994775</v>
      </c>
      <c r="F121" s="14"/>
      <c r="G121" s="15"/>
      <c r="H121" s="15"/>
      <c r="I121" s="15">
        <v>106.76</v>
      </c>
      <c r="J121" s="15"/>
      <c r="K121" s="15"/>
      <c r="L121" s="15"/>
      <c r="M121" s="15">
        <f t="shared" si="82"/>
        <v>106.76</v>
      </c>
    </row>
    <row r="122" spans="1:15" x14ac:dyDescent="0.2">
      <c r="A122" s="13"/>
      <c r="B122" s="13"/>
      <c r="C122" s="14">
        <f t="shared" si="83"/>
        <v>0</v>
      </c>
      <c r="D122" s="14">
        <f t="shared" si="84"/>
        <v>0</v>
      </c>
      <c r="E122" s="14">
        <f>(1.224*C122)+SUM(D$116:D121)</f>
        <v>155.06039999994775</v>
      </c>
      <c r="F122" s="14"/>
      <c r="G122" s="15"/>
      <c r="H122" s="15"/>
      <c r="I122" s="15"/>
      <c r="J122" s="15"/>
      <c r="K122" s="15"/>
      <c r="L122" s="15"/>
      <c r="M122" s="15">
        <f t="shared" si="82"/>
        <v>0</v>
      </c>
    </row>
    <row r="123" spans="1:15" x14ac:dyDescent="0.2">
      <c r="C123" s="14">
        <f t="shared" si="83"/>
        <v>0</v>
      </c>
      <c r="D123" s="14">
        <f t="shared" si="84"/>
        <v>0</v>
      </c>
      <c r="E123" s="14">
        <f>(1.224*C123)+SUM(D$116:D122)</f>
        <v>155.06039999994775</v>
      </c>
      <c r="F123" s="14"/>
      <c r="G123" s="15"/>
      <c r="H123" s="15"/>
      <c r="I123" s="15"/>
      <c r="J123" s="15"/>
      <c r="K123" s="15"/>
      <c r="L123" s="15"/>
      <c r="M123" s="15">
        <f t="shared" si="82"/>
        <v>0</v>
      </c>
    </row>
    <row r="124" spans="1:15" x14ac:dyDescent="0.2">
      <c r="A124" s="11" t="s">
        <v>176</v>
      </c>
      <c r="B124" s="11"/>
      <c r="C124" s="11"/>
      <c r="D124" s="11"/>
      <c r="E124" s="16"/>
      <c r="F124" s="16"/>
      <c r="G124" s="17"/>
      <c r="H124" s="17"/>
      <c r="I124" s="17"/>
      <c r="J124" s="17"/>
      <c r="K124" s="17"/>
      <c r="L124" s="17"/>
      <c r="M124" s="17"/>
    </row>
    <row r="125" spans="1:15" x14ac:dyDescent="0.2">
      <c r="E125" s="14"/>
      <c r="F125" s="14"/>
      <c r="G125" s="8" t="s">
        <v>38</v>
      </c>
      <c r="H125" s="8" t="s">
        <v>44</v>
      </c>
      <c r="I125" s="8" t="s">
        <v>53</v>
      </c>
      <c r="J125" s="8"/>
      <c r="K125" s="15"/>
      <c r="L125" s="15"/>
      <c r="M125" s="15"/>
    </row>
    <row r="126" spans="1:15" x14ac:dyDescent="0.2">
      <c r="A126" s="8" t="s">
        <v>153</v>
      </c>
      <c r="B126" s="8" t="s">
        <v>154</v>
      </c>
      <c r="C126" s="8" t="s">
        <v>155</v>
      </c>
      <c r="D126" s="8" t="s">
        <v>156</v>
      </c>
      <c r="E126" s="8" t="s">
        <v>157</v>
      </c>
      <c r="F126" s="8"/>
      <c r="G126" s="8"/>
      <c r="H126" s="8"/>
      <c r="I126" s="8"/>
      <c r="J126" s="8"/>
      <c r="K126" s="8"/>
      <c r="L126" s="8"/>
      <c r="M126" s="8"/>
    </row>
    <row r="127" spans="1:15" x14ac:dyDescent="0.2">
      <c r="A127" s="13"/>
      <c r="B127" s="13"/>
      <c r="C127">
        <f>C116</f>
        <v>0</v>
      </c>
      <c r="D127" s="14">
        <f>D116</f>
        <v>0</v>
      </c>
      <c r="E127" s="14">
        <f>E116</f>
        <v>0</v>
      </c>
      <c r="F127" s="14"/>
      <c r="G127" s="18">
        <f>100-G116/G$116*100</f>
        <v>0</v>
      </c>
      <c r="H127" s="18">
        <f t="shared" ref="H127:I127" si="85">100-H116/H$116*100</f>
        <v>0</v>
      </c>
      <c r="I127" s="18">
        <f t="shared" si="85"/>
        <v>0</v>
      </c>
      <c r="J127" s="18"/>
      <c r="K127" s="18"/>
      <c r="L127" s="18"/>
      <c r="M127" s="18"/>
    </row>
    <row r="128" spans="1:15" x14ac:dyDescent="0.2">
      <c r="A128" s="13">
        <f>A117</f>
        <v>45230.405555555553</v>
      </c>
      <c r="B128" s="13">
        <f>B117</f>
        <v>45230.90625</v>
      </c>
      <c r="C128" s="14">
        <f>C117</f>
        <v>12.016666666720994</v>
      </c>
      <c r="D128" s="14">
        <f t="shared" ref="D128:E128" si="86">D117</f>
        <v>14.708400000066495</v>
      </c>
      <c r="E128" s="14">
        <f t="shared" si="86"/>
        <v>14.708400000066495</v>
      </c>
      <c r="F128" s="14"/>
      <c r="G128" s="18">
        <f t="shared" ref="G128:I128" si="87">100-G117/G$116*100</f>
        <v>8.6058174523570727</v>
      </c>
      <c r="H128" s="18">
        <f t="shared" si="87"/>
        <v>45.378867330886209</v>
      </c>
      <c r="I128" s="18">
        <f t="shared" si="87"/>
        <v>5.1476853166713994</v>
      </c>
      <c r="J128" s="18"/>
      <c r="K128" s="18"/>
      <c r="L128" s="18"/>
      <c r="M128" s="18"/>
    </row>
    <row r="129" spans="1:14" x14ac:dyDescent="0.2">
      <c r="A129" s="13"/>
      <c r="B129" s="13"/>
      <c r="C129">
        <f t="shared" ref="C129:E134" si="88">C118</f>
        <v>21.266666666662786</v>
      </c>
      <c r="D129" s="14">
        <f t="shared" si="88"/>
        <v>26.03039999999525</v>
      </c>
      <c r="E129" s="14">
        <f t="shared" si="88"/>
        <v>40.738800000061744</v>
      </c>
      <c r="G129" s="18">
        <f t="shared" ref="G129:I129" si="89">100-G118/G$116*100</f>
        <v>8.6058174523570727</v>
      </c>
      <c r="H129" s="18">
        <f t="shared" si="89"/>
        <v>45.378867330886209</v>
      </c>
      <c r="I129" s="18">
        <f t="shared" si="89"/>
        <v>10.366373189434825</v>
      </c>
      <c r="J129" s="18"/>
      <c r="K129" s="15"/>
      <c r="L129" s="15"/>
      <c r="M129" s="15"/>
    </row>
    <row r="130" spans="1:14" x14ac:dyDescent="0.2">
      <c r="A130" s="13"/>
      <c r="B130" s="13"/>
      <c r="C130" s="14">
        <f t="shared" si="88"/>
        <v>26.049999999871943</v>
      </c>
      <c r="D130" s="14">
        <f t="shared" si="88"/>
        <v>31.885199999843259</v>
      </c>
      <c r="E130" s="14">
        <f t="shared" si="88"/>
        <v>72.62399999990501</v>
      </c>
      <c r="G130" s="18">
        <f t="shared" ref="G130:I130" si="90">100-G119/G$116*100</f>
        <v>8.6058174523570727</v>
      </c>
      <c r="H130" s="18">
        <f t="shared" si="90"/>
        <v>45.378867330886209</v>
      </c>
      <c r="I130" s="18">
        <f t="shared" si="90"/>
        <v>15.36495313831297</v>
      </c>
      <c r="J130" s="18"/>
      <c r="K130" s="15"/>
      <c r="L130" s="15"/>
      <c r="M130" s="15"/>
    </row>
    <row r="131" spans="1:14" x14ac:dyDescent="0.2">
      <c r="A131" s="13"/>
      <c r="B131" s="13"/>
      <c r="C131">
        <f t="shared" si="88"/>
        <v>16.716666666674428</v>
      </c>
      <c r="D131" s="14">
        <f t="shared" si="88"/>
        <v>20.461200000009498</v>
      </c>
      <c r="E131" s="14">
        <f t="shared" si="88"/>
        <v>93.085199999914508</v>
      </c>
      <c r="G131" s="18">
        <f t="shared" ref="G131:I131" si="91">100-G120/G$116*100</f>
        <v>14.590437980608499</v>
      </c>
      <c r="H131" s="18">
        <f t="shared" si="91"/>
        <v>49.665705296276876</v>
      </c>
      <c r="I131" s="18">
        <f t="shared" si="91"/>
        <v>17.878443623970469</v>
      </c>
      <c r="J131" s="18"/>
    </row>
    <row r="132" spans="1:14" x14ac:dyDescent="0.2">
      <c r="A132" s="13"/>
      <c r="B132" s="13"/>
      <c r="C132" s="14">
        <f t="shared" si="88"/>
        <v>50.633333333360497</v>
      </c>
      <c r="D132" s="14">
        <f t="shared" si="88"/>
        <v>61.975200000033247</v>
      </c>
      <c r="E132" s="14">
        <f t="shared" si="88"/>
        <v>155.06039999994775</v>
      </c>
      <c r="G132" s="18">
        <f t="shared" ref="G132:I132" si="92">100-G121/G$116*100</f>
        <v>100</v>
      </c>
      <c r="H132" s="18">
        <f t="shared" si="92"/>
        <v>100</v>
      </c>
      <c r="I132" s="18">
        <f t="shared" si="92"/>
        <v>24.19767111616018</v>
      </c>
      <c r="J132" s="18"/>
    </row>
    <row r="133" spans="1:14" x14ac:dyDescent="0.2">
      <c r="A133" s="13"/>
      <c r="B133" s="13"/>
      <c r="C133">
        <f t="shared" si="88"/>
        <v>0</v>
      </c>
      <c r="D133" s="14">
        <f t="shared" si="88"/>
        <v>0</v>
      </c>
      <c r="E133" s="14">
        <f t="shared" si="88"/>
        <v>155.06039999994775</v>
      </c>
      <c r="G133" s="18">
        <f t="shared" ref="G133:I133" si="93">100-G122/G$116*100</f>
        <v>100</v>
      </c>
      <c r="H133" s="18">
        <f t="shared" si="93"/>
        <v>100</v>
      </c>
      <c r="I133" s="18">
        <f t="shared" si="93"/>
        <v>100</v>
      </c>
      <c r="J133" s="18"/>
    </row>
    <row r="134" spans="1:14" x14ac:dyDescent="0.2">
      <c r="C134" s="14">
        <f t="shared" si="88"/>
        <v>0</v>
      </c>
      <c r="D134" s="14">
        <f t="shared" si="88"/>
        <v>0</v>
      </c>
      <c r="E134" s="14">
        <f t="shared" si="88"/>
        <v>155.06039999994775</v>
      </c>
      <c r="G134" s="18">
        <f t="shared" ref="G134:I134" si="94">100-G123/G$116*100</f>
        <v>100</v>
      </c>
      <c r="H134" s="18">
        <f t="shared" si="94"/>
        <v>100</v>
      </c>
      <c r="I134" s="18">
        <f t="shared" si="94"/>
        <v>100</v>
      </c>
    </row>
    <row r="135" spans="1:14" x14ac:dyDescent="0.2">
      <c r="A135" s="19"/>
      <c r="B135" s="19"/>
      <c r="C135" s="19"/>
      <c r="D135" s="19"/>
      <c r="E135" s="19"/>
      <c r="F135" s="19"/>
      <c r="G135" s="19"/>
      <c r="H135" s="19"/>
      <c r="I135" s="19"/>
      <c r="J135" s="19"/>
      <c r="K135" s="19"/>
      <c r="L135" s="19"/>
      <c r="M135" s="19"/>
    </row>
    <row r="136" spans="1:14" x14ac:dyDescent="0.2">
      <c r="A136" s="11" t="s">
        <v>144</v>
      </c>
      <c r="B136" s="11" t="s">
        <v>165</v>
      </c>
      <c r="C136" s="11"/>
      <c r="D136" s="11"/>
      <c r="E136" s="11"/>
      <c r="F136" s="11"/>
      <c r="G136" s="11"/>
      <c r="H136" s="11"/>
      <c r="I136" s="11"/>
      <c r="J136" s="11"/>
      <c r="K136" s="11"/>
      <c r="L136" s="11"/>
      <c r="M136" s="11"/>
    </row>
    <row r="137" spans="1:14" x14ac:dyDescent="0.2">
      <c r="G137" s="12" t="s">
        <v>183</v>
      </c>
      <c r="H137" s="12"/>
      <c r="I137" s="12"/>
      <c r="J137" s="12"/>
      <c r="K137" s="12"/>
      <c r="L137" s="12"/>
      <c r="M137" s="12"/>
    </row>
    <row r="138" spans="1:14" x14ac:dyDescent="0.2">
      <c r="A138" s="8" t="s">
        <v>153</v>
      </c>
      <c r="B138" s="8" t="s">
        <v>154</v>
      </c>
      <c r="C138" s="8" t="s">
        <v>155</v>
      </c>
      <c r="D138" s="8" t="s">
        <v>156</v>
      </c>
      <c r="E138" s="8" t="s">
        <v>157</v>
      </c>
      <c r="F138" s="8"/>
      <c r="G138" s="8" t="s">
        <v>37</v>
      </c>
      <c r="H138" s="8" t="s">
        <v>39</v>
      </c>
      <c r="I138" s="8" t="s">
        <v>57</v>
      </c>
      <c r="K138" s="8"/>
      <c r="L138" s="8"/>
      <c r="M138" s="8" t="s">
        <v>158</v>
      </c>
    </row>
    <row r="139" spans="1:14" x14ac:dyDescent="0.2">
      <c r="C139">
        <v>0</v>
      </c>
      <c r="D139" s="14">
        <f>(1.224*C139)</f>
        <v>0</v>
      </c>
      <c r="E139" s="14">
        <f>(1.224*C139)</f>
        <v>0</v>
      </c>
      <c r="F139" s="14"/>
      <c r="G139">
        <v>200.79</v>
      </c>
      <c r="H139">
        <v>93.16</v>
      </c>
      <c r="I139">
        <v>170.11</v>
      </c>
      <c r="L139" s="15"/>
      <c r="M139" s="15">
        <f>SUM(G139:K139)</f>
        <v>464.06</v>
      </c>
    </row>
    <row r="140" spans="1:14" x14ac:dyDescent="0.2">
      <c r="A140" s="13">
        <v>45239.393750000003</v>
      </c>
      <c r="B140" s="13">
        <v>45239.634722222225</v>
      </c>
      <c r="C140" s="14">
        <f>(B140-A140)*24</f>
        <v>5.7833333333255723</v>
      </c>
      <c r="D140" s="14">
        <f>(1.224*C140)</f>
        <v>7.0787999999905002</v>
      </c>
      <c r="E140" s="14">
        <f>(1.224*C140)+SUM(D$139:D139)</f>
        <v>7.0787999999905002</v>
      </c>
      <c r="F140" s="14"/>
      <c r="G140" s="15">
        <v>187.09</v>
      </c>
      <c r="H140" s="15">
        <v>89.07</v>
      </c>
      <c r="I140" s="15">
        <v>166.75</v>
      </c>
      <c r="J140" s="15"/>
      <c r="K140" s="15"/>
      <c r="L140" s="15"/>
      <c r="M140" s="15">
        <f t="shared" ref="M140:M146" si="95">SUM(G140:K140)</f>
        <v>442.90999999999997</v>
      </c>
    </row>
    <row r="141" spans="1:14" x14ac:dyDescent="0.2">
      <c r="A141" s="13">
        <v>45239.63958333333</v>
      </c>
      <c r="B141" s="13">
        <v>45240.395138888889</v>
      </c>
      <c r="C141" s="14">
        <f t="shared" ref="C141:C146" si="96">(B141-A141)*24</f>
        <v>18.133333333418705</v>
      </c>
      <c r="D141" s="14">
        <f t="shared" ref="D141:D146" si="97">(1.224*C141)</f>
        <v>22.195200000104492</v>
      </c>
      <c r="E141" s="14">
        <f>(1.224*C141)+SUM(D$139:D140)</f>
        <v>29.274000000094993</v>
      </c>
      <c r="F141" s="14"/>
      <c r="G141" s="15">
        <v>180.23</v>
      </c>
      <c r="H141" s="15">
        <v>83.8</v>
      </c>
      <c r="I141" s="15">
        <v>162.25</v>
      </c>
      <c r="J141" s="15"/>
      <c r="K141" s="15"/>
      <c r="L141" s="15"/>
      <c r="M141" s="15">
        <f t="shared" si="95"/>
        <v>426.28</v>
      </c>
    </row>
    <row r="142" spans="1:14" x14ac:dyDescent="0.2">
      <c r="A142" s="13">
        <v>45240.40625</v>
      </c>
      <c r="B142" s="13">
        <v>45241.356249999997</v>
      </c>
      <c r="C142" s="14">
        <f t="shared" si="96"/>
        <v>22.799999999930151</v>
      </c>
      <c r="D142" s="14">
        <f t="shared" si="97"/>
        <v>27.907199999914504</v>
      </c>
      <c r="E142" s="14">
        <f>(1.224*C142)+SUM(D$139:D141)</f>
        <v>57.181200000009497</v>
      </c>
      <c r="F142" s="14"/>
      <c r="G142" s="15">
        <v>174.71</v>
      </c>
      <c r="H142" s="15">
        <v>78.64</v>
      </c>
      <c r="I142" s="15">
        <v>157.97999999999999</v>
      </c>
      <c r="J142" s="15"/>
      <c r="K142" s="15"/>
      <c r="L142" s="15"/>
      <c r="M142" s="15">
        <f t="shared" si="95"/>
        <v>411.33000000000004</v>
      </c>
    </row>
    <row r="143" spans="1:14" x14ac:dyDescent="0.2">
      <c r="A143" s="13">
        <v>45241.362500000003</v>
      </c>
      <c r="B143" s="13">
        <v>45242.311805555553</v>
      </c>
      <c r="C143" s="14">
        <f t="shared" si="96"/>
        <v>22.783333333209157</v>
      </c>
      <c r="D143" s="14">
        <f t="shared" si="97"/>
        <v>27.886799999848009</v>
      </c>
      <c r="E143" s="14">
        <f>(1.224*C143)+SUM(D$139:D142)</f>
        <v>85.067999999857506</v>
      </c>
      <c r="F143" s="14"/>
      <c r="G143" s="15">
        <v>170.07</v>
      </c>
      <c r="H143" s="15"/>
      <c r="I143" s="15">
        <v>154.49</v>
      </c>
      <c r="J143" s="15"/>
      <c r="K143" s="15"/>
      <c r="L143" s="15"/>
      <c r="M143" s="15">
        <f t="shared" si="95"/>
        <v>324.56</v>
      </c>
      <c r="N143" t="s">
        <v>213</v>
      </c>
    </row>
    <row r="144" spans="1:14" x14ac:dyDescent="0.2">
      <c r="A144" s="13">
        <v>45242.318749999999</v>
      </c>
      <c r="B144" s="13">
        <v>45242.81527777778</v>
      </c>
      <c r="C144" s="14">
        <f t="shared" si="96"/>
        <v>11.916666666744277</v>
      </c>
      <c r="D144" s="14">
        <f t="shared" si="97"/>
        <v>14.586000000094995</v>
      </c>
      <c r="E144" s="14">
        <f>(1.224*C144)+SUM(D$139:D143)</f>
        <v>99.653999999952504</v>
      </c>
      <c r="F144" s="14"/>
      <c r="G144" s="15">
        <v>167.92</v>
      </c>
      <c r="H144" s="15"/>
      <c r="I144" s="15">
        <v>152.94999999999999</v>
      </c>
      <c r="J144" s="15"/>
      <c r="K144" s="15"/>
      <c r="L144" s="15"/>
      <c r="M144" s="15">
        <f t="shared" si="95"/>
        <v>320.87</v>
      </c>
    </row>
    <row r="145" spans="1:14" x14ac:dyDescent="0.2">
      <c r="A145" s="13">
        <v>45242.824999999997</v>
      </c>
      <c r="B145" s="13">
        <v>45243.439583333333</v>
      </c>
      <c r="C145" s="14">
        <f t="shared" si="96"/>
        <v>14.750000000058208</v>
      </c>
      <c r="D145" s="14">
        <f t="shared" si="97"/>
        <v>18.054000000071245</v>
      </c>
      <c r="E145" s="14">
        <f>(1.224*C145)+SUM(D$139:D144)</f>
        <v>117.70800000002374</v>
      </c>
      <c r="F145" s="14"/>
      <c r="G145" s="15">
        <v>164.95</v>
      </c>
      <c r="H145" s="15"/>
      <c r="I145" s="15"/>
      <c r="J145" s="15"/>
      <c r="K145" s="15"/>
      <c r="L145" s="15"/>
      <c r="M145" s="15">
        <f t="shared" si="95"/>
        <v>164.95</v>
      </c>
      <c r="N145" t="s">
        <v>214</v>
      </c>
    </row>
    <row r="146" spans="1:14" x14ac:dyDescent="0.2">
      <c r="C146" s="14">
        <f t="shared" si="96"/>
        <v>0</v>
      </c>
      <c r="D146" s="14">
        <f t="shared" si="97"/>
        <v>0</v>
      </c>
      <c r="E146" s="14">
        <f>(1.224*C146)+SUM(D$139:D145)</f>
        <v>117.70800000002374</v>
      </c>
      <c r="F146" s="14"/>
      <c r="G146" s="15"/>
      <c r="H146" s="15"/>
      <c r="I146" s="15"/>
      <c r="J146" s="15"/>
      <c r="K146" s="15"/>
      <c r="L146" s="15"/>
      <c r="M146" s="15">
        <f t="shared" si="95"/>
        <v>0</v>
      </c>
    </row>
    <row r="147" spans="1:14" x14ac:dyDescent="0.2">
      <c r="A147" s="11" t="s">
        <v>176</v>
      </c>
      <c r="B147" s="11"/>
      <c r="C147" s="11"/>
      <c r="D147" s="11"/>
      <c r="E147" s="16"/>
      <c r="F147" s="16"/>
      <c r="G147" s="17"/>
      <c r="H147" s="17"/>
      <c r="I147" s="17"/>
      <c r="J147" s="17"/>
      <c r="K147" s="17"/>
      <c r="L147" s="17"/>
      <c r="M147" s="17"/>
    </row>
    <row r="148" spans="1:14" x14ac:dyDescent="0.2">
      <c r="E148" s="14"/>
      <c r="F148" s="14"/>
      <c r="G148" s="8" t="s">
        <v>37</v>
      </c>
      <c r="H148" s="8" t="s">
        <v>39</v>
      </c>
      <c r="I148" s="8" t="s">
        <v>57</v>
      </c>
      <c r="K148" s="15"/>
      <c r="L148" s="15"/>
      <c r="M148" s="15"/>
    </row>
    <row r="149" spans="1:14" x14ac:dyDescent="0.2">
      <c r="A149" s="8" t="s">
        <v>153</v>
      </c>
      <c r="B149" s="8" t="s">
        <v>154</v>
      </c>
      <c r="C149" s="8" t="s">
        <v>155</v>
      </c>
      <c r="D149" s="8" t="s">
        <v>156</v>
      </c>
      <c r="E149" s="8" t="s">
        <v>157</v>
      </c>
      <c r="F149" s="8"/>
      <c r="G149" s="8"/>
      <c r="H149" s="8"/>
      <c r="I149" s="8"/>
      <c r="J149" s="8"/>
      <c r="K149" s="8"/>
      <c r="L149" s="8"/>
      <c r="M149" s="8"/>
    </row>
    <row r="150" spans="1:14" x14ac:dyDescent="0.2">
      <c r="A150" s="13"/>
      <c r="B150" s="13"/>
      <c r="C150">
        <f>C139</f>
        <v>0</v>
      </c>
      <c r="D150" s="14">
        <f>D139</f>
        <v>0</v>
      </c>
      <c r="E150" s="14">
        <f>E139</f>
        <v>0</v>
      </c>
      <c r="F150" s="14"/>
      <c r="G150" s="18">
        <f>100-G139/G$139*100</f>
        <v>0</v>
      </c>
      <c r="H150" s="18">
        <f t="shared" ref="H150:I150" si="98">100-H139/H$139*100</f>
        <v>0</v>
      </c>
      <c r="I150" s="18">
        <f t="shared" si="98"/>
        <v>0</v>
      </c>
      <c r="J150" s="18"/>
      <c r="K150" s="18"/>
      <c r="L150" s="18"/>
      <c r="M150" s="18"/>
    </row>
    <row r="151" spans="1:14" x14ac:dyDescent="0.2">
      <c r="A151" s="13">
        <f>A140</f>
        <v>45239.393750000003</v>
      </c>
      <c r="B151" s="13">
        <f>B140</f>
        <v>45239.634722222225</v>
      </c>
      <c r="C151" s="14">
        <f>C140</f>
        <v>5.7833333333255723</v>
      </c>
      <c r="D151" s="14">
        <f t="shared" ref="D151:E151" si="99">D140</f>
        <v>7.0787999999905002</v>
      </c>
      <c r="E151" s="14">
        <f t="shared" si="99"/>
        <v>7.0787999999905002</v>
      </c>
      <c r="F151" s="14"/>
      <c r="G151" s="18">
        <f t="shared" ref="G151:I151" si="100">100-G140/G$139*100</f>
        <v>6.823048956621335</v>
      </c>
      <c r="H151" s="18">
        <f t="shared" si="100"/>
        <v>4.390296264491198</v>
      </c>
      <c r="I151" s="18">
        <f t="shared" si="100"/>
        <v>1.9751925224854574</v>
      </c>
      <c r="J151" s="18"/>
      <c r="K151" s="18"/>
      <c r="L151" s="18"/>
      <c r="M151" s="18"/>
    </row>
    <row r="152" spans="1:14" x14ac:dyDescent="0.2">
      <c r="A152" s="13">
        <f t="shared" ref="A152:B152" si="101">A141</f>
        <v>45239.63958333333</v>
      </c>
      <c r="B152" s="13">
        <f t="shared" si="101"/>
        <v>45240.395138888889</v>
      </c>
      <c r="C152" s="14">
        <f t="shared" ref="C152:E152" si="102">C141</f>
        <v>18.133333333418705</v>
      </c>
      <c r="D152" s="14">
        <f t="shared" si="102"/>
        <v>22.195200000104492</v>
      </c>
      <c r="E152" s="14">
        <f t="shared" si="102"/>
        <v>29.274000000094993</v>
      </c>
      <c r="G152" s="18">
        <f t="shared" ref="G152:I152" si="103">100-G141/G$139*100</f>
        <v>10.239553762637584</v>
      </c>
      <c r="H152" s="18">
        <f t="shared" si="103"/>
        <v>10.047230571060538</v>
      </c>
      <c r="I152" s="18">
        <f t="shared" si="103"/>
        <v>4.6205396508141803</v>
      </c>
      <c r="J152" s="18"/>
      <c r="K152" s="15"/>
      <c r="L152" s="15"/>
      <c r="M152" s="15"/>
    </row>
    <row r="153" spans="1:14" x14ac:dyDescent="0.2">
      <c r="A153" s="13">
        <f t="shared" ref="A153:B153" si="104">A142</f>
        <v>45240.40625</v>
      </c>
      <c r="B153" s="13">
        <f t="shared" si="104"/>
        <v>45241.356249999997</v>
      </c>
      <c r="C153" s="14">
        <f t="shared" ref="C153:E153" si="105">C142</f>
        <v>22.799999999930151</v>
      </c>
      <c r="D153" s="14">
        <f t="shared" si="105"/>
        <v>27.907199999914504</v>
      </c>
      <c r="E153" s="14">
        <f t="shared" si="105"/>
        <v>57.181200000009497</v>
      </c>
      <c r="G153" s="18">
        <f t="shared" ref="G153:I153" si="106">100-G142/G$139*100</f>
        <v>12.988694656108365</v>
      </c>
      <c r="H153" s="18">
        <f t="shared" si="106"/>
        <v>15.586088449978533</v>
      </c>
      <c r="I153" s="18">
        <f t="shared" si="106"/>
        <v>7.1306801481394615</v>
      </c>
      <c r="J153" s="18"/>
      <c r="K153" s="15"/>
      <c r="L153" s="15"/>
      <c r="M153" s="15"/>
    </row>
    <row r="154" spans="1:14" x14ac:dyDescent="0.2">
      <c r="A154" s="13">
        <f t="shared" ref="A154:B154" si="107">A143</f>
        <v>45241.362500000003</v>
      </c>
      <c r="B154" s="13">
        <f t="shared" si="107"/>
        <v>45242.311805555553</v>
      </c>
      <c r="C154" s="14">
        <f t="shared" ref="C154:E154" si="108">C143</f>
        <v>22.783333333209157</v>
      </c>
      <c r="D154" s="14">
        <f t="shared" si="108"/>
        <v>27.886799999848009</v>
      </c>
      <c r="E154" s="14">
        <f t="shared" si="108"/>
        <v>85.067999999857506</v>
      </c>
      <c r="G154" s="18">
        <f t="shared" ref="G154:I154" si="109">100-G143/G$139*100</f>
        <v>15.299566711489618</v>
      </c>
      <c r="H154" s="18">
        <f t="shared" si="109"/>
        <v>100</v>
      </c>
      <c r="I154" s="18">
        <f t="shared" si="109"/>
        <v>9.1822938098877245</v>
      </c>
      <c r="J154" s="18"/>
    </row>
    <row r="155" spans="1:14" x14ac:dyDescent="0.2">
      <c r="A155" s="13">
        <f t="shared" ref="A155:B155" si="110">A144</f>
        <v>45242.318749999999</v>
      </c>
      <c r="B155" s="13">
        <f t="shared" si="110"/>
        <v>45242.81527777778</v>
      </c>
      <c r="C155" s="14">
        <f t="shared" ref="C155:E155" si="111">C144</f>
        <v>11.916666666744277</v>
      </c>
      <c r="D155" s="14">
        <f t="shared" si="111"/>
        <v>14.586000000094995</v>
      </c>
      <c r="E155" s="14">
        <f t="shared" si="111"/>
        <v>99.653999999952504</v>
      </c>
      <c r="G155" s="18">
        <f t="shared" ref="G155:I155" si="112">100-G144/G$139*100</f>
        <v>16.370337168185671</v>
      </c>
      <c r="H155" s="18">
        <f t="shared" si="112"/>
        <v>100</v>
      </c>
      <c r="I155" s="18">
        <f t="shared" si="112"/>
        <v>10.087590382693563</v>
      </c>
      <c r="J155" s="18"/>
    </row>
    <row r="156" spans="1:14" x14ac:dyDescent="0.2">
      <c r="A156" s="13">
        <f t="shared" ref="A156:B156" si="113">A145</f>
        <v>45242.824999999997</v>
      </c>
      <c r="B156" s="13">
        <f t="shared" si="113"/>
        <v>45243.439583333333</v>
      </c>
      <c r="C156" s="14">
        <f t="shared" ref="C156:E156" si="114">C145</f>
        <v>14.750000000058208</v>
      </c>
      <c r="D156" s="14">
        <f t="shared" si="114"/>
        <v>18.054000000071245</v>
      </c>
      <c r="E156" s="14">
        <f t="shared" si="114"/>
        <v>117.70800000002374</v>
      </c>
      <c r="G156" s="18">
        <f t="shared" ref="G156:I156" si="115">100-G145/G$139*100</f>
        <v>17.84949449673789</v>
      </c>
      <c r="H156" s="18">
        <f t="shared" si="115"/>
        <v>100</v>
      </c>
      <c r="I156" s="18">
        <f t="shared" si="115"/>
        <v>100</v>
      </c>
      <c r="J156" s="18"/>
    </row>
    <row r="157" spans="1:14" x14ac:dyDescent="0.2">
      <c r="A157" s="13">
        <f t="shared" ref="A157:B157" si="116">A146</f>
        <v>0</v>
      </c>
      <c r="B157" s="13">
        <f t="shared" si="116"/>
        <v>0</v>
      </c>
      <c r="C157" s="14">
        <f t="shared" ref="C157:E157" si="117">C146</f>
        <v>0</v>
      </c>
      <c r="D157" s="14">
        <f t="shared" si="117"/>
        <v>0</v>
      </c>
      <c r="E157" s="14">
        <f t="shared" si="117"/>
        <v>117.70800000002374</v>
      </c>
      <c r="G157" s="18">
        <f t="shared" ref="G157:I157" si="118">100-G146/G$139*100</f>
        <v>100</v>
      </c>
      <c r="H157" s="18">
        <f t="shared" si="118"/>
        <v>100</v>
      </c>
      <c r="I157" s="18">
        <f t="shared" si="118"/>
        <v>100</v>
      </c>
    </row>
    <row r="158" spans="1:14" x14ac:dyDescent="0.2">
      <c r="A158" s="19"/>
      <c r="B158" s="19"/>
      <c r="C158" s="19"/>
      <c r="D158" s="19"/>
      <c r="E158" s="19"/>
      <c r="F158" s="19"/>
      <c r="G158" s="19"/>
      <c r="H158" s="19"/>
      <c r="I158" s="19"/>
      <c r="J158" s="19"/>
      <c r="K158" s="19"/>
      <c r="L158" s="19"/>
      <c r="M158" s="19"/>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7164F-16F5-6145-A2C6-03457673EF67}">
  <dimension ref="A1:Y152"/>
  <sheetViews>
    <sheetView topLeftCell="A20" zoomScaleNormal="100" workbookViewId="0">
      <selection activeCell="J48" sqref="J48"/>
    </sheetView>
  </sheetViews>
  <sheetFormatPr baseColWidth="10" defaultColWidth="10.83203125" defaultRowHeight="16" x14ac:dyDescent="0.2"/>
  <cols>
    <col min="3" max="5" width="11.6640625" bestFit="1" customWidth="1"/>
    <col min="16" max="16" width="16.33203125" customWidth="1"/>
  </cols>
  <sheetData>
    <row r="1" spans="1:25" x14ac:dyDescent="0.2">
      <c r="A1" s="8" t="s">
        <v>215</v>
      </c>
    </row>
    <row r="2" spans="1:25" x14ac:dyDescent="0.2">
      <c r="O2" t="s">
        <v>143</v>
      </c>
    </row>
    <row r="3" spans="1:25" x14ac:dyDescent="0.2">
      <c r="A3" s="11" t="s">
        <v>144</v>
      </c>
      <c r="B3" s="11" t="s">
        <v>145</v>
      </c>
      <c r="C3" s="11"/>
      <c r="D3" s="11"/>
      <c r="E3" s="11"/>
      <c r="F3" s="11"/>
      <c r="G3" s="11"/>
      <c r="H3" s="11"/>
      <c r="I3" s="11"/>
      <c r="J3" s="11"/>
      <c r="K3" s="11"/>
      <c r="L3" s="11"/>
      <c r="M3" s="11"/>
      <c r="O3" t="s">
        <v>146</v>
      </c>
      <c r="P3" t="s">
        <v>147</v>
      </c>
      <c r="Q3" t="s">
        <v>148</v>
      </c>
      <c r="R3" t="s">
        <v>149</v>
      </c>
      <c r="T3" t="s">
        <v>150</v>
      </c>
    </row>
    <row r="4" spans="1:25" x14ac:dyDescent="0.2">
      <c r="G4" s="12" t="s">
        <v>218</v>
      </c>
      <c r="H4" s="12"/>
      <c r="I4" s="12"/>
      <c r="J4" s="12"/>
      <c r="K4" s="12"/>
      <c r="L4" s="12"/>
      <c r="M4" s="12"/>
      <c r="O4">
        <v>32.799999999999997</v>
      </c>
      <c r="P4">
        <f>O4*60</f>
        <v>1967.9999999999998</v>
      </c>
      <c r="Q4">
        <v>60</v>
      </c>
      <c r="R4">
        <v>5.9999999999999995E-4</v>
      </c>
      <c r="T4">
        <f>P4*R4</f>
        <v>1.1807999999999998</v>
      </c>
      <c r="V4" t="s">
        <v>258</v>
      </c>
    </row>
    <row r="5" spans="1:25" x14ac:dyDescent="0.2">
      <c r="A5" s="8" t="s">
        <v>153</v>
      </c>
      <c r="B5" s="8" t="s">
        <v>154</v>
      </c>
      <c r="C5" s="8" t="s">
        <v>155</v>
      </c>
      <c r="D5" s="8" t="s">
        <v>156</v>
      </c>
      <c r="E5" s="8" t="s">
        <v>157</v>
      </c>
      <c r="F5" s="8"/>
      <c r="G5" s="8" t="s">
        <v>36</v>
      </c>
      <c r="H5" s="8" t="s">
        <v>46</v>
      </c>
      <c r="I5" s="8" t="s">
        <v>49</v>
      </c>
      <c r="J5" s="8" t="s">
        <v>50</v>
      </c>
      <c r="K5" s="8"/>
      <c r="L5" s="8"/>
      <c r="M5" s="8" t="s">
        <v>158</v>
      </c>
      <c r="O5" t="s">
        <v>219</v>
      </c>
      <c r="P5" t="s">
        <v>226</v>
      </c>
      <c r="V5" s="8" t="s">
        <v>36</v>
      </c>
      <c r="W5" s="8" t="s">
        <v>46</v>
      </c>
      <c r="X5" s="8" t="s">
        <v>49</v>
      </c>
      <c r="Y5" s="8" t="s">
        <v>50</v>
      </c>
    </row>
    <row r="6" spans="1:25" x14ac:dyDescent="0.2">
      <c r="C6">
        <v>0</v>
      </c>
      <c r="D6" s="14">
        <f>(1.1808*C6)</f>
        <v>0</v>
      </c>
      <c r="E6" s="14">
        <f>(1.188*C6)</f>
        <v>0</v>
      </c>
      <c r="F6" s="14"/>
      <c r="G6">
        <v>141.76</v>
      </c>
      <c r="H6">
        <v>160.49</v>
      </c>
      <c r="I6" s="4">
        <v>181.27</v>
      </c>
      <c r="J6">
        <v>131.99</v>
      </c>
      <c r="K6" s="15"/>
      <c r="L6" s="15"/>
      <c r="M6" s="15">
        <f>SUM(H6:J6)</f>
        <v>473.75</v>
      </c>
    </row>
    <row r="7" spans="1:25" x14ac:dyDescent="0.2">
      <c r="A7" s="13">
        <v>45243.548611111109</v>
      </c>
      <c r="B7" s="13">
        <v>45243.65625</v>
      </c>
      <c r="C7" s="14">
        <f>(B7-A7)*24</f>
        <v>2.5833333333721384</v>
      </c>
      <c r="D7" s="14">
        <f t="shared" ref="D7:D15" si="0">(1.1808*C7)</f>
        <v>3.0504000000458213</v>
      </c>
      <c r="E7" s="14">
        <f>(1.188*C7)+SUM(D$6:D6)</f>
        <v>3.0690000000461004</v>
      </c>
      <c r="F7" s="14"/>
      <c r="G7" s="15">
        <v>139.97999999999999</v>
      </c>
      <c r="H7" s="15">
        <v>160.01</v>
      </c>
      <c r="I7" s="15">
        <v>181.02</v>
      </c>
      <c r="J7" s="15">
        <v>131.85</v>
      </c>
      <c r="K7" s="15"/>
      <c r="L7" s="15"/>
      <c r="M7" s="15">
        <f t="shared" ref="M7:M9" si="1">SUM(H7:J7)</f>
        <v>472.88</v>
      </c>
      <c r="V7">
        <f t="shared" ref="V7:Y12" si="2">(G6-G7)/$D7</f>
        <v>0.58353002883991045</v>
      </c>
      <c r="W7">
        <f t="shared" si="2"/>
        <v>0.1573564122714424</v>
      </c>
      <c r="X7">
        <f t="shared" si="2"/>
        <v>8.1956464724706482E-2</v>
      </c>
      <c r="Y7">
        <f t="shared" si="2"/>
        <v>4.5895620245840471E-2</v>
      </c>
    </row>
    <row r="8" spans="1:25" x14ac:dyDescent="0.2">
      <c r="A8" s="13">
        <v>45243.662499999999</v>
      </c>
      <c r="B8" s="13">
        <v>45243.978472222225</v>
      </c>
      <c r="C8" s="14">
        <f>(B8-A8)*24</f>
        <v>7.5833333334303461</v>
      </c>
      <c r="D8" s="14">
        <f t="shared" si="0"/>
        <v>8.9544000001145534</v>
      </c>
      <c r="E8" s="14">
        <f>(1.188*C8)+SUM(D$6:D7)</f>
        <v>12.059400000161071</v>
      </c>
      <c r="F8" s="14"/>
      <c r="G8" s="15">
        <v>134.83000000000001</v>
      </c>
      <c r="H8" s="15">
        <v>158.69</v>
      </c>
      <c r="I8" s="15">
        <v>180.37</v>
      </c>
      <c r="J8" s="15">
        <v>131.26</v>
      </c>
      <c r="K8" s="15"/>
      <c r="L8" s="15"/>
      <c r="M8" s="15">
        <f t="shared" si="1"/>
        <v>470.32</v>
      </c>
      <c r="V8">
        <f t="shared" si="2"/>
        <v>0.57513624586059298</v>
      </c>
      <c r="W8">
        <f t="shared" si="2"/>
        <v>0.14741356204582176</v>
      </c>
      <c r="X8">
        <f t="shared" si="2"/>
        <v>7.2590011613473851E-2</v>
      </c>
      <c r="Y8">
        <f t="shared" si="2"/>
        <v>6.5889395156845304E-2</v>
      </c>
    </row>
    <row r="9" spans="1:25" x14ac:dyDescent="0.2">
      <c r="A9" s="13">
        <v>45243.986805555556</v>
      </c>
      <c r="B9" s="13">
        <v>45244.372916666667</v>
      </c>
      <c r="C9" s="14">
        <f>(B9-A9)*24</f>
        <v>9.2666666666627862</v>
      </c>
      <c r="D9" s="14">
        <f t="shared" si="0"/>
        <v>10.942079999995418</v>
      </c>
      <c r="E9" s="14">
        <f>(1.188*C9)+SUM(D$6:D8)</f>
        <v>23.013600000155762</v>
      </c>
      <c r="F9" s="14"/>
      <c r="G9" s="15">
        <v>128.85</v>
      </c>
      <c r="H9" s="15">
        <v>157.02000000000001</v>
      </c>
      <c r="I9" s="15">
        <v>179.59</v>
      </c>
      <c r="J9" s="15">
        <v>130.61000000000001</v>
      </c>
      <c r="K9" s="15"/>
      <c r="L9" s="15"/>
      <c r="M9" s="15">
        <f t="shared" si="1"/>
        <v>467.22</v>
      </c>
      <c r="V9">
        <f t="shared" si="2"/>
        <v>0.54651400830578123</v>
      </c>
      <c r="W9">
        <f t="shared" si="2"/>
        <v>0.15262180499509115</v>
      </c>
      <c r="X9">
        <f t="shared" si="2"/>
        <v>7.1284435865971343E-2</v>
      </c>
      <c r="Y9">
        <f t="shared" si="2"/>
        <v>5.9403696554973962E-2</v>
      </c>
    </row>
    <row r="10" spans="1:25" x14ac:dyDescent="0.2">
      <c r="A10" s="13">
        <v>45244.378472222219</v>
      </c>
      <c r="B10" s="13">
        <v>45244.866666666669</v>
      </c>
      <c r="C10" s="14">
        <f t="shared" ref="C10:C15" si="3">(B10-A10)*24</f>
        <v>11.716666666790843</v>
      </c>
      <c r="D10" s="14">
        <f t="shared" si="0"/>
        <v>13.835040000146629</v>
      </c>
      <c r="E10" s="14">
        <f>(1.188*C10)+SUM(D$6:D9)</f>
        <v>36.866280000303313</v>
      </c>
      <c r="F10" s="14"/>
      <c r="G10" s="15">
        <v>121.54</v>
      </c>
      <c r="H10" s="15">
        <v>155</v>
      </c>
      <c r="I10" s="15">
        <v>178.59</v>
      </c>
      <c r="J10" s="15">
        <v>129.6</v>
      </c>
      <c r="K10" s="15"/>
      <c r="L10" s="15"/>
      <c r="M10" s="15">
        <f t="shared" ref="M10:M13" si="4">SUM(G10:J10)</f>
        <v>584.73</v>
      </c>
      <c r="N10" t="s">
        <v>221</v>
      </c>
      <c r="P10" s="13"/>
      <c r="V10">
        <f t="shared" si="2"/>
        <v>0.52836854826025181</v>
      </c>
      <c r="W10">
        <f t="shared" si="2"/>
        <v>0.14600608310338109</v>
      </c>
      <c r="X10">
        <f t="shared" si="2"/>
        <v>7.2280239160089285E-2</v>
      </c>
      <c r="Y10">
        <f t="shared" si="2"/>
        <v>7.3003041551691572E-2</v>
      </c>
    </row>
    <row r="11" spans="1:25" x14ac:dyDescent="0.2">
      <c r="A11" s="13">
        <v>45244.870138888888</v>
      </c>
      <c r="B11" s="13">
        <v>45245.209722222222</v>
      </c>
      <c r="C11" s="14">
        <f t="shared" si="3"/>
        <v>8.1500000000232831</v>
      </c>
      <c r="D11" s="14">
        <f t="shared" si="0"/>
        <v>9.6235200000274936</v>
      </c>
      <c r="E11" s="14">
        <f>(1.188*C11)+SUM(D$6:D10)</f>
        <v>46.464120000330084</v>
      </c>
      <c r="F11" s="14"/>
      <c r="G11" s="15">
        <v>114.32</v>
      </c>
      <c r="H11" s="15">
        <v>153.63999999999999</v>
      </c>
      <c r="I11" s="15">
        <v>177.89</v>
      </c>
      <c r="J11" s="15">
        <v>129.07</v>
      </c>
      <c r="K11" s="15"/>
      <c r="L11" s="15"/>
      <c r="M11" s="15">
        <f t="shared" si="4"/>
        <v>574.91999999999996</v>
      </c>
      <c r="N11" t="s">
        <v>222</v>
      </c>
      <c r="V11">
        <f t="shared" si="2"/>
        <v>0.75024523251153274</v>
      </c>
      <c r="W11">
        <f t="shared" si="2"/>
        <v>0.14132043160882174</v>
      </c>
      <c r="X11">
        <f t="shared" si="2"/>
        <v>7.2738457445718122E-2</v>
      </c>
      <c r="Y11">
        <f t="shared" si="2"/>
        <v>5.5073403494613919E-2</v>
      </c>
    </row>
    <row r="12" spans="1:25" x14ac:dyDescent="0.2">
      <c r="A12" s="13">
        <v>45245.425694444442</v>
      </c>
      <c r="B12" s="13">
        <v>45245.927083333336</v>
      </c>
      <c r="C12" s="14">
        <f t="shared" si="3"/>
        <v>12.033333333441988</v>
      </c>
      <c r="D12" s="14">
        <f t="shared" si="0"/>
        <v>14.2089600001283</v>
      </c>
      <c r="E12" s="14">
        <f>(1.188*C12)+SUM(D$6:D11)</f>
        <v>60.701040000459002</v>
      </c>
      <c r="F12" s="14"/>
      <c r="G12" s="15">
        <v>106.69</v>
      </c>
      <c r="H12" s="15">
        <v>151.44999999999999</v>
      </c>
      <c r="I12" s="15">
        <v>176.8</v>
      </c>
      <c r="J12" s="15">
        <v>128.02000000000001</v>
      </c>
      <c r="K12" s="15"/>
      <c r="L12" s="15"/>
      <c r="M12" s="15">
        <f>SUM(G12:J12)</f>
        <v>562.96</v>
      </c>
      <c r="V12">
        <f t="shared" si="2"/>
        <v>0.53698511361360013</v>
      </c>
      <c r="W12">
        <f t="shared" si="2"/>
        <v>0.15412809945134781</v>
      </c>
      <c r="X12">
        <f t="shared" si="2"/>
        <v>7.6712159087655454E-2</v>
      </c>
      <c r="Y12">
        <f t="shared" si="2"/>
        <v>7.3897033983521807E-2</v>
      </c>
    </row>
    <row r="13" spans="1:25" x14ac:dyDescent="0.2">
      <c r="A13" s="13"/>
      <c r="B13" s="13"/>
      <c r="C13" s="14">
        <f t="shared" si="3"/>
        <v>0</v>
      </c>
      <c r="D13" s="14">
        <f t="shared" si="0"/>
        <v>0</v>
      </c>
      <c r="E13" s="14">
        <f>(1.188*C13)+SUM(D$6:D12)</f>
        <v>60.614400000458218</v>
      </c>
      <c r="F13" s="14"/>
      <c r="G13" s="15"/>
      <c r="H13" s="15"/>
      <c r="I13" s="15"/>
      <c r="J13" s="15"/>
      <c r="K13" s="15"/>
      <c r="L13" s="15"/>
      <c r="M13" s="15">
        <f t="shared" si="4"/>
        <v>0</v>
      </c>
    </row>
    <row r="14" spans="1:25" x14ac:dyDescent="0.2">
      <c r="A14" s="13"/>
      <c r="B14" s="13"/>
      <c r="C14" s="14">
        <f t="shared" si="3"/>
        <v>0</v>
      </c>
      <c r="D14" s="14">
        <f t="shared" si="0"/>
        <v>0</v>
      </c>
      <c r="E14" s="14">
        <f>(1.188*C14)+SUM(D$6:D13)</f>
        <v>60.614400000458218</v>
      </c>
      <c r="F14" s="14"/>
      <c r="G14" s="15"/>
      <c r="H14" s="15"/>
      <c r="I14" s="15"/>
      <c r="J14" s="15"/>
      <c r="K14" s="15"/>
      <c r="L14" s="15"/>
      <c r="M14" s="15"/>
      <c r="O14" t="s">
        <v>232</v>
      </c>
      <c r="U14" t="s">
        <v>259</v>
      </c>
      <c r="V14">
        <f>(G6-G12)/$E12</f>
        <v>0.57774957397327631</v>
      </c>
      <c r="W14">
        <f>(H6-H12)/$E12</f>
        <v>0.14892660817560396</v>
      </c>
      <c r="X14">
        <f>(I6-I12)/$E12</f>
        <v>7.3639594971786279E-2</v>
      </c>
      <c r="Y14">
        <f>(J6-J12)/$E12</f>
        <v>6.5402503811631221E-2</v>
      </c>
    </row>
    <row r="15" spans="1:25" x14ac:dyDescent="0.2">
      <c r="A15" s="13"/>
      <c r="B15" s="13"/>
      <c r="C15" s="14">
        <f t="shared" si="3"/>
        <v>0</v>
      </c>
      <c r="D15" s="14">
        <f t="shared" si="0"/>
        <v>0</v>
      </c>
      <c r="E15" s="14">
        <f>(1.188*C15)+SUM(D$6:D14)</f>
        <v>60.614400000458218</v>
      </c>
      <c r="F15" s="14"/>
      <c r="G15" s="15"/>
      <c r="H15" s="15"/>
      <c r="I15" s="15"/>
      <c r="J15" s="15"/>
      <c r="K15" s="15"/>
      <c r="L15" s="15"/>
      <c r="M15" s="15"/>
      <c r="U15" t="s">
        <v>261</v>
      </c>
      <c r="V15">
        <f>AVERAGE(V7:V12)</f>
        <v>0.58679652956527828</v>
      </c>
    </row>
    <row r="16" spans="1:25" x14ac:dyDescent="0.2">
      <c r="A16" s="11" t="s">
        <v>164</v>
      </c>
      <c r="B16" s="11"/>
      <c r="C16" s="11"/>
      <c r="D16" s="11"/>
      <c r="E16" s="16"/>
      <c r="F16" s="16"/>
      <c r="G16" s="17"/>
      <c r="H16" s="17"/>
      <c r="I16" s="17"/>
      <c r="J16" s="17"/>
      <c r="K16" s="17"/>
      <c r="L16" s="17"/>
      <c r="M16" s="17"/>
      <c r="O16" s="14"/>
      <c r="V16">
        <f>AVERAGE(V7:V10,V12)</f>
        <v>0.55410678897602728</v>
      </c>
    </row>
    <row r="17" spans="1:25" x14ac:dyDescent="0.2">
      <c r="E17" s="14"/>
      <c r="F17" s="14"/>
      <c r="G17" s="15"/>
      <c r="H17" s="15"/>
      <c r="I17" s="15"/>
      <c r="J17" s="15"/>
      <c r="K17" s="15"/>
      <c r="L17" s="15"/>
      <c r="M17" s="15"/>
      <c r="U17" t="s">
        <v>260</v>
      </c>
      <c r="V17">
        <f>(G6-G10)/E10</f>
        <v>0.54846868194549669</v>
      </c>
    </row>
    <row r="18" spans="1:25" x14ac:dyDescent="0.2">
      <c r="A18" s="8" t="s">
        <v>153</v>
      </c>
      <c r="B18" s="8" t="s">
        <v>154</v>
      </c>
      <c r="C18" s="8" t="s">
        <v>155</v>
      </c>
      <c r="D18" s="8" t="s">
        <v>156</v>
      </c>
      <c r="E18" s="8" t="s">
        <v>157</v>
      </c>
      <c r="F18" s="8"/>
      <c r="G18" s="8" t="s">
        <v>36</v>
      </c>
      <c r="H18" s="8" t="s">
        <v>46</v>
      </c>
      <c r="I18" s="8" t="s">
        <v>49</v>
      </c>
      <c r="J18" s="8" t="s">
        <v>50</v>
      </c>
      <c r="K18" s="8"/>
      <c r="L18" s="8"/>
      <c r="M18" s="8"/>
    </row>
    <row r="19" spans="1:25" x14ac:dyDescent="0.2">
      <c r="A19" s="13"/>
      <c r="B19" s="13"/>
      <c r="C19">
        <f>C6</f>
        <v>0</v>
      </c>
      <c r="D19" s="14">
        <f>D6</f>
        <v>0</v>
      </c>
      <c r="E19" s="14">
        <f>E6</f>
        <v>0</v>
      </c>
      <c r="F19" s="14"/>
      <c r="G19" s="18">
        <f>100-G6/G$6*100</f>
        <v>0</v>
      </c>
      <c r="H19" s="18">
        <f t="shared" ref="H19:J19" si="5">100-H6/H$6*100</f>
        <v>0</v>
      </c>
      <c r="I19" s="18">
        <f t="shared" si="5"/>
        <v>0</v>
      </c>
      <c r="J19" s="18">
        <f t="shared" si="5"/>
        <v>0</v>
      </c>
      <c r="K19" s="18"/>
      <c r="L19" s="18"/>
      <c r="M19" s="18"/>
      <c r="V19" t="s">
        <v>262</v>
      </c>
    </row>
    <row r="20" spans="1:25" x14ac:dyDescent="0.2">
      <c r="A20" s="13">
        <f>A7</f>
        <v>45243.548611111109</v>
      </c>
      <c r="B20" s="13">
        <f>B7</f>
        <v>45243.65625</v>
      </c>
      <c r="C20" s="14">
        <f>C7</f>
        <v>2.5833333333721384</v>
      </c>
      <c r="D20" s="14">
        <f t="shared" ref="D20:E20" si="6">D7</f>
        <v>3.0504000000458213</v>
      </c>
      <c r="E20" s="14">
        <f t="shared" si="6"/>
        <v>3.0690000000461004</v>
      </c>
      <c r="F20" s="14"/>
      <c r="G20" s="18">
        <f t="shared" ref="G20:J27" si="7">100-G7/G$6*100</f>
        <v>1.2556433408577874</v>
      </c>
      <c r="H20" s="18">
        <f t="shared" si="7"/>
        <v>0.29908405508132319</v>
      </c>
      <c r="I20" s="18">
        <f t="shared" si="7"/>
        <v>0.13791581618579585</v>
      </c>
      <c r="J20" s="18">
        <f t="shared" si="7"/>
        <v>0.10606864156376616</v>
      </c>
      <c r="K20" s="18"/>
      <c r="L20" s="18"/>
      <c r="M20" s="18"/>
      <c r="V20" s="8" t="s">
        <v>36</v>
      </c>
      <c r="W20" s="8" t="s">
        <v>46</v>
      </c>
      <c r="X20" s="8" t="s">
        <v>49</v>
      </c>
      <c r="Y20" s="8" t="s">
        <v>50</v>
      </c>
    </row>
    <row r="21" spans="1:25" x14ac:dyDescent="0.2">
      <c r="A21" s="13">
        <f>A8</f>
        <v>45243.662499999999</v>
      </c>
      <c r="B21" s="13">
        <f t="shared" ref="A21:E27" si="8">B8</f>
        <v>45243.978472222225</v>
      </c>
      <c r="C21" s="14">
        <f t="shared" si="8"/>
        <v>7.5833333334303461</v>
      </c>
      <c r="D21" s="14">
        <f t="shared" si="8"/>
        <v>8.9544000001145534</v>
      </c>
      <c r="E21" s="14">
        <f t="shared" si="8"/>
        <v>12.059400000161071</v>
      </c>
      <c r="G21" s="18">
        <f t="shared" si="7"/>
        <v>4.888544018058667</v>
      </c>
      <c r="H21" s="18">
        <f t="shared" si="7"/>
        <v>1.1215652065549335</v>
      </c>
      <c r="I21" s="18">
        <f t="shared" si="7"/>
        <v>0.49649693826889063</v>
      </c>
      <c r="J21" s="18">
        <f t="shared" si="7"/>
        <v>0.55307220243959421</v>
      </c>
      <c r="K21" s="15"/>
      <c r="L21" s="15"/>
      <c r="M21" s="15"/>
      <c r="V21">
        <f>G23/$E23</f>
        <v>0.38689946525500618</v>
      </c>
      <c r="W21">
        <f>H25/$E25</f>
        <v>9.2794945588886416E-2</v>
      </c>
      <c r="X21">
        <f t="shared" ref="X21:Y21" si="9">I25/$E25</f>
        <v>4.0624259376502478E-2</v>
      </c>
      <c r="Y21">
        <f t="shared" si="9"/>
        <v>4.9551105244057266E-2</v>
      </c>
    </row>
    <row r="22" spans="1:25" x14ac:dyDescent="0.2">
      <c r="A22" s="13">
        <f>A9</f>
        <v>45243.986805555556</v>
      </c>
      <c r="B22" s="13">
        <f t="shared" si="8"/>
        <v>45244.372916666667</v>
      </c>
      <c r="C22" s="14">
        <f t="shared" si="8"/>
        <v>9.2666666666627862</v>
      </c>
      <c r="D22" s="14">
        <f t="shared" si="8"/>
        <v>10.942079999995418</v>
      </c>
      <c r="E22" s="14">
        <f t="shared" si="8"/>
        <v>23.013600000155762</v>
      </c>
      <c r="G22" s="18">
        <f t="shared" si="7"/>
        <v>9.1069413092550775</v>
      </c>
      <c r="H22" s="18">
        <f t="shared" si="7"/>
        <v>2.162128481525329</v>
      </c>
      <c r="I22" s="18">
        <f t="shared" si="7"/>
        <v>0.92679428476859016</v>
      </c>
      <c r="J22" s="18">
        <f t="shared" si="7"/>
        <v>1.0455337525570059</v>
      </c>
      <c r="K22" s="15"/>
      <c r="L22" s="15"/>
      <c r="M22" s="15"/>
    </row>
    <row r="23" spans="1:25" x14ac:dyDescent="0.2">
      <c r="A23" s="13">
        <f t="shared" si="8"/>
        <v>45244.378472222219</v>
      </c>
      <c r="B23" s="13">
        <f t="shared" si="8"/>
        <v>45244.866666666669</v>
      </c>
      <c r="C23" s="14">
        <f t="shared" si="8"/>
        <v>11.716666666790843</v>
      </c>
      <c r="D23" s="14">
        <f t="shared" si="8"/>
        <v>13.835040000146629</v>
      </c>
      <c r="E23" s="14">
        <f t="shared" si="8"/>
        <v>36.866280000303313</v>
      </c>
      <c r="G23" s="18">
        <f t="shared" si="7"/>
        <v>14.263544018058681</v>
      </c>
      <c r="H23" s="18">
        <f t="shared" si="7"/>
        <v>3.420773879992538</v>
      </c>
      <c r="I23" s="18">
        <f t="shared" si="7"/>
        <v>1.4784575495117735</v>
      </c>
      <c r="J23" s="18">
        <f t="shared" si="7"/>
        <v>1.8107432381241182</v>
      </c>
    </row>
    <row r="24" spans="1:25" x14ac:dyDescent="0.2">
      <c r="A24" s="13">
        <f t="shared" si="8"/>
        <v>45244.870138888888</v>
      </c>
      <c r="B24" s="13">
        <f t="shared" si="8"/>
        <v>45245.209722222222</v>
      </c>
      <c r="C24" s="14">
        <f t="shared" si="8"/>
        <v>8.1500000000232831</v>
      </c>
      <c r="D24" s="14">
        <f t="shared" si="8"/>
        <v>9.6235200000274936</v>
      </c>
      <c r="E24" s="14">
        <f t="shared" si="8"/>
        <v>46.464120000330084</v>
      </c>
      <c r="G24" s="18">
        <f>100-G11/G$6*100</f>
        <v>19.35665914221218</v>
      </c>
      <c r="H24" s="18">
        <f t="shared" si="7"/>
        <v>4.2681787027229205</v>
      </c>
      <c r="I24" s="18">
        <f t="shared" si="7"/>
        <v>1.864621834832036</v>
      </c>
      <c r="J24" s="18">
        <f t="shared" si="7"/>
        <v>2.21228880975832</v>
      </c>
    </row>
    <row r="25" spans="1:25" x14ac:dyDescent="0.2">
      <c r="A25" s="13">
        <f t="shared" si="8"/>
        <v>45245.425694444442</v>
      </c>
      <c r="B25" s="13">
        <f t="shared" si="8"/>
        <v>45245.927083333336</v>
      </c>
      <c r="C25" s="14">
        <f t="shared" si="8"/>
        <v>12.033333333441988</v>
      </c>
      <c r="D25" s="14">
        <f t="shared" si="8"/>
        <v>14.2089600001283</v>
      </c>
      <c r="E25" s="14">
        <f t="shared" si="8"/>
        <v>60.701040000459002</v>
      </c>
      <c r="G25" s="18">
        <f>100-G12/G$6*100</f>
        <v>24.738995485327308</v>
      </c>
      <c r="H25" s="18">
        <f t="shared" si="7"/>
        <v>5.6327497040314114</v>
      </c>
      <c r="I25" s="18">
        <f t="shared" si="7"/>
        <v>2.4659347934020985</v>
      </c>
      <c r="J25" s="18">
        <f t="shared" si="7"/>
        <v>3.0078036214864738</v>
      </c>
    </row>
    <row r="26" spans="1:25" x14ac:dyDescent="0.2">
      <c r="A26" s="13">
        <f t="shared" si="8"/>
        <v>0</v>
      </c>
      <c r="B26" s="13">
        <f t="shared" si="8"/>
        <v>0</v>
      </c>
      <c r="C26" s="14">
        <f t="shared" si="8"/>
        <v>0</v>
      </c>
      <c r="D26" s="14">
        <f t="shared" si="8"/>
        <v>0</v>
      </c>
      <c r="E26" s="14">
        <f t="shared" si="8"/>
        <v>60.614400000458218</v>
      </c>
      <c r="G26" s="18">
        <f t="shared" si="7"/>
        <v>100</v>
      </c>
      <c r="H26" s="18">
        <f t="shared" si="7"/>
        <v>100</v>
      </c>
      <c r="I26" s="18">
        <f t="shared" si="7"/>
        <v>100</v>
      </c>
      <c r="J26" s="18">
        <f t="shared" si="7"/>
        <v>100</v>
      </c>
    </row>
    <row r="27" spans="1:25" x14ac:dyDescent="0.2">
      <c r="A27" s="13">
        <f t="shared" si="8"/>
        <v>0</v>
      </c>
      <c r="B27" s="13">
        <f t="shared" si="8"/>
        <v>0</v>
      </c>
      <c r="C27" s="14">
        <f t="shared" si="8"/>
        <v>0</v>
      </c>
      <c r="D27" s="14">
        <f t="shared" si="8"/>
        <v>0</v>
      </c>
      <c r="E27" s="14">
        <f t="shared" si="8"/>
        <v>60.614400000458218</v>
      </c>
      <c r="G27" s="18">
        <f t="shared" si="7"/>
        <v>100</v>
      </c>
      <c r="H27" s="18">
        <f t="shared" si="7"/>
        <v>100</v>
      </c>
      <c r="I27" s="18">
        <f t="shared" si="7"/>
        <v>100</v>
      </c>
      <c r="J27" s="18">
        <f t="shared" si="7"/>
        <v>100</v>
      </c>
    </row>
    <row r="28" spans="1:25" x14ac:dyDescent="0.2">
      <c r="A28" s="13">
        <f>A15</f>
        <v>0</v>
      </c>
      <c r="B28" s="13"/>
      <c r="C28" s="14"/>
      <c r="D28" s="14"/>
      <c r="E28" s="14"/>
      <c r="G28" s="18"/>
      <c r="H28" s="18"/>
      <c r="I28" s="18"/>
      <c r="J28" s="18"/>
    </row>
    <row r="29" spans="1:25" x14ac:dyDescent="0.2">
      <c r="A29" s="19"/>
      <c r="B29" s="19"/>
      <c r="C29" s="19"/>
      <c r="D29" s="19"/>
      <c r="E29" s="19"/>
      <c r="F29" s="19"/>
      <c r="G29" s="19"/>
      <c r="H29" s="19"/>
      <c r="I29" s="19"/>
      <c r="J29" s="19"/>
      <c r="K29" s="19"/>
      <c r="L29" s="19"/>
      <c r="M29" s="19"/>
      <c r="P29" t="s">
        <v>168</v>
      </c>
    </row>
    <row r="30" spans="1:25" x14ac:dyDescent="0.2">
      <c r="A30" s="11" t="s">
        <v>144</v>
      </c>
      <c r="B30" s="11" t="s">
        <v>165</v>
      </c>
      <c r="C30" s="11"/>
      <c r="D30" s="11"/>
      <c r="E30" s="11"/>
      <c r="F30" s="11"/>
      <c r="G30" s="11"/>
      <c r="H30" s="11"/>
      <c r="I30" s="11"/>
      <c r="J30" s="11"/>
      <c r="K30" s="11"/>
      <c r="L30" s="11"/>
      <c r="M30" s="11"/>
      <c r="O30" t="s">
        <v>166</v>
      </c>
      <c r="Q30" t="s">
        <v>148</v>
      </c>
      <c r="R30" t="s">
        <v>149</v>
      </c>
      <c r="T30" t="s">
        <v>150</v>
      </c>
    </row>
    <row r="31" spans="1:25" x14ac:dyDescent="0.2">
      <c r="G31" s="12" t="s">
        <v>167</v>
      </c>
      <c r="H31" s="12"/>
      <c r="I31" s="12"/>
      <c r="J31" s="12"/>
      <c r="K31" s="12"/>
      <c r="L31" s="12"/>
      <c r="M31" s="12"/>
      <c r="O31">
        <v>34</v>
      </c>
      <c r="P31">
        <f>O31*60</f>
        <v>2040</v>
      </c>
      <c r="Q31">
        <v>60</v>
      </c>
      <c r="R31">
        <v>5.9999999999999995E-4</v>
      </c>
      <c r="T31">
        <f>P31*R31</f>
        <v>1.224</v>
      </c>
    </row>
    <row r="32" spans="1:25" x14ac:dyDescent="0.2">
      <c r="A32" s="8" t="s">
        <v>153</v>
      </c>
      <c r="B32" s="8" t="s">
        <v>154</v>
      </c>
      <c r="C32" s="8" t="s">
        <v>155</v>
      </c>
      <c r="D32" s="8" t="s">
        <v>156</v>
      </c>
      <c r="E32" s="8" t="s">
        <v>157</v>
      </c>
      <c r="F32" s="8"/>
      <c r="G32" s="8" t="s">
        <v>40</v>
      </c>
      <c r="H32" s="8" t="s">
        <v>42</v>
      </c>
      <c r="I32" s="8" t="s">
        <v>45</v>
      </c>
      <c r="J32" s="8" t="s">
        <v>51</v>
      </c>
      <c r="K32" s="8"/>
      <c r="L32" s="8"/>
      <c r="M32" s="8" t="s">
        <v>158</v>
      </c>
      <c r="O32" s="8" t="s">
        <v>224</v>
      </c>
      <c r="P32" t="s">
        <v>225</v>
      </c>
    </row>
    <row r="33" spans="1:25" x14ac:dyDescent="0.2">
      <c r="C33">
        <v>0</v>
      </c>
      <c r="D33" s="14">
        <f>(1.224*C33)</f>
        <v>0</v>
      </c>
      <c r="E33" s="14">
        <f>(1.224*C33)</f>
        <v>0</v>
      </c>
      <c r="F33" s="14"/>
      <c r="G33">
        <v>89.03</v>
      </c>
      <c r="H33">
        <v>166.68</v>
      </c>
      <c r="I33" s="4">
        <v>152.68</v>
      </c>
      <c r="J33">
        <v>56.63</v>
      </c>
      <c r="K33" s="15"/>
      <c r="L33" s="15"/>
      <c r="M33" s="15">
        <f>SUM(G33:K33)</f>
        <v>465.02</v>
      </c>
      <c r="N33" t="s">
        <v>229</v>
      </c>
    </row>
    <row r="34" spans="1:25" x14ac:dyDescent="0.2">
      <c r="A34" s="13">
        <v>45245.425694444442</v>
      </c>
      <c r="B34" s="13">
        <v>45245.509722222225</v>
      </c>
      <c r="C34" s="14">
        <f>(B34-A34)*24</f>
        <v>2.0166666667792015</v>
      </c>
      <c r="D34" s="14">
        <f>(1.224*C34)</f>
        <v>2.4684000001377426</v>
      </c>
      <c r="E34" s="14">
        <f>(1.224*C34)+SUM(D$33:D33)</f>
        <v>2.4684000001377426</v>
      </c>
      <c r="F34" s="14"/>
      <c r="G34" s="15">
        <v>87.01</v>
      </c>
      <c r="H34" s="15">
        <v>164.18</v>
      </c>
      <c r="I34" s="15">
        <v>147.22</v>
      </c>
      <c r="J34" s="15">
        <v>45.62</v>
      </c>
      <c r="K34" s="15"/>
      <c r="L34" s="15"/>
      <c r="M34" s="15">
        <f>SUM(G34:K34)</f>
        <v>444.03</v>
      </c>
    </row>
    <row r="35" spans="1:25" x14ac:dyDescent="0.2">
      <c r="A35" s="13">
        <v>45245.51458333333</v>
      </c>
      <c r="B35" s="13">
        <v>45245.599305555559</v>
      </c>
      <c r="C35" s="14">
        <f t="shared" ref="C35:C43" si="10">(B35-A35)*24</f>
        <v>2.0333333335001953</v>
      </c>
      <c r="D35" s="14">
        <f t="shared" ref="D35:D43" si="11">(1.224*C35)</f>
        <v>2.4888000002042392</v>
      </c>
      <c r="E35" s="14">
        <f>(1.224*C35)+SUM(D$33:D34)</f>
        <v>4.9572000003419818</v>
      </c>
      <c r="F35" s="14"/>
      <c r="G35" s="15">
        <v>85.84</v>
      </c>
      <c r="H35" s="15">
        <v>161.62</v>
      </c>
      <c r="I35" s="15">
        <v>86.04</v>
      </c>
      <c r="J35" s="15">
        <v>40.909999999999997</v>
      </c>
      <c r="K35" s="15"/>
      <c r="L35" s="15"/>
      <c r="M35" s="15">
        <f t="shared" ref="M35:M44" si="12">SUM(G35:K35)</f>
        <v>374.40999999999997</v>
      </c>
      <c r="N35" t="s">
        <v>228</v>
      </c>
      <c r="O35" t="s">
        <v>227</v>
      </c>
    </row>
    <row r="36" spans="1:25" x14ac:dyDescent="0.2">
      <c r="A36" s="13">
        <v>45245.609027777777</v>
      </c>
      <c r="B36" s="13">
        <v>45245.726388888892</v>
      </c>
      <c r="C36" s="14">
        <f t="shared" si="10"/>
        <v>2.8166666667675599</v>
      </c>
      <c r="D36" s="14">
        <f t="shared" si="11"/>
        <v>3.4476000001234932</v>
      </c>
      <c r="E36" s="14">
        <f>(1.224*C36)+SUM(D$33:D35)</f>
        <v>8.4048000004654746</v>
      </c>
      <c r="F36" s="14"/>
      <c r="G36" s="15">
        <v>84.46</v>
      </c>
      <c r="H36" s="15">
        <v>158.24</v>
      </c>
      <c r="I36" s="15">
        <v>80.94</v>
      </c>
      <c r="J36" s="15">
        <v>35.68</v>
      </c>
      <c r="K36" s="15"/>
      <c r="L36" s="15"/>
      <c r="M36" s="15">
        <f t="shared" si="12"/>
        <v>359.32</v>
      </c>
    </row>
    <row r="37" spans="1:25" x14ac:dyDescent="0.2">
      <c r="A37" s="13"/>
      <c r="B37" s="13"/>
      <c r="C37" s="14">
        <f t="shared" si="10"/>
        <v>0</v>
      </c>
      <c r="D37" s="14">
        <f t="shared" si="11"/>
        <v>0</v>
      </c>
      <c r="E37" s="14">
        <f>(1.224*C37)+SUM(D$33:D36)</f>
        <v>8.4048000004654746</v>
      </c>
      <c r="F37" s="14"/>
      <c r="G37" s="15"/>
      <c r="H37" s="15"/>
      <c r="I37" s="15"/>
      <c r="J37" s="15"/>
      <c r="K37" s="15"/>
      <c r="L37" s="15"/>
      <c r="M37" s="15">
        <f t="shared" si="12"/>
        <v>0</v>
      </c>
      <c r="N37" t="s">
        <v>230</v>
      </c>
    </row>
    <row r="38" spans="1:25" x14ac:dyDescent="0.2">
      <c r="A38" s="13"/>
      <c r="B38" s="13"/>
      <c r="C38" s="14">
        <f t="shared" si="10"/>
        <v>0</v>
      </c>
      <c r="D38" s="14">
        <f t="shared" si="11"/>
        <v>0</v>
      </c>
      <c r="E38" s="14">
        <f>(1.224*C38)+SUM(D$33:D37)</f>
        <v>8.4048000004654746</v>
      </c>
      <c r="F38" s="14"/>
      <c r="G38" s="15"/>
      <c r="H38" s="15"/>
      <c r="I38" s="15"/>
      <c r="J38" s="15"/>
      <c r="K38" s="15"/>
      <c r="L38" s="15"/>
      <c r="M38" s="15">
        <f t="shared" si="12"/>
        <v>0</v>
      </c>
    </row>
    <row r="39" spans="1:25" x14ac:dyDescent="0.2">
      <c r="A39" s="13"/>
      <c r="B39" s="13"/>
      <c r="C39" s="14">
        <f t="shared" si="10"/>
        <v>0</v>
      </c>
      <c r="D39" s="14">
        <f t="shared" si="11"/>
        <v>0</v>
      </c>
      <c r="E39" s="14">
        <f>(1.224*C39)+SUM(D$33:D38)</f>
        <v>8.4048000004654746</v>
      </c>
      <c r="F39" s="14"/>
      <c r="G39" s="15"/>
      <c r="H39" s="15"/>
      <c r="I39" s="15"/>
      <c r="J39" s="15"/>
      <c r="K39" s="15"/>
      <c r="L39" s="15"/>
      <c r="M39" s="15">
        <f t="shared" si="12"/>
        <v>0</v>
      </c>
    </row>
    <row r="40" spans="1:25" x14ac:dyDescent="0.2">
      <c r="A40" s="13"/>
      <c r="B40" s="13"/>
      <c r="C40" s="14">
        <f t="shared" si="10"/>
        <v>0</v>
      </c>
      <c r="D40" s="14">
        <f t="shared" si="11"/>
        <v>0</v>
      </c>
      <c r="E40" s="14">
        <f>(1.224*C40)+SUM(D$33:D39)</f>
        <v>8.4048000004654746</v>
      </c>
      <c r="F40" s="14"/>
      <c r="G40" s="15"/>
      <c r="H40" s="15"/>
      <c r="I40" s="15"/>
      <c r="J40" s="15"/>
      <c r="K40" s="15"/>
      <c r="L40" s="15"/>
      <c r="M40" s="15">
        <f t="shared" si="12"/>
        <v>0</v>
      </c>
    </row>
    <row r="41" spans="1:25" x14ac:dyDescent="0.2">
      <c r="A41" s="13"/>
      <c r="B41" s="13"/>
      <c r="C41" s="14">
        <f t="shared" si="10"/>
        <v>0</v>
      </c>
      <c r="D41" s="14">
        <f t="shared" si="11"/>
        <v>0</v>
      </c>
      <c r="E41" s="14">
        <f>(1.224*C41)+SUM(D$33:D40)</f>
        <v>8.4048000004654746</v>
      </c>
      <c r="F41" s="14"/>
      <c r="G41" s="15"/>
      <c r="H41" s="15"/>
      <c r="I41" s="15"/>
      <c r="J41" s="15"/>
      <c r="K41" s="15"/>
      <c r="L41" s="15"/>
      <c r="M41" s="15">
        <f t="shared" si="12"/>
        <v>0</v>
      </c>
    </row>
    <row r="42" spans="1:25" x14ac:dyDescent="0.2">
      <c r="A42" s="13"/>
      <c r="B42" s="13"/>
      <c r="C42" s="14">
        <f t="shared" si="10"/>
        <v>0</v>
      </c>
      <c r="D42" s="14">
        <f t="shared" si="11"/>
        <v>0</v>
      </c>
      <c r="E42" s="14">
        <f>(1.224*C42)+SUM(D$33:D41)</f>
        <v>8.4048000004654746</v>
      </c>
      <c r="F42" s="14"/>
      <c r="G42" s="15"/>
      <c r="H42" s="15"/>
      <c r="I42" s="15"/>
      <c r="J42" s="15"/>
      <c r="K42" s="15"/>
      <c r="L42" s="15"/>
      <c r="M42" s="15">
        <f t="shared" si="12"/>
        <v>0</v>
      </c>
    </row>
    <row r="43" spans="1:25" x14ac:dyDescent="0.2">
      <c r="A43" s="13"/>
      <c r="B43" s="13"/>
      <c r="C43" s="14">
        <f t="shared" si="10"/>
        <v>0</v>
      </c>
      <c r="D43" s="14">
        <f t="shared" si="11"/>
        <v>0</v>
      </c>
      <c r="E43" s="14">
        <f>(1.224*C43)+SUM(D$33:D42)</f>
        <v>8.4048000004654746</v>
      </c>
      <c r="F43" s="14"/>
      <c r="G43" s="15"/>
      <c r="H43" s="15"/>
      <c r="I43" s="15"/>
      <c r="J43" s="15"/>
      <c r="K43" s="15"/>
      <c r="L43" s="15"/>
      <c r="M43" s="15">
        <f t="shared" si="12"/>
        <v>0</v>
      </c>
    </row>
    <row r="44" spans="1:25" x14ac:dyDescent="0.2">
      <c r="A44" s="13"/>
      <c r="B44" s="13"/>
      <c r="C44" s="14"/>
      <c r="D44" s="14"/>
      <c r="E44" s="14"/>
      <c r="F44" s="14"/>
      <c r="G44" s="15"/>
      <c r="H44" s="15"/>
      <c r="I44" s="15"/>
      <c r="J44" s="15"/>
      <c r="K44" s="15"/>
      <c r="L44" s="15"/>
      <c r="M44" s="15">
        <f t="shared" si="12"/>
        <v>0</v>
      </c>
      <c r="V44" t="s">
        <v>262</v>
      </c>
    </row>
    <row r="45" spans="1:25" x14ac:dyDescent="0.2">
      <c r="A45" s="11" t="s">
        <v>176</v>
      </c>
      <c r="B45" s="11"/>
      <c r="C45" s="11"/>
      <c r="D45" s="11"/>
      <c r="E45" s="16"/>
      <c r="F45" s="16"/>
      <c r="G45" s="17"/>
      <c r="H45" s="17"/>
      <c r="I45" s="17"/>
      <c r="J45" s="17"/>
      <c r="K45" s="17"/>
      <c r="L45" s="17"/>
      <c r="M45" s="17"/>
      <c r="V45" s="8" t="s">
        <v>40</v>
      </c>
      <c r="W45" s="8" t="s">
        <v>42</v>
      </c>
      <c r="X45" s="8" t="s">
        <v>45</v>
      </c>
      <c r="Y45" s="8" t="s">
        <v>51</v>
      </c>
    </row>
    <row r="46" spans="1:25" x14ac:dyDescent="0.2">
      <c r="E46" s="14"/>
      <c r="F46" s="14"/>
      <c r="G46" s="15"/>
      <c r="H46" s="15"/>
      <c r="I46" s="15"/>
      <c r="J46" s="15"/>
      <c r="K46" s="15"/>
      <c r="L46" s="15"/>
      <c r="M46" s="15"/>
      <c r="V46">
        <f>(G51-G49)/(E51-E49)</f>
        <v>0.48248148329899965</v>
      </c>
      <c r="W46">
        <f>H51/E51</f>
        <v>0.60246465259453885</v>
      </c>
      <c r="X46">
        <f>I49/E49</f>
        <v>1.4487550194572913</v>
      </c>
      <c r="Y46">
        <f>(J51-J50)/(E51-E50)</f>
        <v>2.6787874473293845</v>
      </c>
    </row>
    <row r="47" spans="1:25" x14ac:dyDescent="0.2">
      <c r="A47" s="8" t="s">
        <v>153</v>
      </c>
      <c r="B47" s="8" t="s">
        <v>154</v>
      </c>
      <c r="C47" s="8" t="s">
        <v>155</v>
      </c>
      <c r="D47" s="8" t="s">
        <v>156</v>
      </c>
      <c r="E47" s="8" t="s">
        <v>157</v>
      </c>
      <c r="F47" s="8"/>
      <c r="G47" s="8" t="s">
        <v>40</v>
      </c>
      <c r="H47" s="8" t="s">
        <v>42</v>
      </c>
      <c r="I47" s="8" t="s">
        <v>45</v>
      </c>
      <c r="J47" s="8" t="s">
        <v>51</v>
      </c>
      <c r="K47" s="8"/>
      <c r="L47" s="8"/>
      <c r="M47" s="8"/>
    </row>
    <row r="48" spans="1:25" x14ac:dyDescent="0.2">
      <c r="A48" s="13"/>
      <c r="B48" s="13"/>
      <c r="C48">
        <f t="shared" ref="C48:E58" si="13">C33</f>
        <v>0</v>
      </c>
      <c r="D48" s="14">
        <f t="shared" si="13"/>
        <v>0</v>
      </c>
      <c r="E48" s="14">
        <f t="shared" si="13"/>
        <v>0</v>
      </c>
      <c r="F48" s="14"/>
      <c r="G48" s="18">
        <f>1-G33/G$33</f>
        <v>0</v>
      </c>
      <c r="H48" s="18">
        <f>1-H33/H$33</f>
        <v>0</v>
      </c>
      <c r="I48" s="18">
        <f>1-I33/I$33</f>
        <v>0</v>
      </c>
      <c r="J48" s="18">
        <f>1-J33/J$33</f>
        <v>0</v>
      </c>
      <c r="K48" s="18"/>
      <c r="L48" s="18"/>
      <c r="M48" s="18"/>
    </row>
    <row r="49" spans="1:14" x14ac:dyDescent="0.2">
      <c r="A49" s="13">
        <f>A34</f>
        <v>45245.425694444442</v>
      </c>
      <c r="B49" s="13">
        <f>B34</f>
        <v>45245.509722222225</v>
      </c>
      <c r="C49" s="14">
        <f t="shared" si="13"/>
        <v>2.0166666667792015</v>
      </c>
      <c r="D49" s="14">
        <f t="shared" si="13"/>
        <v>2.4684000001377426</v>
      </c>
      <c r="E49" s="14">
        <f t="shared" si="13"/>
        <v>2.4684000001377426</v>
      </c>
      <c r="F49" s="14"/>
      <c r="G49" s="18">
        <f>100-G34/G$33*100</f>
        <v>2.2688981242277748</v>
      </c>
      <c r="H49" s="18">
        <f t="shared" ref="G49:J55" si="14">100-H34/H$33*100</f>
        <v>1.4998800095992237</v>
      </c>
      <c r="I49" s="18">
        <f t="shared" si="14"/>
        <v>3.5761068902279334</v>
      </c>
      <c r="J49" s="18">
        <f>100-J34/J$33*100</f>
        <v>19.441991877096953</v>
      </c>
      <c r="K49" s="18"/>
      <c r="L49" s="18"/>
      <c r="M49" s="18"/>
    </row>
    <row r="50" spans="1:14" x14ac:dyDescent="0.2">
      <c r="A50" s="13">
        <f t="shared" ref="A50:B58" si="15">A35</f>
        <v>45245.51458333333</v>
      </c>
      <c r="B50" s="13">
        <f t="shared" si="15"/>
        <v>45245.599305555559</v>
      </c>
      <c r="C50" s="14">
        <f t="shared" si="13"/>
        <v>2.0333333335001953</v>
      </c>
      <c r="D50" s="14">
        <f t="shared" si="13"/>
        <v>2.4888000002042392</v>
      </c>
      <c r="E50" s="14">
        <f t="shared" si="13"/>
        <v>4.9572000003419818</v>
      </c>
      <c r="G50" s="18">
        <f t="shared" si="14"/>
        <v>3.5830618892508141</v>
      </c>
      <c r="H50" s="18">
        <f t="shared" si="14"/>
        <v>3.0357571394288527</v>
      </c>
      <c r="I50" s="18">
        <f t="shared" si="14"/>
        <v>43.646843070474198</v>
      </c>
      <c r="J50" s="18">
        <f t="shared" si="14"/>
        <v>27.759138265936784</v>
      </c>
      <c r="K50" s="18"/>
      <c r="L50" s="15"/>
      <c r="M50" s="15"/>
    </row>
    <row r="51" spans="1:14" x14ac:dyDescent="0.2">
      <c r="A51" s="13">
        <f t="shared" si="15"/>
        <v>45245.609027777777</v>
      </c>
      <c r="B51" s="13">
        <f t="shared" si="15"/>
        <v>45245.726388888892</v>
      </c>
      <c r="C51" s="14">
        <f t="shared" si="13"/>
        <v>2.8166666667675599</v>
      </c>
      <c r="D51" s="14">
        <f t="shared" si="13"/>
        <v>3.4476000001234932</v>
      </c>
      <c r="E51" s="14">
        <f t="shared" si="13"/>
        <v>8.4048000004654746</v>
      </c>
      <c r="G51" s="18">
        <f t="shared" si="14"/>
        <v>5.1331012018420807</v>
      </c>
      <c r="H51" s="18">
        <f t="shared" si="14"/>
        <v>5.0635949124070123</v>
      </c>
      <c r="I51" s="18">
        <f t="shared" si="14"/>
        <v>46.987162693214572</v>
      </c>
      <c r="J51" s="18">
        <f t="shared" si="14"/>
        <v>36.99452586968038</v>
      </c>
      <c r="K51" s="18"/>
      <c r="L51" s="15"/>
      <c r="M51" s="15"/>
    </row>
    <row r="52" spans="1:14" x14ac:dyDescent="0.2">
      <c r="A52" s="13">
        <f t="shared" si="15"/>
        <v>0</v>
      </c>
      <c r="B52" s="13">
        <f t="shared" si="15"/>
        <v>0</v>
      </c>
      <c r="C52" s="14">
        <f t="shared" si="13"/>
        <v>0</v>
      </c>
      <c r="D52" s="14">
        <f t="shared" si="13"/>
        <v>0</v>
      </c>
      <c r="E52" s="14">
        <f t="shared" si="13"/>
        <v>8.4048000004654746</v>
      </c>
      <c r="G52" s="18">
        <f t="shared" si="14"/>
        <v>100</v>
      </c>
      <c r="H52" s="18">
        <f t="shared" si="14"/>
        <v>100</v>
      </c>
      <c r="I52" s="18">
        <f t="shared" si="14"/>
        <v>100</v>
      </c>
      <c r="J52" s="18">
        <f t="shared" si="14"/>
        <v>100</v>
      </c>
      <c r="K52" s="18"/>
    </row>
    <row r="53" spans="1:14" x14ac:dyDescent="0.2">
      <c r="A53" s="13">
        <f t="shared" si="15"/>
        <v>0</v>
      </c>
      <c r="B53" s="13">
        <f t="shared" si="15"/>
        <v>0</v>
      </c>
      <c r="C53" s="14">
        <f t="shared" si="13"/>
        <v>0</v>
      </c>
      <c r="D53" s="14">
        <f t="shared" si="13"/>
        <v>0</v>
      </c>
      <c r="E53" s="14">
        <f t="shared" si="13"/>
        <v>8.4048000004654746</v>
      </c>
      <c r="G53" s="18">
        <f t="shared" si="14"/>
        <v>100</v>
      </c>
      <c r="H53" s="18">
        <f t="shared" si="14"/>
        <v>100</v>
      </c>
      <c r="I53" s="18">
        <f t="shared" si="14"/>
        <v>100</v>
      </c>
      <c r="J53" s="18">
        <f t="shared" si="14"/>
        <v>100</v>
      </c>
      <c r="K53" s="18"/>
      <c r="L53" s="18">
        <f>J51-J49</f>
        <v>17.552533992583427</v>
      </c>
      <c r="M53" s="14">
        <f>E51-E49</f>
        <v>5.9364000003277315</v>
      </c>
    </row>
    <row r="54" spans="1:14" x14ac:dyDescent="0.2">
      <c r="A54" s="13">
        <f t="shared" si="15"/>
        <v>0</v>
      </c>
      <c r="B54" s="13">
        <f t="shared" si="15"/>
        <v>0</v>
      </c>
      <c r="C54" s="14">
        <f t="shared" si="13"/>
        <v>0</v>
      </c>
      <c r="D54" s="14">
        <f t="shared" si="13"/>
        <v>0</v>
      </c>
      <c r="E54" s="14">
        <f t="shared" si="13"/>
        <v>8.4048000004654746</v>
      </c>
      <c r="G54" s="18">
        <f t="shared" si="14"/>
        <v>100</v>
      </c>
      <c r="H54" s="18">
        <f t="shared" si="14"/>
        <v>100</v>
      </c>
      <c r="I54" s="18">
        <f t="shared" si="14"/>
        <v>100</v>
      </c>
      <c r="J54" s="18">
        <f t="shared" si="14"/>
        <v>100</v>
      </c>
      <c r="K54" s="18"/>
      <c r="L54" s="18">
        <f>(J51-J50)/(E51-E50)</f>
        <v>2.6787874473293845</v>
      </c>
    </row>
    <row r="55" spans="1:14" x14ac:dyDescent="0.2">
      <c r="A55" s="13">
        <f t="shared" si="15"/>
        <v>0</v>
      </c>
      <c r="B55" s="13">
        <f t="shared" si="15"/>
        <v>0</v>
      </c>
      <c r="C55" s="14">
        <f t="shared" si="13"/>
        <v>0</v>
      </c>
      <c r="D55" s="14">
        <f t="shared" si="13"/>
        <v>0</v>
      </c>
      <c r="E55" s="14">
        <f t="shared" si="13"/>
        <v>8.4048000004654746</v>
      </c>
      <c r="G55" s="18">
        <f t="shared" si="14"/>
        <v>100</v>
      </c>
      <c r="H55" s="18">
        <f t="shared" si="14"/>
        <v>100</v>
      </c>
      <c r="I55" s="18">
        <f t="shared" si="14"/>
        <v>100</v>
      </c>
      <c r="J55" s="18">
        <f t="shared" si="14"/>
        <v>100</v>
      </c>
      <c r="K55" s="18"/>
    </row>
    <row r="56" spans="1:14" x14ac:dyDescent="0.2">
      <c r="A56" s="13">
        <f t="shared" si="15"/>
        <v>0</v>
      </c>
      <c r="B56" s="13">
        <f t="shared" si="15"/>
        <v>0</v>
      </c>
      <c r="C56" s="14">
        <f t="shared" si="13"/>
        <v>0</v>
      </c>
      <c r="D56" s="14">
        <f t="shared" si="13"/>
        <v>0</v>
      </c>
      <c r="E56" s="14">
        <f t="shared" si="13"/>
        <v>8.4048000004654746</v>
      </c>
      <c r="G56" s="18"/>
      <c r="H56" s="18"/>
      <c r="I56" s="18"/>
      <c r="J56" s="18"/>
      <c r="K56" s="18"/>
    </row>
    <row r="57" spans="1:14" x14ac:dyDescent="0.2">
      <c r="A57" s="13">
        <f t="shared" si="15"/>
        <v>0</v>
      </c>
      <c r="B57" s="13">
        <f t="shared" si="15"/>
        <v>0</v>
      </c>
      <c r="C57" s="14">
        <f t="shared" si="13"/>
        <v>0</v>
      </c>
      <c r="D57" s="14">
        <f t="shared" si="13"/>
        <v>0</v>
      </c>
      <c r="E57" s="14">
        <f t="shared" si="13"/>
        <v>8.4048000004654746</v>
      </c>
      <c r="G57" s="18"/>
      <c r="H57" s="18"/>
      <c r="I57" s="18"/>
      <c r="J57" s="18"/>
      <c r="K57" s="18"/>
    </row>
    <row r="58" spans="1:14" x14ac:dyDescent="0.2">
      <c r="A58" s="13">
        <f t="shared" si="15"/>
        <v>0</v>
      </c>
      <c r="B58" s="13">
        <f t="shared" si="15"/>
        <v>0</v>
      </c>
      <c r="C58" s="14">
        <f t="shared" si="13"/>
        <v>0</v>
      </c>
      <c r="D58" s="14">
        <f t="shared" si="13"/>
        <v>0</v>
      </c>
      <c r="E58" s="14">
        <f t="shared" si="13"/>
        <v>8.4048000004654746</v>
      </c>
      <c r="G58" s="18"/>
      <c r="H58" s="18"/>
      <c r="I58" s="18"/>
      <c r="J58" s="18"/>
      <c r="K58" s="18"/>
    </row>
    <row r="59" spans="1:14" x14ac:dyDescent="0.2">
      <c r="A59" s="13"/>
      <c r="B59" s="13"/>
      <c r="C59" s="14"/>
      <c r="D59" s="14"/>
      <c r="E59" s="14"/>
      <c r="G59" s="18"/>
      <c r="H59" s="18"/>
      <c r="I59" s="18"/>
      <c r="J59" s="18"/>
      <c r="K59" s="18"/>
    </row>
    <row r="60" spans="1:14" x14ac:dyDescent="0.2">
      <c r="A60" s="19"/>
      <c r="B60" s="19"/>
      <c r="C60" s="19"/>
      <c r="D60" s="19"/>
      <c r="E60" s="19"/>
      <c r="F60" s="19"/>
      <c r="G60" s="19"/>
      <c r="H60" s="19"/>
      <c r="I60" s="19"/>
      <c r="J60" s="19"/>
      <c r="K60" s="19"/>
      <c r="L60" s="19"/>
      <c r="M60" s="19"/>
    </row>
    <row r="61" spans="1:14" x14ac:dyDescent="0.2">
      <c r="A61" s="11" t="s">
        <v>144</v>
      </c>
      <c r="B61" s="11" t="s">
        <v>165</v>
      </c>
      <c r="C61" s="11"/>
      <c r="D61" s="11"/>
      <c r="E61" s="11"/>
      <c r="F61" s="11"/>
      <c r="G61" s="11"/>
      <c r="H61" s="11"/>
      <c r="I61" s="11"/>
      <c r="J61" s="11"/>
      <c r="K61" s="11"/>
      <c r="L61" s="11"/>
      <c r="M61" s="11"/>
    </row>
    <row r="62" spans="1:14" x14ac:dyDescent="0.2">
      <c r="G62" s="12" t="s">
        <v>177</v>
      </c>
      <c r="H62" s="12"/>
      <c r="I62" s="12"/>
      <c r="J62" s="12"/>
      <c r="K62" s="12"/>
      <c r="L62" s="12"/>
      <c r="M62" s="12"/>
      <c r="N62" t="s">
        <v>238</v>
      </c>
    </row>
    <row r="63" spans="1:14" x14ac:dyDescent="0.2">
      <c r="A63" s="8" t="s">
        <v>153</v>
      </c>
      <c r="B63" s="8" t="s">
        <v>154</v>
      </c>
      <c r="C63" s="8" t="s">
        <v>155</v>
      </c>
      <c r="D63" s="8" t="s">
        <v>156</v>
      </c>
      <c r="E63" s="8" t="s">
        <v>157</v>
      </c>
      <c r="F63" s="8"/>
      <c r="G63" s="8" t="s">
        <v>43</v>
      </c>
      <c r="H63" s="8" t="s">
        <v>48</v>
      </c>
      <c r="I63" s="8" t="s">
        <v>56</v>
      </c>
      <c r="K63" s="8"/>
      <c r="L63" s="8"/>
      <c r="M63" s="8" t="s">
        <v>158</v>
      </c>
    </row>
    <row r="64" spans="1:14" x14ac:dyDescent="0.2">
      <c r="C64">
        <v>0</v>
      </c>
      <c r="D64" s="14">
        <f>(1.224*C64)</f>
        <v>0</v>
      </c>
      <c r="E64" s="14">
        <f>(1.224*C64)</f>
        <v>0</v>
      </c>
      <c r="F64" s="14"/>
      <c r="G64">
        <v>120.24</v>
      </c>
      <c r="H64">
        <v>138.57</v>
      </c>
      <c r="I64">
        <v>159.58000000000001</v>
      </c>
      <c r="L64" s="15"/>
      <c r="M64" s="15">
        <f>SUM(G64:K64)</f>
        <v>418.39</v>
      </c>
    </row>
    <row r="65" spans="1:24" x14ac:dyDescent="0.2">
      <c r="A65" s="13">
        <v>45250.427083333336</v>
      </c>
      <c r="B65" s="13">
        <v>45250.515277777777</v>
      </c>
      <c r="C65" s="14">
        <f>(B65-A65)*24</f>
        <v>2.1166666665812954</v>
      </c>
      <c r="D65" s="14">
        <f>(1.224*C65)</f>
        <v>2.5907999998955056</v>
      </c>
      <c r="E65" s="14">
        <f>(1.224*C65)+SUM(D$64:D64)</f>
        <v>2.5907999998955056</v>
      </c>
      <c r="F65" s="14"/>
      <c r="G65" s="15">
        <v>111.64</v>
      </c>
      <c r="H65" s="15">
        <v>137.22999999999999</v>
      </c>
      <c r="I65" s="15">
        <v>159.41999999999999</v>
      </c>
      <c r="J65" s="15"/>
      <c r="K65" s="15"/>
      <c r="L65" s="15"/>
      <c r="M65" s="15">
        <f t="shared" ref="M65:M71" si="16">SUM(G65:K65)</f>
        <v>408.28999999999996</v>
      </c>
    </row>
    <row r="66" spans="1:24" x14ac:dyDescent="0.2">
      <c r="A66" s="13">
        <v>45250.520833333336</v>
      </c>
      <c r="B66" s="13">
        <v>45250.988194444442</v>
      </c>
      <c r="C66" s="14">
        <f t="shared" ref="C66:C71" si="17">(B66-A66)*24</f>
        <v>11.216666666558012</v>
      </c>
      <c r="D66" s="14">
        <f t="shared" ref="D66:D71" si="18">(1.224*C66)</f>
        <v>13.729199999867006</v>
      </c>
      <c r="E66" s="14">
        <f>(1.224*C66)+SUM(D$64:D65)</f>
        <v>16.319999999762512</v>
      </c>
      <c r="F66" s="14"/>
      <c r="G66" s="15">
        <v>72.11</v>
      </c>
      <c r="H66" s="15">
        <v>130.66</v>
      </c>
      <c r="I66" s="15">
        <v>156.82</v>
      </c>
      <c r="J66" s="15"/>
      <c r="K66" s="15"/>
      <c r="L66" s="15"/>
      <c r="M66" s="15">
        <f t="shared" si="16"/>
        <v>359.59</v>
      </c>
      <c r="O66" s="14">
        <f>SUM(C65:C66)</f>
        <v>13.333333333139308</v>
      </c>
      <c r="P66" s="14">
        <f>20-O66</f>
        <v>6.6666666668606922</v>
      </c>
    </row>
    <row r="67" spans="1:24" x14ac:dyDescent="0.2">
      <c r="A67" s="13">
        <v>45250.995138888888</v>
      </c>
      <c r="B67" s="13">
        <v>45251.311111111114</v>
      </c>
      <c r="C67" s="14">
        <f t="shared" si="17"/>
        <v>7.5833333334303461</v>
      </c>
      <c r="D67" s="14">
        <f t="shared" si="18"/>
        <v>9.2820000001187442</v>
      </c>
      <c r="E67" s="14">
        <f>(1.224*C67)+SUM(D$64:D66)</f>
        <v>25.601999999881258</v>
      </c>
      <c r="F67" s="14"/>
      <c r="G67" s="15">
        <v>56.23</v>
      </c>
      <c r="H67" s="15">
        <v>126.62</v>
      </c>
      <c r="I67" s="15">
        <v>154.97</v>
      </c>
      <c r="J67" s="15"/>
      <c r="K67" s="15"/>
      <c r="L67" s="15"/>
      <c r="M67" s="15">
        <f t="shared" si="16"/>
        <v>337.82</v>
      </c>
      <c r="V67" t="s">
        <v>262</v>
      </c>
    </row>
    <row r="68" spans="1:24" x14ac:dyDescent="0.2">
      <c r="A68" s="13"/>
      <c r="B68" s="13"/>
      <c r="C68" s="14">
        <f t="shared" si="17"/>
        <v>0</v>
      </c>
      <c r="D68" s="14">
        <f t="shared" si="18"/>
        <v>0</v>
      </c>
      <c r="E68" s="14">
        <f>(1.224*C68)+SUM(D$64:D67)</f>
        <v>25.601999999881258</v>
      </c>
      <c r="F68" s="14"/>
      <c r="G68" s="15"/>
      <c r="H68" s="15"/>
      <c r="I68" s="15"/>
      <c r="J68" s="15"/>
      <c r="K68" s="15"/>
      <c r="L68" s="15"/>
      <c r="M68" s="15">
        <f t="shared" si="16"/>
        <v>0</v>
      </c>
      <c r="V68" s="8" t="s">
        <v>43</v>
      </c>
      <c r="W68" s="8" t="s">
        <v>48</v>
      </c>
      <c r="X68" s="27" t="s">
        <v>56</v>
      </c>
    </row>
    <row r="69" spans="1:24" x14ac:dyDescent="0.2">
      <c r="A69" s="13"/>
      <c r="B69" s="13"/>
      <c r="C69" s="14">
        <f t="shared" si="17"/>
        <v>0</v>
      </c>
      <c r="D69" s="14">
        <f t="shared" si="18"/>
        <v>0</v>
      </c>
      <c r="E69" s="14">
        <f>(1.224*C69)+SUM(D$64:D68)</f>
        <v>25.601999999881258</v>
      </c>
      <c r="F69" s="14"/>
      <c r="G69" s="15"/>
      <c r="H69" s="15"/>
      <c r="I69" s="15"/>
      <c r="J69" s="15"/>
      <c r="K69" s="15"/>
      <c r="L69" s="15"/>
      <c r="M69" s="15">
        <f t="shared" si="16"/>
        <v>0</v>
      </c>
      <c r="V69">
        <f>G78/$E78</f>
        <v>2.079337406232534</v>
      </c>
      <c r="W69">
        <f t="shared" ref="W69:X69" si="19">H78/$E78</f>
        <v>0.33684088139220913</v>
      </c>
      <c r="X69">
        <f t="shared" si="19"/>
        <v>0.11283623104169946</v>
      </c>
    </row>
    <row r="70" spans="1:24" x14ac:dyDescent="0.2">
      <c r="A70" s="13"/>
      <c r="B70" s="13"/>
      <c r="C70" s="14">
        <f t="shared" si="17"/>
        <v>0</v>
      </c>
      <c r="D70" s="14">
        <f t="shared" si="18"/>
        <v>0</v>
      </c>
      <c r="E70" s="14">
        <f>(1.224*C70)+SUM(D$64:D69)</f>
        <v>25.601999999881258</v>
      </c>
      <c r="F70" s="14"/>
      <c r="G70" s="15"/>
      <c r="H70" s="15"/>
      <c r="I70" s="15"/>
      <c r="J70" s="15"/>
      <c r="K70" s="15"/>
      <c r="L70" s="15"/>
      <c r="M70" s="15">
        <f t="shared" si="16"/>
        <v>0</v>
      </c>
    </row>
    <row r="71" spans="1:24" x14ac:dyDescent="0.2">
      <c r="C71" s="14">
        <f t="shared" si="17"/>
        <v>0</v>
      </c>
      <c r="D71" s="14">
        <f t="shared" si="18"/>
        <v>0</v>
      </c>
      <c r="E71" s="14">
        <f>(1.224*C71)+SUM(D$64:D70)</f>
        <v>25.601999999881258</v>
      </c>
      <c r="F71" s="14"/>
      <c r="G71" s="15"/>
      <c r="H71" s="15"/>
      <c r="I71" s="15"/>
      <c r="J71" s="15"/>
      <c r="K71" s="15"/>
      <c r="L71" s="15"/>
      <c r="M71" s="15">
        <f t="shared" si="16"/>
        <v>0</v>
      </c>
    </row>
    <row r="72" spans="1:24" x14ac:dyDescent="0.2">
      <c r="A72" s="11" t="s">
        <v>176</v>
      </c>
      <c r="B72" s="11"/>
      <c r="C72" s="11"/>
      <c r="D72" s="11"/>
      <c r="E72" s="16"/>
      <c r="F72" s="16"/>
      <c r="G72" s="17"/>
      <c r="H72" s="17"/>
      <c r="I72" s="17"/>
      <c r="J72" s="17"/>
      <c r="K72" s="17"/>
      <c r="L72" s="17"/>
      <c r="M72" s="17"/>
    </row>
    <row r="73" spans="1:24" x14ac:dyDescent="0.2">
      <c r="E73" s="14"/>
      <c r="F73" s="14"/>
      <c r="G73" s="8" t="s">
        <v>43</v>
      </c>
      <c r="H73" s="8" t="s">
        <v>48</v>
      </c>
      <c r="I73" s="15" t="s">
        <v>56</v>
      </c>
      <c r="K73" s="15"/>
      <c r="L73" s="15"/>
      <c r="M73" s="15"/>
    </row>
    <row r="74" spans="1:24" x14ac:dyDescent="0.2">
      <c r="A74" s="8" t="s">
        <v>153</v>
      </c>
      <c r="B74" s="8" t="s">
        <v>154</v>
      </c>
      <c r="C74" s="8" t="s">
        <v>155</v>
      </c>
      <c r="D74" s="8" t="s">
        <v>156</v>
      </c>
      <c r="E74" s="8" t="s">
        <v>157</v>
      </c>
      <c r="F74" s="8"/>
      <c r="G74" s="8"/>
      <c r="H74" s="8"/>
      <c r="I74" s="8"/>
      <c r="J74" s="8"/>
      <c r="K74" s="8"/>
      <c r="L74" s="8"/>
      <c r="M74" s="8"/>
    </row>
    <row r="75" spans="1:24" x14ac:dyDescent="0.2">
      <c r="A75" s="13"/>
      <c r="B75" s="13"/>
      <c r="C75">
        <f>C64</f>
        <v>0</v>
      </c>
      <c r="D75" s="14">
        <f>D64</f>
        <v>0</v>
      </c>
      <c r="E75" s="14">
        <f>E64</f>
        <v>0</v>
      </c>
      <c r="F75" s="14"/>
      <c r="G75" s="18">
        <f>100-G64/G$64*100</f>
        <v>0</v>
      </c>
      <c r="H75" s="18">
        <f t="shared" ref="H75" si="20">100-H64/H$64*100</f>
        <v>0</v>
      </c>
      <c r="I75" s="18">
        <f>100-J87/J$87*100</f>
        <v>0</v>
      </c>
      <c r="J75" s="18"/>
      <c r="K75" s="18"/>
      <c r="L75" s="18"/>
      <c r="M75" s="18"/>
    </row>
    <row r="76" spans="1:24" x14ac:dyDescent="0.2">
      <c r="A76" s="13">
        <f>A65</f>
        <v>45250.427083333336</v>
      </c>
      <c r="B76" s="13">
        <f>B65</f>
        <v>45250.515277777777</v>
      </c>
      <c r="C76" s="14">
        <f>C65</f>
        <v>2.1166666665812954</v>
      </c>
      <c r="D76" s="14">
        <f t="shared" ref="D76:E76" si="21">D65</f>
        <v>2.5907999998955056</v>
      </c>
      <c r="E76" s="14">
        <f t="shared" si="21"/>
        <v>2.5907999998955056</v>
      </c>
      <c r="F76" s="14"/>
      <c r="G76" s="18">
        <f t="shared" ref="G76:H82" si="22">100-G65/G$64*100</f>
        <v>7.1523619427810985</v>
      </c>
      <c r="H76" s="18">
        <f t="shared" si="22"/>
        <v>0.9670202785595734</v>
      </c>
      <c r="I76" s="18">
        <f>100-I65/$I$64*100</f>
        <v>0.10026319087606339</v>
      </c>
      <c r="J76" s="18"/>
      <c r="K76" s="18"/>
      <c r="L76" s="18"/>
      <c r="M76" s="18"/>
    </row>
    <row r="77" spans="1:24" x14ac:dyDescent="0.2">
      <c r="A77" s="13"/>
      <c r="B77" s="13"/>
      <c r="C77" s="14">
        <f t="shared" ref="C77:E82" si="23">C66</f>
        <v>11.216666666558012</v>
      </c>
      <c r="D77" s="14">
        <f t="shared" si="23"/>
        <v>13.729199999867006</v>
      </c>
      <c r="E77" s="14">
        <f t="shared" si="23"/>
        <v>16.319999999762512</v>
      </c>
      <c r="G77" s="18">
        <f t="shared" si="22"/>
        <v>40.028276779773783</v>
      </c>
      <c r="H77" s="18">
        <f t="shared" ref="H77" si="24">100-H66/H$64*100</f>
        <v>5.7083062711986656</v>
      </c>
      <c r="I77" s="18">
        <f t="shared" ref="I77:I82" si="25">100-I66/$I$64*100</f>
        <v>1.729540042611859</v>
      </c>
      <c r="J77" s="18"/>
      <c r="K77" s="18"/>
      <c r="L77" s="15"/>
      <c r="M77" s="15"/>
    </row>
    <row r="78" spans="1:24" x14ac:dyDescent="0.2">
      <c r="A78" s="13"/>
      <c r="B78" s="13"/>
      <c r="C78" s="14">
        <f t="shared" si="23"/>
        <v>7.5833333334303461</v>
      </c>
      <c r="D78" s="14">
        <f t="shared" si="23"/>
        <v>9.2820000001187442</v>
      </c>
      <c r="E78" s="14">
        <f t="shared" si="23"/>
        <v>25.601999999881258</v>
      </c>
      <c r="G78" s="18">
        <f t="shared" si="22"/>
        <v>53.235196274118429</v>
      </c>
      <c r="H78" s="18">
        <f t="shared" ref="H78" si="26">100-H67/H$64*100</f>
        <v>8.6238002453633413</v>
      </c>
      <c r="I78" s="18">
        <f t="shared" si="25"/>
        <v>2.888833187116191</v>
      </c>
      <c r="J78" s="18"/>
      <c r="K78" s="18"/>
      <c r="L78" s="15"/>
      <c r="M78" s="15"/>
    </row>
    <row r="79" spans="1:24" x14ac:dyDescent="0.2">
      <c r="A79" s="13"/>
      <c r="B79" s="13"/>
      <c r="C79" s="14">
        <f t="shared" si="23"/>
        <v>0</v>
      </c>
      <c r="D79" s="14">
        <f t="shared" si="23"/>
        <v>0</v>
      </c>
      <c r="E79" s="14">
        <f t="shared" si="23"/>
        <v>25.601999999881258</v>
      </c>
      <c r="G79" s="18">
        <f t="shared" si="22"/>
        <v>100</v>
      </c>
      <c r="H79" s="18">
        <f t="shared" ref="H79" si="27">100-H68/H$64*100</f>
        <v>100</v>
      </c>
      <c r="I79" s="18">
        <f t="shared" si="25"/>
        <v>100</v>
      </c>
      <c r="J79" s="18"/>
      <c r="K79" s="18"/>
    </row>
    <row r="80" spans="1:24" x14ac:dyDescent="0.2">
      <c r="A80" s="13"/>
      <c r="B80" s="13"/>
      <c r="C80" s="14">
        <f t="shared" si="23"/>
        <v>0</v>
      </c>
      <c r="D80" s="14">
        <f t="shared" si="23"/>
        <v>0</v>
      </c>
      <c r="E80" s="14">
        <f t="shared" si="23"/>
        <v>25.601999999881258</v>
      </c>
      <c r="G80" s="18">
        <f t="shared" si="22"/>
        <v>100</v>
      </c>
      <c r="H80" s="18">
        <f t="shared" ref="H80" si="28">100-H69/H$64*100</f>
        <v>100</v>
      </c>
      <c r="I80" s="18">
        <f t="shared" si="25"/>
        <v>100</v>
      </c>
      <c r="J80" s="18"/>
      <c r="K80" s="18"/>
    </row>
    <row r="81" spans="1:25" x14ac:dyDescent="0.2">
      <c r="A81" s="13"/>
      <c r="B81" s="13"/>
      <c r="C81" s="14">
        <f t="shared" si="23"/>
        <v>0</v>
      </c>
      <c r="D81" s="14">
        <f t="shared" si="23"/>
        <v>0</v>
      </c>
      <c r="E81" s="14">
        <f t="shared" si="23"/>
        <v>25.601999999881258</v>
      </c>
      <c r="G81" s="18">
        <f t="shared" si="22"/>
        <v>100</v>
      </c>
      <c r="H81" s="18">
        <f t="shared" ref="H81" si="29">100-H70/H$64*100</f>
        <v>100</v>
      </c>
      <c r="I81" s="18">
        <f t="shared" si="25"/>
        <v>100</v>
      </c>
      <c r="J81" s="18"/>
      <c r="K81" s="18"/>
    </row>
    <row r="82" spans="1:25" x14ac:dyDescent="0.2">
      <c r="C82" s="14">
        <f t="shared" si="23"/>
        <v>0</v>
      </c>
      <c r="D82" s="14">
        <f t="shared" si="23"/>
        <v>0</v>
      </c>
      <c r="E82" s="14">
        <f t="shared" si="23"/>
        <v>25.601999999881258</v>
      </c>
      <c r="G82" s="18">
        <f t="shared" si="22"/>
        <v>100</v>
      </c>
      <c r="H82" s="18">
        <f t="shared" ref="H82" si="30">100-H71/H$64*100</f>
        <v>100</v>
      </c>
      <c r="I82" s="18">
        <f t="shared" si="25"/>
        <v>100</v>
      </c>
      <c r="J82" s="18"/>
      <c r="K82" s="18"/>
    </row>
    <row r="83" spans="1:25" x14ac:dyDescent="0.2">
      <c r="A83" s="19"/>
      <c r="B83" s="19"/>
      <c r="C83" s="19"/>
      <c r="D83" s="19"/>
      <c r="E83" s="19"/>
      <c r="F83" s="19"/>
      <c r="G83" s="19"/>
      <c r="H83" s="19"/>
      <c r="I83" s="19"/>
      <c r="J83" s="19"/>
      <c r="K83" s="19"/>
      <c r="L83" s="19"/>
      <c r="M83" s="19"/>
    </row>
    <row r="84" spans="1:25" x14ac:dyDescent="0.2">
      <c r="A84" s="11" t="s">
        <v>144</v>
      </c>
      <c r="B84" s="11" t="s">
        <v>165</v>
      </c>
      <c r="C84" s="11"/>
      <c r="D84" s="11"/>
      <c r="E84" s="11"/>
      <c r="F84" s="11"/>
      <c r="G84" s="11"/>
      <c r="H84" s="11"/>
      <c r="I84" s="11"/>
      <c r="J84" s="11"/>
      <c r="K84" s="11"/>
      <c r="L84" s="11"/>
      <c r="M84" s="11"/>
    </row>
    <row r="85" spans="1:25" x14ac:dyDescent="0.2">
      <c r="G85" s="12" t="s">
        <v>178</v>
      </c>
      <c r="H85" s="12"/>
      <c r="I85" s="12"/>
      <c r="J85" s="12"/>
      <c r="K85" s="12"/>
      <c r="L85" s="12"/>
      <c r="M85" s="12"/>
      <c r="N85" t="s">
        <v>223</v>
      </c>
    </row>
    <row r="86" spans="1:25" x14ac:dyDescent="0.2">
      <c r="A86" s="8" t="s">
        <v>153</v>
      </c>
      <c r="B86" s="8" t="s">
        <v>154</v>
      </c>
      <c r="C86" s="8" t="s">
        <v>155</v>
      </c>
      <c r="D86" s="8" t="s">
        <v>156</v>
      </c>
      <c r="E86" s="8" t="s">
        <v>157</v>
      </c>
      <c r="F86" s="8"/>
      <c r="G86" s="8" t="s">
        <v>47</v>
      </c>
      <c r="H86" s="8" t="s">
        <v>52</v>
      </c>
      <c r="I86" s="8" t="s">
        <v>54</v>
      </c>
      <c r="J86" s="8" t="s">
        <v>55</v>
      </c>
      <c r="L86" s="8"/>
      <c r="M86" s="8" t="s">
        <v>158</v>
      </c>
      <c r="N86" s="8" t="s">
        <v>239</v>
      </c>
      <c r="V86" s="8" t="s">
        <v>47</v>
      </c>
      <c r="W86" s="8" t="s">
        <v>52</v>
      </c>
      <c r="X86" s="8" t="s">
        <v>54</v>
      </c>
      <c r="Y86" s="8" t="s">
        <v>55</v>
      </c>
    </row>
    <row r="87" spans="1:25" x14ac:dyDescent="0.2">
      <c r="C87">
        <v>0</v>
      </c>
      <c r="D87" s="14">
        <f>(1.224*C87)</f>
        <v>0</v>
      </c>
      <c r="E87" s="14">
        <f>(1.224*C87)</f>
        <v>0</v>
      </c>
      <c r="F87" s="14"/>
      <c r="G87">
        <v>140.09</v>
      </c>
      <c r="H87">
        <v>129.22999999999999</v>
      </c>
      <c r="I87">
        <v>118.41</v>
      </c>
      <c r="J87">
        <v>167.75</v>
      </c>
      <c r="L87" s="15"/>
      <c r="M87" s="15">
        <f>SUM(G87:J87)</f>
        <v>555.48</v>
      </c>
      <c r="V87">
        <f>G100/E100</f>
        <v>0.33519095989920988</v>
      </c>
      <c r="W87">
        <f>H100/E100</f>
        <v>0.81873170406524909</v>
      </c>
      <c r="X87">
        <f>I100/E100</f>
        <v>0.29460352255740291</v>
      </c>
      <c r="Y87">
        <f>(J100-J99)/(E100-E99)</f>
        <v>0.20133936367297428</v>
      </c>
    </row>
    <row r="88" spans="1:25" x14ac:dyDescent="0.2">
      <c r="A88" s="13">
        <v>45258.378472222219</v>
      </c>
      <c r="B88" s="13">
        <v>45258.535416666666</v>
      </c>
      <c r="C88" s="14">
        <f>(B88-A88)*24</f>
        <v>3.7666666667209938</v>
      </c>
      <c r="D88" s="14">
        <f>(1.224*C88)</f>
        <v>4.6104000000664964</v>
      </c>
      <c r="E88" s="14">
        <f>(1.224*C88)+SUM(D$87:D87)</f>
        <v>4.6104000000664964</v>
      </c>
      <c r="F88" s="14"/>
      <c r="G88" s="15">
        <v>137.81</v>
      </c>
      <c r="H88" s="15">
        <v>123.44</v>
      </c>
      <c r="I88" s="15">
        <v>116.82</v>
      </c>
      <c r="J88" s="15">
        <v>167.28</v>
      </c>
      <c r="K88" s="15"/>
      <c r="L88" s="15"/>
      <c r="M88" s="15">
        <f t="shared" ref="M88:M94" si="31">SUM(G88:K88)</f>
        <v>545.35</v>
      </c>
    </row>
    <row r="89" spans="1:25" x14ac:dyDescent="0.2">
      <c r="A89" s="13">
        <v>45258.548611111109</v>
      </c>
      <c r="B89" s="13">
        <v>45258.952777777777</v>
      </c>
      <c r="C89" s="14">
        <f t="shared" ref="C89:C94" si="32">(B89-A89)*24</f>
        <v>9.7000000000116415</v>
      </c>
      <c r="D89" s="14">
        <f t="shared" ref="D89:D94" si="33">(1.224*C89)</f>
        <v>11.87280000001425</v>
      </c>
      <c r="E89" s="14">
        <f>(1.224*C89)+SUM(D$87:D88)</f>
        <v>16.483200000080746</v>
      </c>
      <c r="F89" s="14"/>
      <c r="G89" s="15">
        <v>132.35</v>
      </c>
      <c r="H89" s="15">
        <v>111.79</v>
      </c>
      <c r="I89" s="15">
        <v>112.66</v>
      </c>
      <c r="J89" s="15">
        <v>163.27000000000001</v>
      </c>
      <c r="K89" s="15"/>
      <c r="L89" s="15"/>
      <c r="M89" s="15">
        <f t="shared" si="31"/>
        <v>520.06999999999994</v>
      </c>
    </row>
    <row r="90" spans="1:25" x14ac:dyDescent="0.2">
      <c r="A90" s="13"/>
      <c r="B90" s="13"/>
      <c r="C90" s="14">
        <f t="shared" si="32"/>
        <v>0</v>
      </c>
      <c r="D90" s="14">
        <f t="shared" si="33"/>
        <v>0</v>
      </c>
      <c r="E90" s="14">
        <f>(1.224*C90)+SUM(D$87:D89)</f>
        <v>16.483200000080746</v>
      </c>
      <c r="F90" s="14"/>
      <c r="G90" s="15"/>
      <c r="H90" s="15"/>
      <c r="I90" s="15"/>
      <c r="J90" s="15"/>
      <c r="K90" s="15"/>
      <c r="L90" s="15"/>
      <c r="M90" s="15">
        <f t="shared" si="31"/>
        <v>0</v>
      </c>
    </row>
    <row r="91" spans="1:25" x14ac:dyDescent="0.2">
      <c r="A91" s="13"/>
      <c r="B91" s="13"/>
      <c r="C91" s="14">
        <f t="shared" si="32"/>
        <v>0</v>
      </c>
      <c r="D91" s="14">
        <f t="shared" si="33"/>
        <v>0</v>
      </c>
      <c r="E91" s="14">
        <f>(1.224*C91)+SUM(D$87:D90)</f>
        <v>16.483200000080746</v>
      </c>
      <c r="F91" s="14"/>
      <c r="G91" s="15"/>
      <c r="H91" s="15"/>
      <c r="I91" s="15"/>
      <c r="J91" s="15"/>
      <c r="K91" s="15"/>
      <c r="L91" s="15"/>
      <c r="M91" s="15">
        <f t="shared" si="31"/>
        <v>0</v>
      </c>
    </row>
    <row r="92" spans="1:25" x14ac:dyDescent="0.2">
      <c r="A92" s="13"/>
      <c r="B92" s="13"/>
      <c r="C92" s="14">
        <f t="shared" si="32"/>
        <v>0</v>
      </c>
      <c r="D92" s="14">
        <f t="shared" si="33"/>
        <v>0</v>
      </c>
      <c r="E92" s="14">
        <f>(1.224*C92)+SUM(D$87:D91)</f>
        <v>16.483200000080746</v>
      </c>
      <c r="F92" s="14"/>
      <c r="G92" s="15"/>
      <c r="H92" s="15"/>
      <c r="I92" s="15"/>
      <c r="J92" s="15"/>
      <c r="K92" s="15"/>
      <c r="L92" s="15"/>
      <c r="M92" s="15">
        <f t="shared" si="31"/>
        <v>0</v>
      </c>
    </row>
    <row r="93" spans="1:25" x14ac:dyDescent="0.2">
      <c r="A93" s="13"/>
      <c r="B93" s="13"/>
      <c r="C93" s="14">
        <f t="shared" si="32"/>
        <v>0</v>
      </c>
      <c r="D93" s="14">
        <f t="shared" si="33"/>
        <v>0</v>
      </c>
      <c r="E93" s="14">
        <f>(1.224*C93)+SUM(D$87:D92)</f>
        <v>16.483200000080746</v>
      </c>
      <c r="F93" s="14"/>
      <c r="G93" s="15"/>
      <c r="H93" s="15"/>
      <c r="I93" s="15"/>
      <c r="J93" s="15"/>
      <c r="K93" s="15"/>
      <c r="L93" s="15"/>
      <c r="M93" s="15">
        <f t="shared" si="31"/>
        <v>0</v>
      </c>
    </row>
    <row r="94" spans="1:25" x14ac:dyDescent="0.2">
      <c r="A94" s="13"/>
      <c r="B94" s="13"/>
      <c r="C94" s="14">
        <f t="shared" si="32"/>
        <v>0</v>
      </c>
      <c r="D94" s="14">
        <f t="shared" si="33"/>
        <v>0</v>
      </c>
      <c r="E94" s="14">
        <f>(1.224*C94)+SUM(D$87:D93)</f>
        <v>16.483200000080746</v>
      </c>
      <c r="F94" s="14"/>
      <c r="G94" s="15"/>
      <c r="H94" s="15"/>
      <c r="I94" s="15"/>
      <c r="J94" s="15"/>
      <c r="K94" s="15"/>
      <c r="L94" s="15"/>
      <c r="M94" s="15">
        <f t="shared" si="31"/>
        <v>0</v>
      </c>
    </row>
    <row r="95" spans="1:25" x14ac:dyDescent="0.2">
      <c r="A95" s="11" t="s">
        <v>176</v>
      </c>
      <c r="B95" s="11"/>
      <c r="C95" s="11"/>
      <c r="D95" s="11"/>
      <c r="E95" s="16"/>
      <c r="F95" s="16"/>
      <c r="G95" s="17"/>
      <c r="H95" s="17"/>
      <c r="I95" s="17"/>
      <c r="J95" s="17"/>
      <c r="K95" s="17"/>
      <c r="L95" s="17"/>
      <c r="M95" s="17"/>
    </row>
    <row r="96" spans="1:25" x14ac:dyDescent="0.2">
      <c r="E96" s="14"/>
      <c r="F96" s="14"/>
      <c r="G96" s="8" t="s">
        <v>47</v>
      </c>
      <c r="H96" s="8" t="s">
        <v>52</v>
      </c>
      <c r="I96" s="8" t="s">
        <v>54</v>
      </c>
      <c r="J96" s="27" t="s">
        <v>55</v>
      </c>
      <c r="L96" s="15"/>
      <c r="M96" s="15"/>
    </row>
    <row r="97" spans="1:15" x14ac:dyDescent="0.2">
      <c r="A97" s="8" t="s">
        <v>153</v>
      </c>
      <c r="B97" s="8" t="s">
        <v>154</v>
      </c>
      <c r="C97" s="8" t="s">
        <v>155</v>
      </c>
      <c r="D97" s="8" t="s">
        <v>156</v>
      </c>
      <c r="E97" s="8" t="s">
        <v>157</v>
      </c>
      <c r="F97" s="8"/>
      <c r="G97" s="8"/>
      <c r="H97" s="8"/>
      <c r="I97" s="8"/>
      <c r="J97" s="8"/>
      <c r="K97" s="8"/>
      <c r="L97" s="8"/>
      <c r="M97" s="8"/>
    </row>
    <row r="98" spans="1:15" x14ac:dyDescent="0.2">
      <c r="A98" s="13"/>
      <c r="B98" s="13"/>
      <c r="C98">
        <f>C87</f>
        <v>0</v>
      </c>
      <c r="D98" s="14">
        <f>D87</f>
        <v>0</v>
      </c>
      <c r="E98" s="14">
        <f>E87</f>
        <v>0</v>
      </c>
      <c r="F98" s="14"/>
      <c r="G98" s="18">
        <f>100-H110/H$110*100</f>
        <v>0</v>
      </c>
      <c r="H98" s="18">
        <f>100-G87/G$87*100</f>
        <v>0</v>
      </c>
      <c r="I98" s="18">
        <f>100-H87/H$87*100</f>
        <v>0</v>
      </c>
      <c r="J98" s="18">
        <f>100-I87/I$87*100</f>
        <v>0</v>
      </c>
      <c r="K98" s="18"/>
      <c r="L98" s="18"/>
      <c r="M98" s="18"/>
    </row>
    <row r="99" spans="1:15" x14ac:dyDescent="0.2">
      <c r="A99" s="13">
        <f>A88</f>
        <v>45258.378472222219</v>
      </c>
      <c r="B99" s="13">
        <f>B88</f>
        <v>45258.535416666666</v>
      </c>
      <c r="C99" s="14">
        <f>C88</f>
        <v>3.7666666667209938</v>
      </c>
      <c r="D99" s="14">
        <f t="shared" ref="D99:E99" si="34">D88</f>
        <v>4.6104000000664964</v>
      </c>
      <c r="E99" s="14">
        <f t="shared" si="34"/>
        <v>4.6104000000664964</v>
      </c>
      <c r="F99" s="14"/>
      <c r="G99" s="18">
        <f>100-G88/G$87*100</f>
        <v>1.6275251623955995</v>
      </c>
      <c r="H99" s="18">
        <f>100-H88/H$87*100</f>
        <v>4.4803838118083945</v>
      </c>
      <c r="I99" s="18">
        <f>100-I88/I$87*100</f>
        <v>1.3427919939194339</v>
      </c>
      <c r="J99" s="18">
        <f>100-J88/J$87*100</f>
        <v>0.28017883755589423</v>
      </c>
      <c r="K99" s="18"/>
      <c r="L99" s="18"/>
      <c r="M99" s="18"/>
    </row>
    <row r="100" spans="1:15" x14ac:dyDescent="0.2">
      <c r="A100" s="13"/>
      <c r="B100" s="13"/>
      <c r="C100" s="14">
        <f t="shared" ref="C100:E100" si="35">C89</f>
        <v>9.7000000000116415</v>
      </c>
      <c r="D100" s="14">
        <f t="shared" si="35"/>
        <v>11.87280000001425</v>
      </c>
      <c r="E100" s="14">
        <f t="shared" si="35"/>
        <v>16.483200000080746</v>
      </c>
      <c r="G100" s="18">
        <f t="shared" ref="G100:J100" si="36">100-G89/G$87*100</f>
        <v>5.5250196302377219</v>
      </c>
      <c r="H100" s="18">
        <f t="shared" si="36"/>
        <v>13.495318424514423</v>
      </c>
      <c r="I100" s="18">
        <f t="shared" si="36"/>
        <v>4.8560087830419718</v>
      </c>
      <c r="J100" s="18">
        <f t="shared" si="36"/>
        <v>2.6706408345752521</v>
      </c>
      <c r="K100" s="18"/>
      <c r="L100" s="15"/>
      <c r="M100" s="15"/>
    </row>
    <row r="101" spans="1:15" x14ac:dyDescent="0.2">
      <c r="A101" s="13"/>
      <c r="B101" s="13"/>
      <c r="C101" s="14">
        <f t="shared" ref="C101:E105" si="37">C90</f>
        <v>0</v>
      </c>
      <c r="D101" s="14">
        <f t="shared" si="37"/>
        <v>0</v>
      </c>
      <c r="E101" s="14">
        <f t="shared" si="37"/>
        <v>16.483200000080746</v>
      </c>
      <c r="G101" s="18">
        <f t="shared" ref="G101:G105" si="38">100-G90/H$110*100</f>
        <v>100</v>
      </c>
      <c r="H101" s="18">
        <f t="shared" ref="H101:J105" si="39">100-H90/G$87*100</f>
        <v>100</v>
      </c>
      <c r="I101" s="18">
        <f t="shared" si="39"/>
        <v>100</v>
      </c>
      <c r="J101" s="18">
        <f t="shared" si="39"/>
        <v>100</v>
      </c>
      <c r="K101" s="18"/>
      <c r="L101" s="15"/>
      <c r="M101" s="15"/>
    </row>
    <row r="102" spans="1:15" x14ac:dyDescent="0.2">
      <c r="A102" s="13"/>
      <c r="B102" s="13"/>
      <c r="C102" s="14">
        <f t="shared" si="37"/>
        <v>0</v>
      </c>
      <c r="D102" s="14">
        <f t="shared" si="37"/>
        <v>0</v>
      </c>
      <c r="E102" s="14">
        <f t="shared" si="37"/>
        <v>16.483200000080746</v>
      </c>
      <c r="G102" s="18">
        <f t="shared" si="38"/>
        <v>100</v>
      </c>
      <c r="H102" s="18">
        <f t="shared" si="39"/>
        <v>100</v>
      </c>
      <c r="I102" s="18">
        <f t="shared" si="39"/>
        <v>100</v>
      </c>
      <c r="J102" s="18">
        <f t="shared" si="39"/>
        <v>100</v>
      </c>
      <c r="K102" s="18"/>
    </row>
    <row r="103" spans="1:15" x14ac:dyDescent="0.2">
      <c r="A103" s="13"/>
      <c r="B103" s="13"/>
      <c r="C103" s="14">
        <f t="shared" si="37"/>
        <v>0</v>
      </c>
      <c r="D103" s="14">
        <f t="shared" si="37"/>
        <v>0</v>
      </c>
      <c r="E103" s="14">
        <f t="shared" si="37"/>
        <v>16.483200000080746</v>
      </c>
      <c r="G103" s="18">
        <f t="shared" si="38"/>
        <v>100</v>
      </c>
      <c r="H103" s="18">
        <f t="shared" si="39"/>
        <v>100</v>
      </c>
      <c r="I103" s="18">
        <f t="shared" si="39"/>
        <v>100</v>
      </c>
      <c r="J103" s="18">
        <f t="shared" si="39"/>
        <v>100</v>
      </c>
      <c r="K103" s="18"/>
    </row>
    <row r="104" spans="1:15" x14ac:dyDescent="0.2">
      <c r="A104" s="13"/>
      <c r="B104" s="13"/>
      <c r="C104" s="14">
        <f t="shared" si="37"/>
        <v>0</v>
      </c>
      <c r="D104" s="14">
        <f t="shared" si="37"/>
        <v>0</v>
      </c>
      <c r="E104" s="14">
        <f t="shared" si="37"/>
        <v>16.483200000080746</v>
      </c>
      <c r="G104" s="18">
        <f t="shared" si="38"/>
        <v>100</v>
      </c>
      <c r="H104" s="18">
        <f t="shared" si="39"/>
        <v>100</v>
      </c>
      <c r="I104" s="18">
        <f t="shared" si="39"/>
        <v>100</v>
      </c>
      <c r="J104" s="18">
        <f t="shared" si="39"/>
        <v>100</v>
      </c>
      <c r="K104" s="18"/>
    </row>
    <row r="105" spans="1:15" x14ac:dyDescent="0.2">
      <c r="C105" s="14">
        <f t="shared" si="37"/>
        <v>0</v>
      </c>
      <c r="D105" s="14">
        <f t="shared" si="37"/>
        <v>0</v>
      </c>
      <c r="E105" s="14">
        <f t="shared" si="37"/>
        <v>16.483200000080746</v>
      </c>
      <c r="G105" s="18">
        <f t="shared" si="38"/>
        <v>100</v>
      </c>
      <c r="H105" s="18">
        <f t="shared" si="39"/>
        <v>100</v>
      </c>
      <c r="I105" s="18">
        <f t="shared" si="39"/>
        <v>100</v>
      </c>
      <c r="J105" s="18">
        <f t="shared" si="39"/>
        <v>100</v>
      </c>
      <c r="K105" s="18"/>
    </row>
    <row r="106" spans="1:15" x14ac:dyDescent="0.2">
      <c r="A106" s="19"/>
      <c r="B106" s="19"/>
      <c r="C106" s="19"/>
      <c r="D106" s="19"/>
      <c r="E106" s="19"/>
      <c r="F106" s="19"/>
      <c r="G106" s="19"/>
      <c r="H106" s="19"/>
      <c r="I106" s="19"/>
      <c r="J106" s="19"/>
      <c r="K106" s="19"/>
      <c r="L106" s="19"/>
      <c r="M106" s="19"/>
    </row>
    <row r="107" spans="1:15" x14ac:dyDescent="0.2">
      <c r="A107" s="11" t="s">
        <v>144</v>
      </c>
      <c r="B107" s="11" t="s">
        <v>165</v>
      </c>
      <c r="C107" s="11"/>
      <c r="D107" s="11"/>
      <c r="E107" s="11"/>
      <c r="F107" s="11"/>
      <c r="G107" s="11"/>
      <c r="H107" s="11"/>
      <c r="I107" s="11"/>
      <c r="J107" s="11"/>
      <c r="K107" s="11"/>
      <c r="L107" s="11"/>
      <c r="M107" s="11"/>
    </row>
    <row r="108" spans="1:15" x14ac:dyDescent="0.2">
      <c r="G108" s="12" t="s">
        <v>182</v>
      </c>
      <c r="H108" s="12"/>
      <c r="I108" s="12"/>
      <c r="J108" s="12"/>
      <c r="K108" s="12"/>
      <c r="L108" s="12"/>
      <c r="M108" s="12"/>
    </row>
    <row r="109" spans="1:15" x14ac:dyDescent="0.2">
      <c r="A109" s="8" t="s">
        <v>153</v>
      </c>
      <c r="B109" s="8" t="s">
        <v>154</v>
      </c>
      <c r="C109" s="8" t="s">
        <v>155</v>
      </c>
      <c r="D109" s="8" t="s">
        <v>156</v>
      </c>
      <c r="E109" s="8" t="s">
        <v>157</v>
      </c>
      <c r="F109" s="8"/>
      <c r="G109" s="8" t="s">
        <v>38</v>
      </c>
      <c r="H109" s="8" t="s">
        <v>41</v>
      </c>
      <c r="I109" s="8" t="s">
        <v>44</v>
      </c>
      <c r="J109" s="8" t="s">
        <v>53</v>
      </c>
      <c r="K109" s="8"/>
      <c r="L109" s="8"/>
      <c r="M109" s="8" t="s">
        <v>158</v>
      </c>
    </row>
    <row r="110" spans="1:15" x14ac:dyDescent="0.2">
      <c r="C110">
        <v>0</v>
      </c>
      <c r="D110" s="14">
        <f>(1.224*C110)</f>
        <v>0</v>
      </c>
      <c r="E110" s="14">
        <f>(1.224*C110)</f>
        <v>0</v>
      </c>
      <c r="F110" s="14"/>
      <c r="G110">
        <v>127.57</v>
      </c>
      <c r="H110">
        <v>170.78</v>
      </c>
      <c r="I110">
        <v>76.61</v>
      </c>
      <c r="J110">
        <v>106.55</v>
      </c>
      <c r="L110" s="15"/>
      <c r="M110" s="15">
        <f>SUM(G110:K110)</f>
        <v>481.51000000000005</v>
      </c>
    </row>
    <row r="111" spans="1:15" x14ac:dyDescent="0.2">
      <c r="A111" s="13">
        <v>45247.642361111109</v>
      </c>
      <c r="B111" s="13">
        <v>45247.734027777777</v>
      </c>
      <c r="C111" s="14">
        <f>(B111-A111)*24</f>
        <v>2.2000000000116415</v>
      </c>
      <c r="D111" s="14">
        <f>(1.224*C111)</f>
        <v>2.6928000000142491</v>
      </c>
      <c r="E111" s="14">
        <f>(1.224*C111)+SUM(D$110:D110)</f>
        <v>2.6928000000142491</v>
      </c>
      <c r="F111" s="14"/>
      <c r="G111" s="15">
        <v>126.4</v>
      </c>
      <c r="H111" s="15">
        <v>170.72</v>
      </c>
      <c r="I111" s="15">
        <v>75.89</v>
      </c>
      <c r="J111" s="15">
        <v>106.51</v>
      </c>
      <c r="K111" s="15"/>
      <c r="L111" s="15"/>
      <c r="M111" s="15">
        <f t="shared" ref="M111:M117" si="40">SUM(G111:K111)</f>
        <v>479.52</v>
      </c>
      <c r="O111" s="14"/>
    </row>
    <row r="112" spans="1:15" x14ac:dyDescent="0.2">
      <c r="A112" s="13">
        <v>45247.739583333336</v>
      </c>
      <c r="B112" s="13">
        <v>45248.428472222222</v>
      </c>
      <c r="C112" s="14">
        <f t="shared" ref="C112:C117" si="41">(B112-A112)*24</f>
        <v>16.533333333267365</v>
      </c>
      <c r="D112" s="14">
        <f t="shared" ref="D112:D117" si="42">(1.224*C112)</f>
        <v>20.236799999919253</v>
      </c>
      <c r="E112" s="14">
        <f>(1.224*C112)+SUM(D$110:D111)</f>
        <v>22.929599999933501</v>
      </c>
      <c r="F112" s="14"/>
      <c r="G112" s="15">
        <v>118.95</v>
      </c>
      <c r="H112" s="15">
        <v>169.69</v>
      </c>
      <c r="I112" s="15">
        <v>70.58</v>
      </c>
      <c r="J112">
        <v>103.77</v>
      </c>
      <c r="K112" s="15"/>
      <c r="L112" s="15"/>
      <c r="M112" s="15">
        <f t="shared" si="40"/>
        <v>462.98999999999995</v>
      </c>
    </row>
    <row r="113" spans="1:22" x14ac:dyDescent="0.2">
      <c r="A113" s="13">
        <v>45248.4375</v>
      </c>
      <c r="B113" s="13">
        <v>45249.309027777781</v>
      </c>
      <c r="C113" s="14">
        <f t="shared" si="41"/>
        <v>20.916666666744277</v>
      </c>
      <c r="D113" s="14">
        <f t="shared" si="42"/>
        <v>25.602000000094993</v>
      </c>
      <c r="E113" s="14">
        <f>(1.224*C113)+SUM(D$110:D112)</f>
        <v>48.53160000002849</v>
      </c>
      <c r="F113" s="14"/>
      <c r="G113" s="15">
        <v>110.58</v>
      </c>
      <c r="H113" s="15">
        <v>168.46</v>
      </c>
      <c r="I113" s="15">
        <v>64.37</v>
      </c>
      <c r="J113" s="15">
        <v>100.94</v>
      </c>
      <c r="K113" s="15"/>
      <c r="L113" s="15"/>
      <c r="M113" s="15">
        <f t="shared" si="40"/>
        <v>444.35</v>
      </c>
      <c r="N113" t="s">
        <v>234</v>
      </c>
    </row>
    <row r="114" spans="1:22" x14ac:dyDescent="0.2">
      <c r="A114" s="13">
        <v>45249.620833333334</v>
      </c>
      <c r="B114" s="13">
        <v>45249.76666666667</v>
      </c>
      <c r="C114" s="14">
        <f t="shared" si="41"/>
        <v>3.5000000000582077</v>
      </c>
      <c r="D114" s="14">
        <f t="shared" si="42"/>
        <v>4.2840000000712459</v>
      </c>
      <c r="E114" s="14">
        <f>(1.224*C114)+SUM(D$110:D113)</f>
        <v>52.815600000099735</v>
      </c>
      <c r="F114" s="14"/>
      <c r="G114" s="15">
        <v>109.3</v>
      </c>
      <c r="H114" s="15">
        <v>168.3</v>
      </c>
      <c r="I114" s="15">
        <v>63.32</v>
      </c>
      <c r="J114" s="15">
        <v>100.65</v>
      </c>
      <c r="K114" s="15"/>
      <c r="L114" s="15"/>
      <c r="M114" s="15">
        <f t="shared" si="40"/>
        <v>441.57000000000005</v>
      </c>
      <c r="N114" t="s">
        <v>234</v>
      </c>
    </row>
    <row r="115" spans="1:22" x14ac:dyDescent="0.2">
      <c r="A115" s="13"/>
      <c r="B115" s="13"/>
      <c r="C115" s="14">
        <f t="shared" si="41"/>
        <v>0</v>
      </c>
      <c r="D115" s="14">
        <f t="shared" si="42"/>
        <v>0</v>
      </c>
      <c r="E115" s="14">
        <f>(1.224*C115)+SUM(D$110:D114)</f>
        <v>52.815600000099735</v>
      </c>
      <c r="F115" s="14"/>
      <c r="G115" s="15"/>
      <c r="H115" s="15"/>
      <c r="I115" s="15"/>
      <c r="J115" s="15"/>
      <c r="K115" s="15"/>
      <c r="L115" s="15"/>
      <c r="M115" s="15">
        <f t="shared" si="40"/>
        <v>0</v>
      </c>
    </row>
    <row r="116" spans="1:22" x14ac:dyDescent="0.2">
      <c r="A116" s="13"/>
      <c r="B116" s="13"/>
      <c r="C116" s="14">
        <f t="shared" si="41"/>
        <v>0</v>
      </c>
      <c r="D116" s="14">
        <f t="shared" si="42"/>
        <v>0</v>
      </c>
      <c r="E116" s="14">
        <f>(1.224*C116)+SUM(D$110:D115)</f>
        <v>52.815600000099735</v>
      </c>
      <c r="F116" s="14"/>
      <c r="G116" s="15"/>
      <c r="H116" s="15"/>
      <c r="I116" s="15"/>
      <c r="J116" s="15"/>
      <c r="K116" s="15"/>
      <c r="L116" s="15"/>
      <c r="M116" s="15">
        <f t="shared" si="40"/>
        <v>0</v>
      </c>
    </row>
    <row r="117" spans="1:22" x14ac:dyDescent="0.2">
      <c r="C117" s="14">
        <f t="shared" si="41"/>
        <v>0</v>
      </c>
      <c r="D117" s="14">
        <f t="shared" si="42"/>
        <v>0</v>
      </c>
      <c r="E117" s="14">
        <f>(1.224*C117)+SUM(D$110:D116)</f>
        <v>52.815600000099735</v>
      </c>
      <c r="F117" s="14"/>
      <c r="G117" s="15"/>
      <c r="H117" s="15"/>
      <c r="I117" s="15"/>
      <c r="J117" s="15"/>
      <c r="K117" s="15"/>
      <c r="L117" s="15"/>
      <c r="M117" s="15">
        <f t="shared" si="40"/>
        <v>0</v>
      </c>
    </row>
    <row r="118" spans="1:22" x14ac:dyDescent="0.2">
      <c r="A118" s="11" t="s">
        <v>176</v>
      </c>
      <c r="B118" s="11"/>
      <c r="C118" s="11"/>
      <c r="D118" s="11"/>
      <c r="E118" s="16"/>
      <c r="F118" s="16"/>
      <c r="G118" s="17"/>
      <c r="H118" s="17"/>
      <c r="I118" s="17"/>
      <c r="J118" s="17"/>
      <c r="K118" s="17"/>
      <c r="L118" s="17"/>
      <c r="M118" s="17"/>
      <c r="S118" t="s">
        <v>262</v>
      </c>
    </row>
    <row r="119" spans="1:22" x14ac:dyDescent="0.2">
      <c r="E119" s="14"/>
      <c r="F119" s="14"/>
      <c r="G119" s="8" t="s">
        <v>38</v>
      </c>
      <c r="H119" t="s">
        <v>41</v>
      </c>
      <c r="I119" s="8" t="s">
        <v>44</v>
      </c>
      <c r="J119" s="8" t="s">
        <v>53</v>
      </c>
      <c r="K119" s="15"/>
      <c r="L119" s="15"/>
      <c r="M119" s="15"/>
      <c r="S119" s="8" t="s">
        <v>38</v>
      </c>
      <c r="T119" t="s">
        <v>41</v>
      </c>
      <c r="U119" s="8" t="s">
        <v>44</v>
      </c>
      <c r="V119" s="8" t="s">
        <v>53</v>
      </c>
    </row>
    <row r="120" spans="1:22" x14ac:dyDescent="0.2">
      <c r="A120" s="8" t="s">
        <v>153</v>
      </c>
      <c r="B120" s="8" t="s">
        <v>154</v>
      </c>
      <c r="C120" s="8" t="s">
        <v>155</v>
      </c>
      <c r="D120" s="8" t="s">
        <v>156</v>
      </c>
      <c r="E120" s="8" t="s">
        <v>157</v>
      </c>
      <c r="F120" s="8"/>
      <c r="G120" s="8"/>
      <c r="H120" s="8"/>
      <c r="I120" s="8"/>
      <c r="J120" s="8"/>
      <c r="K120" s="8"/>
      <c r="L120" s="8"/>
      <c r="M120" s="8"/>
      <c r="S120">
        <f>G125/$E125</f>
        <v>0.27116134160150923</v>
      </c>
      <c r="T120">
        <f t="shared" ref="T120:V120" si="43">H125/$E125</f>
        <v>2.7494919579618617E-2</v>
      </c>
      <c r="U120">
        <f t="shared" si="43"/>
        <v>0.3284560764491018</v>
      </c>
      <c r="V120">
        <f t="shared" si="43"/>
        <v>0.10484225170018228</v>
      </c>
    </row>
    <row r="121" spans="1:22" x14ac:dyDescent="0.2">
      <c r="A121" s="13"/>
      <c r="B121" s="13"/>
      <c r="C121">
        <f>C110</f>
        <v>0</v>
      </c>
      <c r="D121" s="14">
        <f>D110</f>
        <v>0</v>
      </c>
      <c r="E121" s="14">
        <f>E110</f>
        <v>0</v>
      </c>
      <c r="F121" s="14"/>
      <c r="G121" s="18">
        <f>100-G110/G$110*100</f>
        <v>0</v>
      </c>
      <c r="H121" s="18">
        <f>100-I110/I$110*100</f>
        <v>0</v>
      </c>
      <c r="I121" s="18">
        <f>100-J110/J$110*100</f>
        <v>0</v>
      </c>
      <c r="J121" s="18">
        <f>100-J110/J$110*100</f>
        <v>0</v>
      </c>
      <c r="K121" s="18"/>
      <c r="L121" s="18"/>
      <c r="M121" s="18"/>
    </row>
    <row r="122" spans="1:22" x14ac:dyDescent="0.2">
      <c r="A122" s="13">
        <f>A111</f>
        <v>45247.642361111109</v>
      </c>
      <c r="B122" s="13">
        <f>B111</f>
        <v>45247.734027777777</v>
      </c>
      <c r="C122" s="14">
        <f>C111</f>
        <v>2.2000000000116415</v>
      </c>
      <c r="D122" s="14">
        <f t="shared" ref="D122:E122" si="44">D111</f>
        <v>2.6928000000142491</v>
      </c>
      <c r="E122" s="14">
        <f t="shared" si="44"/>
        <v>2.6928000000142491</v>
      </c>
      <c r="F122" s="14"/>
      <c r="G122" s="18">
        <f t="shared" ref="G122:I128" si="45">100-G111/G$110*100</f>
        <v>0.91714352904286045</v>
      </c>
      <c r="H122" s="18">
        <f>100-H111/H$110*100</f>
        <v>3.5132919545617369E-2</v>
      </c>
      <c r="I122" s="18">
        <f>100-I111/I$110*100</f>
        <v>0.93982508810860566</v>
      </c>
      <c r="J122" s="18">
        <f>100-J111/J$110*100</f>
        <v>3.7541060534948656E-2</v>
      </c>
      <c r="K122" s="18"/>
      <c r="L122" s="18"/>
      <c r="M122" s="18"/>
    </row>
    <row r="123" spans="1:22" x14ac:dyDescent="0.2">
      <c r="A123" s="13">
        <f t="shared" ref="A123:B123" si="46">A112</f>
        <v>45247.739583333336</v>
      </c>
      <c r="B123" s="13">
        <f t="shared" si="46"/>
        <v>45248.428472222222</v>
      </c>
      <c r="C123">
        <f t="shared" ref="C123:E128" si="47">C112</f>
        <v>16.533333333267365</v>
      </c>
      <c r="D123" s="14">
        <f t="shared" si="47"/>
        <v>20.236799999919253</v>
      </c>
      <c r="E123" s="14">
        <f t="shared" si="47"/>
        <v>22.929599999933501</v>
      </c>
      <c r="G123" s="18">
        <f>100-G112/G$110*100</f>
        <v>6.7570745473073544</v>
      </c>
      <c r="H123" s="18">
        <f>100-H112/H$110*100</f>
        <v>0.6382480384119873</v>
      </c>
      <c r="I123" s="18">
        <f>100-I112/I$110*100</f>
        <v>7.8710351129095386</v>
      </c>
      <c r="J123" s="18">
        <f t="shared" ref="J123:J128" si="48">100-J112/J$110*100</f>
        <v>2.6091037071797274</v>
      </c>
      <c r="K123" s="15"/>
      <c r="L123" s="15">
        <f>2*18.73/0.638</f>
        <v>58.714733542319749</v>
      </c>
      <c r="M123" s="15"/>
    </row>
    <row r="124" spans="1:22" x14ac:dyDescent="0.2">
      <c r="A124" s="13">
        <f t="shared" ref="A124:B124" si="49">A113</f>
        <v>45248.4375</v>
      </c>
      <c r="B124" s="13">
        <f t="shared" si="49"/>
        <v>45249.309027777781</v>
      </c>
      <c r="C124" s="14">
        <f t="shared" si="47"/>
        <v>20.916666666744277</v>
      </c>
      <c r="D124" s="14">
        <f t="shared" si="47"/>
        <v>25.602000000094993</v>
      </c>
      <c r="E124" s="14">
        <f t="shared" si="47"/>
        <v>48.53160000002849</v>
      </c>
      <c r="G124" s="18">
        <f t="shared" ref="G124:G128" si="50">100-G113/G$110*100</f>
        <v>13.318178255075637</v>
      </c>
      <c r="H124" s="18">
        <f t="shared" si="45"/>
        <v>1.3584728890970865</v>
      </c>
      <c r="I124" s="18">
        <f t="shared" si="45"/>
        <v>15.977026497846225</v>
      </c>
      <c r="J124" s="18">
        <f t="shared" si="48"/>
        <v>5.2651337400281619</v>
      </c>
      <c r="K124" s="15"/>
      <c r="L124" s="15"/>
      <c r="M124" s="15"/>
    </row>
    <row r="125" spans="1:22" x14ac:dyDescent="0.2">
      <c r="A125" s="13">
        <f t="shared" ref="A125:B125" si="51">A114</f>
        <v>45249.620833333334</v>
      </c>
      <c r="B125" s="13">
        <f t="shared" si="51"/>
        <v>45249.76666666667</v>
      </c>
      <c r="C125">
        <f t="shared" si="47"/>
        <v>3.5000000000582077</v>
      </c>
      <c r="D125" s="14">
        <f t="shared" si="47"/>
        <v>4.2840000000712459</v>
      </c>
      <c r="E125" s="14">
        <f t="shared" si="47"/>
        <v>52.815600000099735</v>
      </c>
      <c r="G125" s="18">
        <f t="shared" si="50"/>
        <v>14.321548953515716</v>
      </c>
      <c r="H125" s="18">
        <f t="shared" si="45"/>
        <v>1.4521606745520472</v>
      </c>
      <c r="I125" s="18">
        <f t="shared" si="45"/>
        <v>17.34760475133794</v>
      </c>
      <c r="J125" s="18">
        <f t="shared" si="48"/>
        <v>5.5373064289066036</v>
      </c>
    </row>
    <row r="126" spans="1:22" x14ac:dyDescent="0.2">
      <c r="A126" s="13"/>
      <c r="B126" s="13"/>
      <c r="C126" s="14">
        <f t="shared" si="47"/>
        <v>0</v>
      </c>
      <c r="D126" s="14">
        <f t="shared" si="47"/>
        <v>0</v>
      </c>
      <c r="E126" s="14">
        <f t="shared" si="47"/>
        <v>52.815600000099735</v>
      </c>
      <c r="G126" s="18">
        <f t="shared" si="50"/>
        <v>100</v>
      </c>
      <c r="H126" s="18">
        <f t="shared" si="45"/>
        <v>100</v>
      </c>
      <c r="I126" s="18">
        <f t="shared" si="45"/>
        <v>100</v>
      </c>
      <c r="J126" s="18">
        <f t="shared" si="48"/>
        <v>100</v>
      </c>
    </row>
    <row r="127" spans="1:22" x14ac:dyDescent="0.2">
      <c r="A127" s="13"/>
      <c r="B127" s="13"/>
      <c r="C127">
        <f t="shared" si="47"/>
        <v>0</v>
      </c>
      <c r="D127" s="14">
        <f t="shared" si="47"/>
        <v>0</v>
      </c>
      <c r="E127" s="14">
        <f t="shared" si="47"/>
        <v>52.815600000099735</v>
      </c>
      <c r="G127" s="18">
        <f t="shared" si="50"/>
        <v>100</v>
      </c>
      <c r="H127" s="18">
        <f t="shared" si="45"/>
        <v>100</v>
      </c>
      <c r="I127" s="18">
        <f t="shared" si="45"/>
        <v>100</v>
      </c>
      <c r="J127" s="18">
        <f t="shared" si="48"/>
        <v>100</v>
      </c>
    </row>
    <row r="128" spans="1:22" x14ac:dyDescent="0.2">
      <c r="C128" s="14">
        <f t="shared" si="47"/>
        <v>0</v>
      </c>
      <c r="D128" s="14">
        <f t="shared" si="47"/>
        <v>0</v>
      </c>
      <c r="E128" s="14">
        <f t="shared" si="47"/>
        <v>52.815600000099735</v>
      </c>
      <c r="G128" s="18">
        <f t="shared" si="50"/>
        <v>100</v>
      </c>
      <c r="H128" s="18">
        <f t="shared" si="45"/>
        <v>100</v>
      </c>
      <c r="I128" s="18">
        <f t="shared" si="45"/>
        <v>100</v>
      </c>
      <c r="J128" s="18">
        <f t="shared" si="48"/>
        <v>100</v>
      </c>
    </row>
    <row r="129" spans="1:21" x14ac:dyDescent="0.2">
      <c r="A129" s="19"/>
      <c r="B129" s="19"/>
      <c r="C129" s="19"/>
      <c r="D129" s="19"/>
      <c r="E129" s="19"/>
      <c r="F129" s="19"/>
      <c r="G129" s="19"/>
      <c r="H129" s="19"/>
      <c r="I129" s="19"/>
      <c r="J129" s="19"/>
      <c r="K129" s="19"/>
      <c r="L129" s="19"/>
      <c r="M129" s="19"/>
    </row>
    <row r="130" spans="1:21" x14ac:dyDescent="0.2">
      <c r="A130" s="11" t="s">
        <v>144</v>
      </c>
      <c r="B130" s="11" t="s">
        <v>165</v>
      </c>
      <c r="C130" s="11"/>
      <c r="D130" s="11"/>
      <c r="E130" s="11"/>
      <c r="F130" s="11"/>
      <c r="G130" s="11"/>
      <c r="H130" s="11"/>
      <c r="I130" s="11"/>
      <c r="J130" s="11"/>
      <c r="K130" s="11"/>
      <c r="L130" s="11"/>
      <c r="M130" s="11"/>
    </row>
    <row r="131" spans="1:21" x14ac:dyDescent="0.2">
      <c r="G131" s="12" t="s">
        <v>183</v>
      </c>
      <c r="H131" s="12"/>
      <c r="I131" s="12"/>
      <c r="J131" s="12"/>
      <c r="K131" s="12"/>
      <c r="L131" s="12"/>
      <c r="M131" s="12"/>
      <c r="N131" t="s">
        <v>231</v>
      </c>
      <c r="P131">
        <v>2535.08</v>
      </c>
    </row>
    <row r="132" spans="1:21" x14ac:dyDescent="0.2">
      <c r="A132" s="8" t="s">
        <v>153</v>
      </c>
      <c r="B132" s="8" t="s">
        <v>154</v>
      </c>
      <c r="C132" s="8" t="s">
        <v>155</v>
      </c>
      <c r="D132" s="8" t="s">
        <v>156</v>
      </c>
      <c r="E132" s="8" t="s">
        <v>157</v>
      </c>
      <c r="F132" s="8"/>
      <c r="G132" s="8" t="s">
        <v>37</v>
      </c>
      <c r="H132" s="8" t="s">
        <v>39</v>
      </c>
      <c r="I132" s="8" t="s">
        <v>57</v>
      </c>
      <c r="K132" s="8"/>
      <c r="L132" s="8"/>
      <c r="M132" s="8" t="s">
        <v>158</v>
      </c>
    </row>
    <row r="133" spans="1:21" x14ac:dyDescent="0.2">
      <c r="C133">
        <v>0</v>
      </c>
      <c r="D133" s="14">
        <f>(1.224*C133)</f>
        <v>0</v>
      </c>
      <c r="E133" s="14">
        <f>(1.224*C133)</f>
        <v>0</v>
      </c>
      <c r="F133" s="14"/>
      <c r="G133">
        <v>164.93</v>
      </c>
      <c r="H133">
        <v>78.59</v>
      </c>
      <c r="I133">
        <v>152.83000000000001</v>
      </c>
      <c r="L133" s="15"/>
      <c r="M133" s="15">
        <f>SUM(G133:K133)</f>
        <v>396.35</v>
      </c>
    </row>
    <row r="134" spans="1:21" x14ac:dyDescent="0.2">
      <c r="A134" s="13">
        <v>45246.364583333336</v>
      </c>
      <c r="B134" s="13">
        <v>45246.447916666664</v>
      </c>
      <c r="C134" s="14">
        <f>(B134-A134)*24</f>
        <v>1.9999999998835847</v>
      </c>
      <c r="D134" s="14">
        <f>(1.224*C134)</f>
        <v>2.4479999998575077</v>
      </c>
      <c r="E134" s="14">
        <f>(1.224*C134)+SUM(D$133:D133)</f>
        <v>2.4479999998575077</v>
      </c>
      <c r="F134" s="14"/>
      <c r="G134" s="15">
        <v>164.47</v>
      </c>
      <c r="H134" s="15">
        <v>78.27</v>
      </c>
      <c r="I134" s="15">
        <v>152.5</v>
      </c>
      <c r="J134" s="15"/>
      <c r="K134" s="15"/>
      <c r="L134" s="15"/>
      <c r="M134" s="15">
        <f t="shared" ref="M134:M140" si="52">SUM(G134:K134)</f>
        <v>395.24</v>
      </c>
    </row>
    <row r="135" spans="1:21" x14ac:dyDescent="0.2">
      <c r="A135" s="13">
        <v>45246.450694444444</v>
      </c>
      <c r="B135" s="13">
        <v>45246.717361111114</v>
      </c>
      <c r="C135" s="14">
        <f t="shared" ref="C135:C140" si="53">(B135-A135)*24</f>
        <v>6.4000000000814907</v>
      </c>
      <c r="D135" s="14">
        <f t="shared" ref="D135:D140" si="54">(1.224*C135)</f>
        <v>7.8336000000997448</v>
      </c>
      <c r="E135" s="14">
        <f>(1.224*C135)+SUM(D$133:D134)</f>
        <v>10.281599999957253</v>
      </c>
      <c r="F135" s="14"/>
      <c r="G135" s="15">
        <v>163.4</v>
      </c>
      <c r="H135" s="15">
        <v>76.91</v>
      </c>
      <c r="I135" s="15">
        <v>151.61000000000001</v>
      </c>
      <c r="J135" s="15"/>
      <c r="K135" s="15"/>
      <c r="L135" s="15"/>
      <c r="M135" s="15">
        <f t="shared" si="52"/>
        <v>391.92</v>
      </c>
    </row>
    <row r="136" spans="1:21" x14ac:dyDescent="0.2">
      <c r="A136" s="13">
        <v>45246.902777777781</v>
      </c>
      <c r="B136" s="13">
        <v>45247.385416666664</v>
      </c>
      <c r="C136" s="14">
        <f t="shared" si="53"/>
        <v>11.583333333197515</v>
      </c>
      <c r="D136" s="14">
        <f t="shared" si="54"/>
        <v>14.177999999833759</v>
      </c>
      <c r="E136" s="14">
        <f>(1.224*C136)+SUM(D$133:D135)</f>
        <v>24.45959999979101</v>
      </c>
      <c r="F136" s="14"/>
      <c r="G136" s="15">
        <v>161.26</v>
      </c>
      <c r="H136" s="15">
        <v>74.69</v>
      </c>
      <c r="I136" s="15">
        <v>150.07</v>
      </c>
      <c r="J136" s="15"/>
      <c r="K136" s="15"/>
      <c r="L136" s="15"/>
      <c r="M136" s="15">
        <f t="shared" si="52"/>
        <v>386.02</v>
      </c>
    </row>
    <row r="137" spans="1:21" x14ac:dyDescent="0.2">
      <c r="A137" s="13">
        <v>45247.397222222222</v>
      </c>
      <c r="B137" s="13">
        <v>45247.557638888888</v>
      </c>
      <c r="C137" s="14">
        <f t="shared" si="53"/>
        <v>3.8499999999767169</v>
      </c>
      <c r="D137" s="14">
        <f t="shared" si="54"/>
        <v>4.7123999999715016</v>
      </c>
      <c r="E137" s="14">
        <f>(1.224*C137)+SUM(D$133:D136)</f>
        <v>29.171999999762512</v>
      </c>
      <c r="F137" s="14"/>
      <c r="G137" s="15">
        <v>160.56</v>
      </c>
      <c r="H137" s="15">
        <v>73.95</v>
      </c>
      <c r="I137" s="15">
        <v>149.61000000000001</v>
      </c>
      <c r="J137" s="15"/>
      <c r="K137" s="15"/>
      <c r="L137" s="15"/>
      <c r="M137" s="15">
        <f t="shared" si="52"/>
        <v>384.12</v>
      </c>
      <c r="N137" t="s">
        <v>234</v>
      </c>
    </row>
    <row r="138" spans="1:21" x14ac:dyDescent="0.2">
      <c r="A138" s="13"/>
      <c r="B138" s="13"/>
      <c r="C138" s="14">
        <f t="shared" si="53"/>
        <v>0</v>
      </c>
      <c r="D138" s="14">
        <f t="shared" si="54"/>
        <v>0</v>
      </c>
      <c r="E138" s="14">
        <f>(1.224*C138)+SUM(D$133:D137)</f>
        <v>29.171999999762512</v>
      </c>
      <c r="F138" s="14"/>
      <c r="G138" s="15"/>
      <c r="H138" s="15"/>
      <c r="I138" s="15"/>
      <c r="J138" s="15"/>
      <c r="K138" s="15"/>
      <c r="L138" s="15"/>
      <c r="M138" s="15">
        <f t="shared" si="52"/>
        <v>0</v>
      </c>
      <c r="S138" t="s">
        <v>262</v>
      </c>
    </row>
    <row r="139" spans="1:21" x14ac:dyDescent="0.2">
      <c r="A139" s="13"/>
      <c r="B139" s="13"/>
      <c r="C139" s="14">
        <f t="shared" si="53"/>
        <v>0</v>
      </c>
      <c r="D139" s="14">
        <f t="shared" si="54"/>
        <v>0</v>
      </c>
      <c r="E139" s="14">
        <f>(1.224*C139)+SUM(D$133:D138)</f>
        <v>29.171999999762512</v>
      </c>
      <c r="F139" s="14"/>
      <c r="G139" s="15"/>
      <c r="H139" s="15"/>
      <c r="I139" s="15"/>
      <c r="J139" s="15"/>
      <c r="K139" s="15"/>
      <c r="L139" s="15"/>
      <c r="M139" s="15">
        <f t="shared" si="52"/>
        <v>0</v>
      </c>
      <c r="O139">
        <f>1.806*23.85/20</f>
        <v>2.1536550000000001</v>
      </c>
      <c r="P139" s="14"/>
      <c r="S139" s="8" t="s">
        <v>37</v>
      </c>
      <c r="T139" s="8" t="s">
        <v>39</v>
      </c>
      <c r="U139" s="8" t="s">
        <v>57</v>
      </c>
    </row>
    <row r="140" spans="1:21" x14ac:dyDescent="0.2">
      <c r="C140" s="14">
        <f t="shared" si="53"/>
        <v>0</v>
      </c>
      <c r="D140" s="14">
        <f t="shared" si="54"/>
        <v>0</v>
      </c>
      <c r="E140" s="14">
        <f>(1.224*C140)+SUM(D$133:D139)</f>
        <v>29.171999999762512</v>
      </c>
      <c r="F140" s="14"/>
      <c r="G140" s="15"/>
      <c r="H140" s="15"/>
      <c r="I140" s="15"/>
      <c r="J140" s="15"/>
      <c r="K140" s="15"/>
      <c r="L140" s="15"/>
      <c r="M140" s="15">
        <f t="shared" si="52"/>
        <v>0</v>
      </c>
      <c r="S140">
        <f>G148/$E148</f>
        <v>9.0827126183328513E-2</v>
      </c>
      <c r="T140">
        <f t="shared" ref="T140:U140" si="55">H148/$E148</f>
        <v>0.20238787332505354</v>
      </c>
      <c r="U140">
        <f t="shared" si="55"/>
        <v>7.2223919559686128E-2</v>
      </c>
    </row>
    <row r="141" spans="1:21" x14ac:dyDescent="0.2">
      <c r="A141" s="11" t="s">
        <v>176</v>
      </c>
      <c r="B141" s="11"/>
      <c r="C141" s="11"/>
      <c r="D141" s="11"/>
      <c r="E141" s="16"/>
      <c r="F141" s="16"/>
      <c r="G141" s="17"/>
      <c r="H141" s="17"/>
      <c r="I141" s="17"/>
      <c r="J141" s="17"/>
      <c r="K141" s="17"/>
      <c r="L141" s="17"/>
      <c r="M141" s="17"/>
    </row>
    <row r="142" spans="1:21" x14ac:dyDescent="0.2">
      <c r="E142" s="14"/>
      <c r="F142" s="14"/>
      <c r="G142" s="8" t="s">
        <v>37</v>
      </c>
      <c r="H142" s="8" t="s">
        <v>39</v>
      </c>
      <c r="I142" s="8" t="s">
        <v>57</v>
      </c>
      <c r="K142" s="15"/>
      <c r="L142" s="15"/>
      <c r="M142" s="15"/>
    </row>
    <row r="143" spans="1:21" x14ac:dyDescent="0.2">
      <c r="A143" s="8" t="s">
        <v>153</v>
      </c>
      <c r="B143" s="8" t="s">
        <v>154</v>
      </c>
      <c r="C143" s="8" t="s">
        <v>155</v>
      </c>
      <c r="D143" s="8" t="s">
        <v>156</v>
      </c>
      <c r="E143" s="8" t="s">
        <v>157</v>
      </c>
      <c r="F143" s="8"/>
      <c r="G143" s="8"/>
      <c r="H143" s="8"/>
      <c r="I143" s="8"/>
      <c r="J143" s="8"/>
      <c r="K143" s="8"/>
      <c r="L143" s="8"/>
      <c r="M143" s="8"/>
    </row>
    <row r="144" spans="1:21" x14ac:dyDescent="0.2">
      <c r="A144" s="13"/>
      <c r="B144" s="13"/>
      <c r="C144">
        <f>C133</f>
        <v>0</v>
      </c>
      <c r="D144" s="14">
        <f>D133</f>
        <v>0</v>
      </c>
      <c r="E144" s="14">
        <f>E133</f>
        <v>0</v>
      </c>
      <c r="F144" s="14"/>
      <c r="G144" s="18">
        <f>100-G133/G$133*100</f>
        <v>0</v>
      </c>
      <c r="H144" s="18">
        <f t="shared" ref="H144:I144" si="56">100-H133/H$133*100</f>
        <v>0</v>
      </c>
      <c r="I144" s="18">
        <f t="shared" si="56"/>
        <v>0</v>
      </c>
      <c r="J144" s="18"/>
      <c r="K144" s="18"/>
      <c r="L144" s="18"/>
      <c r="M144" s="18"/>
    </row>
    <row r="145" spans="1:13" x14ac:dyDescent="0.2">
      <c r="A145" s="13">
        <f>A134</f>
        <v>45246.364583333336</v>
      </c>
      <c r="B145" s="13">
        <f>B134</f>
        <v>45246.447916666664</v>
      </c>
      <c r="C145" s="14">
        <f>C134</f>
        <v>1.9999999998835847</v>
      </c>
      <c r="D145" s="14">
        <f t="shared" ref="D145:E145" si="57">D134</f>
        <v>2.4479999998575077</v>
      </c>
      <c r="E145" s="14">
        <f t="shared" si="57"/>
        <v>2.4479999998575077</v>
      </c>
      <c r="F145" s="14"/>
      <c r="G145" s="18">
        <f t="shared" ref="G145:I151" si="58">100-G134/G$133*100</f>
        <v>0.27890620263141841</v>
      </c>
      <c r="H145" s="18">
        <f t="shared" si="58"/>
        <v>0.4071764855579687</v>
      </c>
      <c r="I145" s="18">
        <f t="shared" si="58"/>
        <v>0.21592619250148459</v>
      </c>
      <c r="J145" s="18"/>
      <c r="K145" s="18"/>
      <c r="L145" s="18"/>
      <c r="M145" s="18"/>
    </row>
    <row r="146" spans="1:13" x14ac:dyDescent="0.2">
      <c r="A146" s="13">
        <f t="shared" ref="A146:E151" si="59">A135</f>
        <v>45246.450694444444</v>
      </c>
      <c r="B146" s="13">
        <f t="shared" si="59"/>
        <v>45246.717361111114</v>
      </c>
      <c r="C146" s="14">
        <f t="shared" si="59"/>
        <v>6.4000000000814907</v>
      </c>
      <c r="D146" s="14">
        <f t="shared" si="59"/>
        <v>7.8336000000997448</v>
      </c>
      <c r="E146" s="14">
        <f t="shared" si="59"/>
        <v>10.281599999957253</v>
      </c>
      <c r="G146" s="18">
        <f t="shared" si="58"/>
        <v>0.92766628266537055</v>
      </c>
      <c r="H146" s="18">
        <f t="shared" si="58"/>
        <v>2.1376765491792895</v>
      </c>
      <c r="I146" s="18">
        <f t="shared" si="58"/>
        <v>0.79827259045998744</v>
      </c>
      <c r="J146" s="18"/>
      <c r="K146" s="15"/>
      <c r="L146" s="15"/>
      <c r="M146" s="15"/>
    </row>
    <row r="147" spans="1:13" x14ac:dyDescent="0.2">
      <c r="A147" s="13">
        <f t="shared" si="59"/>
        <v>45246.902777777781</v>
      </c>
      <c r="B147" s="13">
        <f t="shared" si="59"/>
        <v>45247.385416666664</v>
      </c>
      <c r="C147" s="14">
        <f t="shared" si="59"/>
        <v>11.583333333197515</v>
      </c>
      <c r="D147" s="14">
        <f t="shared" si="59"/>
        <v>14.177999999833759</v>
      </c>
      <c r="E147" s="14">
        <f t="shared" si="59"/>
        <v>24.45959999979101</v>
      </c>
      <c r="G147" s="18">
        <f t="shared" si="58"/>
        <v>2.225186442733289</v>
      </c>
      <c r="H147" s="18">
        <f t="shared" si="58"/>
        <v>4.9624634177376237</v>
      </c>
      <c r="I147" s="18">
        <f t="shared" si="58"/>
        <v>1.8059281554668729</v>
      </c>
      <c r="J147" s="18"/>
      <c r="K147" s="15"/>
      <c r="L147" s="15"/>
      <c r="M147" s="15"/>
    </row>
    <row r="148" spans="1:13" x14ac:dyDescent="0.2">
      <c r="A148" s="13">
        <f t="shared" si="59"/>
        <v>45247.397222222222</v>
      </c>
      <c r="B148" s="13">
        <f t="shared" si="59"/>
        <v>45247.557638888888</v>
      </c>
      <c r="C148" s="14">
        <f t="shared" si="59"/>
        <v>3.8499999999767169</v>
      </c>
      <c r="D148" s="14">
        <f t="shared" si="59"/>
        <v>4.7123999999715016</v>
      </c>
      <c r="E148" s="14">
        <f t="shared" si="59"/>
        <v>29.171999999762512</v>
      </c>
      <c r="G148" s="18">
        <f t="shared" si="58"/>
        <v>2.6496089249984891</v>
      </c>
      <c r="H148" s="18">
        <f t="shared" si="58"/>
        <v>5.904059040590397</v>
      </c>
      <c r="I148" s="18">
        <f t="shared" si="58"/>
        <v>2.1069161813780113</v>
      </c>
      <c r="J148" s="18"/>
    </row>
    <row r="149" spans="1:13" x14ac:dyDescent="0.2">
      <c r="A149" s="13">
        <f t="shared" si="59"/>
        <v>0</v>
      </c>
      <c r="B149" s="13">
        <f t="shared" si="59"/>
        <v>0</v>
      </c>
      <c r="C149" s="14">
        <f t="shared" si="59"/>
        <v>0</v>
      </c>
      <c r="D149" s="14">
        <f t="shared" si="59"/>
        <v>0</v>
      </c>
      <c r="E149" s="14">
        <f t="shared" si="59"/>
        <v>29.171999999762512</v>
      </c>
      <c r="G149" s="18">
        <f t="shared" si="58"/>
        <v>100</v>
      </c>
      <c r="H149" s="18">
        <f t="shared" si="58"/>
        <v>100</v>
      </c>
      <c r="I149" s="18">
        <f t="shared" si="58"/>
        <v>100</v>
      </c>
      <c r="J149" s="18"/>
    </row>
    <row r="150" spans="1:13" x14ac:dyDescent="0.2">
      <c r="A150" s="13">
        <f t="shared" si="59"/>
        <v>0</v>
      </c>
      <c r="B150" s="13">
        <f t="shared" si="59"/>
        <v>0</v>
      </c>
      <c r="C150" s="14">
        <f t="shared" si="59"/>
        <v>0</v>
      </c>
      <c r="D150" s="14">
        <f t="shared" si="59"/>
        <v>0</v>
      </c>
      <c r="E150" s="14">
        <f t="shared" si="59"/>
        <v>29.171999999762512</v>
      </c>
      <c r="G150" s="18">
        <f t="shared" si="58"/>
        <v>100</v>
      </c>
      <c r="H150" s="18">
        <f t="shared" si="58"/>
        <v>100</v>
      </c>
      <c r="I150" s="18">
        <f t="shared" si="58"/>
        <v>100</v>
      </c>
      <c r="J150" s="18"/>
    </row>
    <row r="151" spans="1:13" x14ac:dyDescent="0.2">
      <c r="A151" s="13">
        <f t="shared" si="59"/>
        <v>0</v>
      </c>
      <c r="B151" s="13">
        <f t="shared" si="59"/>
        <v>0</v>
      </c>
      <c r="C151" s="14">
        <f t="shared" si="59"/>
        <v>0</v>
      </c>
      <c r="D151" s="14">
        <f t="shared" si="59"/>
        <v>0</v>
      </c>
      <c r="E151" s="14">
        <f t="shared" si="59"/>
        <v>29.171999999762512</v>
      </c>
      <c r="G151" s="18">
        <f t="shared" si="58"/>
        <v>100</v>
      </c>
      <c r="H151" s="18">
        <f t="shared" si="58"/>
        <v>100</v>
      </c>
      <c r="I151" s="18">
        <f t="shared" si="58"/>
        <v>100</v>
      </c>
    </row>
    <row r="152" spans="1:13" x14ac:dyDescent="0.2">
      <c r="A152" s="19"/>
      <c r="B152" s="19"/>
      <c r="C152" s="19"/>
      <c r="D152" s="19"/>
      <c r="E152" s="19"/>
      <c r="F152" s="19"/>
      <c r="G152" s="19"/>
      <c r="H152" s="19"/>
      <c r="I152" s="19"/>
      <c r="J152" s="19"/>
      <c r="K152" s="19"/>
      <c r="L152" s="19"/>
      <c r="M152" s="19"/>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EEA81-D917-C74C-929C-D095453DC5A4}">
  <dimension ref="A1:L23"/>
  <sheetViews>
    <sheetView zoomScale="150" workbookViewId="0">
      <selection activeCell="D2" sqref="D2:D23"/>
    </sheetView>
  </sheetViews>
  <sheetFormatPr baseColWidth="10" defaultRowHeight="16" x14ac:dyDescent="0.2"/>
  <sheetData>
    <row r="1" spans="1:12" x14ac:dyDescent="0.2">
      <c r="A1" t="s">
        <v>243</v>
      </c>
      <c r="B1" t="s">
        <v>60</v>
      </c>
      <c r="C1" t="s">
        <v>264</v>
      </c>
      <c r="D1" t="s">
        <v>253</v>
      </c>
      <c r="E1" t="s">
        <v>254</v>
      </c>
      <c r="F1" t="s">
        <v>255</v>
      </c>
      <c r="G1" t="s">
        <v>256</v>
      </c>
      <c r="H1" t="s">
        <v>247</v>
      </c>
      <c r="I1" t="s">
        <v>257</v>
      </c>
      <c r="J1" t="s">
        <v>248</v>
      </c>
      <c r="K1" s="4" t="s">
        <v>61</v>
      </c>
      <c r="L1" s="4" t="s">
        <v>59</v>
      </c>
    </row>
    <row r="2" spans="1:12" s="29" customFormat="1" x14ac:dyDescent="0.2">
      <c r="A2">
        <v>1</v>
      </c>
      <c r="B2" s="4" t="s">
        <v>76</v>
      </c>
      <c r="C2">
        <v>3.8689946525500619E-3</v>
      </c>
      <c r="D2">
        <v>5.0000000000000001E-3</v>
      </c>
      <c r="E2"/>
      <c r="F2"/>
      <c r="G2"/>
      <c r="H2">
        <v>62</v>
      </c>
      <c r="I2"/>
      <c r="J2" t="s">
        <v>76</v>
      </c>
      <c r="K2" s="4">
        <v>25</v>
      </c>
      <c r="L2" s="4" t="s">
        <v>75</v>
      </c>
    </row>
    <row r="3" spans="1:12" x14ac:dyDescent="0.2">
      <c r="A3">
        <v>2</v>
      </c>
      <c r="B3" s="4" t="s">
        <v>79</v>
      </c>
      <c r="C3">
        <v>9.0827126183328508E-4</v>
      </c>
      <c r="D3">
        <v>8.9999999999999998E-4</v>
      </c>
      <c r="H3">
        <v>65.5</v>
      </c>
      <c r="J3" t="s">
        <v>79</v>
      </c>
      <c r="K3" s="4">
        <v>38</v>
      </c>
      <c r="L3" s="4" t="s">
        <v>75</v>
      </c>
    </row>
    <row r="4" spans="1:12" x14ac:dyDescent="0.2">
      <c r="A4">
        <v>3</v>
      </c>
      <c r="B4" s="4" t="s">
        <v>83</v>
      </c>
      <c r="C4">
        <v>2.7116134160150925E-3</v>
      </c>
      <c r="D4">
        <v>3.0000000000000001E-3</v>
      </c>
      <c r="H4">
        <v>50.5</v>
      </c>
      <c r="J4" t="s">
        <v>83</v>
      </c>
      <c r="K4" s="4">
        <v>16</v>
      </c>
      <c r="L4" s="4" t="s">
        <v>82</v>
      </c>
    </row>
    <row r="5" spans="1:12" x14ac:dyDescent="0.2">
      <c r="A5">
        <v>4</v>
      </c>
      <c r="B5" s="4" t="s">
        <v>79</v>
      </c>
      <c r="C5">
        <v>2.0238787332505352E-3</v>
      </c>
      <c r="D5">
        <v>2E-3</v>
      </c>
      <c r="H5">
        <v>65.5</v>
      </c>
      <c r="J5" t="s">
        <v>79</v>
      </c>
      <c r="K5" s="4">
        <v>26</v>
      </c>
      <c r="L5" s="4" t="s">
        <v>82</v>
      </c>
    </row>
    <row r="6" spans="1:12" x14ac:dyDescent="0.2">
      <c r="A6">
        <v>5</v>
      </c>
      <c r="B6" s="4" t="s">
        <v>83</v>
      </c>
      <c r="C6">
        <v>4.8248148329899966E-3</v>
      </c>
      <c r="D6">
        <v>7.0000000000000001E-3</v>
      </c>
      <c r="H6">
        <v>27.5</v>
      </c>
      <c r="J6" t="s">
        <v>83</v>
      </c>
      <c r="K6" s="4">
        <v>14</v>
      </c>
      <c r="L6" s="4" t="s">
        <v>82</v>
      </c>
    </row>
    <row r="7" spans="1:12" x14ac:dyDescent="0.2">
      <c r="A7">
        <v>6</v>
      </c>
      <c r="B7" s="4" t="s">
        <v>92</v>
      </c>
      <c r="C7">
        <v>2.7494919579618615E-4</v>
      </c>
      <c r="D7">
        <v>2.9999999999999997E-4</v>
      </c>
      <c r="H7">
        <v>43</v>
      </c>
      <c r="J7" t="s">
        <v>92</v>
      </c>
      <c r="K7" s="4">
        <v>11</v>
      </c>
      <c r="L7" s="4" t="s">
        <v>91</v>
      </c>
    </row>
    <row r="8" spans="1:12" x14ac:dyDescent="0.2">
      <c r="A8">
        <v>7</v>
      </c>
      <c r="B8" s="4" t="s">
        <v>92</v>
      </c>
      <c r="C8">
        <v>6.0246465259453886E-3</v>
      </c>
      <c r="D8">
        <v>6.0000000000000001E-3</v>
      </c>
      <c r="H8">
        <v>28.5</v>
      </c>
      <c r="J8" t="s">
        <v>92</v>
      </c>
      <c r="K8" s="4">
        <v>21</v>
      </c>
      <c r="L8" s="4" t="s">
        <v>95</v>
      </c>
    </row>
    <row r="9" spans="1:12" s="29" customFormat="1" x14ac:dyDescent="0.2">
      <c r="A9">
        <v>8</v>
      </c>
      <c r="B9" s="4" t="s">
        <v>83</v>
      </c>
      <c r="C9">
        <v>2.0793374062325339E-2</v>
      </c>
      <c r="D9">
        <v>0.03</v>
      </c>
      <c r="E9"/>
      <c r="F9"/>
      <c r="G9"/>
      <c r="H9">
        <v>33</v>
      </c>
      <c r="I9"/>
      <c r="J9" t="s">
        <v>83</v>
      </c>
      <c r="K9" s="4">
        <v>15</v>
      </c>
      <c r="L9" s="4" t="s">
        <v>95</v>
      </c>
    </row>
    <row r="10" spans="1:12" x14ac:dyDescent="0.2">
      <c r="A10">
        <v>9</v>
      </c>
      <c r="B10" s="4" t="s">
        <v>102</v>
      </c>
      <c r="C10">
        <v>3.284560764491018E-3</v>
      </c>
      <c r="D10">
        <v>4.0000000000000001E-3</v>
      </c>
      <c r="H10">
        <v>51</v>
      </c>
      <c r="J10" t="s">
        <v>102</v>
      </c>
      <c r="K10" s="4">
        <v>13</v>
      </c>
      <c r="L10" s="4" t="s">
        <v>101</v>
      </c>
    </row>
    <row r="11" spans="1:12" s="29" customFormat="1" x14ac:dyDescent="0.2">
      <c r="A11">
        <v>10</v>
      </c>
      <c r="B11" s="4" t="s">
        <v>105</v>
      </c>
      <c r="C11">
        <v>1.4487550194572913E-2</v>
      </c>
      <c r="D11">
        <v>8.2000000000000003E-2</v>
      </c>
      <c r="E11"/>
      <c r="F11"/>
      <c r="G11"/>
      <c r="H11">
        <v>27.5</v>
      </c>
      <c r="I11"/>
      <c r="J11" t="s">
        <v>105</v>
      </c>
      <c r="K11" s="4">
        <v>12</v>
      </c>
      <c r="L11" s="4" t="s">
        <v>101</v>
      </c>
    </row>
    <row r="12" spans="1:12" x14ac:dyDescent="0.2">
      <c r="A12">
        <v>11</v>
      </c>
      <c r="B12" s="4" t="s">
        <v>109</v>
      </c>
      <c r="C12">
        <v>9.2794945588886416E-4</v>
      </c>
      <c r="D12">
        <v>8.9999999999999998E-4</v>
      </c>
      <c r="H12">
        <v>71</v>
      </c>
      <c r="J12" t="s">
        <v>109</v>
      </c>
      <c r="K12" s="4">
        <v>52</v>
      </c>
      <c r="L12" s="4" t="s">
        <v>108</v>
      </c>
    </row>
    <row r="13" spans="1:12" x14ac:dyDescent="0.2">
      <c r="A13">
        <v>12</v>
      </c>
      <c r="B13" s="4" t="s">
        <v>105</v>
      </c>
      <c r="C13">
        <v>3.3519095989920987E-3</v>
      </c>
      <c r="D13">
        <v>3.0000000000000001E-3</v>
      </c>
      <c r="H13">
        <v>45.5</v>
      </c>
      <c r="J13" t="s">
        <v>105</v>
      </c>
      <c r="K13" s="4">
        <v>19</v>
      </c>
      <c r="L13" s="4" t="s">
        <v>112</v>
      </c>
    </row>
    <row r="14" spans="1:12" x14ac:dyDescent="0.2">
      <c r="A14">
        <v>13</v>
      </c>
      <c r="B14" s="4" t="s">
        <v>105</v>
      </c>
      <c r="C14">
        <v>3.3684088139220914E-3</v>
      </c>
      <c r="D14">
        <v>4.0000000000000001E-3</v>
      </c>
      <c r="H14">
        <v>34</v>
      </c>
      <c r="J14" t="s">
        <v>105</v>
      </c>
      <c r="K14" s="4">
        <v>14</v>
      </c>
      <c r="L14" s="4" t="s">
        <v>112</v>
      </c>
    </row>
    <row r="15" spans="1:12" x14ac:dyDescent="0.2">
      <c r="A15">
        <v>14</v>
      </c>
      <c r="B15" s="4" t="s">
        <v>109</v>
      </c>
      <c r="C15">
        <v>4.062425937650248E-4</v>
      </c>
      <c r="D15">
        <v>4.0000000000000002E-4</v>
      </c>
      <c r="H15">
        <v>73.5</v>
      </c>
      <c r="J15" t="s">
        <v>109</v>
      </c>
      <c r="K15" s="4">
        <v>32</v>
      </c>
      <c r="L15" s="4" t="s">
        <v>116</v>
      </c>
    </row>
    <row r="16" spans="1:12" x14ac:dyDescent="0.2">
      <c r="A16">
        <v>15</v>
      </c>
      <c r="B16" s="4" t="s">
        <v>109</v>
      </c>
      <c r="C16">
        <v>4.9551105244057263E-4</v>
      </c>
      <c r="D16">
        <v>5.0000000000000001E-4</v>
      </c>
      <c r="H16">
        <v>72</v>
      </c>
      <c r="J16" t="s">
        <v>109</v>
      </c>
      <c r="K16" s="4">
        <v>27</v>
      </c>
      <c r="L16" s="4" t="s">
        <v>118</v>
      </c>
    </row>
    <row r="17" spans="1:12" x14ac:dyDescent="0.2">
      <c r="A17">
        <v>16</v>
      </c>
      <c r="B17" s="4" t="s">
        <v>122</v>
      </c>
      <c r="C17">
        <v>2.6787874473293845E-2</v>
      </c>
      <c r="D17">
        <v>0.06</v>
      </c>
      <c r="H17">
        <v>25.5</v>
      </c>
      <c r="J17" t="s">
        <v>263</v>
      </c>
      <c r="K17" s="4">
        <v>84</v>
      </c>
      <c r="L17" s="4" t="s">
        <v>121</v>
      </c>
    </row>
    <row r="18" spans="1:12" x14ac:dyDescent="0.2">
      <c r="A18">
        <v>17</v>
      </c>
      <c r="B18" s="4" t="s">
        <v>122</v>
      </c>
      <c r="C18">
        <v>8.1873170406524913E-3</v>
      </c>
      <c r="D18">
        <v>8.9999999999999993E-3</v>
      </c>
      <c r="H18">
        <v>43.5</v>
      </c>
      <c r="J18" t="s">
        <v>263</v>
      </c>
      <c r="K18" s="4">
        <v>38</v>
      </c>
      <c r="L18" s="4" t="s">
        <v>121</v>
      </c>
    </row>
    <row r="19" spans="1:12" x14ac:dyDescent="0.2">
      <c r="A19">
        <v>18</v>
      </c>
      <c r="B19" s="4" t="s">
        <v>126</v>
      </c>
      <c r="C19">
        <v>1.0484225170018229E-3</v>
      </c>
      <c r="D19">
        <v>1E-3</v>
      </c>
      <c r="H19">
        <v>57</v>
      </c>
      <c r="J19" t="s">
        <v>126</v>
      </c>
      <c r="K19" s="4">
        <v>19</v>
      </c>
      <c r="L19" s="4" t="s">
        <v>125</v>
      </c>
    </row>
    <row r="20" spans="1:12" x14ac:dyDescent="0.2">
      <c r="A20">
        <v>19</v>
      </c>
      <c r="B20" s="4" t="s">
        <v>126</v>
      </c>
      <c r="C20">
        <v>2.9460352255740291E-3</v>
      </c>
      <c r="D20">
        <v>3.0000000000000001E-3</v>
      </c>
      <c r="H20">
        <v>42</v>
      </c>
      <c r="J20" t="s">
        <v>126</v>
      </c>
      <c r="K20" s="4">
        <v>16</v>
      </c>
      <c r="L20" s="4" t="s">
        <v>128</v>
      </c>
    </row>
    <row r="21" spans="1:12" x14ac:dyDescent="0.2">
      <c r="A21">
        <v>20</v>
      </c>
      <c r="B21" s="4" t="s">
        <v>132</v>
      </c>
      <c r="C21">
        <v>2.0133936367297428E-3</v>
      </c>
      <c r="D21">
        <v>2E-3</v>
      </c>
      <c r="H21">
        <v>37</v>
      </c>
      <c r="J21" t="s">
        <v>132</v>
      </c>
      <c r="K21" s="4">
        <v>21</v>
      </c>
      <c r="L21" s="4" t="s">
        <v>131</v>
      </c>
    </row>
    <row r="22" spans="1:12" x14ac:dyDescent="0.2">
      <c r="A22">
        <v>21</v>
      </c>
      <c r="B22" s="4" t="s">
        <v>132</v>
      </c>
      <c r="C22">
        <v>1.1283623104169946E-3</v>
      </c>
      <c r="D22">
        <v>1E-3</v>
      </c>
      <c r="H22">
        <v>29</v>
      </c>
      <c r="J22" t="s">
        <v>132</v>
      </c>
      <c r="K22" s="4">
        <v>17</v>
      </c>
      <c r="L22" s="4" t="s">
        <v>134</v>
      </c>
    </row>
    <row r="23" spans="1:12" x14ac:dyDescent="0.2">
      <c r="A23">
        <v>22</v>
      </c>
      <c r="B23" s="4" t="s">
        <v>138</v>
      </c>
      <c r="C23">
        <v>7.2223919559686125E-4</v>
      </c>
      <c r="D23">
        <v>6.9999999999999999E-4</v>
      </c>
      <c r="H23">
        <v>64.5</v>
      </c>
      <c r="J23" t="s">
        <v>138</v>
      </c>
      <c r="K23" s="4">
        <v>24</v>
      </c>
      <c r="L23" s="4"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host gsd</vt:lpstr>
      <vt:lpstr>Density</vt:lpstr>
      <vt:lpstr>Raw</vt:lpstr>
      <vt:lpstr>Phase 1</vt:lpstr>
      <vt:lpstr>Phase 2</vt:lpstr>
      <vt:lpstr>Abrasion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Pinke</dc:creator>
  <cp:keywords/>
  <dc:description/>
  <cp:lastModifiedBy>Brian Pinke</cp:lastModifiedBy>
  <cp:revision/>
  <dcterms:created xsi:type="dcterms:W3CDTF">2023-09-29T18:56:31Z</dcterms:created>
  <dcterms:modified xsi:type="dcterms:W3CDTF">2024-04-01T02:45:39Z</dcterms:modified>
  <cp:category/>
  <cp:contentStatus/>
</cp:coreProperties>
</file>