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embeddings/oleObject4.bin" ContentType="application/vnd.openxmlformats-officedocument.oleObject"/>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defaultThemeVersion="124226"/>
  <mc:AlternateContent xmlns:mc="http://schemas.openxmlformats.org/markup-compatibility/2006">
    <mc:Choice Requires="x15">
      <x15ac:absPath xmlns:x15ac="http://schemas.microsoft.com/office/spreadsheetml/2010/11/ac" url="D:\PCB personal design\L25119_EVB\"/>
    </mc:Choice>
  </mc:AlternateContent>
  <xr:revisionPtr revIDLastSave="0" documentId="13_ncr:1_{4B63FA8D-EB2E-438E-A260-D3170CC18AAC}" xr6:coauthVersionLast="47" xr6:coauthVersionMax="47" xr10:uidLastSave="{00000000-0000-0000-0000-000000000000}"/>
  <workbookProtection workbookPassword="E1A4" lockStructure="1"/>
  <bookViews>
    <workbookView xWindow="-120" yWindow="-120" windowWidth="29040" windowHeight="15720" tabRatio="554" xr2:uid="{00000000-000D-0000-FFFF-FFFF00000000}"/>
  </bookViews>
  <sheets>
    <sheet name="LM(2)5119 Calculator" sheetId="1" r:id="rId1"/>
    <sheet name="Power Dissipation" sheetId="2" r:id="rId2"/>
    <sheet name="Bode Plots" sheetId="3" r:id="rId3"/>
    <sheet name="Non-Ideal EA" sheetId="4" state="hidden" r:id="rId4"/>
  </sheets>
  <externalReferences>
    <externalReference r:id="rId5"/>
  </externalReferences>
  <definedNames>
    <definedName name="_RFB1">'LM(2)5119 Calculator'!$C$58</definedName>
    <definedName name="_Rfb2">'LM(2)5119 Calculator'!$C$59</definedName>
    <definedName name="_Ruv1">'LM(2)5119 Calculator'!$C$56</definedName>
    <definedName name="_Ruv2">'LM(2)5119 Calculator'!$C$55</definedName>
    <definedName name="Aea">'Bode Plots'!$N$23</definedName>
    <definedName name="Am">'Bode Plots'!$N$10</definedName>
    <definedName name="Aol">'Bode Plots'!$N$21</definedName>
    <definedName name="Cboot">'LM(2)5119 Calculator'!XEX53</definedName>
    <definedName name="Ccomp">'LM(2)5119 Calculator'!$C$65</definedName>
    <definedName name="Ccomp_1">Ccomp*10^-9</definedName>
    <definedName name="Chf">'LM(2)5119 Calculator'!$C$68</definedName>
    <definedName name="Chf_1">Chf*10^-12</definedName>
    <definedName name="Correction_Factor">'Bode Plots'!$T$28</definedName>
    <definedName name="Cout_Total">'LM(2)5119 Calculator'!$C$46</definedName>
    <definedName name="Cout1">'LM(2)5119 Calculator'!$C$43</definedName>
    <definedName name="Cout2">'LM(2)5119 Calculator'!$C$44</definedName>
    <definedName name="Cramp">'LM(2)5119 Calculator'!$C$41</definedName>
    <definedName name="Crestart">'LM(2)5119 Calculator'!$C$82</definedName>
    <definedName name="Css">'LM(2)5119 Calculator'!$C$71</definedName>
    <definedName name="CVCC">Cboot*10/1000</definedName>
    <definedName name="DC_Gain_Mod">'Bode Plots'!$T$9</definedName>
    <definedName name="Dmax">Vout/Vin_min</definedName>
    <definedName name="Dmin">Vout/Vin_max</definedName>
    <definedName name="DTEST">IF((1-Dmax)&lt;Dmin,Dmax,Dmin)</definedName>
    <definedName name="DUSE">IF(AND(Dmin&lt;0.5,Dmax&lt;0.5),Dmin,IF(AND(Dmin&lt;0.5,Dmax&gt;0.5),DTEST,Dmax))</definedName>
    <definedName name="ESR">'LM(2)5119 Calculator'!$C$45</definedName>
    <definedName name="EXTVCC">'Power Dissipation'!$E$11</definedName>
    <definedName name="Fbw">'LM(2)5119 Calculator'!$C$61</definedName>
    <definedName name="Fsw">'LM(2)5119 Calculator'!$C$23</definedName>
    <definedName name="Fswmax">'Bode Plots'!$W$43</definedName>
    <definedName name="Fswmin">[1]BodePlots!$U$31</definedName>
    <definedName name="gm">0.000005</definedName>
    <definedName name="I_load_ripple">'LM(2)5119 Calculator'!$C$13</definedName>
    <definedName name="ICC">'LM(2)5119 Calculator'!$C$79</definedName>
    <definedName name="ICC_Chan2">'Power Dissipation'!$K$12</definedName>
    <definedName name="Iload">'LM(2)5119 Calculator'!$C$12</definedName>
    <definedName name="Iload_margin">'LM(2)5119 Calculator'!$C$31</definedName>
    <definedName name="Ios">Vout*5</definedName>
    <definedName name="IOUT">'LM(2)5119 Calculator'!$C$12</definedName>
    <definedName name="Ipk_load">'LM(2)5119 Calculator'!XFC1048571</definedName>
    <definedName name="Ipp">Vout/(L*Fsw)*(1-Vout/Vin_max)*10^3</definedName>
    <definedName name="K">'LM(2)5119 Calculator'!$C$34</definedName>
    <definedName name="kfb">'Bode Plots'!$N$28</definedName>
    <definedName name="L">'LM(2)5119 Calculator'!$C$28</definedName>
    <definedName name="L_uH_per_Channel">'LM(2)5119 Calculator'!XFC1048568</definedName>
    <definedName name="L_μH__per_Channel">'LM(2)5119 Calculator'!$C$28</definedName>
    <definedName name="Max_Ave_Load">'LM(2)5119 Calculator'!$C$12</definedName>
    <definedName name="n">"C65"""</definedName>
    <definedName name="PicTable">'LM(2)5119 Calculator'!$R$12:$S$13</definedName>
    <definedName name="_xlnm.Print_Area" localSheetId="2">'Bode Plots'!$A$1:$V$85</definedName>
    <definedName name="_xlnm.Print_Area" localSheetId="0">'LM(2)5119 Calculator'!$A$1:$M$82</definedName>
    <definedName name="_xlnm.Print_Area" localSheetId="1">'Power Dissipation'!$A$1:$T$58</definedName>
    <definedName name="QgTotal1">'LM(2)5119 Calculator'!$C$75</definedName>
    <definedName name="QgTotal2">'Power Dissipation'!$K$11</definedName>
    <definedName name="Rcomp">'LM(2)5119 Calculator'!$C$63</definedName>
    <definedName name="Rcomp_1">Rcomp*10^3</definedName>
    <definedName name="Ripple_R">IF(DUSE&lt;=0.5, (1-2*DUSE)/(1-DUSE),(1-2*(1-DUSE))/(1-(1-DUSE)))</definedName>
    <definedName name="RJA">'Power Dissipation'!$E$10</definedName>
    <definedName name="Rload">'Bode Plots'!$T$8</definedName>
    <definedName name="Rramp">'LM(2)5119 Calculator'!$C$40</definedName>
    <definedName name="rRin1">'LM(2)5119 Calculator'!$C$58</definedName>
    <definedName name="Rs">'LM(2)5119 Calculator'!$C$35</definedName>
    <definedName name="Rss">'LM(2)5119 Calculator'!$C$36</definedName>
    <definedName name="RT">'LM(2)5119 Calculator'!XFC1048566</definedName>
    <definedName name="TA">'Power Dissipation'!$E$9</definedName>
    <definedName name="tss">'LM(2)5119 Calculator'!$C$70</definedName>
    <definedName name="UV_Selector">'LM(2)5119 Calculator'!XFC9</definedName>
    <definedName name="UVLO_Selector">[1]BodePlots!$T$7:$T$8</definedName>
    <definedName name="VCC">7.8</definedName>
    <definedName name="VCCEXT">'Power Dissipation'!$E$12</definedName>
    <definedName name="vcs">0.12</definedName>
    <definedName name="Vin_max">'LM(2)5119 Calculator'!$C$10</definedName>
    <definedName name="Vin_min">'LM(2)5119 Calculator'!$C$9</definedName>
    <definedName name="Vin_UV">'LM(2)5119 Calculator'!$C$53</definedName>
    <definedName name="VinNom">(Vin_min+Vin_max)/2</definedName>
    <definedName name="Vout">'LM(2)5119 Calculator'!$C$11</definedName>
    <definedName name="Vramp">1.26</definedName>
    <definedName name="w">'Bode Plots'!$D$3:$D$36</definedName>
    <definedName name="wbw">2*PI()*3000000</definedName>
    <definedName name="whf">(Chf+Ccomp*1000)/(Rcomp*Chf*1000*Ccomp)*10^9</definedName>
    <definedName name="wn">'Bode Plots'!$N$8</definedName>
    <definedName name="Wol">'Bode Plots'!$N$22</definedName>
    <definedName name="wp_esr">'Bode Plots'!$N$7</definedName>
    <definedName name="wp_hf">'Bode Plots'!$N$5</definedName>
    <definedName name="wp_lf">'Bode Plots'!$N$4</definedName>
    <definedName name="wpole">10^9/(_Rfb2*(Ccomp*1000+Chf))</definedName>
    <definedName name="wz">'Bode Plots'!$N$5</definedName>
    <definedName name="wz_esr">'Bode Plots'!$N$6</definedName>
    <definedName name="Wzero">10^9/(Rcomp*Ccomp*1000)</definedName>
    <definedName name="zea">'Bode Plots'!$R$3:$R$28</definedName>
  </definedNames>
  <calcPr calcId="191029"/>
</workbook>
</file>

<file path=xl/calcChain.xml><?xml version="1.0" encoding="utf-8"?>
<calcChain xmlns="http://schemas.openxmlformats.org/spreadsheetml/2006/main">
  <c r="C49" i="1" l="1"/>
  <c r="C45" i="1"/>
  <c r="C32" i="1"/>
  <c r="C27" i="1"/>
  <c r="N6" i="3" l="1"/>
  <c r="D45" i="1"/>
  <c r="T24" i="3" l="1"/>
  <c r="T26" i="3" s="1"/>
  <c r="C29" i="1" l="1"/>
  <c r="E7" i="4" l="1"/>
  <c r="N22" i="3" l="1"/>
  <c r="P21" i="3" l="1"/>
  <c r="C82" i="1"/>
  <c r="N7" i="3"/>
  <c r="P7" i="3" s="1"/>
  <c r="C37" i="1"/>
  <c r="P6" i="3"/>
  <c r="C41" i="1"/>
  <c r="D35" i="3"/>
  <c r="A47" i="4" s="1"/>
  <c r="D34" i="3"/>
  <c r="A46" i="4" s="1"/>
  <c r="D11" i="3"/>
  <c r="A23" i="4" s="1"/>
  <c r="D16" i="3"/>
  <c r="A28" i="4" s="1"/>
  <c r="D21" i="3"/>
  <c r="A33" i="4" s="1"/>
  <c r="D19" i="3"/>
  <c r="A31" i="4" s="1"/>
  <c r="C71" i="1"/>
  <c r="D11" i="1"/>
  <c r="C21" i="1"/>
  <c r="D21" i="1" s="1"/>
  <c r="N18" i="3"/>
  <c r="P18" i="3" s="1"/>
  <c r="N8" i="3"/>
  <c r="P8" i="3" s="1"/>
  <c r="N5" i="3"/>
  <c r="D27" i="3"/>
  <c r="A39" i="4" s="1"/>
  <c r="D26" i="3"/>
  <c r="A38" i="4" s="1"/>
  <c r="D25" i="3"/>
  <c r="A37" i="4" s="1"/>
  <c r="D22" i="3"/>
  <c r="A34" i="4" s="1"/>
  <c r="D24" i="3"/>
  <c r="A36" i="4" s="1"/>
  <c r="C46" i="1"/>
  <c r="C25" i="1"/>
  <c r="C35" i="1"/>
  <c r="C59" i="1"/>
  <c r="B48" i="4" s="1"/>
  <c r="T8" i="3"/>
  <c r="K11" i="2"/>
  <c r="K12" i="2" s="1"/>
  <c r="E22" i="2"/>
  <c r="F22" i="2"/>
  <c r="H22" i="2"/>
  <c r="I22" i="2"/>
  <c r="J22" i="2"/>
  <c r="K22" i="2"/>
  <c r="L22" i="2"/>
  <c r="M22" i="2"/>
  <c r="N22" i="2"/>
  <c r="D22" i="2"/>
  <c r="C75" i="1"/>
  <c r="C79" i="1" s="1"/>
  <c r="G17" i="2" s="1"/>
  <c r="E16" i="2"/>
  <c r="F16" i="2"/>
  <c r="H16" i="2"/>
  <c r="I16" i="2"/>
  <c r="J16" i="2"/>
  <c r="K16" i="2"/>
  <c r="L16" i="2"/>
  <c r="M16" i="2"/>
  <c r="N16" i="2"/>
  <c r="D16" i="2"/>
  <c r="D12" i="2"/>
  <c r="C78" i="1"/>
  <c r="C55" i="1"/>
  <c r="C56" i="1" s="1"/>
  <c r="D12" i="1"/>
  <c r="D3" i="3"/>
  <c r="A15" i="4" s="1"/>
  <c r="D4" i="3"/>
  <c r="A16" i="4" s="1"/>
  <c r="D5" i="3"/>
  <c r="A17" i="4" s="1"/>
  <c r="D6" i="3"/>
  <c r="A18" i="4" s="1"/>
  <c r="D7" i="3"/>
  <c r="A19" i="4" s="1"/>
  <c r="D8" i="3"/>
  <c r="A20" i="4" s="1"/>
  <c r="D9" i="3"/>
  <c r="A21" i="4" s="1"/>
  <c r="D10" i="3"/>
  <c r="A22" i="4" s="1"/>
  <c r="D12" i="3"/>
  <c r="A24" i="4" s="1"/>
  <c r="D13" i="3"/>
  <c r="A25" i="4" s="1"/>
  <c r="D14" i="3"/>
  <c r="A26" i="4" s="1"/>
  <c r="D15" i="3"/>
  <c r="A27" i="4" s="1"/>
  <c r="D17" i="3"/>
  <c r="A29" i="4" s="1"/>
  <c r="D18" i="3"/>
  <c r="A30" i="4" s="1"/>
  <c r="D20" i="3"/>
  <c r="A32" i="4" s="1"/>
  <c r="D23" i="3"/>
  <c r="A35" i="4" s="1"/>
  <c r="D28" i="3"/>
  <c r="A40" i="4" s="1"/>
  <c r="D29" i="3"/>
  <c r="A41" i="4" s="1"/>
  <c r="D30" i="3"/>
  <c r="A42" i="4" s="1"/>
  <c r="D31" i="3"/>
  <c r="A43" i="4" s="1"/>
  <c r="D32" i="3"/>
  <c r="A44" i="4" s="1"/>
  <c r="D33" i="3"/>
  <c r="D36" i="3"/>
  <c r="A48" i="4" s="1"/>
  <c r="D28" i="2"/>
  <c r="E28" i="2"/>
  <c r="F28" i="2"/>
  <c r="H28" i="2"/>
  <c r="I28" i="2"/>
  <c r="J28" i="2"/>
  <c r="K28" i="2"/>
  <c r="L28" i="2"/>
  <c r="M28" i="2"/>
  <c r="N28" i="2"/>
  <c r="C14" i="1"/>
  <c r="C15" i="1"/>
  <c r="D34" i="1"/>
  <c r="C50" i="1"/>
  <c r="D17" i="2" l="1"/>
  <c r="L17" i="2"/>
  <c r="L18" i="2" s="1"/>
  <c r="N17" i="2"/>
  <c r="N19" i="2" s="1"/>
  <c r="M17" i="2"/>
  <c r="M19" i="2" s="1"/>
  <c r="K17" i="2"/>
  <c r="K18" i="2" s="1"/>
  <c r="J17" i="2"/>
  <c r="I17" i="2"/>
  <c r="F17" i="2"/>
  <c r="F19" i="2" s="1"/>
  <c r="H17" i="2"/>
  <c r="H18" i="2" s="1"/>
  <c r="E17" i="2"/>
  <c r="E19" i="2" s="1"/>
  <c r="N23" i="2"/>
  <c r="G23" i="2"/>
  <c r="M23" i="2"/>
  <c r="M24" i="2" s="1"/>
  <c r="K23" i="2"/>
  <c r="K24" i="2" s="1"/>
  <c r="J23" i="2"/>
  <c r="I23" i="2"/>
  <c r="I24" i="2" s="1"/>
  <c r="E23" i="2"/>
  <c r="L23" i="2"/>
  <c r="L24" i="2" s="1"/>
  <c r="H23" i="2"/>
  <c r="H25" i="2" s="1"/>
  <c r="F23" i="2"/>
  <c r="F24" i="2" s="1"/>
  <c r="D23" i="2"/>
  <c r="D25" i="2" s="1"/>
  <c r="A45" i="4"/>
  <c r="C48" i="4"/>
  <c r="G48" i="4"/>
  <c r="F48" i="4"/>
  <c r="P5" i="3"/>
  <c r="T28" i="3"/>
  <c r="C62" i="1" s="1"/>
  <c r="D46" i="1"/>
  <c r="B20" i="4"/>
  <c r="B21" i="4"/>
  <c r="B29" i="4"/>
  <c r="B37" i="4"/>
  <c r="B45" i="4"/>
  <c r="B22" i="4"/>
  <c r="B30" i="4"/>
  <c r="B38" i="4"/>
  <c r="B46" i="4"/>
  <c r="B15" i="4"/>
  <c r="B23" i="4"/>
  <c r="B31" i="4"/>
  <c r="B39" i="4"/>
  <c r="B47" i="4"/>
  <c r="B16" i="4"/>
  <c r="B24" i="4"/>
  <c r="B32" i="4"/>
  <c r="B40" i="4"/>
  <c r="B17" i="4"/>
  <c r="B25" i="4"/>
  <c r="B33" i="4"/>
  <c r="B41" i="4"/>
  <c r="B18" i="4"/>
  <c r="B26" i="4"/>
  <c r="B34" i="4"/>
  <c r="B42" i="4"/>
  <c r="B19" i="4"/>
  <c r="B27" i="4"/>
  <c r="B35" i="4"/>
  <c r="B43" i="4"/>
  <c r="B28" i="4"/>
  <c r="B36" i="4"/>
  <c r="B44" i="4"/>
  <c r="E5" i="4"/>
  <c r="F41" i="4"/>
  <c r="F31" i="4"/>
  <c r="F15" i="4"/>
  <c r="G33" i="4"/>
  <c r="F33" i="4"/>
  <c r="F35" i="4"/>
  <c r="F22" i="4"/>
  <c r="F28" i="4"/>
  <c r="F32" i="4"/>
  <c r="F21" i="4"/>
  <c r="G36" i="4"/>
  <c r="C36" i="4"/>
  <c r="F36" i="4"/>
  <c r="F23" i="4"/>
  <c r="F45" i="4"/>
  <c r="F30" i="4"/>
  <c r="G30" i="4"/>
  <c r="F20" i="4"/>
  <c r="F34" i="4"/>
  <c r="F46" i="4"/>
  <c r="F44" i="4"/>
  <c r="F29" i="4"/>
  <c r="C29" i="4"/>
  <c r="C19" i="4"/>
  <c r="F19" i="4"/>
  <c r="F37" i="4"/>
  <c r="F47" i="4"/>
  <c r="G47" i="4"/>
  <c r="F43" i="4"/>
  <c r="F27" i="4"/>
  <c r="F18" i="4"/>
  <c r="F38" i="4"/>
  <c r="C26" i="4"/>
  <c r="F26" i="4"/>
  <c r="F39" i="4"/>
  <c r="F16" i="4"/>
  <c r="F40" i="4"/>
  <c r="F42" i="4"/>
  <c r="F17" i="4"/>
  <c r="F25" i="4"/>
  <c r="F24" i="4"/>
  <c r="N23" i="3"/>
  <c r="N25" i="3"/>
  <c r="P25" i="3" s="1"/>
  <c r="N16" i="3"/>
  <c r="P16" i="3" s="1"/>
  <c r="C66" i="1"/>
  <c r="N28" i="3"/>
  <c r="P28" i="3" s="1"/>
  <c r="C47" i="1"/>
  <c r="N10" i="3"/>
  <c r="G18" i="2"/>
  <c r="D18" i="2"/>
  <c r="N4" i="3"/>
  <c r="F33" i="3" s="1"/>
  <c r="T9" i="3"/>
  <c r="C77" i="1"/>
  <c r="I48" i="4" l="1"/>
  <c r="J48" i="4"/>
  <c r="E48" i="4"/>
  <c r="D48" i="4"/>
  <c r="P10" i="3"/>
  <c r="E33" i="3"/>
  <c r="N24" i="3"/>
  <c r="C24" i="4"/>
  <c r="E24" i="4" s="1"/>
  <c r="G40" i="4"/>
  <c r="I40" i="4" s="1"/>
  <c r="C38" i="4"/>
  <c r="D38" i="4" s="1"/>
  <c r="C21" i="4"/>
  <c r="E21" i="4" s="1"/>
  <c r="C22" i="4"/>
  <c r="D22" i="4" s="1"/>
  <c r="G15" i="4"/>
  <c r="I15" i="4" s="1"/>
  <c r="C47" i="4"/>
  <c r="E47" i="4" s="1"/>
  <c r="C16" i="4"/>
  <c r="E16" i="4" s="1"/>
  <c r="G37" i="4"/>
  <c r="I37" i="4" s="1"/>
  <c r="C45" i="4"/>
  <c r="E45" i="4" s="1"/>
  <c r="G22" i="4"/>
  <c r="I22" i="4" s="1"/>
  <c r="C25" i="4"/>
  <c r="E25" i="4" s="1"/>
  <c r="G16" i="4"/>
  <c r="J16" i="4" s="1"/>
  <c r="G27" i="4"/>
  <c r="J27" i="4" s="1"/>
  <c r="C37" i="4"/>
  <c r="D37" i="4" s="1"/>
  <c r="G32" i="4"/>
  <c r="I32" i="4" s="1"/>
  <c r="G35" i="4"/>
  <c r="I35" i="4" s="1"/>
  <c r="N27" i="3"/>
  <c r="G17" i="4"/>
  <c r="J17" i="4" s="1"/>
  <c r="G34" i="4"/>
  <c r="I34" i="4" s="1"/>
  <c r="G23" i="4"/>
  <c r="I23" i="4" s="1"/>
  <c r="C17" i="4"/>
  <c r="D17" i="4" s="1"/>
  <c r="C27" i="4"/>
  <c r="E27" i="4" s="1"/>
  <c r="C34" i="4"/>
  <c r="E34" i="4" s="1"/>
  <c r="J47" i="4"/>
  <c r="I47" i="4"/>
  <c r="I36" i="4"/>
  <c r="J36" i="4"/>
  <c r="J30" i="4"/>
  <c r="I30" i="4"/>
  <c r="I33" i="4"/>
  <c r="J33" i="4"/>
  <c r="C41" i="4"/>
  <c r="D41" i="4" s="1"/>
  <c r="G25" i="4"/>
  <c r="C40" i="4"/>
  <c r="E40" i="4" s="1"/>
  <c r="G26" i="4"/>
  <c r="C18" i="4"/>
  <c r="D18" i="4" s="1"/>
  <c r="G29" i="4"/>
  <c r="G46" i="4"/>
  <c r="C30" i="4"/>
  <c r="E30" i="4" s="1"/>
  <c r="C32" i="4"/>
  <c r="E32" i="4" s="1"/>
  <c r="C15" i="4"/>
  <c r="E15" i="4" s="1"/>
  <c r="G41" i="4"/>
  <c r="G31" i="4"/>
  <c r="G42" i="4"/>
  <c r="C44" i="4"/>
  <c r="E44" i="4" s="1"/>
  <c r="G45" i="4"/>
  <c r="G21" i="4"/>
  <c r="G28" i="4"/>
  <c r="C35" i="4"/>
  <c r="E35" i="4" s="1"/>
  <c r="C31" i="4"/>
  <c r="E31" i="4" s="1"/>
  <c r="G38" i="4"/>
  <c r="C20" i="4"/>
  <c r="E20" i="4" s="1"/>
  <c r="G24" i="4"/>
  <c r="G39" i="4"/>
  <c r="G43" i="4"/>
  <c r="G19" i="4"/>
  <c r="G44" i="4"/>
  <c r="G20" i="4"/>
  <c r="E4" i="4"/>
  <c r="E6" i="4"/>
  <c r="N17" i="3"/>
  <c r="P17" i="3" s="1"/>
  <c r="N15" i="3"/>
  <c r="P15" i="3" s="1"/>
  <c r="C42" i="4"/>
  <c r="E42" i="4" s="1"/>
  <c r="C39" i="4"/>
  <c r="E39" i="4" s="1"/>
  <c r="G18" i="4"/>
  <c r="C43" i="4"/>
  <c r="E43" i="4" s="1"/>
  <c r="C46" i="4"/>
  <c r="D46" i="4" s="1"/>
  <c r="C23" i="4"/>
  <c r="E23" i="4" s="1"/>
  <c r="C28" i="4"/>
  <c r="E28" i="4" s="1"/>
  <c r="C33" i="4"/>
  <c r="E33" i="4" s="1"/>
  <c r="C67" i="1"/>
  <c r="D24" i="2"/>
  <c r="P4" i="3"/>
  <c r="C64" i="1"/>
  <c r="E29" i="4"/>
  <c r="D29" i="4"/>
  <c r="E36" i="4"/>
  <c r="D36" i="4"/>
  <c r="E26" i="4"/>
  <c r="D26" i="4"/>
  <c r="E19" i="4"/>
  <c r="D19" i="4"/>
  <c r="D19" i="2"/>
  <c r="G19" i="2"/>
  <c r="J29" i="2"/>
  <c r="J30" i="2" s="1"/>
  <c r="F18" i="2"/>
  <c r="M18" i="2"/>
  <c r="D29" i="2"/>
  <c r="D30" i="2" s="1"/>
  <c r="K19" i="2"/>
  <c r="I29" i="2"/>
  <c r="I31" i="2" s="1"/>
  <c r="H19" i="2"/>
  <c r="F27" i="3"/>
  <c r="F17" i="3"/>
  <c r="F30" i="3"/>
  <c r="E24" i="3"/>
  <c r="N18" i="2"/>
  <c r="I19" i="2"/>
  <c r="I18" i="2"/>
  <c r="J25" i="2"/>
  <c r="K25" i="2"/>
  <c r="I25" i="2"/>
  <c r="F24" i="3"/>
  <c r="E5" i="3"/>
  <c r="E30" i="3"/>
  <c r="E19" i="3"/>
  <c r="F32" i="3"/>
  <c r="E3" i="3"/>
  <c r="E9" i="3"/>
  <c r="E7" i="3"/>
  <c r="F5" i="3"/>
  <c r="F25" i="3"/>
  <c r="F16" i="3"/>
  <c r="F29" i="3"/>
  <c r="F20" i="3"/>
  <c r="E6" i="3"/>
  <c r="E29" i="3"/>
  <c r="E14" i="3"/>
  <c r="F34" i="3"/>
  <c r="F36" i="3"/>
  <c r="E27" i="3"/>
  <c r="E31" i="3"/>
  <c r="E35" i="3"/>
  <c r="E29" i="2"/>
  <c r="E31" i="2" s="1"/>
  <c r="M25" i="2"/>
  <c r="K29" i="2"/>
  <c r="K30" i="2" s="1"/>
  <c r="F11" i="3"/>
  <c r="F3" i="3"/>
  <c r="F9" i="3"/>
  <c r="E18" i="3"/>
  <c r="F4" i="3"/>
  <c r="E25" i="3"/>
  <c r="E13" i="3"/>
  <c r="E4" i="3"/>
  <c r="F19" i="3"/>
  <c r="G29" i="2"/>
  <c r="G31" i="2" s="1"/>
  <c r="F29" i="2"/>
  <c r="F30" i="2" s="1"/>
  <c r="F26" i="3"/>
  <c r="F7" i="3"/>
  <c r="F12" i="3"/>
  <c r="F23" i="3"/>
  <c r="E10" i="3"/>
  <c r="E20" i="3"/>
  <c r="E12" i="3"/>
  <c r="E32" i="3"/>
  <c r="F35" i="3"/>
  <c r="E18" i="2"/>
  <c r="F15" i="3"/>
  <c r="E8" i="3"/>
  <c r="F31" i="3"/>
  <c r="F28" i="3"/>
  <c r="E26" i="3"/>
  <c r="E21" i="3"/>
  <c r="E15" i="3"/>
  <c r="L19" i="2"/>
  <c r="J18" i="2"/>
  <c r="J19" i="2"/>
  <c r="F25" i="2"/>
  <c r="F6" i="3"/>
  <c r="F13" i="3"/>
  <c r="E17" i="3"/>
  <c r="F8" i="3"/>
  <c r="F22" i="3"/>
  <c r="E16" i="3"/>
  <c r="E23" i="3"/>
  <c r="E11" i="3"/>
  <c r="H29" i="2"/>
  <c r="H31" i="2" s="1"/>
  <c r="M29" i="2"/>
  <c r="M31" i="2" s="1"/>
  <c r="F18" i="3"/>
  <c r="F14" i="3"/>
  <c r="E22" i="3"/>
  <c r="F10" i="3"/>
  <c r="E28" i="3"/>
  <c r="E36" i="3"/>
  <c r="F21" i="3"/>
  <c r="E34" i="3"/>
  <c r="N24" i="2"/>
  <c r="N25" i="2"/>
  <c r="N29" i="2"/>
  <c r="G25" i="2"/>
  <c r="G24" i="2"/>
  <c r="E25" i="2"/>
  <c r="E24" i="2"/>
  <c r="L25" i="2"/>
  <c r="H24" i="2"/>
  <c r="J24" i="2"/>
  <c r="L29" i="2"/>
  <c r="L31" i="2" s="1"/>
  <c r="J31" i="2" l="1"/>
  <c r="D24" i="4"/>
  <c r="H24" i="4" s="1"/>
  <c r="J32" i="4"/>
  <c r="H48" i="4"/>
  <c r="L48" i="4" s="1"/>
  <c r="D16" i="4"/>
  <c r="H16" i="4" s="1"/>
  <c r="J37" i="4"/>
  <c r="D27" i="4"/>
  <c r="H27" i="4" s="1"/>
  <c r="J35" i="4"/>
  <c r="J23" i="4"/>
  <c r="E22" i="4"/>
  <c r="H22" i="4" s="1"/>
  <c r="D34" i="4"/>
  <c r="H34" i="4" s="1"/>
  <c r="E41" i="4"/>
  <c r="H41" i="4" s="1"/>
  <c r="J40" i="4"/>
  <c r="J15" i="4"/>
  <c r="I16" i="4"/>
  <c r="E38" i="4"/>
  <c r="H38" i="4" s="1"/>
  <c r="I27" i="4"/>
  <c r="D15" i="4"/>
  <c r="H15" i="4" s="1"/>
  <c r="D43" i="4"/>
  <c r="H43" i="4" s="1"/>
  <c r="J22" i="4"/>
  <c r="D39" i="4"/>
  <c r="H39" i="4" s="1"/>
  <c r="J34" i="4"/>
  <c r="E37" i="4"/>
  <c r="H37" i="4" s="1"/>
  <c r="D31" i="4"/>
  <c r="H31" i="4" s="1"/>
  <c r="D25" i="4"/>
  <c r="H25" i="4" s="1"/>
  <c r="I17" i="4"/>
  <c r="D32" i="4"/>
  <c r="H32" i="4" s="1"/>
  <c r="D21" i="4"/>
  <c r="H21" i="4" s="1"/>
  <c r="E17" i="4"/>
  <c r="H17" i="4" s="1"/>
  <c r="D45" i="4"/>
  <c r="H45" i="4" s="1"/>
  <c r="D35" i="4"/>
  <c r="H35" i="4" s="1"/>
  <c r="D47" i="4"/>
  <c r="H47" i="4" s="1"/>
  <c r="I39" i="4"/>
  <c r="J39" i="4"/>
  <c r="J45" i="4"/>
  <c r="I45" i="4"/>
  <c r="J46" i="4"/>
  <c r="I46" i="4"/>
  <c r="D33" i="4"/>
  <c r="H33" i="4" s="1"/>
  <c r="I24" i="4"/>
  <c r="J24" i="4"/>
  <c r="J29" i="4"/>
  <c r="I29" i="4"/>
  <c r="I42" i="4"/>
  <c r="J42" i="4"/>
  <c r="J21" i="4"/>
  <c r="I21" i="4"/>
  <c r="J31" i="4"/>
  <c r="I31" i="4"/>
  <c r="D40" i="4"/>
  <c r="H40" i="4" s="1"/>
  <c r="I18" i="4"/>
  <c r="J18" i="4"/>
  <c r="I44" i="4"/>
  <c r="J44" i="4"/>
  <c r="J25" i="4"/>
  <c r="I25" i="4"/>
  <c r="I43" i="4"/>
  <c r="J43" i="4"/>
  <c r="J38" i="4"/>
  <c r="I38" i="4"/>
  <c r="I26" i="4"/>
  <c r="J26" i="4"/>
  <c r="I20" i="4"/>
  <c r="J20" i="4"/>
  <c r="I41" i="4"/>
  <c r="J41" i="4"/>
  <c r="I19" i="4"/>
  <c r="J19" i="4"/>
  <c r="J28" i="4"/>
  <c r="I28" i="4"/>
  <c r="E18" i="4"/>
  <c r="H18" i="4" s="1"/>
  <c r="E46" i="4"/>
  <c r="H46" i="4" s="1"/>
  <c r="D20" i="4"/>
  <c r="H20" i="4" s="1"/>
  <c r="D44" i="4"/>
  <c r="H44" i="4" s="1"/>
  <c r="D30" i="4"/>
  <c r="H30" i="4" s="1"/>
  <c r="D23" i="4"/>
  <c r="H23" i="4" s="1"/>
  <c r="D42" i="4"/>
  <c r="H42" i="4" s="1"/>
  <c r="D28" i="4"/>
  <c r="H28" i="4" s="1"/>
  <c r="D31" i="2"/>
  <c r="H36" i="4"/>
  <c r="H26" i="4"/>
  <c r="H19" i="4"/>
  <c r="H29" i="4"/>
  <c r="I30" i="2"/>
  <c r="G30" i="2"/>
  <c r="E30" i="2"/>
  <c r="K31" i="2"/>
  <c r="L30" i="2"/>
  <c r="M30" i="2"/>
  <c r="F31" i="2"/>
  <c r="H30" i="2"/>
  <c r="N31" i="2"/>
  <c r="N30" i="2"/>
  <c r="K48" i="4" l="1"/>
  <c r="H33" i="3"/>
  <c r="J33" i="3" s="1"/>
  <c r="G33" i="3"/>
  <c r="I33" i="3" s="1"/>
  <c r="H27" i="3"/>
  <c r="J27" i="3" s="1"/>
  <c r="K39" i="4"/>
  <c r="L39" i="4"/>
  <c r="H9" i="3"/>
  <c r="J9" i="3" s="1"/>
  <c r="L21" i="4"/>
  <c r="K21" i="4"/>
  <c r="G34" i="3"/>
  <c r="I34" i="3" s="1"/>
  <c r="L46" i="4"/>
  <c r="K46" i="4"/>
  <c r="H13" i="3"/>
  <c r="J13" i="3" s="1"/>
  <c r="L25" i="4"/>
  <c r="K25" i="4"/>
  <c r="H7" i="3"/>
  <c r="J7" i="3" s="1"/>
  <c r="K19" i="4"/>
  <c r="L19" i="4"/>
  <c r="G6" i="3"/>
  <c r="I6" i="3" s="1"/>
  <c r="K18" i="4"/>
  <c r="L18" i="4"/>
  <c r="G21" i="3"/>
  <c r="I21" i="3" s="1"/>
  <c r="K33" i="4"/>
  <c r="L33" i="4"/>
  <c r="H23" i="3"/>
  <c r="J23" i="3" s="1"/>
  <c r="K35" i="4"/>
  <c r="L35" i="4"/>
  <c r="H19" i="3"/>
  <c r="J19" i="3" s="1"/>
  <c r="K31" i="4"/>
  <c r="L31" i="4"/>
  <c r="G8" i="3"/>
  <c r="I8" i="3" s="1"/>
  <c r="K20" i="4"/>
  <c r="L20" i="4"/>
  <c r="H24" i="3"/>
  <c r="J24" i="3" s="1"/>
  <c r="K36" i="4"/>
  <c r="L36" i="4"/>
  <c r="G35" i="3"/>
  <c r="I35" i="3" s="1"/>
  <c r="K47" i="4"/>
  <c r="L47" i="4"/>
  <c r="G3" i="3"/>
  <c r="I3" i="3" s="1"/>
  <c r="K15" i="4"/>
  <c r="L15" i="4"/>
  <c r="G15" i="3"/>
  <c r="I15" i="3" s="1"/>
  <c r="K27" i="4"/>
  <c r="L27" i="4"/>
  <c r="K28" i="4"/>
  <c r="L28" i="4"/>
  <c r="L45" i="4"/>
  <c r="K45" i="4"/>
  <c r="G25" i="3"/>
  <c r="I25" i="3" s="1"/>
  <c r="L37" i="4"/>
  <c r="K37" i="4"/>
  <c r="G26" i="3"/>
  <c r="I26" i="3" s="1"/>
  <c r="K38" i="4"/>
  <c r="L38" i="4"/>
  <c r="G12" i="3"/>
  <c r="I12" i="3" s="1"/>
  <c r="K24" i="4"/>
  <c r="L24" i="4"/>
  <c r="G36" i="3"/>
  <c r="I36" i="3" s="1"/>
  <c r="H14" i="3"/>
  <c r="J14" i="3" s="1"/>
  <c r="K26" i="4"/>
  <c r="L26" i="4"/>
  <c r="G11" i="3"/>
  <c r="I11" i="3" s="1"/>
  <c r="K23" i="4"/>
  <c r="L23" i="4"/>
  <c r="G5" i="3"/>
  <c r="I5" i="3" s="1"/>
  <c r="K17" i="4"/>
  <c r="L17" i="4"/>
  <c r="G10" i="3"/>
  <c r="I10" i="3" s="1"/>
  <c r="L22" i="4"/>
  <c r="K22" i="4"/>
  <c r="G18" i="3"/>
  <c r="I18" i="3" s="1"/>
  <c r="K30" i="4"/>
  <c r="L30" i="4"/>
  <c r="G4" i="3"/>
  <c r="I4" i="3" s="1"/>
  <c r="K16" i="4"/>
  <c r="L16" i="4"/>
  <c r="H30" i="3"/>
  <c r="J30" i="3" s="1"/>
  <c r="K42" i="4"/>
  <c r="L42" i="4"/>
  <c r="H17" i="3"/>
  <c r="J17" i="3" s="1"/>
  <c r="L29" i="4"/>
  <c r="K29" i="4"/>
  <c r="G22" i="3"/>
  <c r="I22" i="3" s="1"/>
  <c r="L34" i="4"/>
  <c r="K34" i="4"/>
  <c r="G32" i="3"/>
  <c r="I32" i="3" s="1"/>
  <c r="K44" i="4"/>
  <c r="L44" i="4"/>
  <c r="G28" i="3"/>
  <c r="I28" i="3" s="1"/>
  <c r="K40" i="4"/>
  <c r="L40" i="4"/>
  <c r="G20" i="3"/>
  <c r="I20" i="3" s="1"/>
  <c r="K32" i="4"/>
  <c r="L32" i="4"/>
  <c r="H31" i="3"/>
  <c r="J31" i="3" s="1"/>
  <c r="K43" i="4"/>
  <c r="L43" i="4"/>
  <c r="G29" i="3"/>
  <c r="I29" i="3" s="1"/>
  <c r="K41" i="4"/>
  <c r="L41" i="4"/>
  <c r="G16" i="3"/>
  <c r="I16" i="3" s="1"/>
  <c r="H16" i="3"/>
  <c r="J16" i="3" s="1"/>
  <c r="G24" i="3"/>
  <c r="I24" i="3" s="1"/>
  <c r="H21" i="3"/>
  <c r="J21" i="3" s="1"/>
  <c r="G31" i="3"/>
  <c r="I31" i="3" s="1"/>
  <c r="H4" i="3"/>
  <c r="J4" i="3" s="1"/>
  <c r="H28" i="3"/>
  <c r="J28" i="3" s="1"/>
  <c r="H26" i="3"/>
  <c r="J26" i="3" s="1"/>
  <c r="G14" i="3"/>
  <c r="I14" i="3" s="1"/>
  <c r="H22" i="3"/>
  <c r="J22" i="3" s="1"/>
  <c r="H6" i="3"/>
  <c r="J6" i="3" s="1"/>
  <c r="H10" i="3"/>
  <c r="J10" i="3" s="1"/>
  <c r="H20" i="3"/>
  <c r="J20" i="3" s="1"/>
  <c r="G23" i="3"/>
  <c r="I23" i="3" s="1"/>
  <c r="H12" i="3"/>
  <c r="J12" i="3" s="1"/>
  <c r="G19" i="3"/>
  <c r="I19" i="3" s="1"/>
  <c r="H11" i="3"/>
  <c r="J11" i="3" s="1"/>
  <c r="H3" i="3"/>
  <c r="J3" i="3" s="1"/>
  <c r="G7" i="3"/>
  <c r="I7" i="3" s="1"/>
  <c r="H36" i="3"/>
  <c r="J36" i="3" s="1"/>
  <c r="H5" i="3"/>
  <c r="J5" i="3" s="1"/>
  <c r="H25" i="3"/>
  <c r="J25" i="3" s="1"/>
  <c r="H35" i="3"/>
  <c r="J35" i="3" s="1"/>
  <c r="G17" i="3"/>
  <c r="I17" i="3" s="1"/>
  <c r="G9" i="3"/>
  <c r="I9" i="3" s="1"/>
  <c r="G13" i="3"/>
  <c r="I13" i="3" s="1"/>
  <c r="H8" i="3"/>
  <c r="J8" i="3" s="1"/>
  <c r="H15" i="3"/>
  <c r="J15" i="3" s="1"/>
  <c r="G27" i="3"/>
  <c r="I27" i="3" s="1"/>
  <c r="H29" i="3"/>
  <c r="J29" i="3" s="1"/>
  <c r="G30" i="3"/>
  <c r="I30" i="3" s="1"/>
  <c r="H32" i="3"/>
  <c r="J32" i="3" s="1"/>
  <c r="H18" i="3"/>
  <c r="J18" i="3" s="1"/>
  <c r="H34" i="3"/>
  <c r="J3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Timothy Hegarty</author>
    <author>Lenovo User</author>
    <author>PPD-NPS</author>
  </authors>
  <commentList>
    <comment ref="C6" authorId="0" shapeId="0" xr:uid="{00000000-0006-0000-0000-000001000000}">
      <text>
        <r>
          <rPr>
            <b/>
            <sz val="12"/>
            <color indexed="10"/>
            <rFont val="Tahoma"/>
            <family val="2"/>
          </rPr>
          <t>Texas Instruments:</t>
        </r>
        <r>
          <rPr>
            <sz val="10"/>
            <color indexed="81"/>
            <rFont val="Tahoma"/>
            <family val="2"/>
          </rPr>
          <t xml:space="preserve">
</t>
        </r>
        <r>
          <rPr>
            <b/>
            <sz val="10"/>
            <color indexed="81"/>
            <rFont val="Tahoma"/>
            <family val="2"/>
          </rPr>
          <t>Limited Use Policy</t>
        </r>
        <r>
          <rPr>
            <sz val="10"/>
            <color indexed="81"/>
            <rFont val="Tahoma"/>
            <family val="2"/>
          </rPr>
          <t xml:space="preserve">
You must treat this software and documentation like any other copyrighted material.
</t>
        </r>
        <r>
          <rPr>
            <b/>
            <sz val="10"/>
            <color indexed="81"/>
            <rFont val="Tahoma"/>
            <family val="2"/>
          </rPr>
          <t>You may not:</t>
        </r>
        <r>
          <rPr>
            <sz val="10"/>
            <color indexed="81"/>
            <rFont val="Tahoma"/>
            <family val="2"/>
          </rPr>
          <t xml:space="preserve">
- Copy documentation of the software
- Copy this software except to make archival or backup copies
- Reverse engineer, disassemble, decompile or make any attempt to discover the source code of the software 
- Place the software onto a server such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Refer to the LM(2)5119 product datasheet and EVM user guides for more details.
</t>
        </r>
        <r>
          <rPr>
            <b/>
            <sz val="10"/>
            <color indexed="81"/>
            <rFont val="Tahoma"/>
            <family val="2"/>
          </rPr>
          <t>Rev. 1.5, Garrett Roecker, Timothy Hegarty, Texas Instruments, Inc.</t>
        </r>
      </text>
    </comment>
    <comment ref="C12" authorId="1" shapeId="0" xr:uid="{00000000-0006-0000-0000-000002000000}">
      <text>
        <r>
          <rPr>
            <sz val="10"/>
            <color indexed="81"/>
            <rFont val="Tahoma"/>
            <family val="2"/>
          </rPr>
          <t>This is the maximum load curret required per channel. For interleaved operation, the output current will be twice this value.</t>
        </r>
        <r>
          <rPr>
            <sz val="8"/>
            <color indexed="81"/>
            <rFont val="Tahoma"/>
            <family val="2"/>
          </rPr>
          <t xml:space="preserve">
</t>
        </r>
      </text>
    </comment>
    <comment ref="D12" authorId="1" shapeId="0" xr:uid="{00000000-0006-0000-0000-000003000000}">
      <text>
        <r>
          <rPr>
            <sz val="10"/>
            <color indexed="81"/>
            <rFont val="Tahoma"/>
            <family val="2"/>
          </rPr>
          <t>This is the total interleaved output current.</t>
        </r>
      </text>
    </comment>
    <comment ref="C13" authorId="1" shapeId="0" xr:uid="{00000000-0006-0000-0000-000004000000}">
      <text>
        <r>
          <rPr>
            <sz val="10"/>
            <color indexed="81"/>
            <rFont val="Tahoma"/>
            <family val="2"/>
          </rPr>
          <t>Inductor ripple current is normally chosen in the range 20%-40% of full load currrent at nominal VIN. Maximum ripple current occurs at maximum VIN. A tradeoff exists between larger ripple and a smaller inductor. A larger ripple current will manifest as increased output voltage ripple.</t>
        </r>
        <r>
          <rPr>
            <sz val="8"/>
            <color indexed="81"/>
            <rFont val="Tahoma"/>
            <family val="2"/>
          </rPr>
          <t xml:space="preserve">
</t>
        </r>
      </text>
    </comment>
    <comment ref="C21" authorId="1" shapeId="0" xr:uid="{00000000-0006-0000-0000-000005000000}">
      <text>
        <r>
          <rPr>
            <sz val="10"/>
            <color indexed="81"/>
            <rFont val="Tahoma"/>
            <family val="2"/>
          </rPr>
          <t>For certain VIN and VOUT operating conditions, either the LM5119 or the LM25119 may be used. However, LM25119 is favored here if the input range is between 4.5V and 42V (as it is optimized specifically for lower input voltage applications).</t>
        </r>
        <r>
          <rPr>
            <sz val="8"/>
            <color indexed="81"/>
            <rFont val="Tahoma"/>
            <family val="2"/>
          </rPr>
          <t xml:space="preserve">
</t>
        </r>
      </text>
    </comment>
    <comment ref="C23" authorId="1" shapeId="0" xr:uid="{00000000-0006-0000-0000-000006000000}">
      <text>
        <r>
          <rPr>
            <sz val="10"/>
            <color indexed="81"/>
            <rFont val="Tahoma"/>
            <family val="2"/>
          </rPr>
          <t>Selection of the operating frequeency (max 750kHz) is a trade-off between the conversion efficiency and component sizes. Operating at a high frequency with a relatively high input voltage will reduce the efficiency and can lead to higher operating junction temperature (depending largely on whether an external VCC is used). In some applications, the selection of a high switching frequency will limit the maximum input voltage.</t>
        </r>
      </text>
    </comment>
    <comment ref="C28" authorId="1" shapeId="0" xr:uid="{00000000-0006-0000-0000-000007000000}">
      <text>
        <r>
          <rPr>
            <sz val="10"/>
            <color indexed="81"/>
            <rFont val="Tahoma"/>
            <family val="2"/>
          </rPr>
          <t xml:space="preserve">Select the nearest standard inductance. During an overload condition, the peak inductor current will reach the current limit threshold of the LM(2)5119. The selected inductor must have sufficient current capability to withstand a short circuit condition.
</t>
        </r>
      </text>
    </comment>
    <comment ref="C31" authorId="1" shapeId="0" xr:uid="{00000000-0006-0000-0000-000008000000}">
      <text>
        <r>
          <rPr>
            <sz val="10"/>
            <color indexed="81"/>
            <rFont val="Tahoma"/>
            <family val="2"/>
          </rPr>
          <t>Some margin beyond the maximum load current is recommended for the current limit threshold. Usually, 20% is a safe number to guarantee desired current capability with normal tolerances.</t>
        </r>
      </text>
    </comment>
    <comment ref="C32" authorId="1" shapeId="0" xr:uid="{00000000-0006-0000-0000-000009000000}">
      <text>
        <r>
          <rPr>
            <sz val="10"/>
            <color indexed="81"/>
            <rFont val="Tahoma"/>
            <family val="2"/>
          </rPr>
          <t>This is the lowest average load current where current limit will occur over the VIN operating range, and is used for calculation of the current sense components.
For interleaved operation, this is the single phase current limit.</t>
        </r>
      </text>
    </comment>
    <comment ref="C34" authorId="1" shapeId="0" xr:uid="{00000000-0006-0000-0000-00000A000000}">
      <text>
        <r>
          <rPr>
            <sz val="10"/>
            <color indexed="81"/>
            <rFont val="Tahoma"/>
            <family val="2"/>
          </rPr>
          <t>The K factor should be a number between 1 and 3. The larger the number, the greater the slope compensation. Please refer to the product datasheet for additional detail.</t>
        </r>
        <r>
          <rPr>
            <sz val="8"/>
            <color indexed="81"/>
            <rFont val="Tahoma"/>
            <family val="2"/>
          </rPr>
          <t xml:space="preserve">
</t>
        </r>
      </text>
    </comment>
    <comment ref="C37" authorId="1" shapeId="0" xr:uid="{00000000-0006-0000-0000-00000B000000}">
      <text>
        <r>
          <rPr>
            <sz val="10"/>
            <color indexed="81"/>
            <rFont val="Tahoma"/>
            <family val="2"/>
          </rPr>
          <t>The inductor must be sized to handle the worst case short circuit current without saturating. The peak short circuit current occurs at Vin(max). Short circuit current can peak above this level when the minimum PWM on-time limit is reached.</t>
        </r>
      </text>
    </comment>
    <comment ref="C40" authorId="1" shapeId="0" xr:uid="{00000000-0006-0000-0000-00000C000000}">
      <text>
        <r>
          <rPr>
            <sz val="10"/>
            <color indexed="81"/>
            <rFont val="Tahoma"/>
            <family val="2"/>
          </rPr>
          <t>Choose a resistance for R</t>
        </r>
        <r>
          <rPr>
            <vertAlign val="subscript"/>
            <sz val="10"/>
            <color indexed="81"/>
            <rFont val="Tahoma"/>
            <family val="2"/>
          </rPr>
          <t>RAMP</t>
        </r>
        <r>
          <rPr>
            <sz val="10"/>
            <color indexed="81"/>
            <rFont val="Tahoma"/>
            <family val="2"/>
          </rPr>
          <t xml:space="preserve"> to ensure that C</t>
        </r>
        <r>
          <rPr>
            <vertAlign val="subscript"/>
            <sz val="10"/>
            <color indexed="81"/>
            <rFont val="Tahoma"/>
            <family val="2"/>
          </rPr>
          <t>RAMP</t>
        </r>
        <r>
          <rPr>
            <sz val="10"/>
            <color indexed="81"/>
            <rFont val="Tahoma"/>
            <family val="2"/>
          </rPr>
          <t xml:space="preserve"> is less than 2nF.</t>
        </r>
        <r>
          <rPr>
            <sz val="8"/>
            <color indexed="81"/>
            <rFont val="Tahoma"/>
            <family val="2"/>
          </rPr>
          <t xml:space="preserve">
</t>
        </r>
      </text>
    </comment>
    <comment ref="C41" authorId="1" shapeId="0" xr:uid="{00000000-0006-0000-0000-00000D000000}">
      <text>
        <r>
          <rPr>
            <sz val="10"/>
            <color indexed="81"/>
            <rFont val="Tahoma"/>
            <family val="2"/>
          </rPr>
          <t>C</t>
        </r>
        <r>
          <rPr>
            <vertAlign val="subscript"/>
            <sz val="10"/>
            <color indexed="81"/>
            <rFont val="Tahoma"/>
            <family val="2"/>
          </rPr>
          <t>RAMP</t>
        </r>
        <r>
          <rPr>
            <sz val="10"/>
            <color indexed="81"/>
            <rFont val="Tahoma"/>
            <family val="2"/>
          </rPr>
          <t xml:space="preserve"> must be less than 2nF. Change the value of R</t>
        </r>
        <r>
          <rPr>
            <vertAlign val="subscript"/>
            <sz val="10"/>
            <color indexed="81"/>
            <rFont val="Tahoma"/>
            <family val="2"/>
          </rPr>
          <t>RAMP</t>
        </r>
        <r>
          <rPr>
            <sz val="10"/>
            <color indexed="81"/>
            <rFont val="Tahoma"/>
            <family val="2"/>
          </rPr>
          <t xml:space="preserve"> if necessary.</t>
        </r>
        <r>
          <rPr>
            <sz val="8"/>
            <color indexed="81"/>
            <rFont val="Tahoma"/>
            <family val="2"/>
          </rPr>
          <t xml:space="preserve">
</t>
        </r>
      </text>
    </comment>
    <comment ref="C43" authorId="1" shapeId="0" xr:uid="{00000000-0006-0000-0000-00000E000000}">
      <text>
        <r>
          <rPr>
            <sz val="10"/>
            <color indexed="81"/>
            <rFont val="Tahoma"/>
            <family val="2"/>
          </rPr>
          <t xml:space="preserve">The output capacitors offer filtering for the inductor ripple current as well as providing a source of charge for transient loading conditions. The output capacitor voltage rating should be greater than VOUT plus a safety margin. The output capacitance and associated ESR determines the output ripple voltage. </t>
        </r>
        <r>
          <rPr>
            <b/>
            <sz val="10"/>
            <color indexed="10"/>
            <rFont val="Tahoma"/>
            <family val="2"/>
          </rPr>
          <t>Derate C</t>
        </r>
        <r>
          <rPr>
            <b/>
            <vertAlign val="subscript"/>
            <sz val="10"/>
            <color indexed="10"/>
            <rFont val="Tahoma"/>
            <family val="2"/>
          </rPr>
          <t>OUT</t>
        </r>
        <r>
          <rPr>
            <b/>
            <sz val="10"/>
            <color indexed="10"/>
            <rFont val="Tahoma"/>
            <family val="2"/>
          </rPr>
          <t xml:space="preserve"> appropriately for voltage and temperature.</t>
        </r>
      </text>
    </comment>
    <comment ref="C45" authorId="1" shapeId="0" xr:uid="{00000000-0006-0000-0000-00000F000000}">
      <text>
        <r>
          <rPr>
            <sz val="10"/>
            <color indexed="81"/>
            <rFont val="Tahoma"/>
            <family val="2"/>
          </rPr>
          <t xml:space="preserve">The value of ESR is used to calculate the output ripple voltage and is used in the closed loop compensation calculations. </t>
        </r>
        <r>
          <rPr>
            <b/>
            <sz val="10"/>
            <color indexed="81"/>
            <rFont val="Tahoma"/>
            <family val="2"/>
          </rPr>
          <t>This is the single-phase ESR for interleaved operation.</t>
        </r>
        <r>
          <rPr>
            <sz val="8"/>
            <color indexed="81"/>
            <rFont val="Tahoma"/>
            <family val="2"/>
          </rPr>
          <t xml:space="preserve">
</t>
        </r>
      </text>
    </comment>
    <comment ref="D45" authorId="2" shapeId="0" xr:uid="{00000000-0006-0000-0000-000010000000}">
      <text>
        <r>
          <rPr>
            <sz val="9"/>
            <color indexed="81"/>
            <rFont val="Tahoma"/>
            <family val="2"/>
          </rPr>
          <t>For interleaved operation, this is the total effective ESR related to the output capacitor(s).</t>
        </r>
      </text>
    </comment>
    <comment ref="C46" authorId="1" shapeId="0" xr:uid="{00000000-0006-0000-0000-000011000000}">
      <text>
        <r>
          <rPr>
            <sz val="10"/>
            <color indexed="81"/>
            <rFont val="Tahoma"/>
            <family val="2"/>
          </rPr>
          <t xml:space="preserve">This is the capacitance required to achieve the voltage ripple reduction at the output as specified in the next cell. </t>
        </r>
        <r>
          <rPr>
            <b/>
            <sz val="10"/>
            <color indexed="81"/>
            <rFont val="Tahoma"/>
            <family val="2"/>
          </rPr>
          <t>For interleaved operation, this is the single-phase capacitance.</t>
        </r>
      </text>
    </comment>
    <comment ref="D46" authorId="1" shapeId="0" xr:uid="{00000000-0006-0000-0000-000012000000}">
      <text>
        <r>
          <rPr>
            <sz val="10"/>
            <color indexed="81"/>
            <rFont val="Tahoma"/>
            <family val="2"/>
          </rPr>
          <t>For interleaved operation, this is the total output capacitance.</t>
        </r>
      </text>
    </comment>
    <comment ref="C47" authorId="1" shapeId="0" xr:uid="{00000000-0006-0000-0000-000013000000}">
      <text>
        <r>
          <rPr>
            <sz val="10"/>
            <color indexed="81"/>
            <rFont val="Tahoma"/>
            <family val="2"/>
          </rPr>
          <t xml:space="preserve">A lower output ripple voltage will require some combination of larger output capacitance, higher switching frequency, or a lower ESR. This is only valid for a single phase due to interleaved operation switch phasing.  
</t>
        </r>
      </text>
    </comment>
    <comment ref="C49" authorId="1" shapeId="0" xr:uid="{00000000-0006-0000-0000-000014000000}">
      <text>
        <r>
          <rPr>
            <sz val="10"/>
            <color indexed="81"/>
            <rFont val="Tahoma"/>
            <family val="2"/>
          </rPr>
          <t xml:space="preserve">This is the input capacitance based on one channel. For two outputs, calculate each separately and add together. For interleaved operation, double this value. </t>
        </r>
        <r>
          <rPr>
            <b/>
            <sz val="10"/>
            <color indexed="10"/>
            <rFont val="Tahoma"/>
            <family val="2"/>
          </rPr>
          <t>Derate C</t>
        </r>
        <r>
          <rPr>
            <b/>
            <vertAlign val="subscript"/>
            <sz val="10"/>
            <color indexed="10"/>
            <rFont val="Tahoma"/>
            <family val="2"/>
          </rPr>
          <t>IN</t>
        </r>
        <r>
          <rPr>
            <b/>
            <sz val="10"/>
            <color indexed="10"/>
            <rFont val="Tahoma"/>
            <family val="2"/>
          </rPr>
          <t xml:space="preserve"> appropriately for voltage and temperature.</t>
        </r>
        <r>
          <rPr>
            <sz val="8"/>
            <color indexed="81"/>
            <rFont val="Tahoma"/>
            <family val="2"/>
          </rPr>
          <t xml:space="preserve">
</t>
        </r>
      </text>
    </comment>
    <comment ref="C50" authorId="1" shapeId="0" xr:uid="{00000000-0006-0000-0000-000015000000}">
      <text>
        <r>
          <rPr>
            <sz val="10"/>
            <color indexed="81"/>
            <rFont val="Tahoma"/>
            <family val="2"/>
          </rPr>
          <t>Input ripple cancellation may reduce the value required for C</t>
        </r>
        <r>
          <rPr>
            <vertAlign val="subscript"/>
            <sz val="10"/>
            <color indexed="81"/>
            <rFont val="Tahoma"/>
            <family val="2"/>
          </rPr>
          <t>IN</t>
        </r>
        <r>
          <rPr>
            <sz val="10"/>
            <color indexed="81"/>
            <rFont val="Tahoma"/>
            <family val="2"/>
          </rPr>
          <t xml:space="preserve">. See the datasheet for more information. This is only valid for a single phase due to interleaved operation switch phasing.  </t>
        </r>
        <r>
          <rPr>
            <sz val="8"/>
            <color indexed="81"/>
            <rFont val="Tahoma"/>
            <family val="2"/>
          </rPr>
          <t xml:space="preserve">
</t>
        </r>
      </text>
    </comment>
    <comment ref="C58" authorId="1" shapeId="0" xr:uid="{00000000-0006-0000-0000-000016000000}">
      <text>
        <r>
          <rPr>
            <sz val="10"/>
            <color indexed="81"/>
            <rFont val="Tahoma"/>
            <family val="2"/>
          </rPr>
          <t>R</t>
        </r>
        <r>
          <rPr>
            <vertAlign val="subscript"/>
            <sz val="10"/>
            <color indexed="81"/>
            <rFont val="Tahoma"/>
            <family val="2"/>
          </rPr>
          <t>FB1</t>
        </r>
        <r>
          <rPr>
            <sz val="10"/>
            <color indexed="81"/>
            <rFont val="Tahoma"/>
            <family val="2"/>
          </rPr>
          <t xml:space="preserve"> should be chosen to limit power dissipation in the output divider. The value of R</t>
        </r>
        <r>
          <rPr>
            <vertAlign val="subscript"/>
            <sz val="10"/>
            <color indexed="81"/>
            <rFont val="Tahoma"/>
            <family val="2"/>
          </rPr>
          <t>FB2</t>
        </r>
        <r>
          <rPr>
            <sz val="10"/>
            <color indexed="81"/>
            <rFont val="Tahoma"/>
            <family val="2"/>
          </rPr>
          <t xml:space="preserve"> is calculated based on R</t>
        </r>
        <r>
          <rPr>
            <vertAlign val="subscript"/>
            <sz val="10"/>
            <color indexed="81"/>
            <rFont val="Tahoma"/>
            <family val="2"/>
          </rPr>
          <t>FB1</t>
        </r>
        <r>
          <rPr>
            <b/>
            <sz val="10"/>
            <color indexed="81"/>
            <rFont val="Tahoma"/>
            <family val="2"/>
          </rPr>
          <t>.</t>
        </r>
        <r>
          <rPr>
            <sz val="8"/>
            <color indexed="81"/>
            <rFont val="Tahoma"/>
            <family val="2"/>
          </rPr>
          <t xml:space="preserve">
</t>
        </r>
      </text>
    </comment>
    <comment ref="C61" authorId="1" shapeId="0" xr:uid="{00000000-0006-0000-0000-000017000000}">
      <text>
        <r>
          <rPr>
            <sz val="10"/>
            <color indexed="81"/>
            <rFont val="Tahoma"/>
            <family val="2"/>
          </rPr>
          <t>Enter a target loop bandwith for the buck converter. It should be at least one order of magnitude less than the switching frequency.</t>
        </r>
      </text>
    </comment>
    <comment ref="C63" authorId="1" shapeId="0" xr:uid="{00000000-0006-0000-0000-000018000000}">
      <text>
        <r>
          <rPr>
            <sz val="10"/>
            <color indexed="81"/>
            <rFont val="Tahoma"/>
            <family val="2"/>
          </rPr>
          <t>C</t>
        </r>
        <r>
          <rPr>
            <vertAlign val="subscript"/>
            <sz val="10"/>
            <color indexed="81"/>
            <rFont val="Tahoma"/>
            <family val="2"/>
          </rPr>
          <t>COMP</t>
        </r>
        <r>
          <rPr>
            <sz val="10"/>
            <color indexed="81"/>
            <rFont val="Tahoma"/>
            <family val="2"/>
          </rPr>
          <t xml:space="preserve"> and R</t>
        </r>
        <r>
          <rPr>
            <vertAlign val="subscript"/>
            <sz val="10"/>
            <color indexed="81"/>
            <rFont val="Tahoma"/>
            <family val="2"/>
          </rPr>
          <t>COMP</t>
        </r>
        <r>
          <rPr>
            <sz val="10"/>
            <color indexed="81"/>
            <rFont val="Tahoma"/>
            <family val="2"/>
          </rPr>
          <t xml:space="preserve"> configure the error amplifier gain characteristics to accomplish a stable overall feedback loop.
R</t>
        </r>
        <r>
          <rPr>
            <vertAlign val="subscript"/>
            <sz val="10"/>
            <color indexed="81"/>
            <rFont val="Tahoma"/>
            <family val="2"/>
          </rPr>
          <t>COMP</t>
        </r>
        <r>
          <rPr>
            <sz val="10"/>
            <color indexed="81"/>
            <rFont val="Tahoma"/>
            <family val="2"/>
          </rPr>
          <t xml:space="preserve"> is calculated to boost the regulator open-loop gain such that the regulator crossover frequency meets the desired target.</t>
        </r>
      </text>
    </comment>
    <comment ref="C65" authorId="1" shapeId="0" xr:uid="{00000000-0006-0000-0000-000019000000}">
      <text>
        <r>
          <rPr>
            <sz val="10"/>
            <color indexed="81"/>
            <rFont val="Tahoma"/>
            <family val="2"/>
          </rPr>
          <t>Given R</t>
        </r>
        <r>
          <rPr>
            <vertAlign val="subscript"/>
            <sz val="10"/>
            <color indexed="81"/>
            <rFont val="Tahoma"/>
            <family val="2"/>
          </rPr>
          <t>COMP</t>
        </r>
        <r>
          <rPr>
            <sz val="10"/>
            <color indexed="81"/>
            <rFont val="Tahoma"/>
            <family val="2"/>
          </rPr>
          <t>, C</t>
        </r>
        <r>
          <rPr>
            <vertAlign val="subscript"/>
            <sz val="10"/>
            <color indexed="81"/>
            <rFont val="Tahoma"/>
            <family val="2"/>
          </rPr>
          <t>COMP</t>
        </r>
        <r>
          <rPr>
            <sz val="10"/>
            <color indexed="81"/>
            <rFont val="Tahoma"/>
            <family val="2"/>
          </rPr>
          <t xml:space="preserve"> is calculated such that the error amplifier zero is positioned at one-tenth the target bandwidth of the regulator.</t>
        </r>
      </text>
    </comment>
    <comment ref="C68" authorId="1" shapeId="0" xr:uid="{00000000-0006-0000-0000-00001A000000}">
      <text>
        <r>
          <rPr>
            <sz val="10"/>
            <color indexed="81"/>
            <rFont val="Tahoma"/>
            <family val="2"/>
          </rPr>
          <t>C</t>
        </r>
        <r>
          <rPr>
            <vertAlign val="subscript"/>
            <sz val="10"/>
            <color indexed="81"/>
            <rFont val="Tahoma"/>
            <family val="2"/>
          </rPr>
          <t>HF</t>
        </r>
        <r>
          <rPr>
            <sz val="10"/>
            <color indexed="81"/>
            <rFont val="Tahoma"/>
            <family val="2"/>
          </rPr>
          <t xml:space="preserve"> creates a pole to roll off the error amplifier gain (high frequency attenuation). The pole is set to 10 times the regulator bandwidth if C</t>
        </r>
        <r>
          <rPr>
            <vertAlign val="subscript"/>
            <sz val="10"/>
            <color indexed="81"/>
            <rFont val="Tahoma"/>
            <family val="2"/>
          </rPr>
          <t>HF</t>
        </r>
        <r>
          <rPr>
            <sz val="10"/>
            <color indexed="81"/>
            <rFont val="Tahoma"/>
            <family val="2"/>
          </rPr>
          <t xml:space="preserve"> is chosen as C</t>
        </r>
        <r>
          <rPr>
            <vertAlign val="subscript"/>
            <sz val="10"/>
            <color indexed="81"/>
            <rFont val="Tahoma"/>
            <family val="2"/>
          </rPr>
          <t>HF</t>
        </r>
        <r>
          <rPr>
            <sz val="10"/>
            <color indexed="81"/>
            <rFont val="Tahoma"/>
            <family val="2"/>
          </rPr>
          <t xml:space="preserve"> = C</t>
        </r>
        <r>
          <rPr>
            <vertAlign val="subscript"/>
            <sz val="10"/>
            <color indexed="81"/>
            <rFont val="Tahoma"/>
            <family val="2"/>
          </rPr>
          <t>COMP</t>
        </r>
        <r>
          <rPr>
            <sz val="10"/>
            <color indexed="81"/>
            <rFont val="Tahoma"/>
            <family val="2"/>
          </rPr>
          <t>/100.
For output capacitors with high ESR, C</t>
        </r>
        <r>
          <rPr>
            <vertAlign val="subscript"/>
            <sz val="10"/>
            <color indexed="81"/>
            <rFont val="Tahoma"/>
            <family val="2"/>
          </rPr>
          <t>HF</t>
        </r>
        <r>
          <rPr>
            <sz val="10"/>
            <color indexed="81"/>
            <rFont val="Tahoma"/>
            <family val="2"/>
          </rPr>
          <t xml:space="preserve"> is chosen as:
C</t>
        </r>
        <r>
          <rPr>
            <vertAlign val="subscript"/>
            <sz val="10"/>
            <color indexed="81"/>
            <rFont val="Tahoma"/>
            <family val="2"/>
          </rPr>
          <t>HF</t>
        </r>
        <r>
          <rPr>
            <sz val="10"/>
            <color indexed="81"/>
            <rFont val="Tahoma"/>
            <family val="2"/>
          </rPr>
          <t xml:space="preserve"> = Cout*ESR/R</t>
        </r>
        <r>
          <rPr>
            <vertAlign val="subscript"/>
            <sz val="10"/>
            <color indexed="81"/>
            <rFont val="Tahoma"/>
            <family val="2"/>
          </rPr>
          <t>COMP</t>
        </r>
        <r>
          <rPr>
            <sz val="10"/>
            <color indexed="81"/>
            <rFont val="Tahoma"/>
            <family val="2"/>
          </rPr>
          <t>.</t>
        </r>
      </text>
    </comment>
    <comment ref="C70" authorId="1" shapeId="0" xr:uid="{00000000-0006-0000-0000-00001B000000}">
      <text>
        <r>
          <rPr>
            <sz val="10"/>
            <color indexed="81"/>
            <rFont val="Tahoma"/>
            <family val="2"/>
          </rPr>
          <t>This is the time for the reference voltage and output voltage to reach their final value. It should be substantially longer than the time required to charge COUT to VOUT at the maximum output current.</t>
        </r>
        <r>
          <rPr>
            <sz val="8"/>
            <color indexed="81"/>
            <rFont val="Tahoma"/>
            <family val="2"/>
          </rPr>
          <t xml:space="preserve">
</t>
        </r>
      </text>
    </comment>
    <comment ref="C73" authorId="1" shapeId="0" xr:uid="{00000000-0006-0000-0000-00001C000000}">
      <text>
        <r>
          <rPr>
            <sz val="10"/>
            <color indexed="81"/>
            <rFont val="Tahoma"/>
            <family val="2"/>
          </rPr>
          <t>To estimate the minimum capacitance, enter the gate charge for the low-side MOSFET (Qg) from the MOSFET datasheet specification table or typical gate charge curve.
Qg is also used to calculate the Power Dissipation.</t>
        </r>
      </text>
    </comment>
    <comment ref="C74" authorId="1" shapeId="0" xr:uid="{00000000-0006-0000-0000-00001D000000}">
      <text>
        <r>
          <rPr>
            <sz val="10"/>
            <color indexed="81"/>
            <rFont val="Tahoma"/>
            <family val="2"/>
          </rPr>
          <t>To estimate the minimum capacitance, enter the gate charge for the low-side MOSFET (Qg) from the MOSFET data sheet specification table or typical gate charge curve.
Qg is also used to calculate the Power Dissipation.</t>
        </r>
      </text>
    </comment>
    <comment ref="C77" authorId="1" shapeId="0" xr:uid="{00000000-0006-0000-0000-00001E000000}">
      <text>
        <r>
          <rPr>
            <sz val="10"/>
            <color indexed="81"/>
            <rFont val="Tahoma"/>
            <family val="2"/>
          </rPr>
          <t>MOSFET gate charge Qg is removed from C</t>
        </r>
        <r>
          <rPr>
            <vertAlign val="subscript"/>
            <sz val="10"/>
            <color indexed="81"/>
            <rFont val="Tahoma"/>
            <family val="2"/>
          </rPr>
          <t>VCC</t>
        </r>
        <r>
          <rPr>
            <sz val="10"/>
            <color indexed="81"/>
            <rFont val="Tahoma"/>
            <family val="2"/>
          </rPr>
          <t xml:space="preserve"> during each switching cycle. The value of C</t>
        </r>
        <r>
          <rPr>
            <vertAlign val="subscript"/>
            <sz val="10"/>
            <color indexed="81"/>
            <rFont val="Tahoma"/>
            <family val="2"/>
          </rPr>
          <t>VCC</t>
        </r>
        <r>
          <rPr>
            <sz val="10"/>
            <color indexed="81"/>
            <rFont val="Tahoma"/>
            <family val="2"/>
          </rPr>
          <t xml:space="preserve"> is chosen to limit the VCC ripple to less than 150mV.
Placement of C</t>
        </r>
        <r>
          <rPr>
            <vertAlign val="subscript"/>
            <sz val="10"/>
            <color indexed="81"/>
            <rFont val="Tahoma"/>
            <family val="2"/>
          </rPr>
          <t>VCC</t>
        </r>
        <r>
          <rPr>
            <sz val="10"/>
            <color indexed="81"/>
            <rFont val="Tahoma"/>
            <family val="2"/>
          </rPr>
          <t xml:space="preserve"> should be very close to the IC to minimize voltage transients caused by trace inductance and transient gate current.</t>
        </r>
      </text>
    </comment>
    <comment ref="C78" authorId="1" shapeId="0" xr:uid="{00000000-0006-0000-0000-00001F000000}">
      <text>
        <r>
          <rPr>
            <sz val="10"/>
            <color indexed="81"/>
            <rFont val="Tahoma"/>
            <family val="2"/>
          </rPr>
          <t>C</t>
        </r>
        <r>
          <rPr>
            <vertAlign val="subscript"/>
            <sz val="10"/>
            <color indexed="81"/>
            <rFont val="Tahoma"/>
            <family val="2"/>
          </rPr>
          <t>HB</t>
        </r>
        <r>
          <rPr>
            <sz val="10"/>
            <color indexed="81"/>
            <rFont val="Tahoma"/>
            <family val="2"/>
          </rPr>
          <t xml:space="preserve"> and C</t>
        </r>
        <r>
          <rPr>
            <vertAlign val="subscript"/>
            <sz val="10"/>
            <color indexed="81"/>
            <rFont val="Tahoma"/>
            <family val="2"/>
          </rPr>
          <t>VCC</t>
        </r>
        <r>
          <rPr>
            <sz val="10"/>
            <color indexed="81"/>
            <rFont val="Tahoma"/>
            <family val="2"/>
          </rPr>
          <t xml:space="preserve"> provide gate charge for the high-side MOSFET and are based on Qg.</t>
        </r>
      </text>
    </comment>
    <comment ref="C81" authorId="1" shapeId="0" xr:uid="{00000000-0006-0000-0000-000020000000}">
      <text>
        <r>
          <rPr>
            <sz val="10"/>
            <color indexed="81"/>
            <rFont val="Tahoma"/>
            <family val="2"/>
          </rPr>
          <t>Restart time is the off time between hiccup cycles and affects the average power dissipation in current limit.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uthor>
  </authors>
  <commentList>
    <comment ref="E11" authorId="0" shapeId="0" xr:uid="{00000000-0006-0000-0100-000001000000}">
      <text>
        <r>
          <rPr>
            <sz val="10"/>
            <color indexed="81"/>
            <rFont val="Tahoma"/>
            <family val="2"/>
          </rPr>
          <t>If Yes, this means internal VCC is disabled when external VCC is less than internal VCC.</t>
        </r>
        <r>
          <rPr>
            <sz val="8"/>
            <color indexed="81"/>
            <rFont val="Tahoma"/>
            <family val="2"/>
          </rPr>
          <t xml:space="preserve">
</t>
        </r>
      </text>
    </comment>
  </commentList>
</comments>
</file>

<file path=xl/sharedStrings.xml><?xml version="1.0" encoding="utf-8"?>
<sst xmlns="http://schemas.openxmlformats.org/spreadsheetml/2006/main" count="208" uniqueCount="163">
  <si>
    <t>RLOAD</t>
  </si>
  <si>
    <t>DC GAIN MOD</t>
  </si>
  <si>
    <t>Frequency (Hz)</t>
  </si>
  <si>
    <t>Frequency (rad/sec)</t>
  </si>
  <si>
    <t>Yes</t>
  </si>
  <si>
    <t>No</t>
  </si>
  <si>
    <t>Additional Definitions</t>
  </si>
  <si>
    <t>VCC</t>
  </si>
  <si>
    <t>LLP32</t>
  </si>
  <si>
    <t>TSOP28</t>
  </si>
  <si>
    <t>Interleaved</t>
  </si>
  <si>
    <t>VIN</t>
  </si>
  <si>
    <t>IC Power</t>
  </si>
  <si>
    <t>ωhf</t>
  </si>
  <si>
    <t>Zea</t>
  </si>
  <si>
    <t>Total IC Power</t>
  </si>
  <si>
    <t>Recommended IC</t>
  </si>
  <si>
    <t>Dual Output</t>
  </si>
  <si>
    <t>Common Assumptions</t>
  </si>
  <si>
    <t>Frequency Compensation Parameters</t>
  </si>
  <si>
    <t>Minimum Duty Cycle</t>
  </si>
  <si>
    <t>Maximum Duty Cycle</t>
  </si>
  <si>
    <t>Do Not Erase</t>
  </si>
  <si>
    <t xml:space="preserve">              </t>
  </si>
  <si>
    <t>Channel 2  Requirements</t>
  </si>
  <si>
    <t>Channel 1 Thermal Calculations</t>
  </si>
  <si>
    <t>Channel 2 Thermal Calculations</t>
  </si>
  <si>
    <t>Channel 1 + Channel 2 Thermal Calculations</t>
  </si>
  <si>
    <r>
      <t>Channel 2 VCC Run Current I</t>
    </r>
    <r>
      <rPr>
        <vertAlign val="subscript"/>
        <sz val="10"/>
        <rFont val="Arial"/>
        <family val="2"/>
      </rPr>
      <t xml:space="preserve">CC </t>
    </r>
    <r>
      <rPr>
        <sz val="10"/>
        <rFont val="Arial"/>
        <family val="2"/>
      </rPr>
      <t>(mA)</t>
    </r>
  </si>
  <si>
    <t>Channel 2 Total Gate Charge (nC)</t>
  </si>
  <si>
    <r>
      <t xml:space="preserve"> External VCC Select "</t>
    </r>
    <r>
      <rPr>
        <b/>
        <sz val="10"/>
        <rFont val="Arial"/>
        <family val="2"/>
      </rPr>
      <t>Yes</t>
    </r>
    <r>
      <rPr>
        <sz val="10"/>
        <rFont val="Arial"/>
        <family val="2"/>
      </rPr>
      <t>" or "</t>
    </r>
    <r>
      <rPr>
        <b/>
        <sz val="10"/>
        <rFont val="Arial"/>
        <family val="2"/>
      </rPr>
      <t>No</t>
    </r>
    <r>
      <rPr>
        <sz val="10"/>
        <rFont val="Arial"/>
        <family val="2"/>
      </rPr>
      <t xml:space="preserve">" </t>
    </r>
  </si>
  <si>
    <t>Modulator</t>
  </si>
  <si>
    <t>Am</t>
  </si>
  <si>
    <t>Enter design parameters in the shaded cells</t>
  </si>
  <si>
    <r>
      <rPr>
        <sz val="10"/>
        <rFont val="Symbol"/>
        <family val="1"/>
        <charset val="2"/>
      </rPr>
      <t>D</t>
    </r>
    <r>
      <rPr>
        <sz val="10"/>
        <rFont val="Arial"/>
        <family val="2"/>
      </rPr>
      <t>T</t>
    </r>
    <r>
      <rPr>
        <vertAlign val="subscript"/>
        <sz val="10"/>
        <rFont val="Arial"/>
        <family val="2"/>
      </rPr>
      <t>J</t>
    </r>
    <r>
      <rPr>
        <sz val="10"/>
        <rFont val="Arial"/>
        <family val="2"/>
      </rPr>
      <t xml:space="preserve"> above T</t>
    </r>
    <r>
      <rPr>
        <vertAlign val="subscript"/>
        <sz val="10"/>
        <rFont val="Arial"/>
        <family val="2"/>
      </rPr>
      <t>A</t>
    </r>
  </si>
  <si>
    <r>
      <rPr>
        <sz val="10"/>
        <rFont val="Symbol"/>
        <family val="1"/>
        <charset val="2"/>
      </rPr>
      <t>D</t>
    </r>
    <r>
      <rPr>
        <sz val="10"/>
        <rFont val="Arial"/>
        <family val="2"/>
      </rPr>
      <t>T</t>
    </r>
    <r>
      <rPr>
        <vertAlign val="subscript"/>
        <sz val="10"/>
        <rFont val="Arial"/>
        <family val="2"/>
      </rPr>
      <t>J</t>
    </r>
    <r>
      <rPr>
        <sz val="10"/>
        <rFont val="Arial"/>
        <family val="2"/>
      </rPr>
      <t xml:space="preserve"> above T</t>
    </r>
    <r>
      <rPr>
        <vertAlign val="subscript"/>
        <sz val="10"/>
        <rFont val="Arial"/>
        <family val="2"/>
      </rPr>
      <t>A</t>
    </r>
  </si>
  <si>
    <r>
      <rPr>
        <sz val="10"/>
        <rFont val="Symbol"/>
        <family val="1"/>
        <charset val="2"/>
      </rPr>
      <t>D</t>
    </r>
    <r>
      <rPr>
        <sz val="10"/>
        <rFont val="Arial"/>
        <family val="2"/>
      </rPr>
      <t>T</t>
    </r>
    <r>
      <rPr>
        <vertAlign val="subscript"/>
        <sz val="10"/>
        <rFont val="Arial"/>
        <family val="2"/>
      </rPr>
      <t>J</t>
    </r>
    <r>
      <rPr>
        <sz val="10"/>
        <rFont val="Arial"/>
        <family val="2"/>
      </rPr>
      <t xml:space="preserve"> above T</t>
    </r>
    <r>
      <rPr>
        <vertAlign val="subscript"/>
        <sz val="10"/>
        <rFont val="Arial"/>
        <family val="2"/>
      </rPr>
      <t>A</t>
    </r>
  </si>
  <si>
    <t>Junction Temperature</t>
  </si>
  <si>
    <t>Step 1: General Requirements</t>
  </si>
  <si>
    <t>Step 3: Switching Frequency</t>
  </si>
  <si>
    <t>Step 4: Frequency Programming</t>
  </si>
  <si>
    <t>Step 6: Current Limit</t>
  </si>
  <si>
    <t>Step 7: Ramp Configuration</t>
  </si>
  <si>
    <t>Step 8: Output Capacitors</t>
  </si>
  <si>
    <t>Step 9: Input Capacitors</t>
  </si>
  <si>
    <t>Step 10: VIN UV Shutdown</t>
  </si>
  <si>
    <t>Step 11: Feedback Resistors</t>
  </si>
  <si>
    <t>Step 12: Compensation Network</t>
  </si>
  <si>
    <t>Step 14: MOSFET Gate Charge</t>
  </si>
  <si>
    <t>Step 16: Restart Capacitor</t>
  </si>
  <si>
    <t>Target (% beyond Max Load)</t>
  </si>
  <si>
    <t>Step 13: Soft-Start Capacitor</t>
  </si>
  <si>
    <r>
      <t>High-side MOSFET Qg @ V</t>
    </r>
    <r>
      <rPr>
        <vertAlign val="subscript"/>
        <sz val="10"/>
        <rFont val="Arial"/>
        <family val="2"/>
      </rPr>
      <t>VCC</t>
    </r>
    <r>
      <rPr>
        <sz val="10"/>
        <rFont val="Arial"/>
        <family val="2"/>
      </rPr>
      <t xml:space="preserve"> (nC)</t>
    </r>
  </si>
  <si>
    <r>
      <t>Low-side MOSFET Qg @ V</t>
    </r>
    <r>
      <rPr>
        <vertAlign val="subscript"/>
        <sz val="10"/>
        <rFont val="Arial"/>
        <family val="2"/>
      </rPr>
      <t>VCC</t>
    </r>
    <r>
      <rPr>
        <sz val="10"/>
        <rFont val="Arial"/>
        <family val="2"/>
      </rPr>
      <t xml:space="preserve"> (nC)</t>
    </r>
  </si>
  <si>
    <t>Ripple Current as % of Max Load Current</t>
  </si>
  <si>
    <r>
      <t>Step 15: Boot</t>
    </r>
    <r>
      <rPr>
        <b/>
        <sz val="10"/>
        <rFont val="Arial"/>
        <family val="2"/>
      </rPr>
      <t xml:space="preserve"> &amp; VCC Capacitors</t>
    </r>
  </si>
  <si>
    <t>Step 5: Filter Inductance</t>
  </si>
  <si>
    <t>Error Amplifier</t>
  </si>
  <si>
    <t>LM(2)5119 Power Dissipation Calculations</t>
  </si>
  <si>
    <t>Error Amplifier Gain (dB)</t>
  </si>
  <si>
    <t>Modulator
Phase (°)</t>
  </si>
  <si>
    <t>Modulator
Gain (dB)</t>
  </si>
  <si>
    <t>Loop
Gain (dB)</t>
  </si>
  <si>
    <t xml:space="preserve">Loop
Phase (°)         </t>
  </si>
  <si>
    <t>in the shaded cells</t>
  </si>
  <si>
    <t>Enter design parameters</t>
  </si>
  <si>
    <t>WQFN-32</t>
  </si>
  <si>
    <r>
      <t>A</t>
    </r>
    <r>
      <rPr>
        <vertAlign val="subscript"/>
        <sz val="10"/>
        <rFont val="Arial"/>
        <family val="2"/>
      </rPr>
      <t>OL</t>
    </r>
  </si>
  <si>
    <t>V</t>
  </si>
  <si>
    <t>Ω</t>
  </si>
  <si>
    <t xml:space="preserve"> </t>
  </si>
  <si>
    <t>LM(2)5119 Wide VIN Range Dual Synchronous Buck Controller</t>
  </si>
  <si>
    <t>Note: The components calculated here are reasonable starting values for a design using the LM(2)5119 wide VIN controller. As such, components are not optimized for any particular performance attribute. Only one channel is shown. Calculate each channel separately for dual-output designs. Each channel is identical for interleaved designs.</t>
  </si>
  <si>
    <t>Step 2:  Interleaved or Dual O/P</t>
  </si>
  <si>
    <r>
      <t xml:space="preserve">        Package thermal Resisitance R</t>
    </r>
    <r>
      <rPr>
        <vertAlign val="subscript"/>
        <sz val="10"/>
        <rFont val="Arial"/>
        <family val="2"/>
      </rPr>
      <t xml:space="preserve">JA </t>
    </r>
  </si>
  <si>
    <r>
      <t>Ambient Temperature T</t>
    </r>
    <r>
      <rPr>
        <vertAlign val="subscript"/>
        <sz val="10"/>
        <rFont val="Arial"/>
        <family val="2"/>
      </rPr>
      <t>A</t>
    </r>
    <r>
      <rPr>
        <sz val="10"/>
        <rFont val="Arial"/>
        <family val="2"/>
      </rPr>
      <t xml:space="preserve"> </t>
    </r>
  </si>
  <si>
    <r>
      <rPr>
        <b/>
        <sz val="14"/>
        <color indexed="10"/>
        <rFont val="Arial"/>
        <family val="2"/>
      </rPr>
      <t>LM(2)5119</t>
    </r>
    <r>
      <rPr>
        <b/>
        <sz val="14"/>
        <rFont val="Arial"/>
        <family val="2"/>
      </rPr>
      <t xml:space="preserve"> Bode Plot Calculations</t>
    </r>
  </si>
  <si>
    <t>IC Package</t>
  </si>
  <si>
    <t>ωbw</t>
  </si>
  <si>
    <t>ωpole</t>
  </si>
  <si>
    <t>ωzero</t>
  </si>
  <si>
    <t>ωp_lf</t>
  </si>
  <si>
    <t>ωp_hf</t>
  </si>
  <si>
    <t>ωz_esr</t>
  </si>
  <si>
    <t>ωp_esr</t>
  </si>
  <si>
    <t>ωn</t>
  </si>
  <si>
    <r>
      <t>A</t>
    </r>
    <r>
      <rPr>
        <vertAlign val="subscript"/>
        <sz val="10"/>
        <rFont val="Arial"/>
        <family val="2"/>
      </rPr>
      <t>EA</t>
    </r>
  </si>
  <si>
    <r>
      <t>Z</t>
    </r>
    <r>
      <rPr>
        <vertAlign val="subscript"/>
        <sz val="10"/>
        <rFont val="Arial"/>
        <family val="2"/>
      </rPr>
      <t>EA</t>
    </r>
  </si>
  <si>
    <r>
      <t>ω</t>
    </r>
    <r>
      <rPr>
        <vertAlign val="subscript"/>
        <sz val="10"/>
        <rFont val="Arial"/>
        <family val="2"/>
      </rPr>
      <t>o</t>
    </r>
  </si>
  <si>
    <r>
      <t>K</t>
    </r>
    <r>
      <rPr>
        <vertAlign val="subscript"/>
        <sz val="10"/>
        <rFont val="Arial"/>
        <family val="2"/>
      </rPr>
      <t>FB</t>
    </r>
  </si>
  <si>
    <t>Interleaved / Dual Output Operation</t>
  </si>
  <si>
    <t>Slope Compensation Factor (K)</t>
  </si>
  <si>
    <r>
      <t>V</t>
    </r>
    <r>
      <rPr>
        <vertAlign val="subscript"/>
        <sz val="10"/>
        <rFont val="Arial"/>
        <family val="2"/>
      </rPr>
      <t xml:space="preserve">IN </t>
    </r>
    <r>
      <rPr>
        <sz val="10"/>
        <rFont val="Arial"/>
        <family val="2"/>
      </rPr>
      <t>(min) [V]</t>
    </r>
  </si>
  <si>
    <r>
      <t>V</t>
    </r>
    <r>
      <rPr>
        <vertAlign val="subscript"/>
        <sz val="10"/>
        <rFont val="Arial"/>
        <family val="2"/>
      </rPr>
      <t xml:space="preserve">IN </t>
    </r>
    <r>
      <rPr>
        <sz val="10"/>
        <rFont val="Arial"/>
        <family val="2"/>
      </rPr>
      <t>(max) [V]</t>
    </r>
  </si>
  <si>
    <t>Max Load Current per Channel [A]</t>
  </si>
  <si>
    <r>
      <t>V</t>
    </r>
    <r>
      <rPr>
        <vertAlign val="subscript"/>
        <sz val="10"/>
        <rFont val="Arial"/>
        <family val="2"/>
      </rPr>
      <t>OUT</t>
    </r>
    <r>
      <rPr>
        <sz val="10"/>
        <rFont val="Arial"/>
        <family val="2"/>
      </rPr>
      <t xml:space="preserve"> [V]</t>
    </r>
  </si>
  <si>
    <r>
      <t>F</t>
    </r>
    <r>
      <rPr>
        <vertAlign val="subscript"/>
        <sz val="10"/>
        <rFont val="Arial"/>
        <family val="2"/>
      </rPr>
      <t xml:space="preserve">SW </t>
    </r>
    <r>
      <rPr>
        <sz val="10"/>
        <rFont val="Arial"/>
        <family val="2"/>
      </rPr>
      <t>[kHz]</t>
    </r>
  </si>
  <si>
    <r>
      <t>Recommneded R</t>
    </r>
    <r>
      <rPr>
        <vertAlign val="subscript"/>
        <sz val="10"/>
        <rFont val="Arial"/>
        <family val="2"/>
      </rPr>
      <t>T</t>
    </r>
    <r>
      <rPr>
        <sz val="10"/>
        <rFont val="Arial"/>
        <family val="2"/>
      </rPr>
      <t xml:space="preserve"> [kΩ]</t>
    </r>
  </si>
  <si>
    <r>
      <t>Recommended L</t>
    </r>
    <r>
      <rPr>
        <vertAlign val="subscript"/>
        <sz val="10"/>
        <rFont val="Arial"/>
        <family val="2"/>
      </rPr>
      <t>F</t>
    </r>
    <r>
      <rPr>
        <sz val="10"/>
        <rFont val="Arial"/>
        <family val="2"/>
      </rPr>
      <t xml:space="preserve"> per channel [</t>
    </r>
    <r>
      <rPr>
        <sz val="10"/>
        <rFont val="Arial"/>
        <family val="2"/>
      </rPr>
      <t>µ</t>
    </r>
    <r>
      <rPr>
        <sz val="10"/>
        <rFont val="Arial"/>
        <family val="2"/>
      </rPr>
      <t>H]</t>
    </r>
  </si>
  <si>
    <r>
      <t>Enter L</t>
    </r>
    <r>
      <rPr>
        <vertAlign val="subscript"/>
        <sz val="10"/>
        <rFont val="Arial"/>
        <family val="2"/>
      </rPr>
      <t>F</t>
    </r>
    <r>
      <rPr>
        <sz val="10"/>
        <rFont val="Arial"/>
        <family val="2"/>
      </rPr>
      <t xml:space="preserve"> [µH]</t>
    </r>
  </si>
  <si>
    <t>Max Inductor Ripple Current [A]</t>
  </si>
  <si>
    <t>Output Current at Current Limit Inception [A]</t>
  </si>
  <si>
    <r>
      <t>Recommended R</t>
    </r>
    <r>
      <rPr>
        <vertAlign val="subscript"/>
        <sz val="10"/>
        <rFont val="Arial"/>
        <family val="2"/>
      </rPr>
      <t>S</t>
    </r>
    <r>
      <rPr>
        <sz val="10"/>
        <rFont val="Arial"/>
        <family val="2"/>
      </rPr>
      <t xml:space="preserve"> [mΩ] per Channel</t>
    </r>
  </si>
  <si>
    <r>
      <t>R</t>
    </r>
    <r>
      <rPr>
        <vertAlign val="subscript"/>
        <sz val="10"/>
        <rFont val="Arial"/>
        <family val="2"/>
      </rPr>
      <t>RAMP</t>
    </r>
    <r>
      <rPr>
        <sz val="10"/>
        <rFont val="Arial"/>
        <family val="2"/>
      </rPr>
      <t xml:space="preserve"> [kΩ]</t>
    </r>
  </si>
  <si>
    <r>
      <t>Recommneded C</t>
    </r>
    <r>
      <rPr>
        <vertAlign val="subscript"/>
        <sz val="10"/>
        <rFont val="Arial"/>
        <family val="2"/>
      </rPr>
      <t>RAMP</t>
    </r>
    <r>
      <rPr>
        <sz val="10"/>
        <rFont val="Arial"/>
        <family val="2"/>
      </rPr>
      <t xml:space="preserve"> [</t>
    </r>
    <r>
      <rPr>
        <sz val="10"/>
        <rFont val="Arial"/>
        <family val="2"/>
      </rPr>
      <t xml:space="preserve">pF] </t>
    </r>
  </si>
  <si>
    <r>
      <t>C</t>
    </r>
    <r>
      <rPr>
        <vertAlign val="subscript"/>
        <sz val="10"/>
        <rFont val="Arial"/>
        <family val="2"/>
      </rPr>
      <t>OUT1</t>
    </r>
    <r>
      <rPr>
        <sz val="10"/>
        <rFont val="Arial"/>
        <family val="2"/>
      </rPr>
      <t xml:space="preserve"> per channel [µF]</t>
    </r>
  </si>
  <si>
    <r>
      <t>C</t>
    </r>
    <r>
      <rPr>
        <vertAlign val="subscript"/>
        <sz val="10"/>
        <rFont val="Arial"/>
        <family val="2"/>
      </rPr>
      <t xml:space="preserve">OUT2 </t>
    </r>
    <r>
      <rPr>
        <sz val="10"/>
        <rFont val="Arial"/>
        <family val="2"/>
      </rPr>
      <t>per channel [µF]</t>
    </r>
  </si>
  <si>
    <r>
      <t>Restart Capacitor C</t>
    </r>
    <r>
      <rPr>
        <vertAlign val="subscript"/>
        <sz val="10"/>
        <rFont val="Arial"/>
        <family val="2"/>
      </rPr>
      <t xml:space="preserve">RES </t>
    </r>
    <r>
      <rPr>
        <sz val="10"/>
        <rFont val="Arial"/>
        <family val="2"/>
      </rPr>
      <t>[µF]</t>
    </r>
  </si>
  <si>
    <t>Restart Time [ms]</t>
  </si>
  <si>
    <r>
      <t>VCC Run Current I</t>
    </r>
    <r>
      <rPr>
        <vertAlign val="subscript"/>
        <sz val="10"/>
        <rFont val="Arial"/>
        <family val="2"/>
      </rPr>
      <t>VCC</t>
    </r>
    <r>
      <rPr>
        <sz val="10"/>
        <rFont val="Arial"/>
        <family val="2"/>
      </rPr>
      <t xml:space="preserve"> [mA]</t>
    </r>
  </si>
  <si>
    <r>
      <t>Minimum C</t>
    </r>
    <r>
      <rPr>
        <vertAlign val="subscript"/>
        <sz val="10"/>
        <rFont val="Arial"/>
        <family val="2"/>
      </rPr>
      <t xml:space="preserve">HB </t>
    </r>
    <r>
      <rPr>
        <sz val="10"/>
        <rFont val="Arial"/>
        <family val="2"/>
      </rPr>
      <t>[µF]</t>
    </r>
  </si>
  <si>
    <r>
      <t>Minimum C</t>
    </r>
    <r>
      <rPr>
        <vertAlign val="subscript"/>
        <sz val="10"/>
        <rFont val="Arial"/>
        <family val="2"/>
      </rPr>
      <t xml:space="preserve">VCC </t>
    </r>
    <r>
      <rPr>
        <sz val="10"/>
        <rFont val="Arial"/>
        <family val="2"/>
      </rPr>
      <t>[µF]</t>
    </r>
  </si>
  <si>
    <t>MOSFET Total Gate Charge [nC]</t>
  </si>
  <si>
    <r>
      <t>High-side MOSFET Qg @ V</t>
    </r>
    <r>
      <rPr>
        <vertAlign val="subscript"/>
        <sz val="10"/>
        <rFont val="Arial"/>
        <family val="2"/>
      </rPr>
      <t>VCC</t>
    </r>
    <r>
      <rPr>
        <sz val="10"/>
        <rFont val="Arial"/>
        <family val="2"/>
      </rPr>
      <t xml:space="preserve"> [nC]</t>
    </r>
  </si>
  <si>
    <r>
      <t>Low-side MOSFET Qg @ V</t>
    </r>
    <r>
      <rPr>
        <vertAlign val="subscript"/>
        <sz val="10"/>
        <rFont val="Arial"/>
        <family val="2"/>
      </rPr>
      <t>VCC</t>
    </r>
    <r>
      <rPr>
        <sz val="10"/>
        <rFont val="Arial"/>
        <family val="2"/>
      </rPr>
      <t xml:space="preserve"> [nC]</t>
    </r>
  </si>
  <si>
    <r>
      <t>Soft-Start Capacitor C</t>
    </r>
    <r>
      <rPr>
        <vertAlign val="subscript"/>
        <sz val="10"/>
        <rFont val="Arial"/>
        <family val="2"/>
      </rPr>
      <t>SS</t>
    </r>
    <r>
      <rPr>
        <sz val="10"/>
        <rFont val="Arial"/>
        <family val="2"/>
      </rPr>
      <t xml:space="preserve"> [nF]</t>
    </r>
  </si>
  <si>
    <t>Soft-Start Time [ms]</t>
  </si>
  <si>
    <t>Net Output Cap ESR per channel [mΩ]</t>
  </si>
  <si>
    <r>
      <t>C</t>
    </r>
    <r>
      <rPr>
        <vertAlign val="subscript"/>
        <sz val="10"/>
        <rFont val="Arial"/>
        <family val="2"/>
      </rPr>
      <t>OUT1</t>
    </r>
    <r>
      <rPr>
        <sz val="10"/>
        <rFont val="Arial"/>
        <family val="2"/>
      </rPr>
      <t xml:space="preserve"> + C</t>
    </r>
    <r>
      <rPr>
        <vertAlign val="subscript"/>
        <sz val="10"/>
        <rFont val="Arial"/>
        <family val="2"/>
      </rPr>
      <t>OUT2</t>
    </r>
    <r>
      <rPr>
        <sz val="10"/>
        <rFont val="Arial"/>
        <family val="2"/>
      </rPr>
      <t xml:space="preserve"> [µF]</t>
    </r>
  </si>
  <si>
    <t>Peak-peak VOUT Ripple [mV]</t>
  </si>
  <si>
    <r>
      <t>Input Capacitor C</t>
    </r>
    <r>
      <rPr>
        <vertAlign val="subscript"/>
        <sz val="10"/>
        <rFont val="Arial"/>
        <family val="2"/>
      </rPr>
      <t xml:space="preserve">IN </t>
    </r>
    <r>
      <rPr>
        <sz val="10"/>
        <rFont val="Arial"/>
        <family val="2"/>
      </rPr>
      <t>[µF]</t>
    </r>
  </si>
  <si>
    <t>Input Voltage Ripple [V)]</t>
  </si>
  <si>
    <t>UV Shutdown Voltage [V]</t>
  </si>
  <si>
    <r>
      <t>Upper UVLO Resistor R</t>
    </r>
    <r>
      <rPr>
        <vertAlign val="subscript"/>
        <sz val="10"/>
        <rFont val="Arial"/>
        <family val="2"/>
      </rPr>
      <t>UV2</t>
    </r>
    <r>
      <rPr>
        <sz val="10"/>
        <rFont val="Arial"/>
        <family val="2"/>
      </rPr>
      <t xml:space="preserve"> [kΩ]</t>
    </r>
  </si>
  <si>
    <r>
      <t>Lower UVLO Resistor R</t>
    </r>
    <r>
      <rPr>
        <vertAlign val="subscript"/>
        <sz val="10"/>
        <rFont val="Arial"/>
        <family val="2"/>
      </rPr>
      <t>UV1</t>
    </r>
    <r>
      <rPr>
        <sz val="10"/>
        <rFont val="Arial"/>
        <family val="2"/>
      </rPr>
      <t xml:space="preserve"> [kΩ]</t>
    </r>
  </si>
  <si>
    <r>
      <t>Lower FB Resistor R</t>
    </r>
    <r>
      <rPr>
        <vertAlign val="subscript"/>
        <sz val="10"/>
        <rFont val="Arial"/>
        <family val="2"/>
      </rPr>
      <t>FB1</t>
    </r>
    <r>
      <rPr>
        <sz val="10"/>
        <rFont val="Arial"/>
        <family val="2"/>
      </rPr>
      <t xml:space="preserve"> [kΩ]</t>
    </r>
  </si>
  <si>
    <r>
      <t>Upper FB Resistor R</t>
    </r>
    <r>
      <rPr>
        <vertAlign val="subscript"/>
        <sz val="10"/>
        <rFont val="Arial"/>
        <family val="2"/>
      </rPr>
      <t>FB2</t>
    </r>
    <r>
      <rPr>
        <sz val="10"/>
        <rFont val="Arial"/>
        <family val="2"/>
      </rPr>
      <t xml:space="preserve"> [kΩ]</t>
    </r>
  </si>
  <si>
    <t>Loop Bandwidth [kHz]</t>
  </si>
  <si>
    <r>
      <t>Recommended R</t>
    </r>
    <r>
      <rPr>
        <vertAlign val="subscript"/>
        <sz val="10"/>
        <rFont val="Arial"/>
        <family val="2"/>
      </rPr>
      <t>COMP</t>
    </r>
    <r>
      <rPr>
        <sz val="10"/>
        <rFont val="Arial"/>
        <family val="2"/>
      </rPr>
      <t xml:space="preserve"> [kΩ]</t>
    </r>
  </si>
  <si>
    <r>
      <t>R</t>
    </r>
    <r>
      <rPr>
        <vertAlign val="subscript"/>
        <sz val="10"/>
        <rFont val="Arial"/>
        <family val="2"/>
      </rPr>
      <t>COMP</t>
    </r>
    <r>
      <rPr>
        <sz val="10"/>
        <rFont val="Arial"/>
        <family val="2"/>
      </rPr>
      <t xml:space="preserve"> [kΩ]</t>
    </r>
  </si>
  <si>
    <r>
      <t>Recommneded C</t>
    </r>
    <r>
      <rPr>
        <vertAlign val="subscript"/>
        <sz val="10"/>
        <rFont val="Arial"/>
        <family val="2"/>
      </rPr>
      <t>COMP</t>
    </r>
    <r>
      <rPr>
        <sz val="10"/>
        <rFont val="Arial"/>
        <family val="2"/>
      </rPr>
      <t xml:space="preserve"> [nF]</t>
    </r>
  </si>
  <si>
    <r>
      <t>C</t>
    </r>
    <r>
      <rPr>
        <vertAlign val="subscript"/>
        <sz val="10"/>
        <rFont val="Arial"/>
        <family val="2"/>
      </rPr>
      <t>COMP</t>
    </r>
    <r>
      <rPr>
        <sz val="10"/>
        <rFont val="Arial"/>
        <family val="2"/>
      </rPr>
      <t xml:space="preserve"> [nF]</t>
    </r>
  </si>
  <si>
    <r>
      <t>Recommended Max C</t>
    </r>
    <r>
      <rPr>
        <vertAlign val="subscript"/>
        <sz val="10"/>
        <rFont val="Arial"/>
        <family val="2"/>
      </rPr>
      <t>HF</t>
    </r>
    <r>
      <rPr>
        <sz val="10"/>
        <rFont val="Arial"/>
        <family val="2"/>
      </rPr>
      <t xml:space="preserve"> [pF]</t>
    </r>
  </si>
  <si>
    <r>
      <t>Recommended Min C</t>
    </r>
    <r>
      <rPr>
        <vertAlign val="subscript"/>
        <sz val="10"/>
        <rFont val="Arial"/>
        <family val="2"/>
      </rPr>
      <t>HF</t>
    </r>
    <r>
      <rPr>
        <sz val="10"/>
        <rFont val="Arial"/>
        <family val="2"/>
      </rPr>
      <t xml:space="preserve"> [pF]</t>
    </r>
  </si>
  <si>
    <r>
      <t>C</t>
    </r>
    <r>
      <rPr>
        <vertAlign val="subscript"/>
        <sz val="10"/>
        <rFont val="Arial"/>
        <family val="2"/>
      </rPr>
      <t>HF</t>
    </r>
    <r>
      <rPr>
        <sz val="10"/>
        <rFont val="Arial"/>
        <family val="2"/>
      </rPr>
      <t xml:space="preserve"> [pF]</t>
    </r>
  </si>
  <si>
    <t>Peak Output Current with Output Short [A]</t>
  </si>
  <si>
    <r>
      <t>Enter Closest Standard Value for R</t>
    </r>
    <r>
      <rPr>
        <vertAlign val="subscript"/>
        <sz val="10"/>
        <rFont val="Arial"/>
        <family val="2"/>
      </rPr>
      <t>S</t>
    </r>
    <r>
      <rPr>
        <sz val="10"/>
        <rFont val="Arial"/>
        <family val="2"/>
      </rPr>
      <t xml:space="preserve"> [mΩ]</t>
    </r>
  </si>
  <si>
    <r>
      <t>UV Hysteresis, V</t>
    </r>
    <r>
      <rPr>
        <vertAlign val="subscript"/>
        <sz val="10"/>
        <rFont val="Arial"/>
        <family val="2"/>
      </rPr>
      <t>HYS</t>
    </r>
    <r>
      <rPr>
        <sz val="10"/>
        <rFont val="Arial"/>
        <family val="2"/>
      </rPr>
      <t xml:space="preserve"> [V]</t>
    </r>
  </si>
  <si>
    <t>rad/s</t>
  </si>
  <si>
    <t>V/V</t>
  </si>
  <si>
    <t>Hz</t>
  </si>
  <si>
    <t>kHz</t>
  </si>
  <si>
    <t>MHz</t>
  </si>
  <si>
    <t>dB</t>
  </si>
  <si>
    <t>Zi||Zf</t>
  </si>
  <si>
    <t>AV(s)</t>
  </si>
  <si>
    <t>Zi/(Zi+Zf)</t>
  </si>
  <si>
    <t>Zi(s)</t>
  </si>
  <si>
    <t>Zf(s)</t>
  </si>
  <si>
    <t>Non-Ideal Error Amplifier Calculations</t>
  </si>
  <si>
    <t>Gc(s) [Ideal Amplifier]</t>
  </si>
  <si>
    <t>Gc'(s) [Non-Ideal Amplifier]</t>
  </si>
  <si>
    <t>Non-Idea Error Amplifier Model</t>
  </si>
  <si>
    <t>ωol</t>
  </si>
  <si>
    <t>Poles/Zeros</t>
  </si>
  <si>
    <t>Error Amplifier  Phase (°)</t>
  </si>
  <si>
    <t xml:space="preserve">Version 1.5   1/27/2014 </t>
  </si>
  <si>
    <t>Ideal Amplifier Gain</t>
  </si>
  <si>
    <t>Ideal Amplifier Phase</t>
  </si>
  <si>
    <t>q</t>
  </si>
  <si>
    <t>Correction Factor</t>
  </si>
  <si>
    <t>Non-Ideal Amplifier Gain</t>
  </si>
  <si>
    <t>Fcross Max (kHz)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</si>
</sst>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 &quot;C&quot;"/>
    <numFmt numFmtId="166" formatCode="0.000"/>
    <numFmt numFmtId="167" formatCode="0.0E+00"/>
    <numFmt numFmtId="168" formatCode="#,##0.0"/>
    <numFmt numFmtId="169" formatCode="0&quot;°C&quot;"/>
    <numFmt numFmtId="170" formatCode="0&quot;°C/W&quot;"/>
    <numFmt numFmtId="171" formatCode="0.0&quot;V&quot;"/>
    <numFmt numFmtId="172" formatCode="0.000&quot;W&quot;"/>
  </numFmts>
  <fonts count="31" x14ac:knownFonts="1">
    <font>
      <sz val="10"/>
      <name val="Arial"/>
    </font>
    <font>
      <sz val="10"/>
      <name val="Arial"/>
      <family val="2"/>
    </font>
    <font>
      <b/>
      <sz val="10"/>
      <name val="Arial"/>
      <family val="2"/>
    </font>
    <font>
      <sz val="10"/>
      <color indexed="10"/>
      <name val="Arial"/>
      <family val="2"/>
    </font>
    <font>
      <sz val="10"/>
      <name val="Arial"/>
      <family val="2"/>
    </font>
    <font>
      <vertAlign val="subscript"/>
      <sz val="10"/>
      <name val="Arial"/>
      <family val="2"/>
    </font>
    <font>
      <sz val="8"/>
      <name val="Arial"/>
      <family val="2"/>
    </font>
    <font>
      <b/>
      <u/>
      <sz val="10"/>
      <name val="Arial"/>
      <family val="2"/>
    </font>
    <font>
      <sz val="10"/>
      <color indexed="12"/>
      <name val="Arial"/>
      <family val="2"/>
    </font>
    <font>
      <sz val="8"/>
      <color indexed="81"/>
      <name val="Tahoma"/>
      <family val="2"/>
    </font>
    <font>
      <sz val="10"/>
      <color indexed="10"/>
      <name val="Arial"/>
      <family val="2"/>
    </font>
    <font>
      <b/>
      <sz val="14"/>
      <name val="Arial"/>
      <family val="2"/>
    </font>
    <font>
      <b/>
      <sz val="10"/>
      <color indexed="10"/>
      <name val="Arial"/>
      <family val="2"/>
    </font>
    <font>
      <sz val="10"/>
      <color indexed="9"/>
      <name val="Arial"/>
      <family val="2"/>
    </font>
    <font>
      <sz val="9"/>
      <color indexed="81"/>
      <name val="Tahoma"/>
      <family val="2"/>
    </font>
    <font>
      <sz val="10"/>
      <name val="Symbol"/>
      <family val="1"/>
      <charset val="2"/>
    </font>
    <font>
      <sz val="10"/>
      <color indexed="81"/>
      <name val="Tahoma"/>
      <family val="2"/>
    </font>
    <font>
      <vertAlign val="subscript"/>
      <sz val="10"/>
      <color indexed="81"/>
      <name val="Tahoma"/>
      <family val="2"/>
    </font>
    <font>
      <b/>
      <sz val="10"/>
      <color indexed="81"/>
      <name val="Tahoma"/>
      <family val="2"/>
    </font>
    <font>
      <b/>
      <sz val="16"/>
      <name val="Arial"/>
      <family val="2"/>
    </font>
    <font>
      <b/>
      <sz val="12"/>
      <color indexed="10"/>
      <name val="Tahoma"/>
      <family val="2"/>
    </font>
    <font>
      <b/>
      <sz val="14"/>
      <color indexed="10"/>
      <name val="Arial"/>
      <family val="2"/>
    </font>
    <font>
      <b/>
      <sz val="10"/>
      <color indexed="10"/>
      <name val="Tahoma"/>
      <family val="2"/>
    </font>
    <font>
      <b/>
      <vertAlign val="subscript"/>
      <sz val="10"/>
      <color indexed="10"/>
      <name val="Tahoma"/>
      <family val="2"/>
    </font>
    <font>
      <sz val="10"/>
      <color rgb="FF9C0006"/>
      <name val="Arial"/>
      <family val="2"/>
    </font>
    <font>
      <sz val="10"/>
      <color rgb="FFFF0000"/>
      <name val="Arial"/>
      <family val="2"/>
    </font>
    <font>
      <b/>
      <sz val="11"/>
      <color rgb="FFFF0000"/>
      <name val="Calibri"/>
      <family val="2"/>
      <scheme val="minor"/>
    </font>
    <font>
      <b/>
      <sz val="10"/>
      <color rgb="FFFF0000"/>
      <name val="Arial"/>
      <family val="2"/>
    </font>
    <font>
      <sz val="10"/>
      <color theme="0" tint="-0.249977111117893"/>
      <name val="Arial"/>
      <family val="2"/>
    </font>
    <font>
      <sz val="10"/>
      <name val="Arial"/>
      <family val="2"/>
    </font>
    <font>
      <sz val="10"/>
      <color theme="0"/>
      <name val="Arial"/>
      <family val="2"/>
    </font>
  </fonts>
  <fills count="1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11"/>
        <bgColor indexed="64"/>
      </patternFill>
    </fill>
    <fill>
      <patternFill patternType="solid">
        <fgColor indexed="29"/>
        <bgColor indexed="64"/>
      </patternFill>
    </fill>
    <fill>
      <patternFill patternType="solid">
        <fgColor indexed="9"/>
        <bgColor indexed="27"/>
      </patternFill>
    </fill>
    <fill>
      <patternFill patternType="solid">
        <fgColor indexed="44"/>
        <bgColor indexed="64"/>
      </patternFill>
    </fill>
    <fill>
      <patternFill patternType="solid">
        <fgColor indexed="41"/>
        <bgColor indexed="64"/>
      </patternFill>
    </fill>
    <fill>
      <patternFill patternType="solid">
        <fgColor indexed="41"/>
        <bgColor indexed="27"/>
      </patternFill>
    </fill>
    <fill>
      <patternFill patternType="solid">
        <fgColor indexed="27"/>
        <bgColor indexed="64"/>
      </patternFill>
    </fill>
    <fill>
      <patternFill patternType="solid">
        <fgColor rgb="FFFFC7CE"/>
      </patternFill>
    </fill>
    <fill>
      <patternFill patternType="solid">
        <fgColor theme="0"/>
        <bgColor indexed="64"/>
      </patternFill>
    </fill>
    <fill>
      <patternFill patternType="solid">
        <fgColor theme="0"/>
        <bgColor indexed="27"/>
      </patternFill>
    </fill>
    <fill>
      <patternFill patternType="solid">
        <fgColor rgb="FFCCFFFF"/>
        <bgColor indexed="64"/>
      </patternFill>
    </fill>
  </fills>
  <borders count="26">
    <border>
      <left/>
      <right/>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9"/>
      </left>
      <right style="thin">
        <color indexed="9"/>
      </right>
      <top style="thin">
        <color indexed="9"/>
      </top>
      <bottom/>
      <diagonal/>
    </border>
    <border>
      <left/>
      <right/>
      <top style="thin">
        <color indexed="64"/>
      </top>
      <bottom style="thin">
        <color indexed="64"/>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right/>
      <top/>
      <bottom style="medium">
        <color indexed="64"/>
      </bottom>
      <diagonal/>
    </border>
  </borders>
  <cellStyleXfs count="4">
    <xf numFmtId="0" fontId="0" fillId="0" borderId="0"/>
    <xf numFmtId="0" fontId="24" fillId="11" borderId="0" applyNumberFormat="0" applyBorder="0" applyAlignment="0" applyProtection="0"/>
    <xf numFmtId="0" fontId="1" fillId="0" borderId="0"/>
    <xf numFmtId="9" fontId="29" fillId="0" borderId="0" applyFont="0" applyFill="0" applyBorder="0" applyAlignment="0" applyProtection="0"/>
  </cellStyleXfs>
  <cellXfs count="210">
    <xf numFmtId="0" fontId="0" fillId="0" borderId="0" xfId="0"/>
    <xf numFmtId="0" fontId="0" fillId="2" borderId="0" xfId="0" applyFill="1"/>
    <xf numFmtId="0" fontId="0" fillId="3" borderId="0" xfId="0" applyFill="1"/>
    <xf numFmtId="0" fontId="2" fillId="3" borderId="0" xfId="0" applyFont="1" applyFill="1" applyAlignment="1">
      <alignment horizontal="center" wrapText="1"/>
    </xf>
    <xf numFmtId="0" fontId="0" fillId="3" borderId="0" xfId="0" applyFill="1" applyAlignment="1">
      <alignment horizontal="center"/>
    </xf>
    <xf numFmtId="11" fontId="0" fillId="3" borderId="0" xfId="0" applyNumberFormat="1" applyFill="1"/>
    <xf numFmtId="164" fontId="0" fillId="3" borderId="0" xfId="0" applyNumberFormat="1" applyFill="1" applyAlignment="1">
      <alignment horizontal="center"/>
    </xf>
    <xf numFmtId="1" fontId="0" fillId="3" borderId="0" xfId="0" applyNumberFormat="1" applyFill="1" applyAlignment="1">
      <alignment horizontal="center"/>
    </xf>
    <xf numFmtId="0" fontId="7" fillId="3" borderId="0" xfId="0" applyFont="1" applyFill="1"/>
    <xf numFmtId="0" fontId="2" fillId="3" borderId="0" xfId="0" applyFont="1" applyFill="1" applyAlignment="1">
      <alignment horizontal="center"/>
    </xf>
    <xf numFmtId="0" fontId="4" fillId="3" borderId="0" xfId="0" applyFont="1" applyFill="1" applyAlignment="1">
      <alignment horizontal="center"/>
    </xf>
    <xf numFmtId="0" fontId="1" fillId="2" borderId="0" xfId="0" applyFont="1" applyFill="1" applyAlignment="1">
      <alignment horizontal="right"/>
    </xf>
    <xf numFmtId="0" fontId="1" fillId="3" borderId="0" xfId="0" applyFont="1" applyFill="1"/>
    <xf numFmtId="0" fontId="1" fillId="3" borderId="0" xfId="0" applyFont="1" applyFill="1" applyAlignment="1">
      <alignment horizontal="right"/>
    </xf>
    <xf numFmtId="0" fontId="0" fillId="2" borderId="0" xfId="0" applyFill="1" applyAlignment="1">
      <alignment horizontal="center"/>
    </xf>
    <xf numFmtId="165" fontId="0" fillId="2" borderId="0" xfId="0" applyNumberFormat="1" applyFill="1" applyAlignment="1">
      <alignment horizontal="center"/>
    </xf>
    <xf numFmtId="0" fontId="2" fillId="2" borderId="1" xfId="0" applyFont="1" applyFill="1" applyBorder="1"/>
    <xf numFmtId="0" fontId="0" fillId="2" borderId="1" xfId="0" applyFill="1" applyBorder="1"/>
    <xf numFmtId="0" fontId="0" fillId="4" borderId="2" xfId="0" applyFill="1" applyBorder="1" applyAlignment="1">
      <alignment horizontal="center"/>
    </xf>
    <xf numFmtId="0" fontId="0" fillId="4" borderId="3" xfId="0" applyFill="1" applyBorder="1" applyAlignment="1">
      <alignment horizontal="center"/>
    </xf>
    <xf numFmtId="0" fontId="1" fillId="2" borderId="0" xfId="0" applyFont="1" applyFill="1"/>
    <xf numFmtId="0" fontId="10" fillId="2" borderId="0" xfId="0" applyFont="1" applyFill="1"/>
    <xf numFmtId="0" fontId="2" fillId="3" borderId="0" xfId="0" applyFont="1" applyFill="1"/>
    <xf numFmtId="0" fontId="0" fillId="0" borderId="0" xfId="0" applyAlignment="1">
      <alignment horizontal="center"/>
    </xf>
    <xf numFmtId="1" fontId="0" fillId="2" borderId="0" xfId="0" applyNumberFormat="1" applyFill="1" applyAlignment="1" applyProtection="1">
      <alignment horizontal="center"/>
      <protection locked="0"/>
    </xf>
    <xf numFmtId="0" fontId="0" fillId="5" borderId="2" xfId="0" applyFill="1" applyBorder="1" applyAlignment="1">
      <alignment horizontal="center"/>
    </xf>
    <xf numFmtId="0" fontId="1" fillId="5" borderId="3" xfId="0" applyFont="1" applyFill="1" applyBorder="1" applyAlignment="1">
      <alignment horizontal="center"/>
    </xf>
    <xf numFmtId="0" fontId="2" fillId="3" borderId="0" xfId="0" applyFont="1" applyFill="1" applyAlignment="1">
      <alignment vertical="top" wrapText="1"/>
    </xf>
    <xf numFmtId="0" fontId="0" fillId="6" borderId="0" xfId="0" applyFill="1"/>
    <xf numFmtId="0" fontId="10" fillId="0" borderId="0" xfId="0" applyFont="1"/>
    <xf numFmtId="49" fontId="0" fillId="2" borderId="0" xfId="0" applyNumberFormat="1" applyFill="1" applyProtection="1">
      <protection hidden="1"/>
    </xf>
    <xf numFmtId="49" fontId="0" fillId="2" borderId="4" xfId="0" applyNumberFormat="1" applyFill="1" applyBorder="1" applyProtection="1">
      <protection hidden="1"/>
    </xf>
    <xf numFmtId="49" fontId="1" fillId="2" borderId="5" xfId="0" applyNumberFormat="1" applyFont="1" applyFill="1" applyBorder="1" applyProtection="1">
      <protection hidden="1"/>
    </xf>
    <xf numFmtId="0" fontId="0" fillId="0" borderId="6" xfId="0" applyBorder="1" applyAlignment="1">
      <alignment horizontal="center" vertical="center"/>
    </xf>
    <xf numFmtId="1" fontId="1" fillId="2" borderId="0" xfId="0" applyNumberFormat="1" applyFont="1" applyFill="1" applyAlignment="1">
      <alignment horizontal="center"/>
    </xf>
    <xf numFmtId="0" fontId="11" fillId="3" borderId="0" xfId="0" applyFont="1" applyFill="1"/>
    <xf numFmtId="167" fontId="0" fillId="3" borderId="0" xfId="0" applyNumberFormat="1" applyFill="1"/>
    <xf numFmtId="0" fontId="0" fillId="7" borderId="2" xfId="0" applyFill="1" applyBorder="1" applyAlignment="1">
      <alignment horizontal="center"/>
    </xf>
    <xf numFmtId="0" fontId="0" fillId="7" borderId="3" xfId="0" applyFill="1" applyBorder="1" applyAlignment="1">
      <alignment horizontal="center"/>
    </xf>
    <xf numFmtId="0" fontId="2" fillId="2" borderId="0" xfId="0" applyFont="1" applyFill="1"/>
    <xf numFmtId="0" fontId="2" fillId="3" borderId="0" xfId="0" applyFont="1" applyFill="1" applyAlignment="1">
      <alignment horizontal="right"/>
    </xf>
    <xf numFmtId="0" fontId="13" fillId="2" borderId="0" xfId="0" applyFont="1" applyFill="1"/>
    <xf numFmtId="0" fontId="0" fillId="8" borderId="0" xfId="0" applyFill="1"/>
    <xf numFmtId="0" fontId="12" fillId="6" borderId="0" xfId="0" applyFont="1" applyFill="1" applyAlignment="1" applyProtection="1">
      <alignment horizontal="left"/>
      <protection locked="0"/>
    </xf>
    <xf numFmtId="0" fontId="12" fillId="6" borderId="0" xfId="0" applyFont="1" applyFill="1" applyAlignment="1" applyProtection="1">
      <alignment horizontal="left" wrapText="1"/>
      <protection locked="0"/>
    </xf>
    <xf numFmtId="0" fontId="2" fillId="2" borderId="0" xfId="0" applyFont="1" applyFill="1" applyAlignment="1">
      <alignment wrapText="1"/>
    </xf>
    <xf numFmtId="1" fontId="0" fillId="0" borderId="0" xfId="0" applyNumberFormat="1" applyAlignment="1">
      <alignment horizontal="center"/>
    </xf>
    <xf numFmtId="1" fontId="0" fillId="3" borderId="0" xfId="0" applyNumberFormat="1" applyFill="1"/>
    <xf numFmtId="0" fontId="1" fillId="2" borderId="0" xfId="2" applyFill="1"/>
    <xf numFmtId="0" fontId="1" fillId="12" borderId="0" xfId="0" applyFont="1" applyFill="1"/>
    <xf numFmtId="0" fontId="2" fillId="8" borderId="0" xfId="0" applyFont="1" applyFill="1"/>
    <xf numFmtId="169" fontId="0" fillId="4" borderId="0" xfId="0" applyNumberFormat="1" applyFill="1" applyAlignment="1">
      <alignment horizontal="center"/>
    </xf>
    <xf numFmtId="169" fontId="0" fillId="4" borderId="7" xfId="0" applyNumberFormat="1" applyFill="1" applyBorder="1" applyAlignment="1">
      <alignment horizontal="center"/>
    </xf>
    <xf numFmtId="169" fontId="0" fillId="4" borderId="1" xfId="0" applyNumberFormat="1" applyFill="1" applyBorder="1" applyAlignment="1">
      <alignment horizontal="center"/>
    </xf>
    <xf numFmtId="169" fontId="0" fillId="4" borderId="8" xfId="0" applyNumberFormat="1" applyFill="1" applyBorder="1" applyAlignment="1">
      <alignment horizontal="center"/>
    </xf>
    <xf numFmtId="169" fontId="0" fillId="7" borderId="0" xfId="0" applyNumberFormat="1" applyFill="1" applyAlignment="1">
      <alignment horizontal="center"/>
    </xf>
    <xf numFmtId="169" fontId="0" fillId="7" borderId="7" xfId="0" applyNumberFormat="1" applyFill="1" applyBorder="1" applyAlignment="1">
      <alignment horizontal="center"/>
    </xf>
    <xf numFmtId="169" fontId="0" fillId="7" borderId="1" xfId="0" applyNumberFormat="1" applyFill="1" applyBorder="1" applyAlignment="1">
      <alignment horizontal="center"/>
    </xf>
    <xf numFmtId="169" fontId="0" fillId="7" borderId="8" xfId="0" applyNumberFormat="1" applyFill="1" applyBorder="1" applyAlignment="1">
      <alignment horizontal="center"/>
    </xf>
    <xf numFmtId="169" fontId="1" fillId="5" borderId="0" xfId="0" applyNumberFormat="1" applyFont="1" applyFill="1" applyAlignment="1">
      <alignment horizontal="center"/>
    </xf>
    <xf numFmtId="169" fontId="1" fillId="5" borderId="7" xfId="0" applyNumberFormat="1" applyFont="1" applyFill="1" applyBorder="1" applyAlignment="1">
      <alignment horizontal="center"/>
    </xf>
    <xf numFmtId="169" fontId="0" fillId="5" borderId="0" xfId="0" applyNumberFormat="1" applyFill="1" applyAlignment="1">
      <alignment horizontal="center"/>
    </xf>
    <xf numFmtId="169" fontId="0" fillId="5" borderId="7" xfId="0" applyNumberFormat="1" applyFill="1" applyBorder="1" applyAlignment="1">
      <alignment horizontal="center"/>
    </xf>
    <xf numFmtId="0" fontId="12" fillId="9" borderId="0" xfId="0" applyFont="1" applyFill="1" applyAlignment="1" applyProtection="1">
      <alignment horizontal="left"/>
      <protection locked="0"/>
    </xf>
    <xf numFmtId="0" fontId="1" fillId="4" borderId="3" xfId="0" applyFont="1" applyFill="1" applyBorder="1" applyAlignment="1">
      <alignment horizontal="center"/>
    </xf>
    <xf numFmtId="0" fontId="1" fillId="7" borderId="3" xfId="0" applyFont="1" applyFill="1" applyBorder="1" applyAlignment="1">
      <alignment horizontal="center"/>
    </xf>
    <xf numFmtId="171" fontId="1" fillId="5" borderId="6" xfId="0" applyNumberFormat="1" applyFont="1" applyFill="1" applyBorder="1" applyAlignment="1">
      <alignment horizontal="center"/>
    </xf>
    <xf numFmtId="171" fontId="0" fillId="5" borderId="6" xfId="0" applyNumberFormat="1" applyFill="1" applyBorder="1" applyAlignment="1">
      <alignment horizontal="center"/>
    </xf>
    <xf numFmtId="171" fontId="0" fillId="5" borderId="9" xfId="0" applyNumberFormat="1" applyFill="1" applyBorder="1" applyAlignment="1">
      <alignment horizontal="center"/>
    </xf>
    <xf numFmtId="171" fontId="1" fillId="7" borderId="6" xfId="0" applyNumberFormat="1" applyFont="1" applyFill="1" applyBorder="1" applyAlignment="1">
      <alignment horizontal="center"/>
    </xf>
    <xf numFmtId="171" fontId="0" fillId="7" borderId="6" xfId="0" applyNumberFormat="1" applyFill="1" applyBorder="1" applyAlignment="1">
      <alignment horizontal="center"/>
    </xf>
    <xf numFmtId="171" fontId="0" fillId="7" borderId="9" xfId="0" applyNumberFormat="1" applyFill="1" applyBorder="1" applyAlignment="1">
      <alignment horizontal="center"/>
    </xf>
    <xf numFmtId="171" fontId="1" fillId="4" borderId="6" xfId="0" applyNumberFormat="1" applyFont="1" applyFill="1" applyBorder="1" applyAlignment="1">
      <alignment horizontal="center"/>
    </xf>
    <xf numFmtId="171" fontId="0" fillId="4" borderId="6" xfId="0" applyNumberFormat="1" applyFill="1" applyBorder="1" applyAlignment="1">
      <alignment horizontal="center"/>
    </xf>
    <xf numFmtId="171" fontId="0" fillId="4" borderId="9" xfId="0" applyNumberFormat="1" applyFill="1" applyBorder="1" applyAlignment="1">
      <alignment horizontal="center"/>
    </xf>
    <xf numFmtId="172" fontId="0" fillId="4" borderId="0" xfId="0" applyNumberFormat="1" applyFill="1" applyAlignment="1">
      <alignment horizontal="center"/>
    </xf>
    <xf numFmtId="172" fontId="0" fillId="7" borderId="0" xfId="0" applyNumberFormat="1" applyFill="1" applyAlignment="1">
      <alignment horizontal="center"/>
    </xf>
    <xf numFmtId="172" fontId="0" fillId="5" borderId="0" xfId="0" applyNumberFormat="1" applyFill="1" applyAlignment="1">
      <alignment horizontal="center"/>
    </xf>
    <xf numFmtId="172" fontId="0" fillId="5" borderId="7" xfId="0" applyNumberFormat="1" applyFill="1" applyBorder="1" applyAlignment="1">
      <alignment horizontal="center"/>
    </xf>
    <xf numFmtId="0" fontId="0" fillId="12" borderId="0" xfId="0" applyFill="1"/>
    <xf numFmtId="0" fontId="1" fillId="4" borderId="10" xfId="0" applyFont="1" applyFill="1" applyBorder="1" applyAlignment="1">
      <alignment horizontal="center"/>
    </xf>
    <xf numFmtId="0" fontId="1" fillId="7" borderId="10" xfId="0" applyFont="1" applyFill="1" applyBorder="1" applyAlignment="1">
      <alignment horizontal="center"/>
    </xf>
    <xf numFmtId="0" fontId="25" fillId="2" borderId="0" xfId="0" applyFont="1" applyFill="1"/>
    <xf numFmtId="0" fontId="26" fillId="2" borderId="0" xfId="0" applyFont="1" applyFill="1"/>
    <xf numFmtId="14" fontId="0" fillId="2" borderId="0" xfId="0" applyNumberFormat="1" applyFill="1"/>
    <xf numFmtId="0" fontId="24" fillId="2" borderId="0" xfId="1" applyFill="1" applyProtection="1"/>
    <xf numFmtId="9" fontId="0" fillId="2" borderId="0" xfId="0" applyNumberFormat="1" applyFill="1"/>
    <xf numFmtId="9" fontId="1" fillId="2" borderId="0" xfId="0" applyNumberFormat="1" applyFont="1" applyFill="1"/>
    <xf numFmtId="0" fontId="4" fillId="0" borderId="0" xfId="0" applyFont="1" applyAlignment="1">
      <alignment horizontal="right"/>
    </xf>
    <xf numFmtId="0" fontId="4" fillId="2" borderId="0" xfId="0" applyFont="1" applyFill="1"/>
    <xf numFmtId="0" fontId="2" fillId="2" borderId="11" xfId="0" applyFont="1" applyFill="1" applyBorder="1"/>
    <xf numFmtId="49" fontId="0" fillId="2" borderId="5" xfId="0" applyNumberFormat="1" applyFill="1" applyBorder="1"/>
    <xf numFmtId="49" fontId="0" fillId="2" borderId="0" xfId="0" applyNumberFormat="1" applyFill="1"/>
    <xf numFmtId="49" fontId="0" fillId="2" borderId="12" xfId="0" applyNumberFormat="1" applyFill="1" applyBorder="1"/>
    <xf numFmtId="1" fontId="0" fillId="2" borderId="0" xfId="0" applyNumberFormat="1" applyFill="1"/>
    <xf numFmtId="0" fontId="1" fillId="3" borderId="0" xfId="0" applyFont="1" applyFill="1" applyAlignment="1">
      <alignment horizontal="right" vertical="center"/>
    </xf>
    <xf numFmtId="0" fontId="0" fillId="2" borderId="0" xfId="0" applyFill="1" applyAlignment="1">
      <alignment vertical="center"/>
    </xf>
    <xf numFmtId="0" fontId="0" fillId="3" borderId="0" xfId="0" applyFill="1" applyAlignment="1">
      <alignment horizontal="center" vertical="center"/>
    </xf>
    <xf numFmtId="169" fontId="0" fillId="8" borderId="13" xfId="0" applyNumberFormat="1" applyFill="1" applyBorder="1" applyAlignment="1" applyProtection="1">
      <alignment horizontal="center" vertical="center"/>
      <protection locked="0"/>
    </xf>
    <xf numFmtId="0" fontId="0" fillId="3" borderId="0" xfId="0" applyFill="1" applyAlignment="1">
      <alignment vertical="center"/>
    </xf>
    <xf numFmtId="0" fontId="1" fillId="3" borderId="0" xfId="0" applyFont="1" applyFill="1" applyAlignment="1">
      <alignment vertical="center"/>
    </xf>
    <xf numFmtId="0" fontId="1" fillId="3" borderId="0" xfId="0" applyFont="1" applyFill="1" applyAlignment="1" applyProtection="1">
      <alignment horizontal="right" vertical="center"/>
      <protection locked="0"/>
    </xf>
    <xf numFmtId="0" fontId="0" fillId="10" borderId="13" xfId="0" applyFill="1" applyBorder="1" applyAlignment="1">
      <alignment horizontal="center" vertical="center"/>
    </xf>
    <xf numFmtId="0" fontId="0" fillId="0" borderId="0" xfId="0" applyAlignment="1">
      <alignment vertical="center"/>
    </xf>
    <xf numFmtId="170" fontId="0" fillId="2" borderId="14" xfId="0" applyNumberFormat="1" applyFill="1" applyBorder="1" applyAlignment="1" applyProtection="1">
      <alignment horizontal="center" vertical="center"/>
      <protection locked="0"/>
    </xf>
    <xf numFmtId="0" fontId="1" fillId="3" borderId="0" xfId="0" applyFont="1" applyFill="1" applyAlignment="1">
      <alignment horizontal="center" vertical="center"/>
    </xf>
    <xf numFmtId="0" fontId="0" fillId="0" borderId="0" xfId="0" applyAlignment="1">
      <alignment horizontal="right" vertical="center"/>
    </xf>
    <xf numFmtId="49" fontId="2" fillId="10" borderId="13" xfId="0" applyNumberFormat="1" applyFont="1" applyFill="1" applyBorder="1" applyAlignment="1" applyProtection="1">
      <alignment horizontal="center" vertical="center"/>
      <protection locked="0"/>
    </xf>
    <xf numFmtId="0" fontId="0" fillId="0" borderId="14" xfId="0" applyBorder="1" applyAlignment="1">
      <alignment horizontal="center" vertical="center"/>
    </xf>
    <xf numFmtId="1" fontId="0" fillId="10" borderId="13" xfId="0" applyNumberFormat="1" applyFill="1" applyBorder="1" applyAlignment="1" applyProtection="1">
      <alignment horizontal="center" vertical="center"/>
      <protection locked="0"/>
    </xf>
    <xf numFmtId="1" fontId="0" fillId="0" borderId="13" xfId="0" applyNumberFormat="1" applyBorder="1" applyAlignment="1">
      <alignment horizontal="center" vertical="center"/>
    </xf>
    <xf numFmtId="0" fontId="13" fillId="2" borderId="0" xfId="0" applyFont="1" applyFill="1" applyAlignment="1">
      <alignment vertical="center"/>
    </xf>
    <xf numFmtId="166" fontId="0" fillId="3" borderId="0" xfId="0" applyNumberFormat="1" applyFill="1"/>
    <xf numFmtId="1" fontId="1" fillId="3" borderId="0" xfId="0" applyNumberFormat="1" applyFont="1" applyFill="1"/>
    <xf numFmtId="2" fontId="0" fillId="2" borderId="0" xfId="0" applyNumberFormat="1" applyFill="1"/>
    <xf numFmtId="0" fontId="1" fillId="3" borderId="0" xfId="0" applyFont="1" applyFill="1" applyAlignment="1">
      <alignment horizontal="left"/>
    </xf>
    <xf numFmtId="0" fontId="19" fillId="2" borderId="15" xfId="0" applyFont="1" applyFill="1" applyBorder="1" applyAlignment="1">
      <alignment vertical="center"/>
    </xf>
    <xf numFmtId="0" fontId="11" fillId="3" borderId="0" xfId="0" applyFont="1" applyFill="1" applyAlignment="1">
      <alignment vertical="center"/>
    </xf>
    <xf numFmtId="2" fontId="0" fillId="3" borderId="0" xfId="0" applyNumberFormat="1" applyFill="1"/>
    <xf numFmtId="0" fontId="27" fillId="3" borderId="0" xfId="0" applyFont="1" applyFill="1"/>
    <xf numFmtId="0" fontId="1" fillId="2" borderId="0" xfId="0" applyFont="1" applyFill="1" applyAlignment="1">
      <alignment horizontal="center"/>
    </xf>
    <xf numFmtId="0" fontId="4" fillId="3" borderId="0" xfId="0" applyFont="1" applyFill="1" applyAlignment="1">
      <alignment horizontal="right" vertical="center"/>
    </xf>
    <xf numFmtId="0" fontId="1" fillId="0" borderId="0" xfId="0" applyFont="1" applyAlignment="1">
      <alignment horizontal="right" vertical="center"/>
    </xf>
    <xf numFmtId="0" fontId="3" fillId="3" borderId="0" xfId="0" applyFont="1" applyFill="1" applyAlignment="1">
      <alignment horizontal="right" vertical="center"/>
    </xf>
    <xf numFmtId="0" fontId="4" fillId="3" borderId="0" xfId="0" applyFont="1" applyFill="1" applyAlignment="1">
      <alignment vertical="center"/>
    </xf>
    <xf numFmtId="0" fontId="1" fillId="2" borderId="0" xfId="0" applyFont="1" applyFill="1" applyAlignment="1">
      <alignment horizontal="right" vertical="center"/>
    </xf>
    <xf numFmtId="0" fontId="8" fillId="0" borderId="0" xfId="0" applyFont="1" applyAlignment="1">
      <alignment horizontal="center" vertical="center"/>
    </xf>
    <xf numFmtId="0" fontId="1" fillId="12" borderId="7" xfId="0" applyFont="1" applyFill="1" applyBorder="1" applyAlignment="1">
      <alignment horizontal="right" vertical="center"/>
    </xf>
    <xf numFmtId="0" fontId="1" fillId="0" borderId="7" xfId="0" applyFont="1" applyBorder="1" applyAlignment="1">
      <alignment horizontal="right" vertical="center"/>
    </xf>
    <xf numFmtId="0" fontId="26" fillId="2" borderId="0" xfId="0" applyFont="1" applyFill="1" applyAlignment="1">
      <alignment vertical="center"/>
    </xf>
    <xf numFmtId="0" fontId="25" fillId="2" borderId="0" xfId="0" applyFont="1" applyFill="1" applyAlignment="1">
      <alignment vertical="center"/>
    </xf>
    <xf numFmtId="164" fontId="0" fillId="2" borderId="11" xfId="0" applyNumberFormat="1" applyFill="1" applyBorder="1" applyAlignment="1">
      <alignment horizontal="center" vertical="center"/>
    </xf>
    <xf numFmtId="0" fontId="28" fillId="2" borderId="0" xfId="0" applyFont="1" applyFill="1" applyAlignment="1">
      <alignment horizontal="right" vertical="center"/>
    </xf>
    <xf numFmtId="0" fontId="1" fillId="2" borderId="0" xfId="0" applyFont="1" applyFill="1" applyAlignment="1">
      <alignment vertical="center"/>
    </xf>
    <xf numFmtId="0" fontId="2" fillId="9" borderId="11" xfId="0" applyFont="1" applyFill="1" applyBorder="1" applyAlignment="1" applyProtection="1">
      <alignment horizontal="center" vertical="center"/>
      <protection locked="0"/>
    </xf>
    <xf numFmtId="9" fontId="1" fillId="9" borderId="11" xfId="0" applyNumberFormat="1" applyFont="1" applyFill="1" applyBorder="1" applyAlignment="1" applyProtection="1">
      <alignment horizontal="center" vertical="center"/>
      <protection locked="0"/>
    </xf>
    <xf numFmtId="2" fontId="1" fillId="0" borderId="11" xfId="0" applyNumberFormat="1" applyFont="1" applyBorder="1" applyAlignment="1">
      <alignment horizontal="center" vertical="center"/>
    </xf>
    <xf numFmtId="2" fontId="1" fillId="2" borderId="11" xfId="0" applyNumberFormat="1" applyFont="1" applyFill="1" applyBorder="1" applyAlignment="1">
      <alignment horizontal="center" vertical="center"/>
    </xf>
    <xf numFmtId="0" fontId="1" fillId="0" borderId="11" xfId="0" applyFont="1" applyBorder="1" applyAlignment="1">
      <alignment horizontal="center" vertical="center"/>
    </xf>
    <xf numFmtId="0" fontId="27" fillId="2" borderId="11" xfId="0" applyFont="1" applyFill="1" applyBorder="1" applyAlignment="1">
      <alignment horizontal="center" vertical="center"/>
    </xf>
    <xf numFmtId="168" fontId="0" fillId="3" borderId="11" xfId="0" applyNumberFormat="1" applyFill="1" applyBorder="1" applyAlignment="1">
      <alignment horizontal="center" vertical="center"/>
    </xf>
    <xf numFmtId="4" fontId="0" fillId="3" borderId="0" xfId="0" applyNumberFormat="1" applyFill="1" applyAlignment="1">
      <alignment horizontal="center" vertical="center"/>
    </xf>
    <xf numFmtId="0" fontId="1" fillId="9" borderId="11" xfId="0" applyFont="1" applyFill="1" applyBorder="1" applyAlignment="1" applyProtection="1">
      <alignment horizontal="center" vertical="center"/>
      <protection locked="0"/>
    </xf>
    <xf numFmtId="164" fontId="1" fillId="13" borderId="11" xfId="0" applyNumberFormat="1" applyFont="1" applyFill="1" applyBorder="1" applyAlignment="1">
      <alignment horizontal="center" vertical="center"/>
    </xf>
    <xf numFmtId="9" fontId="0" fillId="9" borderId="11" xfId="0" applyNumberFormat="1" applyFill="1" applyBorder="1" applyAlignment="1" applyProtection="1">
      <alignment horizontal="center" vertical="center"/>
      <protection locked="0"/>
    </xf>
    <xf numFmtId="0" fontId="1" fillId="2" borderId="11" xfId="0" applyFont="1" applyFill="1" applyBorder="1" applyAlignment="1">
      <alignment horizontal="center" vertical="center"/>
    </xf>
    <xf numFmtId="164" fontId="1" fillId="2" borderId="16" xfId="0" applyNumberFormat="1" applyFont="1" applyFill="1" applyBorder="1" applyAlignment="1">
      <alignment horizontal="center" vertical="center"/>
    </xf>
    <xf numFmtId="0" fontId="1" fillId="8" borderId="11" xfId="0" applyFont="1" applyFill="1" applyBorder="1" applyAlignment="1" applyProtection="1">
      <alignment horizontal="center" vertical="center"/>
      <protection locked="0"/>
    </xf>
    <xf numFmtId="164" fontId="1" fillId="2" borderId="11" xfId="0" applyNumberFormat="1" applyFont="1" applyFill="1" applyBorder="1" applyAlignment="1">
      <alignment horizontal="center" vertical="center"/>
    </xf>
    <xf numFmtId="0" fontId="0" fillId="9" borderId="11" xfId="0" applyFill="1" applyBorder="1" applyAlignment="1" applyProtection="1">
      <alignment horizontal="center" vertical="center"/>
      <protection locked="0"/>
    </xf>
    <xf numFmtId="1" fontId="0" fillId="2" borderId="11" xfId="0" applyNumberFormat="1" applyFill="1" applyBorder="1" applyAlignment="1">
      <alignment horizontal="center" vertical="center"/>
    </xf>
    <xf numFmtId="1" fontId="0" fillId="8" borderId="11" xfId="0" applyNumberFormat="1" applyFill="1" applyBorder="1" applyAlignment="1" applyProtection="1">
      <alignment horizontal="center" vertical="center"/>
      <protection locked="0"/>
    </xf>
    <xf numFmtId="1" fontId="0" fillId="9" borderId="11" xfId="0" applyNumberFormat="1" applyFill="1" applyBorder="1" applyAlignment="1" applyProtection="1">
      <alignment horizontal="center" vertical="center"/>
      <protection locked="0"/>
    </xf>
    <xf numFmtId="164" fontId="1" fillId="0" borderId="11" xfId="0" applyNumberFormat="1" applyFont="1" applyBorder="1" applyAlignment="1">
      <alignment horizontal="center" vertical="center"/>
    </xf>
    <xf numFmtId="2" fontId="0" fillId="2" borderId="0" xfId="0" applyNumberFormat="1" applyFill="1" applyAlignment="1">
      <alignment horizontal="center" vertical="center"/>
    </xf>
    <xf numFmtId="0" fontId="0" fillId="8" borderId="11" xfId="0" applyFill="1" applyBorder="1" applyAlignment="1" applyProtection="1">
      <alignment horizontal="center" vertical="center"/>
      <protection locked="0"/>
    </xf>
    <xf numFmtId="2" fontId="0" fillId="3" borderId="11" xfId="0" applyNumberFormat="1" applyFill="1" applyBorder="1" applyAlignment="1">
      <alignment horizontal="center" vertical="center"/>
    </xf>
    <xf numFmtId="164" fontId="0" fillId="3" borderId="0" xfId="0" applyNumberFormat="1" applyFill="1" applyAlignment="1">
      <alignment horizontal="center" vertical="center"/>
    </xf>
    <xf numFmtId="164" fontId="0" fillId="0" borderId="11" xfId="0" applyNumberFormat="1" applyBorder="1" applyAlignment="1">
      <alignment horizontal="center" vertical="center"/>
    </xf>
    <xf numFmtId="2" fontId="0" fillId="2" borderId="11" xfId="0" applyNumberFormat="1" applyFill="1" applyBorder="1" applyAlignment="1">
      <alignment horizontal="center" vertical="center"/>
    </xf>
    <xf numFmtId="0" fontId="0" fillId="14" borderId="11" xfId="0" applyFill="1" applyBorder="1" applyAlignment="1" applyProtection="1">
      <alignment horizontal="center" vertical="center"/>
      <protection locked="0"/>
    </xf>
    <xf numFmtId="0" fontId="0" fillId="6" borderId="11" xfId="0" applyFill="1" applyBorder="1" applyAlignment="1">
      <alignment horizontal="center" vertical="center"/>
    </xf>
    <xf numFmtId="2" fontId="0" fillId="0" borderId="11" xfId="0" applyNumberFormat="1" applyBorder="1" applyAlignment="1">
      <alignment horizontal="center" vertical="center"/>
    </xf>
    <xf numFmtId="1" fontId="0" fillId="0" borderId="11" xfId="0" applyNumberFormat="1" applyBorder="1" applyAlignment="1">
      <alignment horizontal="center" vertical="center"/>
    </xf>
    <xf numFmtId="11" fontId="1" fillId="3" borderId="0" xfId="0" applyNumberFormat="1" applyFont="1" applyFill="1"/>
    <xf numFmtId="0" fontId="1" fillId="3" borderId="0" xfId="0" applyFont="1" applyFill="1" applyAlignment="1">
      <alignment horizontal="center"/>
    </xf>
    <xf numFmtId="0" fontId="2" fillId="3" borderId="0" xfId="0" applyFont="1" applyFill="1" applyAlignment="1">
      <alignment horizontal="left"/>
    </xf>
    <xf numFmtId="166" fontId="4" fillId="3" borderId="0" xfId="0" applyNumberFormat="1" applyFont="1" applyFill="1" applyAlignment="1">
      <alignment horizontal="center"/>
    </xf>
    <xf numFmtId="164" fontId="1" fillId="3" borderId="0" xfId="0" applyNumberFormat="1" applyFont="1" applyFill="1"/>
    <xf numFmtId="164" fontId="0" fillId="2" borderId="0" xfId="0" applyNumberFormat="1" applyFill="1"/>
    <xf numFmtId="0" fontId="3" fillId="9" borderId="0" xfId="0" applyFont="1" applyFill="1" applyAlignment="1">
      <alignment horizontal="center" vertical="center"/>
    </xf>
    <xf numFmtId="0" fontId="1" fillId="0" borderId="0" xfId="2"/>
    <xf numFmtId="11" fontId="0" fillId="0" borderId="0" xfId="0" applyNumberFormat="1"/>
    <xf numFmtId="11" fontId="0" fillId="2" borderId="0" xfId="0" applyNumberFormat="1" applyFill="1"/>
    <xf numFmtId="0" fontId="7" fillId="0" borderId="0" xfId="0" applyFont="1" applyAlignment="1">
      <alignment horizontal="left"/>
    </xf>
    <xf numFmtId="0" fontId="1" fillId="0" borderId="0" xfId="0" applyFont="1"/>
    <xf numFmtId="1" fontId="1" fillId="0" borderId="0" xfId="0" applyNumberFormat="1" applyFont="1"/>
    <xf numFmtId="1" fontId="0" fillId="0" borderId="0" xfId="0" applyNumberFormat="1"/>
    <xf numFmtId="167" fontId="0" fillId="0" borderId="0" xfId="0" applyNumberFormat="1"/>
    <xf numFmtId="0" fontId="2" fillId="0" borderId="0" xfId="0" applyFont="1"/>
    <xf numFmtId="11" fontId="0" fillId="0" borderId="11" xfId="0" applyNumberFormat="1" applyBorder="1" applyAlignment="1">
      <alignment horizontal="center"/>
    </xf>
    <xf numFmtId="11" fontId="0" fillId="0" borderId="11" xfId="0" applyNumberFormat="1" applyBorder="1"/>
    <xf numFmtId="11" fontId="1" fillId="0" borderId="11" xfId="3" applyNumberFormat="1" applyFont="1" applyFill="1" applyBorder="1"/>
    <xf numFmtId="0" fontId="0" fillId="0" borderId="11" xfId="0" applyBorder="1"/>
    <xf numFmtId="11" fontId="0" fillId="0" borderId="12" xfId="0" applyNumberFormat="1" applyBorder="1" applyAlignment="1">
      <alignment horizontal="center"/>
    </xf>
    <xf numFmtId="11" fontId="0" fillId="0" borderId="12" xfId="0" applyNumberFormat="1" applyBorder="1"/>
    <xf numFmtId="11" fontId="1" fillId="0" borderId="12" xfId="3" applyNumberFormat="1" applyFont="1" applyFill="1" applyBorder="1"/>
    <xf numFmtId="11" fontId="1" fillId="0" borderId="12" xfId="0" applyNumberFormat="1" applyFont="1" applyBorder="1"/>
    <xf numFmtId="0" fontId="0" fillId="0" borderId="12" xfId="0" applyBorder="1"/>
    <xf numFmtId="0" fontId="2" fillId="0" borderId="25" xfId="0" applyFont="1" applyBorder="1" applyAlignment="1">
      <alignment horizontal="center" wrapText="1"/>
    </xf>
    <xf numFmtId="0" fontId="2" fillId="0" borderId="25" xfId="0" applyFont="1" applyBorder="1" applyAlignment="1">
      <alignment horizontal="center"/>
    </xf>
    <xf numFmtId="0" fontId="0" fillId="0" borderId="25" xfId="0" applyBorder="1"/>
    <xf numFmtId="2" fontId="0" fillId="0" borderId="12" xfId="0" applyNumberFormat="1" applyBorder="1" applyAlignment="1">
      <alignment horizontal="center"/>
    </xf>
    <xf numFmtId="0" fontId="0" fillId="0" borderId="12" xfId="0" applyBorder="1" applyAlignment="1">
      <alignment horizontal="center"/>
    </xf>
    <xf numFmtId="0" fontId="30" fillId="2" borderId="0" xfId="0" applyFont="1" applyFill="1"/>
    <xf numFmtId="167" fontId="30" fillId="3" borderId="0" xfId="0" applyNumberFormat="1" applyFont="1" applyFill="1"/>
    <xf numFmtId="0" fontId="30" fillId="3" borderId="0" xfId="0" applyFont="1" applyFill="1"/>
    <xf numFmtId="0" fontId="30" fillId="0" borderId="0" xfId="2" applyFont="1"/>
    <xf numFmtId="0" fontId="30" fillId="2" borderId="0" xfId="2" applyFont="1" applyFill="1"/>
    <xf numFmtId="2" fontId="30" fillId="3" borderId="0" xfId="0" applyNumberFormat="1" applyFont="1" applyFill="1"/>
    <xf numFmtId="1" fontId="0" fillId="14" borderId="11" xfId="0" applyNumberFormat="1" applyFill="1" applyBorder="1" applyAlignment="1" applyProtection="1">
      <alignment horizontal="center" vertical="center"/>
      <protection locked="0"/>
    </xf>
    <xf numFmtId="0" fontId="27" fillId="2" borderId="17" xfId="0" applyFont="1" applyFill="1" applyBorder="1" applyAlignment="1">
      <alignment horizontal="left" vertical="center" wrapText="1"/>
    </xf>
    <xf numFmtId="0" fontId="1"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20" xfId="0" applyFont="1" applyFill="1" applyBorder="1" applyAlignment="1">
      <alignment horizontal="left" vertical="center"/>
    </xf>
    <xf numFmtId="0" fontId="1" fillId="2" borderId="0" xfId="0" applyFont="1" applyFill="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3" xfId="0" applyFont="1" applyFill="1" applyBorder="1" applyAlignment="1">
      <alignment horizontal="left" vertical="center"/>
    </xf>
    <xf numFmtId="0" fontId="1" fillId="2" borderId="24" xfId="0" applyFont="1" applyFill="1" applyBorder="1" applyAlignment="1">
      <alignment horizontal="left" vertical="center"/>
    </xf>
  </cellXfs>
  <cellStyles count="4">
    <cellStyle name="Normal 2" xfId="2" xr:uid="{00000000-0005-0000-0000-000002000000}"/>
    <cellStyle name="一般" xfId="0" builtinId="0"/>
    <cellStyle name="壞" xfId="1" builtinId="27"/>
    <cellStyle name="百分比" xfId="3" builtinId="5"/>
  </cellStyles>
  <dxfs count="16">
    <dxf>
      <font>
        <condense val="0"/>
        <extend val="0"/>
        <color indexed="9"/>
      </font>
      <fill>
        <patternFill>
          <bgColor indexed="9"/>
        </patternFill>
      </fill>
      <border>
        <left/>
        <right/>
        <bottom/>
      </border>
    </dxf>
    <dxf>
      <font>
        <b val="0"/>
        <i val="0"/>
        <condense val="0"/>
        <extend val="0"/>
      </font>
      <fill>
        <patternFill patternType="solid">
          <bgColor indexed="43"/>
        </patternFill>
      </fill>
      <border>
        <left style="thin">
          <color indexed="64"/>
        </left>
        <right style="thin">
          <color indexed="64"/>
        </right>
        <top style="thin">
          <color indexed="64"/>
        </top>
        <bottom style="thin">
          <color indexed="64"/>
        </bottom>
      </border>
    </dxf>
    <dxf>
      <border>
        <left/>
        <right/>
        <top/>
        <bottom/>
      </border>
    </dxf>
    <dxf>
      <font>
        <b val="0"/>
        <i val="0"/>
        <condense val="0"/>
        <extend val="0"/>
      </font>
      <fill>
        <patternFill patternType="solid">
          <bgColor indexed="43"/>
        </patternFill>
      </fill>
      <border>
        <left style="thin">
          <color indexed="64"/>
        </left>
        <right style="thin">
          <color indexed="64"/>
        </right>
        <top style="thin">
          <color indexed="64"/>
        </top>
        <bottom style="thin">
          <color indexed="64"/>
        </bottom>
      </border>
    </dxf>
    <dxf>
      <border>
        <left/>
        <right/>
        <top/>
        <bottom/>
      </border>
    </dxf>
    <dxf>
      <font>
        <b val="0"/>
        <i val="0"/>
        <condense val="0"/>
        <extend val="0"/>
      </font>
      <fill>
        <patternFill patternType="solid">
          <bgColor indexed="43"/>
        </patternFill>
      </fill>
      <border>
        <left style="thin">
          <color indexed="64"/>
        </left>
        <right style="thin">
          <color indexed="64"/>
        </right>
        <top style="thin">
          <color indexed="64"/>
        </top>
        <bottom style="thin">
          <color indexed="64"/>
        </bottom>
      </border>
    </dxf>
    <dxf>
      <border>
        <left/>
        <right/>
        <top/>
        <bottom/>
      </border>
    </dxf>
    <dxf>
      <font>
        <b val="0"/>
        <i val="0"/>
        <condense val="0"/>
        <extend val="0"/>
      </font>
      <fill>
        <patternFill patternType="solid">
          <bgColor indexed="43"/>
        </patternFill>
      </fill>
      <border>
        <left style="thin">
          <color indexed="64"/>
        </left>
        <right style="thin">
          <color indexed="64"/>
        </right>
        <top style="thin">
          <color indexed="64"/>
        </top>
        <bottom style="thin">
          <color indexed="64"/>
        </bottom>
      </border>
    </dxf>
    <dxf>
      <font>
        <b/>
        <i/>
      </font>
      <fill>
        <patternFill>
          <bgColor indexed="10"/>
        </patternFill>
      </fill>
      <border>
        <left style="thin">
          <color indexed="64"/>
        </left>
        <right style="thin">
          <color indexed="64"/>
        </right>
        <top style="thin">
          <color indexed="64"/>
        </top>
        <bottom style="thin">
          <color indexed="64"/>
        </bottom>
      </border>
    </dxf>
    <dxf>
      <fill>
        <patternFill>
          <bgColor indexed="43"/>
        </patternFill>
      </fill>
      <border>
        <left style="thin">
          <color indexed="64"/>
        </left>
        <right style="thin">
          <color indexed="64"/>
        </right>
        <top style="thin">
          <color indexed="64"/>
        </top>
        <bottom style="thin">
          <color indexed="64"/>
        </bottom>
      </border>
    </dxf>
    <dxf>
      <font>
        <b/>
        <i/>
        <strike val="0"/>
        <color theme="1"/>
      </font>
      <fill>
        <patternFill>
          <bgColor rgb="FFFF0000"/>
        </patternFill>
      </fill>
      <border>
        <left style="thin">
          <color indexed="64"/>
        </left>
        <right style="thin">
          <color indexed="64"/>
        </right>
        <top style="thin">
          <color indexed="64"/>
        </top>
        <bottom style="thin">
          <color indexed="64"/>
        </bottom>
      </border>
    </dxf>
    <dxf>
      <font>
        <b/>
        <i val="0"/>
      </font>
      <fill>
        <patternFill>
          <bgColor rgb="FFFF0000"/>
        </patternFill>
      </fill>
    </dxf>
    <dxf>
      <fill>
        <patternFill>
          <bgColor rgb="FFFF0000"/>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trike val="0"/>
      </font>
    </dxf>
    <dxf>
      <fill>
        <patternFill>
          <bgColor rgb="FFFF0000"/>
        </patternFill>
      </fill>
    </dxf>
  </dxfs>
  <tableStyles count="0" defaultTableStyle="TableStyleMedium9" defaultPivotStyle="PivotStyleLight16"/>
  <colors>
    <mruColors>
      <color rgb="FFFF00FF"/>
      <color rgb="FF0000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Loop Gain</a:t>
            </a:r>
            <a:r>
              <a:rPr lang="en-US" baseline="0"/>
              <a:t> &amp;</a:t>
            </a:r>
            <a:r>
              <a:rPr lang="en-US"/>
              <a:t> Phase</a:t>
            </a:r>
          </a:p>
        </c:rich>
      </c:tx>
      <c:layout>
        <c:manualLayout>
          <c:xMode val="edge"/>
          <c:yMode val="edge"/>
          <c:x val="0.37265841769778796"/>
          <c:y val="3.0936297668673798E-2"/>
        </c:manualLayout>
      </c:layout>
      <c:overlay val="0"/>
      <c:spPr>
        <a:noFill/>
        <a:ln w="25400">
          <a:noFill/>
        </a:ln>
      </c:spPr>
    </c:title>
    <c:autoTitleDeleted val="0"/>
    <c:plotArea>
      <c:layout>
        <c:manualLayout>
          <c:layoutTarget val="inner"/>
          <c:xMode val="edge"/>
          <c:yMode val="edge"/>
          <c:x val="0.11215907611548555"/>
          <c:y val="0.11576552930883643"/>
          <c:w val="0.77220720209973781"/>
          <c:h val="0.75145372562695378"/>
        </c:manualLayout>
      </c:layout>
      <c:scatterChart>
        <c:scatterStyle val="smoothMarker"/>
        <c:varyColors val="0"/>
        <c:ser>
          <c:idx val="0"/>
          <c:order val="0"/>
          <c:tx>
            <c:v>Gain</c:v>
          </c:tx>
          <c:spPr>
            <a:ln w="28575">
              <a:solidFill>
                <a:srgbClr val="0000FF"/>
              </a:solidFill>
              <a:prstDash val="solid"/>
            </a:ln>
          </c:spPr>
          <c:marker>
            <c:symbol val="none"/>
          </c:marker>
          <c:xVal>
            <c:numRef>
              <c:f>'Bode Plots'!$C$3:$C$33</c:f>
              <c:numCache>
                <c:formatCode>General</c:formatCode>
                <c:ptCount val="31"/>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numCache>
            </c:numRef>
          </c:xVal>
          <c:yVal>
            <c:numRef>
              <c:f>'Bode Plots'!$I$3:$I$33</c:f>
              <c:numCache>
                <c:formatCode>0.0</c:formatCode>
                <c:ptCount val="31"/>
                <c:pt idx="0">
                  <c:v>77.156061242670432</c:v>
                </c:pt>
                <c:pt idx="1">
                  <c:v>75.733085110364399</c:v>
                </c:pt>
                <c:pt idx="2">
                  <c:v>71.026471533826907</c:v>
                </c:pt>
                <c:pt idx="3">
                  <c:v>65.759049907512846</c:v>
                </c:pt>
                <c:pt idx="4">
                  <c:v>59.949052400604167</c:v>
                </c:pt>
                <c:pt idx="5">
                  <c:v>52.050863442697327</c:v>
                </c:pt>
                <c:pt idx="6">
                  <c:v>46.038153310454661</c:v>
                </c:pt>
                <c:pt idx="7">
                  <c:v>40.016284606746382</c:v>
                </c:pt>
                <c:pt idx="8">
                  <c:v>33.982899443082701</c:v>
                </c:pt>
                <c:pt idx="9">
                  <c:v>30.440625765781476</c:v>
                </c:pt>
                <c:pt idx="10">
                  <c:v>27.916132175845043</c:v>
                </c:pt>
                <c:pt idx="11">
                  <c:v>25.949060775412228</c:v>
                </c:pt>
                <c:pt idx="12">
                  <c:v>24.335209307778371</c:v>
                </c:pt>
                <c:pt idx="13">
                  <c:v>22.351929147540943</c:v>
                </c:pt>
                <c:pt idx="14">
                  <c:v>19.784077198643153</c:v>
                </c:pt>
                <c:pt idx="15">
                  <c:v>16.15040990342775</c:v>
                </c:pt>
                <c:pt idx="16">
                  <c:v>13.559109240740275</c:v>
                </c:pt>
                <c:pt idx="17">
                  <c:v>11.532027527550156</c:v>
                </c:pt>
                <c:pt idx="18">
                  <c:v>9.8556114505816268</c:v>
                </c:pt>
                <c:pt idx="19">
                  <c:v>8.416891146259589</c:v>
                </c:pt>
                <c:pt idx="20">
                  <c:v>7.1492920251652823</c:v>
                </c:pt>
                <c:pt idx="21">
                  <c:v>6.0105304492036709</c:v>
                </c:pt>
                <c:pt idx="22">
                  <c:v>4.9722433520448401</c:v>
                </c:pt>
                <c:pt idx="23">
                  <c:v>3.1232744940450656</c:v>
                </c:pt>
                <c:pt idx="24">
                  <c:v>0.75300016048809582</c:v>
                </c:pt>
                <c:pt idx="25">
                  <c:v>-2.5019243892438219</c:v>
                </c:pt>
                <c:pt idx="26">
                  <c:v>-7.4439532003889539</c:v>
                </c:pt>
                <c:pt idx="27">
                  <c:v>-11.098313633723786</c:v>
                </c:pt>
                <c:pt idx="28">
                  <c:v>-16.252859972019124</c:v>
                </c:pt>
                <c:pt idx="29">
                  <c:v>-22.724603898592502</c:v>
                </c:pt>
                <c:pt idx="30">
                  <c:v>-32.72463132793137</c:v>
                </c:pt>
              </c:numCache>
            </c:numRef>
          </c:yVal>
          <c:smooth val="1"/>
          <c:extLst>
            <c:ext xmlns:c16="http://schemas.microsoft.com/office/drawing/2014/chart" uri="{C3380CC4-5D6E-409C-BE32-E72D297353CC}">
              <c16:uniqueId val="{00000000-B329-4287-98D1-6C2176BD2E85}"/>
            </c:ext>
          </c:extLst>
        </c:ser>
        <c:dLbls>
          <c:showLegendKey val="0"/>
          <c:showVal val="0"/>
          <c:showCatName val="0"/>
          <c:showSerName val="0"/>
          <c:showPercent val="0"/>
          <c:showBubbleSize val="0"/>
        </c:dLbls>
        <c:axId val="76842112"/>
        <c:axId val="76844032"/>
      </c:scatterChart>
      <c:scatterChart>
        <c:scatterStyle val="lineMarker"/>
        <c:varyColors val="0"/>
        <c:ser>
          <c:idx val="1"/>
          <c:order val="1"/>
          <c:tx>
            <c:v>Phase</c:v>
          </c:tx>
          <c:spPr>
            <a:ln w="28575">
              <a:solidFill>
                <a:srgbClr val="FF00FF"/>
              </a:solidFill>
              <a:prstDash val="sysDash"/>
            </a:ln>
          </c:spPr>
          <c:marker>
            <c:symbol val="none"/>
          </c:marker>
          <c:xVal>
            <c:numRef>
              <c:f>'Bode Plots'!$C$3:$C$33</c:f>
              <c:numCache>
                <c:formatCode>General</c:formatCode>
                <c:ptCount val="31"/>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numCache>
            </c:numRef>
          </c:xVal>
          <c:yVal>
            <c:numRef>
              <c:f>'Bode Plots'!$J$3:$J$33</c:f>
              <c:numCache>
                <c:formatCode>0.0</c:formatCode>
                <c:ptCount val="31"/>
                <c:pt idx="0">
                  <c:v>158.92750915566708</c:v>
                </c:pt>
                <c:pt idx="1">
                  <c:v>142.3790716118196</c:v>
                </c:pt>
                <c:pt idx="2">
                  <c:v>117.41886317666305</c:v>
                </c:pt>
                <c:pt idx="3">
                  <c:v>104.51721835074471</c:v>
                </c:pt>
                <c:pt idx="4">
                  <c:v>97.326725258124711</c:v>
                </c:pt>
                <c:pt idx="5">
                  <c:v>92.801465980470127</c:v>
                </c:pt>
                <c:pt idx="6">
                  <c:v>91.146487594836387</c:v>
                </c:pt>
                <c:pt idx="7">
                  <c:v>90.06499322584466</c:v>
                </c:pt>
                <c:pt idx="8">
                  <c:v>89.031975393184524</c:v>
                </c:pt>
                <c:pt idx="9">
                  <c:v>88.277994742829009</c:v>
                </c:pt>
                <c:pt idx="10">
                  <c:v>87.625431717044165</c:v>
                </c:pt>
                <c:pt idx="11">
                  <c:v>87.039562376358148</c:v>
                </c:pt>
                <c:pt idx="12">
                  <c:v>86.505883725992263</c:v>
                </c:pt>
                <c:pt idx="13">
                  <c:v>85.781358071796035</c:v>
                </c:pt>
                <c:pt idx="14">
                  <c:v>84.710429402371574</c:v>
                </c:pt>
                <c:pt idx="15">
                  <c:v>82.799195343069229</c:v>
                </c:pt>
                <c:pt idx="16">
                  <c:v>80.973748016935616</c:v>
                </c:pt>
                <c:pt idx="17">
                  <c:v>79.167841421483288</c:v>
                </c:pt>
                <c:pt idx="18">
                  <c:v>77.380845597810477</c:v>
                </c:pt>
                <c:pt idx="19">
                  <c:v>75.623640635418354</c:v>
                </c:pt>
                <c:pt idx="20">
                  <c:v>73.90704549815014</c:v>
                </c:pt>
                <c:pt idx="21">
                  <c:v>72.239731920478931</c:v>
                </c:pt>
                <c:pt idx="22">
                  <c:v>70.628150595976223</c:v>
                </c:pt>
                <c:pt idx="23">
                  <c:v>67.588702918970739</c:v>
                </c:pt>
                <c:pt idx="24">
                  <c:v>63.514383542840861</c:v>
                </c:pt>
                <c:pt idx="25">
                  <c:v>57.970524054886297</c:v>
                </c:pt>
                <c:pt idx="26">
                  <c:v>50.48020679658967</c:v>
                </c:pt>
                <c:pt idx="27">
                  <c:v>45.768227998159688</c:v>
                </c:pt>
                <c:pt idx="28">
                  <c:v>39.240186837398412</c:v>
                </c:pt>
                <c:pt idx="29">
                  <c:v>27.602534736263067</c:v>
                </c:pt>
                <c:pt idx="30">
                  <c:v>8.7250081394245171E-2</c:v>
                </c:pt>
              </c:numCache>
            </c:numRef>
          </c:yVal>
          <c:smooth val="0"/>
          <c:extLst>
            <c:ext xmlns:c16="http://schemas.microsoft.com/office/drawing/2014/chart" uri="{C3380CC4-5D6E-409C-BE32-E72D297353CC}">
              <c16:uniqueId val="{00000001-B329-4287-98D1-6C2176BD2E85}"/>
            </c:ext>
          </c:extLst>
        </c:ser>
        <c:dLbls>
          <c:showLegendKey val="0"/>
          <c:showVal val="0"/>
          <c:showCatName val="0"/>
          <c:showSerName val="0"/>
          <c:showPercent val="0"/>
          <c:showBubbleSize val="0"/>
        </c:dLbls>
        <c:axId val="76846208"/>
        <c:axId val="76847744"/>
      </c:scatterChart>
      <c:valAx>
        <c:axId val="76842112"/>
        <c:scaling>
          <c:logBase val="10"/>
          <c:orientation val="minMax"/>
          <c:max val="100000"/>
          <c:min val="10"/>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204908257435564"/>
              <c:y val="0.93212734290566601"/>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6844032"/>
        <c:crossesAt val="-100"/>
        <c:crossBetween val="midCat"/>
      </c:valAx>
      <c:valAx>
        <c:axId val="76844032"/>
        <c:scaling>
          <c:orientation val="minMax"/>
          <c:max val="80"/>
          <c:min val="-4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3882982369139348E-2"/>
              <c:y val="0.404443044619422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6842112"/>
        <c:crossesAt val="1"/>
        <c:crossBetween val="midCat"/>
        <c:majorUnit val="20"/>
      </c:valAx>
      <c:valAx>
        <c:axId val="76846208"/>
        <c:scaling>
          <c:logBase val="10"/>
          <c:orientation val="minMax"/>
        </c:scaling>
        <c:delete val="1"/>
        <c:axPos val="b"/>
        <c:numFmt formatCode="General" sourceLinked="1"/>
        <c:majorTickMark val="out"/>
        <c:minorTickMark val="none"/>
        <c:tickLblPos val="none"/>
        <c:crossAx val="76847744"/>
        <c:crosses val="autoZero"/>
        <c:crossBetween val="midCat"/>
      </c:valAx>
      <c:valAx>
        <c:axId val="76847744"/>
        <c:scaling>
          <c:orientation val="minMax"/>
          <c:max val="180"/>
          <c:min val="-90"/>
        </c:scaling>
        <c:delete val="0"/>
        <c:axPos val="r"/>
        <c:title>
          <c:tx>
            <c:rich>
              <a:bodyPr/>
              <a:lstStyle/>
              <a:p>
                <a:pPr>
                  <a:defRPr sz="1100" b="1" i="0" u="none" strike="noStrike" baseline="0">
                    <a:solidFill>
                      <a:srgbClr val="FF00FF"/>
                    </a:solidFill>
                    <a:latin typeface="Arial"/>
                    <a:ea typeface="Arial"/>
                    <a:cs typeface="Arial"/>
                  </a:defRPr>
                </a:pPr>
                <a:r>
                  <a:rPr lang="en-US"/>
                  <a:t>Phase (°)</a:t>
                </a:r>
              </a:p>
            </c:rich>
          </c:tx>
          <c:layout>
            <c:manualLayout>
              <c:xMode val="edge"/>
              <c:yMode val="edge"/>
              <c:x val="0.93912389983510125"/>
              <c:y val="0.40123909217230186"/>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6846208"/>
        <c:crosses val="max"/>
        <c:crossBetween val="midCat"/>
        <c:majorUnit val="45"/>
      </c:valAx>
      <c:spPr>
        <a:solidFill>
          <a:srgbClr val="FFFFCC"/>
        </a:solidFill>
        <a:ln w="3175">
          <a:solidFill>
            <a:srgbClr val="000000"/>
          </a:solidFill>
          <a:prstDash val="solid"/>
        </a:ln>
      </c:spPr>
    </c:plotArea>
    <c:plotVisOnly val="1"/>
    <c:dispBlanksAs val="gap"/>
    <c:showDLblsOverMax val="0"/>
  </c:chart>
  <c:spPr>
    <a:solidFill>
      <a:schemeClr val="bg1"/>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Junction Temperature vs. VIN</a:t>
            </a:r>
          </a:p>
        </c:rich>
      </c:tx>
      <c:layout>
        <c:manualLayout>
          <c:xMode val="edge"/>
          <c:yMode val="edge"/>
          <c:x val="0.28331332533013215"/>
          <c:y val="4.3373493975903642E-2"/>
        </c:manualLayout>
      </c:layout>
      <c:overlay val="0"/>
      <c:spPr>
        <a:noFill/>
        <a:ln w="25400">
          <a:noFill/>
        </a:ln>
      </c:spPr>
    </c:title>
    <c:autoTitleDeleted val="0"/>
    <c:plotArea>
      <c:layout>
        <c:manualLayout>
          <c:layoutTarget val="inner"/>
          <c:xMode val="edge"/>
          <c:yMode val="edge"/>
          <c:x val="0.1236494597839136"/>
          <c:y val="0.1510042690446827"/>
          <c:w val="0.70828331332533012"/>
          <c:h val="0.67550276697340561"/>
        </c:manualLayout>
      </c:layout>
      <c:scatterChart>
        <c:scatterStyle val="smoothMarker"/>
        <c:varyColors val="0"/>
        <c:ser>
          <c:idx val="0"/>
          <c:order val="0"/>
          <c:tx>
            <c:v>Channel 1</c:v>
          </c:tx>
          <c:spPr>
            <a:ln>
              <a:solidFill>
                <a:schemeClr val="accent3">
                  <a:lumMod val="75000"/>
                </a:schemeClr>
              </a:solidFill>
            </a:ln>
          </c:spPr>
          <c:marker>
            <c:symbol val="none"/>
          </c:marker>
          <c:xVal>
            <c:numRef>
              <c:f>'Power Dissipation'!$D$16:$N$16</c:f>
              <c:numCache>
                <c:formatCode>0.0"V"</c:formatCode>
                <c:ptCount val="11"/>
                <c:pt idx="0">
                  <c:v>24</c:v>
                </c:pt>
                <c:pt idx="1">
                  <c:v>25</c:v>
                </c:pt>
                <c:pt idx="2">
                  <c:v>26</c:v>
                </c:pt>
                <c:pt idx="3">
                  <c:v>22.1</c:v>
                </c:pt>
                <c:pt idx="4">
                  <c:v>28</c:v>
                </c:pt>
                <c:pt idx="5">
                  <c:v>29</c:v>
                </c:pt>
                <c:pt idx="6">
                  <c:v>30</c:v>
                </c:pt>
                <c:pt idx="7">
                  <c:v>31</c:v>
                </c:pt>
                <c:pt idx="8">
                  <c:v>32</c:v>
                </c:pt>
                <c:pt idx="9">
                  <c:v>33</c:v>
                </c:pt>
                <c:pt idx="10">
                  <c:v>34</c:v>
                </c:pt>
              </c:numCache>
            </c:numRef>
          </c:xVal>
          <c:yVal>
            <c:numRef>
              <c:f>'Power Dissipation'!$D$19:$N$19</c:f>
              <c:numCache>
                <c:formatCode>0"°C"</c:formatCode>
                <c:ptCount val="11"/>
                <c:pt idx="0">
                  <c:v>52.702399999999997</c:v>
                </c:pt>
                <c:pt idx="1">
                  <c:v>53.44</c:v>
                </c:pt>
                <c:pt idx="2">
                  <c:v>54.177599999999998</c:v>
                </c:pt>
                <c:pt idx="3">
                  <c:v>51.300960000000003</c:v>
                </c:pt>
                <c:pt idx="4">
                  <c:v>55.652799999999999</c:v>
                </c:pt>
                <c:pt idx="5">
                  <c:v>56.3904</c:v>
                </c:pt>
                <c:pt idx="6">
                  <c:v>57.128</c:v>
                </c:pt>
                <c:pt idx="7">
                  <c:v>57.865600000000001</c:v>
                </c:pt>
                <c:pt idx="8">
                  <c:v>58.603200000000001</c:v>
                </c:pt>
                <c:pt idx="9">
                  <c:v>59.340800000000002</c:v>
                </c:pt>
                <c:pt idx="10">
                  <c:v>60.078400000000002</c:v>
                </c:pt>
              </c:numCache>
            </c:numRef>
          </c:yVal>
          <c:smooth val="1"/>
          <c:extLst>
            <c:ext xmlns:c16="http://schemas.microsoft.com/office/drawing/2014/chart" uri="{C3380CC4-5D6E-409C-BE32-E72D297353CC}">
              <c16:uniqueId val="{00000000-EC8D-46EE-81E5-74F953A8DBC4}"/>
            </c:ext>
          </c:extLst>
        </c:ser>
        <c:ser>
          <c:idx val="1"/>
          <c:order val="1"/>
          <c:tx>
            <c:v>Channel 2</c:v>
          </c:tx>
          <c:spPr>
            <a:ln>
              <a:solidFill>
                <a:schemeClr val="tx2">
                  <a:lumMod val="75000"/>
                </a:schemeClr>
              </a:solidFill>
            </a:ln>
          </c:spPr>
          <c:marker>
            <c:symbol val="none"/>
          </c:marker>
          <c:xVal>
            <c:numRef>
              <c:f>'Power Dissipation'!$D$22:$N$22</c:f>
              <c:numCache>
                <c:formatCode>0.0"V"</c:formatCode>
                <c:ptCount val="11"/>
                <c:pt idx="0">
                  <c:v>24</c:v>
                </c:pt>
                <c:pt idx="1">
                  <c:v>25</c:v>
                </c:pt>
                <c:pt idx="2">
                  <c:v>26</c:v>
                </c:pt>
                <c:pt idx="3">
                  <c:v>22.1</c:v>
                </c:pt>
                <c:pt idx="4">
                  <c:v>28</c:v>
                </c:pt>
                <c:pt idx="5">
                  <c:v>29</c:v>
                </c:pt>
                <c:pt idx="6">
                  <c:v>30</c:v>
                </c:pt>
                <c:pt idx="7">
                  <c:v>31</c:v>
                </c:pt>
                <c:pt idx="8">
                  <c:v>32</c:v>
                </c:pt>
                <c:pt idx="9">
                  <c:v>33</c:v>
                </c:pt>
                <c:pt idx="10">
                  <c:v>34</c:v>
                </c:pt>
              </c:numCache>
            </c:numRef>
          </c:xVal>
          <c:yVal>
            <c:numRef>
              <c:f>'Power Dissipation'!$D$25:$N$25</c:f>
              <c:numCache>
                <c:formatCode>0"°C"</c:formatCode>
                <c:ptCount val="11"/>
                <c:pt idx="0">
                  <c:v>44.542400000000001</c:v>
                </c:pt>
                <c:pt idx="1">
                  <c:v>44.94</c:v>
                </c:pt>
                <c:pt idx="2">
                  <c:v>45.337600000000002</c:v>
                </c:pt>
                <c:pt idx="3">
                  <c:v>43.786960000000001</c:v>
                </c:pt>
                <c:pt idx="4">
                  <c:v>46.132800000000003</c:v>
                </c:pt>
                <c:pt idx="5">
                  <c:v>46.5304</c:v>
                </c:pt>
                <c:pt idx="6">
                  <c:v>46.927999999999997</c:v>
                </c:pt>
                <c:pt idx="7">
                  <c:v>47.325600000000001</c:v>
                </c:pt>
                <c:pt idx="8">
                  <c:v>47.723200000000006</c:v>
                </c:pt>
                <c:pt idx="9">
                  <c:v>48.120800000000003</c:v>
                </c:pt>
                <c:pt idx="10">
                  <c:v>48.5184</c:v>
                </c:pt>
              </c:numCache>
            </c:numRef>
          </c:yVal>
          <c:smooth val="1"/>
          <c:extLst>
            <c:ext xmlns:c16="http://schemas.microsoft.com/office/drawing/2014/chart" uri="{C3380CC4-5D6E-409C-BE32-E72D297353CC}">
              <c16:uniqueId val="{00000001-EC8D-46EE-81E5-74F953A8DBC4}"/>
            </c:ext>
          </c:extLst>
        </c:ser>
        <c:ser>
          <c:idx val="2"/>
          <c:order val="2"/>
          <c:tx>
            <c:v>Both Outputs</c:v>
          </c:tx>
          <c:spPr>
            <a:ln>
              <a:solidFill>
                <a:srgbClr val="FF0000"/>
              </a:solidFill>
            </a:ln>
          </c:spPr>
          <c:marker>
            <c:symbol val="none"/>
          </c:marker>
          <c:xVal>
            <c:numRef>
              <c:f>'Power Dissipation'!$D$28:$N$28</c:f>
              <c:numCache>
                <c:formatCode>0.0"V"</c:formatCode>
                <c:ptCount val="11"/>
                <c:pt idx="0">
                  <c:v>24</c:v>
                </c:pt>
                <c:pt idx="1">
                  <c:v>25</c:v>
                </c:pt>
                <c:pt idx="2">
                  <c:v>26</c:v>
                </c:pt>
                <c:pt idx="3">
                  <c:v>22.1</c:v>
                </c:pt>
                <c:pt idx="4">
                  <c:v>28</c:v>
                </c:pt>
                <c:pt idx="5">
                  <c:v>29</c:v>
                </c:pt>
                <c:pt idx="6">
                  <c:v>30</c:v>
                </c:pt>
                <c:pt idx="7">
                  <c:v>31</c:v>
                </c:pt>
                <c:pt idx="8">
                  <c:v>32</c:v>
                </c:pt>
                <c:pt idx="9">
                  <c:v>33</c:v>
                </c:pt>
                <c:pt idx="10">
                  <c:v>34</c:v>
                </c:pt>
              </c:numCache>
            </c:numRef>
          </c:xVal>
          <c:yVal>
            <c:numRef>
              <c:f>'Power Dissipation'!$D$31:$N$31</c:f>
              <c:numCache>
                <c:formatCode>0"°C"</c:formatCode>
                <c:ptCount val="11"/>
                <c:pt idx="0">
                  <c:v>62.244799999999998</c:v>
                </c:pt>
                <c:pt idx="1">
                  <c:v>63.38</c:v>
                </c:pt>
                <c:pt idx="2">
                  <c:v>64.515199999999993</c:v>
                </c:pt>
                <c:pt idx="3">
                  <c:v>60.087919999999997</c:v>
                </c:pt>
                <c:pt idx="4">
                  <c:v>66.785599999999988</c:v>
                </c:pt>
                <c:pt idx="5">
                  <c:v>67.920799999999986</c:v>
                </c:pt>
                <c:pt idx="6">
                  <c:v>69.055999999999997</c:v>
                </c:pt>
                <c:pt idx="7">
                  <c:v>70.191200000000009</c:v>
                </c:pt>
                <c:pt idx="8">
                  <c:v>71.326400000000007</c:v>
                </c:pt>
                <c:pt idx="9">
                  <c:v>72.461600000000004</c:v>
                </c:pt>
                <c:pt idx="10">
                  <c:v>73.596800000000002</c:v>
                </c:pt>
              </c:numCache>
            </c:numRef>
          </c:yVal>
          <c:smooth val="1"/>
          <c:extLst>
            <c:ext xmlns:c16="http://schemas.microsoft.com/office/drawing/2014/chart" uri="{C3380CC4-5D6E-409C-BE32-E72D297353CC}">
              <c16:uniqueId val="{00000002-EC8D-46EE-81E5-74F953A8DBC4}"/>
            </c:ext>
          </c:extLst>
        </c:ser>
        <c:dLbls>
          <c:showLegendKey val="0"/>
          <c:showVal val="0"/>
          <c:showCatName val="0"/>
          <c:showSerName val="0"/>
          <c:showPercent val="0"/>
          <c:showBubbleSize val="0"/>
        </c:dLbls>
        <c:axId val="102872960"/>
        <c:axId val="102875136"/>
      </c:scatterChart>
      <c:valAx>
        <c:axId val="102872960"/>
        <c:scaling>
          <c:orientation val="minMax"/>
        </c:scaling>
        <c:delete val="0"/>
        <c:axPos val="b"/>
        <c:majorGridlines>
          <c:spPr>
            <a:ln w="3175">
              <a:solidFill>
                <a:srgbClr val="000000"/>
              </a:solidFill>
              <a:prstDash val="dash"/>
            </a:ln>
          </c:spPr>
        </c:majorGridlines>
        <c:title>
          <c:tx>
            <c:rich>
              <a:bodyPr/>
              <a:lstStyle/>
              <a:p>
                <a:pPr>
                  <a:defRPr sz="1200" b="1" i="0" u="none" strike="noStrike" baseline="0">
                    <a:solidFill>
                      <a:srgbClr val="000000"/>
                    </a:solidFill>
                    <a:latin typeface="Arial"/>
                    <a:ea typeface="Arial"/>
                    <a:cs typeface="Arial"/>
                  </a:defRPr>
                </a:pPr>
                <a:r>
                  <a:rPr lang="en-US"/>
                  <a:t>Input Voltage</a:t>
                </a:r>
              </a:p>
            </c:rich>
          </c:tx>
          <c:layout>
            <c:manualLayout>
              <c:xMode val="edge"/>
              <c:yMode val="edge"/>
              <c:x val="0.41736694677871161"/>
              <c:y val="0.91566366252411235"/>
            </c:manualLayout>
          </c:layout>
          <c:overlay val="0"/>
          <c:spPr>
            <a:noFill/>
            <a:ln w="25400">
              <a:noFill/>
            </a:ln>
          </c:spPr>
        </c:title>
        <c:numFmt formatCode="0&quot;V&quot;" sourceLinked="0"/>
        <c:majorTickMark val="out"/>
        <c:minorTickMark val="none"/>
        <c:tickLblPos val="nextTo"/>
        <c:spPr>
          <a:ln w="3175">
            <a:solidFill>
              <a:srgbClr val="0000FF"/>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2875136"/>
        <c:crosses val="autoZero"/>
        <c:crossBetween val="midCat"/>
      </c:valAx>
      <c:valAx>
        <c:axId val="102875136"/>
        <c:scaling>
          <c:orientation val="minMax"/>
          <c:max val="200"/>
          <c:min val="0"/>
        </c:scaling>
        <c:delete val="0"/>
        <c:axPos val="l"/>
        <c:majorGridlines>
          <c:spPr>
            <a:ln w="3175">
              <a:solidFill>
                <a:srgbClr val="000000"/>
              </a:solidFill>
              <a:prstDash val="dash"/>
            </a:ln>
          </c:spPr>
        </c:majorGridlines>
        <c:title>
          <c:tx>
            <c:rich>
              <a:bodyPr/>
              <a:lstStyle/>
              <a:p>
                <a:pPr>
                  <a:defRPr sz="1200" b="1" i="0" u="none" strike="noStrike" baseline="0">
                    <a:solidFill>
                      <a:srgbClr val="000000"/>
                    </a:solidFill>
                    <a:latin typeface="Arial"/>
                    <a:ea typeface="Arial"/>
                    <a:cs typeface="Arial"/>
                  </a:defRPr>
                </a:pPr>
                <a:r>
                  <a:rPr lang="en-US"/>
                  <a:t>Junction Temperature</a:t>
                </a:r>
              </a:p>
            </c:rich>
          </c:tx>
          <c:layout>
            <c:manualLayout>
              <c:xMode val="edge"/>
              <c:yMode val="edge"/>
              <c:x val="2.3598856865580865E-2"/>
              <c:y val="0.29468601966922825"/>
            </c:manualLayout>
          </c:layout>
          <c:overlay val="0"/>
          <c:spPr>
            <a:noFill/>
            <a:ln w="25400">
              <a:noFill/>
            </a:ln>
          </c:spPr>
        </c:title>
        <c:numFmt formatCode="0&quot;°C&quot;" sourceLinked="1"/>
        <c:majorTickMark val="out"/>
        <c:minorTickMark val="none"/>
        <c:tickLblPos val="nextTo"/>
        <c:spPr>
          <a:ln w="3175">
            <a:solidFill>
              <a:srgbClr val="0000FF"/>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2872960"/>
        <c:crosses val="autoZero"/>
        <c:crossBetween val="midCat"/>
        <c:minorUnit val="2"/>
      </c:valAx>
      <c:spPr>
        <a:ln>
          <a:solidFill>
            <a:srgbClr val="000000"/>
          </a:solidFill>
        </a:ln>
      </c:spPr>
    </c:plotArea>
    <c:legend>
      <c:legendPos val="r"/>
      <c:layout>
        <c:manualLayout>
          <c:xMode val="edge"/>
          <c:yMode val="edge"/>
          <c:x val="0.85234093637455022"/>
          <c:y val="0.46506074692470678"/>
          <c:w val="0.14045618247298927"/>
          <c:h val="0.16867495177560632"/>
        </c:manualLayout>
      </c:layout>
      <c:overlay val="0"/>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Modulator Gain &amp;</a:t>
            </a:r>
            <a:r>
              <a:rPr lang="en-US" baseline="0"/>
              <a:t> </a:t>
            </a:r>
            <a:r>
              <a:rPr lang="en-US"/>
              <a:t>Phase</a:t>
            </a:r>
          </a:p>
        </c:rich>
      </c:tx>
      <c:layout>
        <c:manualLayout>
          <c:xMode val="edge"/>
          <c:yMode val="edge"/>
          <c:x val="0.36869808286412331"/>
          <c:y val="4.4562108307890091E-2"/>
        </c:manualLayout>
      </c:layout>
      <c:overlay val="0"/>
      <c:spPr>
        <a:noFill/>
        <a:ln w="25400">
          <a:noFill/>
        </a:ln>
      </c:spPr>
    </c:title>
    <c:autoTitleDeleted val="0"/>
    <c:plotArea>
      <c:layout>
        <c:manualLayout>
          <c:layoutTarget val="inner"/>
          <c:xMode val="edge"/>
          <c:yMode val="edge"/>
          <c:x val="0.11570074233993524"/>
          <c:y val="0.14622664415010145"/>
          <c:w val="0.7533776611256926"/>
          <c:h val="0.67970565694792073"/>
        </c:manualLayout>
      </c:layout>
      <c:scatterChart>
        <c:scatterStyle val="smoothMarker"/>
        <c:varyColors val="0"/>
        <c:ser>
          <c:idx val="0"/>
          <c:order val="0"/>
          <c:spPr>
            <a:ln w="25400">
              <a:solidFill>
                <a:srgbClr val="000099"/>
              </a:solidFill>
              <a:prstDash val="solid"/>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Plots'!$E$3:$E$36</c:f>
              <c:numCache>
                <c:formatCode>0.0</c:formatCode>
                <c:ptCount val="34"/>
                <c:pt idx="0">
                  <c:v>10.09181283913242</c:v>
                </c:pt>
                <c:pt idx="1">
                  <c:v>10.091809030145047</c:v>
                </c:pt>
                <c:pt idx="2">
                  <c:v>10.091782367325898</c:v>
                </c:pt>
                <c:pt idx="3">
                  <c:v>10.091687144292154</c:v>
                </c:pt>
                <c:pt idx="4">
                  <c:v>10.091306272785816</c:v>
                </c:pt>
                <c:pt idx="5">
                  <c:v>10.088641095963304</c:v>
                </c:pt>
                <c:pt idx="6">
                  <c:v>10.079135778086748</c:v>
                </c:pt>
                <c:pt idx="7">
                  <c:v>10.041318735339127</c:v>
                </c:pt>
                <c:pt idx="8">
                  <c:v>9.8932219955606993</c:v>
                </c:pt>
                <c:pt idx="9">
                  <c:v>9.6569644923275391</c:v>
                </c:pt>
                <c:pt idx="10">
                  <c:v>9.3461626344828321</c:v>
                </c:pt>
                <c:pt idx="11">
                  <c:v>8.9763016665323843</c:v>
                </c:pt>
                <c:pt idx="12">
                  <c:v>8.5626981019350481</c:v>
                </c:pt>
                <c:pt idx="13">
                  <c:v>7.8897856450168016</c:v>
                </c:pt>
                <c:pt idx="14">
                  <c:v>6.7121721477617156</c:v>
                </c:pt>
                <c:pt idx="15">
                  <c:v>4.4425124357680232</c:v>
                </c:pt>
                <c:pt idx="16">
                  <c:v>2.4521973973508668</c:v>
                </c:pt>
                <c:pt idx="17">
                  <c:v>0.7347046580501706</c:v>
                </c:pt>
                <c:pt idx="18">
                  <c:v>-0.7632422956760776</c:v>
                </c:pt>
                <c:pt idx="19">
                  <c:v>-2.0900943870870599</c:v>
                </c:pt>
                <c:pt idx="20">
                  <c:v>-3.2828829147236842</c:v>
                </c:pt>
                <c:pt idx="21">
                  <c:v>-4.3689470565479489</c:v>
                </c:pt>
                <c:pt idx="22">
                  <c:v>-5.3684739881353636</c:v>
                </c:pt>
                <c:pt idx="23">
                  <c:v>-7.1645238062366454</c:v>
                </c:pt>
                <c:pt idx="24">
                  <c:v>-9.4865308319684765</c:v>
                </c:pt>
                <c:pt idx="25">
                  <c:v>-12.69233731211491</c:v>
                </c:pt>
                <c:pt idx="26">
                  <c:v>-17.561572402416743</c:v>
                </c:pt>
                <c:pt idx="27">
                  <c:v>-21.138653449068311</c:v>
                </c:pt>
                <c:pt idx="28">
                  <c:v>-26.095271992978319</c:v>
                </c:pt>
                <c:pt idx="29">
                  <c:v>-32.000511291659258</c:v>
                </c:pt>
                <c:pt idx="30">
                  <c:v>-40.038947169621977</c:v>
                </c:pt>
                <c:pt idx="31">
                  <c:v>-47.486710094442898</c:v>
                </c:pt>
                <c:pt idx="32">
                  <c:v>-55.707107419731862</c:v>
                </c:pt>
                <c:pt idx="33">
                  <c:v>-64.118404436249932</c:v>
                </c:pt>
              </c:numCache>
            </c:numRef>
          </c:yVal>
          <c:smooth val="1"/>
          <c:extLst>
            <c:ext xmlns:c16="http://schemas.microsoft.com/office/drawing/2014/chart" uri="{C3380CC4-5D6E-409C-BE32-E72D297353CC}">
              <c16:uniqueId val="{00000000-0011-47F6-84C4-DA2AD80B1B4E}"/>
            </c:ext>
          </c:extLst>
        </c:ser>
        <c:dLbls>
          <c:showLegendKey val="0"/>
          <c:showVal val="0"/>
          <c:showCatName val="0"/>
          <c:showSerName val="0"/>
          <c:showPercent val="0"/>
          <c:showBubbleSize val="0"/>
        </c:dLbls>
        <c:axId val="99949184"/>
        <c:axId val="99963648"/>
      </c:scatterChart>
      <c:scatterChart>
        <c:scatterStyle val="lineMarker"/>
        <c:varyColors val="0"/>
        <c:ser>
          <c:idx val="2"/>
          <c:order val="2"/>
          <c:tx>
            <c:v>Gain Mod Measured</c:v>
          </c:tx>
          <c:marker>
            <c:symbol val="none"/>
          </c:marker>
          <c:xVal>
            <c:numRef>
              <c:f>'Bode Plots'!$Q$66:$Q$565</c:f>
              <c:numCache>
                <c:formatCode>0.00E+00</c:formatCode>
                <c:ptCount val="500"/>
              </c:numCache>
            </c:numRef>
          </c:xVal>
          <c:yVal>
            <c:numRef>
              <c:f>'Bode Plots'!$R$66:$R$565</c:f>
              <c:numCache>
                <c:formatCode>0.00E+00</c:formatCode>
                <c:ptCount val="500"/>
              </c:numCache>
            </c:numRef>
          </c:yVal>
          <c:smooth val="0"/>
          <c:extLst>
            <c:ext xmlns:c16="http://schemas.microsoft.com/office/drawing/2014/chart" uri="{C3380CC4-5D6E-409C-BE32-E72D297353CC}">
              <c16:uniqueId val="{00000001-0011-47F6-84C4-DA2AD80B1B4E}"/>
            </c:ext>
          </c:extLst>
        </c:ser>
        <c:dLbls>
          <c:showLegendKey val="0"/>
          <c:showVal val="0"/>
          <c:showCatName val="0"/>
          <c:showSerName val="0"/>
          <c:showPercent val="0"/>
          <c:showBubbleSize val="0"/>
        </c:dLbls>
        <c:axId val="99949184"/>
        <c:axId val="99963648"/>
      </c:scatterChart>
      <c:scatterChart>
        <c:scatterStyle val="lineMarker"/>
        <c:varyColors val="0"/>
        <c:ser>
          <c:idx val="1"/>
          <c:order val="1"/>
          <c:spPr>
            <a:ln w="25400">
              <a:solidFill>
                <a:srgbClr val="FF00FF"/>
              </a:solidFill>
              <a:prstDash val="solid"/>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Plots'!$F$3:$F$36</c:f>
              <c:numCache>
                <c:formatCode>0.0</c:formatCode>
                <c:ptCount val="34"/>
                <c:pt idx="0">
                  <c:v>-3.2650135036192483E-2</c:v>
                </c:pt>
                <c:pt idx="1">
                  <c:v>-6.5300252111046425E-2</c:v>
                </c:pt>
                <c:pt idx="2">
                  <c:v>-0.1632503159555081</c:v>
                </c:pt>
                <c:pt idx="3">
                  <c:v>-0.32649838679066068</c:v>
                </c:pt>
                <c:pt idx="4">
                  <c:v>-0.65297881379208278</c:v>
                </c:pt>
                <c:pt idx="5">
                  <c:v>-1.632132869545202</c:v>
                </c:pt>
                <c:pt idx="6">
                  <c:v>-3.262025449764705</c:v>
                </c:pt>
                <c:pt idx="7">
                  <c:v>-6.5062446916968675</c:v>
                </c:pt>
                <c:pt idx="8">
                  <c:v>-12.87363801462811</c:v>
                </c:pt>
                <c:pt idx="9">
                  <c:v>-18.981234482060003</c:v>
                </c:pt>
                <c:pt idx="10">
                  <c:v>-24.738490597737915</c:v>
                </c:pt>
                <c:pt idx="11">
                  <c:v>-30.089757564256004</c:v>
                </c:pt>
                <c:pt idx="12">
                  <c:v>-35.011658311364528</c:v>
                </c:pt>
                <c:pt idx="13">
                  <c:v>-41.598954196527451</c:v>
                </c:pt>
                <c:pt idx="14">
                  <c:v>-50.667141202519986</c:v>
                </c:pt>
                <c:pt idx="15">
                  <c:v>-63.515060640119984</c:v>
                </c:pt>
                <c:pt idx="16">
                  <c:v>-72.068031041479856</c:v>
                </c:pt>
                <c:pt idx="17">
                  <c:v>-78.257371610073093</c:v>
                </c:pt>
                <c:pt idx="18">
                  <c:v>-83.051422841468323</c:v>
                </c:pt>
                <c:pt idx="19">
                  <c:v>-86.955843161667502</c:v>
                </c:pt>
                <c:pt idx="20">
                  <c:v>-90.252263264780296</c:v>
                </c:pt>
                <c:pt idx="21">
                  <c:v>-93.10750754822746</c:v>
                </c:pt>
                <c:pt idx="22">
                  <c:v>-95.625947395906138</c:v>
                </c:pt>
                <c:pt idx="23">
                  <c:v>-99.905148263440111</c:v>
                </c:pt>
                <c:pt idx="24">
                  <c:v>-104.96171815289411</c:v>
                </c:pt>
                <c:pt idx="25">
                  <c:v>-110.95345628542238</c:v>
                </c:pt>
                <c:pt idx="26">
                  <c:v>-117.5442915393543</c:v>
                </c:pt>
                <c:pt idx="27">
                  <c:v>-120.47796055180896</c:v>
                </c:pt>
                <c:pt idx="28">
                  <c:v>-122.68307600584846</c:v>
                </c:pt>
                <c:pt idx="29">
                  <c:v>-125.40856708657296</c:v>
                </c:pt>
                <c:pt idx="30">
                  <c:v>-135.20565643217969</c:v>
                </c:pt>
                <c:pt idx="31">
                  <c:v>-147.63366114395782</c:v>
                </c:pt>
                <c:pt idx="32">
                  <c:v>-158.96460154871258</c:v>
                </c:pt>
                <c:pt idx="33">
                  <c:v>-166.83819234417601</c:v>
                </c:pt>
              </c:numCache>
            </c:numRef>
          </c:yVal>
          <c:smooth val="0"/>
          <c:extLst>
            <c:ext xmlns:c16="http://schemas.microsoft.com/office/drawing/2014/chart" uri="{C3380CC4-5D6E-409C-BE32-E72D297353CC}">
              <c16:uniqueId val="{00000002-0011-47F6-84C4-DA2AD80B1B4E}"/>
            </c:ext>
          </c:extLst>
        </c:ser>
        <c:ser>
          <c:idx val="3"/>
          <c:order val="3"/>
          <c:tx>
            <c:v>Phase Mod Measured</c:v>
          </c:tx>
          <c:marker>
            <c:symbol val="none"/>
          </c:marker>
          <c:xVal>
            <c:numRef>
              <c:f>'Bode Plots'!$Q$66:$Q$565</c:f>
              <c:numCache>
                <c:formatCode>0.00E+00</c:formatCode>
                <c:ptCount val="500"/>
              </c:numCache>
            </c:numRef>
          </c:xVal>
          <c:yVal>
            <c:numRef>
              <c:f>'Bode Plots'!$S$66:$S$565</c:f>
              <c:numCache>
                <c:formatCode>0.00E+00</c:formatCode>
                <c:ptCount val="500"/>
              </c:numCache>
            </c:numRef>
          </c:yVal>
          <c:smooth val="0"/>
          <c:extLst>
            <c:ext xmlns:c16="http://schemas.microsoft.com/office/drawing/2014/chart" uri="{C3380CC4-5D6E-409C-BE32-E72D297353CC}">
              <c16:uniqueId val="{00000003-0011-47F6-84C4-DA2AD80B1B4E}"/>
            </c:ext>
          </c:extLst>
        </c:ser>
        <c:dLbls>
          <c:showLegendKey val="0"/>
          <c:showVal val="0"/>
          <c:showCatName val="0"/>
          <c:showSerName val="0"/>
          <c:showPercent val="0"/>
          <c:showBubbleSize val="0"/>
        </c:dLbls>
        <c:axId val="99965568"/>
        <c:axId val="99979648"/>
      </c:scatterChart>
      <c:valAx>
        <c:axId val="99949184"/>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39287846280625743"/>
              <c:y val="0.89432160265681104"/>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9963648"/>
        <c:crossesAt val="-60"/>
        <c:crossBetween val="midCat"/>
        <c:majorUnit val="10"/>
        <c:minorUnit val="10"/>
      </c:valAx>
      <c:valAx>
        <c:axId val="99963648"/>
        <c:scaling>
          <c:orientation val="minMax"/>
          <c:max val="40"/>
          <c:min val="-6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4691519369207486E-2"/>
              <c:y val="0.3913217097862770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99949184"/>
        <c:crossesAt val="1"/>
        <c:crossBetween val="midCat"/>
        <c:minorUnit val="20"/>
      </c:valAx>
      <c:valAx>
        <c:axId val="99965568"/>
        <c:scaling>
          <c:logBase val="10"/>
          <c:orientation val="minMax"/>
        </c:scaling>
        <c:delete val="1"/>
        <c:axPos val="b"/>
        <c:numFmt formatCode="General" sourceLinked="1"/>
        <c:majorTickMark val="out"/>
        <c:minorTickMark val="none"/>
        <c:tickLblPos val="none"/>
        <c:crossAx val="99979648"/>
        <c:crosses val="autoZero"/>
        <c:crossBetween val="midCat"/>
      </c:valAx>
      <c:valAx>
        <c:axId val="99979648"/>
        <c:scaling>
          <c:orientation val="minMax"/>
          <c:max val="120"/>
          <c:min val="-180"/>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3835121232252638"/>
              <c:y val="0.41754887781884442"/>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99965568"/>
        <c:crosses val="max"/>
        <c:crossBetween val="midCat"/>
        <c:majorUnit val="60"/>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Error Amplifier</a:t>
            </a:r>
            <a:r>
              <a:rPr lang="en-US" baseline="0"/>
              <a:t> </a:t>
            </a:r>
            <a:r>
              <a:rPr lang="en-US"/>
              <a:t>Gain &amp; Phase</a:t>
            </a:r>
          </a:p>
        </c:rich>
      </c:tx>
      <c:layout>
        <c:manualLayout>
          <c:xMode val="edge"/>
          <c:yMode val="edge"/>
          <c:x val="0.33195940017987291"/>
          <c:y val="4.4541684197872224E-2"/>
        </c:manualLayout>
      </c:layout>
      <c:overlay val="0"/>
      <c:spPr>
        <a:noFill/>
        <a:ln w="25400">
          <a:noFill/>
        </a:ln>
      </c:spPr>
    </c:title>
    <c:autoTitleDeleted val="0"/>
    <c:plotArea>
      <c:layout>
        <c:manualLayout>
          <c:layoutTarget val="inner"/>
          <c:xMode val="edge"/>
          <c:yMode val="edge"/>
          <c:x val="0.12202023669650523"/>
          <c:y val="0.15734652399219337"/>
          <c:w val="0.75681599189141935"/>
          <c:h val="0.67378989164815994"/>
        </c:manualLayout>
      </c:layout>
      <c:scatterChart>
        <c:scatterStyle val="lineMarker"/>
        <c:varyColors val="0"/>
        <c:ser>
          <c:idx val="4"/>
          <c:order val="0"/>
          <c:tx>
            <c:v>Error Amplifier Gain</c:v>
          </c:tx>
          <c:spPr>
            <a:ln>
              <a:solidFill>
                <a:srgbClr val="000099"/>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Plots'!$G$3:$G$37</c:f>
              <c:numCache>
                <c:formatCode>0</c:formatCode>
                <c:ptCount val="35"/>
                <c:pt idx="0">
                  <c:v>67.064248403538016</c:v>
                </c:pt>
                <c:pt idx="1">
                  <c:v>65.641276080219356</c:v>
                </c:pt>
                <c:pt idx="2">
                  <c:v>60.934689166501016</c:v>
                </c:pt>
                <c:pt idx="3">
                  <c:v>55.667362763220694</c:v>
                </c:pt>
                <c:pt idx="4">
                  <c:v>49.857746127818352</c:v>
                </c:pt>
                <c:pt idx="5">
                  <c:v>41.962222346734023</c:v>
                </c:pt>
                <c:pt idx="6">
                  <c:v>35.959017532367909</c:v>
                </c:pt>
                <c:pt idx="7">
                  <c:v>29.974965871407253</c:v>
                </c:pt>
                <c:pt idx="8">
                  <c:v>24.089677447522003</c:v>
                </c:pt>
                <c:pt idx="9">
                  <c:v>20.783661273453937</c:v>
                </c:pt>
                <c:pt idx="10">
                  <c:v>18.569969541362209</c:v>
                </c:pt>
                <c:pt idx="11">
                  <c:v>16.972759108879842</c:v>
                </c:pt>
                <c:pt idx="12">
                  <c:v>15.772511205843324</c:v>
                </c:pt>
                <c:pt idx="13">
                  <c:v>14.462143502524142</c:v>
                </c:pt>
                <c:pt idx="14">
                  <c:v>13.071905050881437</c:v>
                </c:pt>
                <c:pt idx="15">
                  <c:v>11.707897467659727</c:v>
                </c:pt>
                <c:pt idx="16">
                  <c:v>11.106911843389408</c:v>
                </c:pt>
                <c:pt idx="17">
                  <c:v>10.797322869499986</c:v>
                </c:pt>
                <c:pt idx="18">
                  <c:v>10.618853746257704</c:v>
                </c:pt>
                <c:pt idx="19">
                  <c:v>10.506985533346649</c:v>
                </c:pt>
                <c:pt idx="20">
                  <c:v>10.432174939888966</c:v>
                </c:pt>
                <c:pt idx="21">
                  <c:v>10.37947750575162</c:v>
                </c:pt>
                <c:pt idx="22">
                  <c:v>10.340717340180204</c:v>
                </c:pt>
                <c:pt idx="23">
                  <c:v>10.287798300281711</c:v>
                </c:pt>
                <c:pt idx="24">
                  <c:v>10.239530992456572</c:v>
                </c:pt>
                <c:pt idx="25">
                  <c:v>10.190412922871088</c:v>
                </c:pt>
                <c:pt idx="26">
                  <c:v>10.11761920202779</c:v>
                </c:pt>
                <c:pt idx="27">
                  <c:v>10.040339815344526</c:v>
                </c:pt>
                <c:pt idx="28">
                  <c:v>9.842412020959193</c:v>
                </c:pt>
                <c:pt idx="29">
                  <c:v>9.2759073930667562</c:v>
                </c:pt>
                <c:pt idx="30">
                  <c:v>7.3143158416906049</c:v>
                </c:pt>
                <c:pt idx="31">
                  <c:v>4.3059961777041762</c:v>
                </c:pt>
                <c:pt idx="32">
                  <c:v>0.43440523318519464</c:v>
                </c:pt>
                <c:pt idx="33">
                  <c:v>-3.6982068100123113</c:v>
                </c:pt>
              </c:numCache>
            </c:numRef>
          </c:yVal>
          <c:smooth val="0"/>
          <c:extLst>
            <c:ext xmlns:c16="http://schemas.microsoft.com/office/drawing/2014/chart" uri="{C3380CC4-5D6E-409C-BE32-E72D297353CC}">
              <c16:uniqueId val="{00000000-DE38-49A9-A27A-13D11A85492C}"/>
            </c:ext>
          </c:extLst>
        </c:ser>
        <c:dLbls>
          <c:showLegendKey val="0"/>
          <c:showVal val="0"/>
          <c:showCatName val="0"/>
          <c:showSerName val="0"/>
          <c:showPercent val="0"/>
          <c:showBubbleSize val="0"/>
        </c:dLbls>
        <c:axId val="102967168"/>
        <c:axId val="102973440"/>
      </c:scatterChart>
      <c:scatterChart>
        <c:scatterStyle val="lineMarker"/>
        <c:varyColors val="0"/>
        <c:ser>
          <c:idx val="5"/>
          <c:order val="1"/>
          <c:tx>
            <c:v>Error Amplifier Phase</c:v>
          </c:tx>
          <c:spPr>
            <a:ln w="25400">
              <a:solidFill>
                <a:srgbClr val="FF00FF"/>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Plots'!$H$3:$H$36</c:f>
              <c:numCache>
                <c:formatCode>0</c:formatCode>
                <c:ptCount val="34"/>
                <c:pt idx="0">
                  <c:v>158.96015929070327</c:v>
                </c:pt>
                <c:pt idx="1">
                  <c:v>142.44437186393066</c:v>
                </c:pt>
                <c:pt idx="2">
                  <c:v>117.58211349261856</c:v>
                </c:pt>
                <c:pt idx="3">
                  <c:v>104.84371673753537</c:v>
                </c:pt>
                <c:pt idx="4">
                  <c:v>97.9797040719168</c:v>
                </c:pt>
                <c:pt idx="5">
                  <c:v>94.433598850015329</c:v>
                </c:pt>
                <c:pt idx="6">
                  <c:v>94.408513044601094</c:v>
                </c:pt>
                <c:pt idx="7">
                  <c:v>96.571237917541524</c:v>
                </c:pt>
                <c:pt idx="8">
                  <c:v>101.90561340781264</c:v>
                </c:pt>
                <c:pt idx="9">
                  <c:v>107.25922922488901</c:v>
                </c:pt>
                <c:pt idx="10">
                  <c:v>112.36392231478209</c:v>
                </c:pt>
                <c:pt idx="11">
                  <c:v>117.12931994061415</c:v>
                </c:pt>
                <c:pt idx="12">
                  <c:v>121.51754203735679</c:v>
                </c:pt>
                <c:pt idx="13">
                  <c:v>127.38031226832348</c:v>
                </c:pt>
                <c:pt idx="14">
                  <c:v>135.37757060489156</c:v>
                </c:pt>
                <c:pt idx="15">
                  <c:v>146.31425598318921</c:v>
                </c:pt>
                <c:pt idx="16">
                  <c:v>153.04177905841547</c:v>
                </c:pt>
                <c:pt idx="17">
                  <c:v>157.42521303155638</c:v>
                </c:pt>
                <c:pt idx="18">
                  <c:v>160.4322684392788</c:v>
                </c:pt>
                <c:pt idx="19">
                  <c:v>162.57948379708586</c:v>
                </c:pt>
                <c:pt idx="20">
                  <c:v>164.15930876293044</c:v>
                </c:pt>
                <c:pt idx="21">
                  <c:v>165.34723946870639</c:v>
                </c:pt>
                <c:pt idx="22">
                  <c:v>166.25409799188236</c:v>
                </c:pt>
                <c:pt idx="23">
                  <c:v>167.49385118241085</c:v>
                </c:pt>
                <c:pt idx="24">
                  <c:v>168.47610169573497</c:v>
                </c:pt>
                <c:pt idx="25">
                  <c:v>168.92398034030867</c:v>
                </c:pt>
                <c:pt idx="26">
                  <c:v>168.02449833594397</c:v>
                </c:pt>
                <c:pt idx="27">
                  <c:v>166.24618854996865</c:v>
                </c:pt>
                <c:pt idx="28">
                  <c:v>161.92326284324687</c:v>
                </c:pt>
                <c:pt idx="29">
                  <c:v>153.01110182283603</c:v>
                </c:pt>
                <c:pt idx="30">
                  <c:v>135.29290651357394</c:v>
                </c:pt>
                <c:pt idx="31">
                  <c:v>120.12097023020603</c:v>
                </c:pt>
                <c:pt idx="32">
                  <c:v>108.64796422561291</c:v>
                </c:pt>
                <c:pt idx="33">
                  <c:v>101.30392736313846</c:v>
                </c:pt>
              </c:numCache>
            </c:numRef>
          </c:yVal>
          <c:smooth val="0"/>
          <c:extLst>
            <c:ext xmlns:c16="http://schemas.microsoft.com/office/drawing/2014/chart" uri="{C3380CC4-5D6E-409C-BE32-E72D297353CC}">
              <c16:uniqueId val="{00000001-DE38-49A9-A27A-13D11A85492C}"/>
            </c:ext>
          </c:extLst>
        </c:ser>
        <c:dLbls>
          <c:showLegendKey val="0"/>
          <c:showVal val="0"/>
          <c:showCatName val="0"/>
          <c:showSerName val="0"/>
          <c:showPercent val="0"/>
          <c:showBubbleSize val="0"/>
        </c:dLbls>
        <c:axId val="102975360"/>
        <c:axId val="102976896"/>
      </c:scatterChart>
      <c:valAx>
        <c:axId val="102967168"/>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2709234073013586"/>
              <c:y val="0.89709950378340131"/>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2973440"/>
        <c:crossesAt val="-120"/>
        <c:crossBetween val="midCat"/>
        <c:majorUnit val="10"/>
        <c:minorUnit val="10"/>
      </c:valAx>
      <c:valAx>
        <c:axId val="102973440"/>
        <c:scaling>
          <c:orientation val="minMax"/>
          <c:max val="80"/>
          <c:min val="-2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636550850724079E-2"/>
              <c:y val="0.369890137778579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2967168"/>
        <c:crossesAt val="1"/>
        <c:crossBetween val="midCat"/>
        <c:majorUnit val="20"/>
        <c:minorUnit val="8"/>
      </c:valAx>
      <c:valAx>
        <c:axId val="102975360"/>
        <c:scaling>
          <c:logBase val="10"/>
          <c:orientation val="minMax"/>
        </c:scaling>
        <c:delete val="1"/>
        <c:axPos val="b"/>
        <c:numFmt formatCode="General" sourceLinked="1"/>
        <c:majorTickMark val="out"/>
        <c:minorTickMark val="none"/>
        <c:tickLblPos val="none"/>
        <c:crossAx val="102976896"/>
        <c:crosses val="autoZero"/>
        <c:crossBetween val="midCat"/>
      </c:valAx>
      <c:valAx>
        <c:axId val="102976896"/>
        <c:scaling>
          <c:orientation val="minMax"/>
          <c:max val="180"/>
          <c:min val="-45"/>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3298577537947658"/>
              <c:y val="0.41928472681372841"/>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02975360"/>
        <c:crosses val="max"/>
        <c:crossBetween val="midCat"/>
        <c:majorUnit val="45"/>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Overall Loop Gain &amp; Phase</a:t>
            </a:r>
          </a:p>
        </c:rich>
      </c:tx>
      <c:layout>
        <c:manualLayout>
          <c:xMode val="edge"/>
          <c:yMode val="edge"/>
          <c:x val="0.36313245158080731"/>
          <c:y val="3.9486001749781278E-2"/>
        </c:manualLayout>
      </c:layout>
      <c:overlay val="0"/>
      <c:spPr>
        <a:noFill/>
        <a:ln w="25400">
          <a:noFill/>
        </a:ln>
      </c:spPr>
    </c:title>
    <c:autoTitleDeleted val="0"/>
    <c:plotArea>
      <c:layout>
        <c:manualLayout>
          <c:layoutTarget val="inner"/>
          <c:xMode val="edge"/>
          <c:yMode val="edge"/>
          <c:x val="8.3353419773839199E-2"/>
          <c:y val="0.14330471253907331"/>
          <c:w val="0.81162395609639726"/>
          <c:h val="0.71676730107229059"/>
        </c:manualLayout>
      </c:layout>
      <c:scatterChart>
        <c:scatterStyle val="smoothMarker"/>
        <c:varyColors val="0"/>
        <c:ser>
          <c:idx val="0"/>
          <c:order val="0"/>
          <c:tx>
            <c:v>Gain</c:v>
          </c:tx>
          <c:spPr>
            <a:ln w="25400">
              <a:solidFill>
                <a:srgbClr val="000080"/>
              </a:solidFill>
              <a:prstDash val="solid"/>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Plots'!$I$3:$I$36</c:f>
              <c:numCache>
                <c:formatCode>0.0</c:formatCode>
                <c:ptCount val="34"/>
                <c:pt idx="0">
                  <c:v>77.156061242670432</c:v>
                </c:pt>
                <c:pt idx="1">
                  <c:v>75.733085110364399</c:v>
                </c:pt>
                <c:pt idx="2">
                  <c:v>71.026471533826907</c:v>
                </c:pt>
                <c:pt idx="3">
                  <c:v>65.759049907512846</c:v>
                </c:pt>
                <c:pt idx="4">
                  <c:v>59.949052400604167</c:v>
                </c:pt>
                <c:pt idx="5">
                  <c:v>52.050863442697327</c:v>
                </c:pt>
                <c:pt idx="6">
                  <c:v>46.038153310454661</c:v>
                </c:pt>
                <c:pt idx="7">
                  <c:v>40.016284606746382</c:v>
                </c:pt>
                <c:pt idx="8">
                  <c:v>33.982899443082701</c:v>
                </c:pt>
                <c:pt idx="9">
                  <c:v>30.440625765781476</c:v>
                </c:pt>
                <c:pt idx="10">
                  <c:v>27.916132175845043</c:v>
                </c:pt>
                <c:pt idx="11">
                  <c:v>25.949060775412228</c:v>
                </c:pt>
                <c:pt idx="12">
                  <c:v>24.335209307778371</c:v>
                </c:pt>
                <c:pt idx="13">
                  <c:v>22.351929147540943</c:v>
                </c:pt>
                <c:pt idx="14">
                  <c:v>19.784077198643153</c:v>
                </c:pt>
                <c:pt idx="15">
                  <c:v>16.15040990342775</c:v>
                </c:pt>
                <c:pt idx="16">
                  <c:v>13.559109240740275</c:v>
                </c:pt>
                <c:pt idx="17">
                  <c:v>11.532027527550156</c:v>
                </c:pt>
                <c:pt idx="18">
                  <c:v>9.8556114505816268</c:v>
                </c:pt>
                <c:pt idx="19">
                  <c:v>8.416891146259589</c:v>
                </c:pt>
                <c:pt idx="20">
                  <c:v>7.1492920251652823</c:v>
                </c:pt>
                <c:pt idx="21">
                  <c:v>6.0105304492036709</c:v>
                </c:pt>
                <c:pt idx="22">
                  <c:v>4.9722433520448401</c:v>
                </c:pt>
                <c:pt idx="23">
                  <c:v>3.1232744940450656</c:v>
                </c:pt>
                <c:pt idx="24">
                  <c:v>0.75300016048809582</c:v>
                </c:pt>
                <c:pt idx="25">
                  <c:v>-2.5019243892438219</c:v>
                </c:pt>
                <c:pt idx="26">
                  <c:v>-7.4439532003889539</c:v>
                </c:pt>
                <c:pt idx="27">
                  <c:v>-11.098313633723786</c:v>
                </c:pt>
                <c:pt idx="28">
                  <c:v>-16.252859972019124</c:v>
                </c:pt>
                <c:pt idx="29">
                  <c:v>-22.724603898592502</c:v>
                </c:pt>
                <c:pt idx="30">
                  <c:v>-32.72463132793137</c:v>
                </c:pt>
                <c:pt idx="31">
                  <c:v>-43.180713916738725</c:v>
                </c:pt>
                <c:pt idx="32">
                  <c:v>-55.272702186546667</c:v>
                </c:pt>
                <c:pt idx="33">
                  <c:v>-67.816611246262241</c:v>
                </c:pt>
              </c:numCache>
            </c:numRef>
          </c:yVal>
          <c:smooth val="1"/>
          <c:extLst>
            <c:ext xmlns:c16="http://schemas.microsoft.com/office/drawing/2014/chart" uri="{C3380CC4-5D6E-409C-BE32-E72D297353CC}">
              <c16:uniqueId val="{00000000-B496-4839-80EB-BDB0F1522AE5}"/>
            </c:ext>
          </c:extLst>
        </c:ser>
        <c:dLbls>
          <c:showLegendKey val="0"/>
          <c:showVal val="0"/>
          <c:showCatName val="0"/>
          <c:showSerName val="0"/>
          <c:showPercent val="0"/>
          <c:showBubbleSize val="0"/>
        </c:dLbls>
        <c:axId val="104210432"/>
        <c:axId val="104212352"/>
      </c:scatterChart>
      <c:scatterChart>
        <c:scatterStyle val="lineMarker"/>
        <c:varyColors val="0"/>
        <c:ser>
          <c:idx val="2"/>
          <c:order val="2"/>
          <c:tx>
            <c:v>Gain Measured</c:v>
          </c:tx>
          <c:marker>
            <c:symbol val="none"/>
          </c:marker>
          <c:xVal>
            <c:numRef>
              <c:f>'Bode Plots'!$M$66:$M$565</c:f>
              <c:numCache>
                <c:formatCode>0.00E+00</c:formatCode>
                <c:ptCount val="500"/>
              </c:numCache>
            </c:numRef>
          </c:xVal>
          <c:yVal>
            <c:numRef>
              <c:f>'Bode Plots'!$N$66:$N$565</c:f>
              <c:numCache>
                <c:formatCode>0.00E+00</c:formatCode>
                <c:ptCount val="500"/>
              </c:numCache>
            </c:numRef>
          </c:yVal>
          <c:smooth val="0"/>
          <c:extLst>
            <c:ext xmlns:c16="http://schemas.microsoft.com/office/drawing/2014/chart" uri="{C3380CC4-5D6E-409C-BE32-E72D297353CC}">
              <c16:uniqueId val="{00000001-B496-4839-80EB-BDB0F1522AE5}"/>
            </c:ext>
          </c:extLst>
        </c:ser>
        <c:dLbls>
          <c:showLegendKey val="0"/>
          <c:showVal val="0"/>
          <c:showCatName val="0"/>
          <c:showSerName val="0"/>
          <c:showPercent val="0"/>
          <c:showBubbleSize val="0"/>
        </c:dLbls>
        <c:axId val="104210432"/>
        <c:axId val="104212352"/>
      </c:scatterChart>
      <c:scatterChart>
        <c:scatterStyle val="lineMarker"/>
        <c:varyColors val="0"/>
        <c:ser>
          <c:idx val="1"/>
          <c:order val="1"/>
          <c:tx>
            <c:v>Phase</c:v>
          </c:tx>
          <c:spPr>
            <a:ln w="25400">
              <a:solidFill>
                <a:srgbClr val="FF00FF"/>
              </a:solidFill>
              <a:prstDash val="solid"/>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Plots'!$J$3:$J$36</c:f>
              <c:numCache>
                <c:formatCode>0.0</c:formatCode>
                <c:ptCount val="34"/>
                <c:pt idx="0">
                  <c:v>158.92750915566708</c:v>
                </c:pt>
                <c:pt idx="1">
                  <c:v>142.3790716118196</c:v>
                </c:pt>
                <c:pt idx="2">
                  <c:v>117.41886317666305</c:v>
                </c:pt>
                <c:pt idx="3">
                  <c:v>104.51721835074471</c:v>
                </c:pt>
                <c:pt idx="4">
                  <c:v>97.326725258124711</c:v>
                </c:pt>
                <c:pt idx="5">
                  <c:v>92.801465980470127</c:v>
                </c:pt>
                <c:pt idx="6">
                  <c:v>91.146487594836387</c:v>
                </c:pt>
                <c:pt idx="7">
                  <c:v>90.06499322584466</c:v>
                </c:pt>
                <c:pt idx="8">
                  <c:v>89.031975393184524</c:v>
                </c:pt>
                <c:pt idx="9">
                  <c:v>88.277994742829009</c:v>
                </c:pt>
                <c:pt idx="10">
                  <c:v>87.625431717044165</c:v>
                </c:pt>
                <c:pt idx="11">
                  <c:v>87.039562376358148</c:v>
                </c:pt>
                <c:pt idx="12">
                  <c:v>86.505883725992263</c:v>
                </c:pt>
                <c:pt idx="13">
                  <c:v>85.781358071796035</c:v>
                </c:pt>
                <c:pt idx="14">
                  <c:v>84.710429402371574</c:v>
                </c:pt>
                <c:pt idx="15">
                  <c:v>82.799195343069229</c:v>
                </c:pt>
                <c:pt idx="16">
                  <c:v>80.973748016935616</c:v>
                </c:pt>
                <c:pt idx="17">
                  <c:v>79.167841421483288</c:v>
                </c:pt>
                <c:pt idx="18">
                  <c:v>77.380845597810477</c:v>
                </c:pt>
                <c:pt idx="19">
                  <c:v>75.623640635418354</c:v>
                </c:pt>
                <c:pt idx="20">
                  <c:v>73.90704549815014</c:v>
                </c:pt>
                <c:pt idx="21">
                  <c:v>72.239731920478931</c:v>
                </c:pt>
                <c:pt idx="22">
                  <c:v>70.628150595976223</c:v>
                </c:pt>
                <c:pt idx="23">
                  <c:v>67.588702918970739</c:v>
                </c:pt>
                <c:pt idx="24">
                  <c:v>63.514383542840861</c:v>
                </c:pt>
                <c:pt idx="25">
                  <c:v>57.970524054886297</c:v>
                </c:pt>
                <c:pt idx="26">
                  <c:v>50.48020679658967</c:v>
                </c:pt>
                <c:pt idx="27">
                  <c:v>45.768227998159688</c:v>
                </c:pt>
                <c:pt idx="28">
                  <c:v>39.240186837398412</c:v>
                </c:pt>
                <c:pt idx="29">
                  <c:v>27.602534736263067</c:v>
                </c:pt>
                <c:pt idx="30">
                  <c:v>8.7250081394245171E-2</c:v>
                </c:pt>
                <c:pt idx="31">
                  <c:v>-27.512690913751797</c:v>
                </c:pt>
                <c:pt idx="32">
                  <c:v>-50.31663732309967</c:v>
                </c:pt>
                <c:pt idx="33">
                  <c:v>-65.534264981037552</c:v>
                </c:pt>
              </c:numCache>
            </c:numRef>
          </c:yVal>
          <c:smooth val="0"/>
          <c:extLst>
            <c:ext xmlns:c16="http://schemas.microsoft.com/office/drawing/2014/chart" uri="{C3380CC4-5D6E-409C-BE32-E72D297353CC}">
              <c16:uniqueId val="{00000002-B496-4839-80EB-BDB0F1522AE5}"/>
            </c:ext>
          </c:extLst>
        </c:ser>
        <c:ser>
          <c:idx val="3"/>
          <c:order val="3"/>
          <c:tx>
            <c:v>Phase Loop Measured</c:v>
          </c:tx>
          <c:marker>
            <c:symbol val="none"/>
          </c:marker>
          <c:xVal>
            <c:numRef>
              <c:f>'Bode Plots'!$M$66:$M$565</c:f>
              <c:numCache>
                <c:formatCode>0.00E+00</c:formatCode>
                <c:ptCount val="500"/>
              </c:numCache>
            </c:numRef>
          </c:xVal>
          <c:yVal>
            <c:numRef>
              <c:f>'Bode Plots'!$O$66:$O$565</c:f>
              <c:numCache>
                <c:formatCode>0.00E+00</c:formatCode>
                <c:ptCount val="500"/>
              </c:numCache>
            </c:numRef>
          </c:yVal>
          <c:smooth val="0"/>
          <c:extLst>
            <c:ext xmlns:c16="http://schemas.microsoft.com/office/drawing/2014/chart" uri="{C3380CC4-5D6E-409C-BE32-E72D297353CC}">
              <c16:uniqueId val="{00000003-B496-4839-80EB-BDB0F1522AE5}"/>
            </c:ext>
          </c:extLst>
        </c:ser>
        <c:dLbls>
          <c:showLegendKey val="0"/>
          <c:showVal val="0"/>
          <c:showCatName val="0"/>
          <c:showSerName val="0"/>
          <c:showPercent val="0"/>
          <c:showBubbleSize val="0"/>
        </c:dLbls>
        <c:axId val="104226816"/>
        <c:axId val="104228352"/>
      </c:scatterChart>
      <c:valAx>
        <c:axId val="104210432"/>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1909622081553533"/>
              <c:y val="0.92582725770389862"/>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212352"/>
        <c:crossesAt val="-100"/>
        <c:crossBetween val="midCat"/>
        <c:majorUnit val="10"/>
        <c:minorUnit val="10"/>
      </c:valAx>
      <c:valAx>
        <c:axId val="104212352"/>
        <c:scaling>
          <c:orientation val="minMax"/>
          <c:max val="100"/>
          <c:min val="-6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9.8477690288713941E-3"/>
              <c:y val="0.3935486536405172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210432"/>
        <c:crossesAt val="1"/>
        <c:crossBetween val="midCat"/>
        <c:majorUnit val="20"/>
      </c:valAx>
      <c:valAx>
        <c:axId val="104226816"/>
        <c:scaling>
          <c:logBase val="10"/>
          <c:orientation val="minMax"/>
        </c:scaling>
        <c:delete val="1"/>
        <c:axPos val="b"/>
        <c:numFmt formatCode="General" sourceLinked="1"/>
        <c:majorTickMark val="out"/>
        <c:minorTickMark val="none"/>
        <c:tickLblPos val="none"/>
        <c:crossAx val="104228352"/>
        <c:crosses val="autoZero"/>
        <c:crossBetween val="midCat"/>
      </c:valAx>
      <c:valAx>
        <c:axId val="104228352"/>
        <c:scaling>
          <c:orientation val="minMax"/>
          <c:max val="180"/>
          <c:min val="-180"/>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4576254438783369"/>
              <c:y val="0.39912924078934592"/>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226816"/>
        <c:crosses val="max"/>
        <c:crossBetween val="midCat"/>
        <c:majorUnit val="45"/>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Non-Ideal</a:t>
            </a:r>
            <a:r>
              <a:rPr lang="en-US" baseline="0"/>
              <a:t> </a:t>
            </a:r>
            <a:r>
              <a:rPr lang="en-US"/>
              <a:t>Error Amplifier</a:t>
            </a:r>
            <a:r>
              <a:rPr lang="en-US" baseline="0"/>
              <a:t> </a:t>
            </a:r>
            <a:r>
              <a:rPr lang="en-US"/>
              <a:t>Gain &amp; Phase</a:t>
            </a:r>
          </a:p>
        </c:rich>
      </c:tx>
      <c:layout>
        <c:manualLayout>
          <c:xMode val="edge"/>
          <c:yMode val="edge"/>
          <c:x val="0.33195940017987291"/>
          <c:y val="4.4541684197872224E-2"/>
        </c:manualLayout>
      </c:layout>
      <c:overlay val="0"/>
      <c:spPr>
        <a:noFill/>
        <a:ln w="25400">
          <a:noFill/>
        </a:ln>
      </c:spPr>
    </c:title>
    <c:autoTitleDeleted val="0"/>
    <c:plotArea>
      <c:layout>
        <c:manualLayout>
          <c:layoutTarget val="inner"/>
          <c:xMode val="edge"/>
          <c:yMode val="edge"/>
          <c:x val="0.12202023669650523"/>
          <c:y val="0.15734652399219337"/>
          <c:w val="0.75681599189141935"/>
          <c:h val="0.67378989164815994"/>
        </c:manualLayout>
      </c:layout>
      <c:scatterChart>
        <c:scatterStyle val="lineMarker"/>
        <c:varyColors val="0"/>
        <c:ser>
          <c:idx val="4"/>
          <c:order val="0"/>
          <c:tx>
            <c:v>Error Amplifier Gain</c:v>
          </c:tx>
          <c:spPr>
            <a:ln>
              <a:solidFill>
                <a:srgbClr val="000099"/>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Plots'!$G$3:$G$37</c:f>
              <c:numCache>
                <c:formatCode>0</c:formatCode>
                <c:ptCount val="35"/>
                <c:pt idx="0">
                  <c:v>67.064248403538016</c:v>
                </c:pt>
                <c:pt idx="1">
                  <c:v>65.641276080219356</c:v>
                </c:pt>
                <c:pt idx="2">
                  <c:v>60.934689166501016</c:v>
                </c:pt>
                <c:pt idx="3">
                  <c:v>55.667362763220694</c:v>
                </c:pt>
                <c:pt idx="4">
                  <c:v>49.857746127818352</c:v>
                </c:pt>
                <c:pt idx="5">
                  <c:v>41.962222346734023</c:v>
                </c:pt>
                <c:pt idx="6">
                  <c:v>35.959017532367909</c:v>
                </c:pt>
                <c:pt idx="7">
                  <c:v>29.974965871407253</c:v>
                </c:pt>
                <c:pt idx="8">
                  <c:v>24.089677447522003</c:v>
                </c:pt>
                <c:pt idx="9">
                  <c:v>20.783661273453937</c:v>
                </c:pt>
                <c:pt idx="10">
                  <c:v>18.569969541362209</c:v>
                </c:pt>
                <c:pt idx="11">
                  <c:v>16.972759108879842</c:v>
                </c:pt>
                <c:pt idx="12">
                  <c:v>15.772511205843324</c:v>
                </c:pt>
                <c:pt idx="13">
                  <c:v>14.462143502524142</c:v>
                </c:pt>
                <c:pt idx="14">
                  <c:v>13.071905050881437</c:v>
                </c:pt>
                <c:pt idx="15">
                  <c:v>11.707897467659727</c:v>
                </c:pt>
                <c:pt idx="16">
                  <c:v>11.106911843389408</c:v>
                </c:pt>
                <c:pt idx="17">
                  <c:v>10.797322869499986</c:v>
                </c:pt>
                <c:pt idx="18">
                  <c:v>10.618853746257704</c:v>
                </c:pt>
                <c:pt idx="19">
                  <c:v>10.506985533346649</c:v>
                </c:pt>
                <c:pt idx="20">
                  <c:v>10.432174939888966</c:v>
                </c:pt>
                <c:pt idx="21">
                  <c:v>10.37947750575162</c:v>
                </c:pt>
                <c:pt idx="22">
                  <c:v>10.340717340180204</c:v>
                </c:pt>
                <c:pt idx="23">
                  <c:v>10.287798300281711</c:v>
                </c:pt>
                <c:pt idx="24">
                  <c:v>10.239530992456572</c:v>
                </c:pt>
                <c:pt idx="25">
                  <c:v>10.190412922871088</c:v>
                </c:pt>
                <c:pt idx="26">
                  <c:v>10.11761920202779</c:v>
                </c:pt>
                <c:pt idx="27">
                  <c:v>10.040339815344526</c:v>
                </c:pt>
                <c:pt idx="28">
                  <c:v>9.842412020959193</c:v>
                </c:pt>
                <c:pt idx="29">
                  <c:v>9.2759073930667562</c:v>
                </c:pt>
                <c:pt idx="30">
                  <c:v>7.3143158416906049</c:v>
                </c:pt>
                <c:pt idx="31">
                  <c:v>4.3059961777041762</c:v>
                </c:pt>
                <c:pt idx="32">
                  <c:v>0.43440523318519464</c:v>
                </c:pt>
                <c:pt idx="33">
                  <c:v>-3.6982068100123113</c:v>
                </c:pt>
              </c:numCache>
            </c:numRef>
          </c:yVal>
          <c:smooth val="0"/>
          <c:extLst>
            <c:ext xmlns:c16="http://schemas.microsoft.com/office/drawing/2014/chart" uri="{C3380CC4-5D6E-409C-BE32-E72D297353CC}">
              <c16:uniqueId val="{00000000-B966-4941-AA5A-17FF51067E6E}"/>
            </c:ext>
          </c:extLst>
        </c:ser>
        <c:dLbls>
          <c:showLegendKey val="0"/>
          <c:showVal val="0"/>
          <c:showCatName val="0"/>
          <c:showSerName val="0"/>
          <c:showPercent val="0"/>
          <c:showBubbleSize val="0"/>
        </c:dLbls>
        <c:axId val="104452096"/>
        <c:axId val="104454016"/>
      </c:scatterChart>
      <c:scatterChart>
        <c:scatterStyle val="lineMarker"/>
        <c:varyColors val="0"/>
        <c:ser>
          <c:idx val="5"/>
          <c:order val="1"/>
          <c:tx>
            <c:v>Error Amplifier Phase</c:v>
          </c:tx>
          <c:spPr>
            <a:ln w="25400">
              <a:solidFill>
                <a:srgbClr val="FF00FF"/>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Plots'!$H$3:$H$36</c:f>
              <c:numCache>
                <c:formatCode>0</c:formatCode>
                <c:ptCount val="34"/>
                <c:pt idx="0">
                  <c:v>158.96015929070327</c:v>
                </c:pt>
                <c:pt idx="1">
                  <c:v>142.44437186393066</c:v>
                </c:pt>
                <c:pt idx="2">
                  <c:v>117.58211349261856</c:v>
                </c:pt>
                <c:pt idx="3">
                  <c:v>104.84371673753537</c:v>
                </c:pt>
                <c:pt idx="4">
                  <c:v>97.9797040719168</c:v>
                </c:pt>
                <c:pt idx="5">
                  <c:v>94.433598850015329</c:v>
                </c:pt>
                <c:pt idx="6">
                  <c:v>94.408513044601094</c:v>
                </c:pt>
                <c:pt idx="7">
                  <c:v>96.571237917541524</c:v>
                </c:pt>
                <c:pt idx="8">
                  <c:v>101.90561340781264</c:v>
                </c:pt>
                <c:pt idx="9">
                  <c:v>107.25922922488901</c:v>
                </c:pt>
                <c:pt idx="10">
                  <c:v>112.36392231478209</c:v>
                </c:pt>
                <c:pt idx="11">
                  <c:v>117.12931994061415</c:v>
                </c:pt>
                <c:pt idx="12">
                  <c:v>121.51754203735679</c:v>
                </c:pt>
                <c:pt idx="13">
                  <c:v>127.38031226832348</c:v>
                </c:pt>
                <c:pt idx="14">
                  <c:v>135.37757060489156</c:v>
                </c:pt>
                <c:pt idx="15">
                  <c:v>146.31425598318921</c:v>
                </c:pt>
                <c:pt idx="16">
                  <c:v>153.04177905841547</c:v>
                </c:pt>
                <c:pt idx="17">
                  <c:v>157.42521303155638</c:v>
                </c:pt>
                <c:pt idx="18">
                  <c:v>160.4322684392788</c:v>
                </c:pt>
                <c:pt idx="19">
                  <c:v>162.57948379708586</c:v>
                </c:pt>
                <c:pt idx="20">
                  <c:v>164.15930876293044</c:v>
                </c:pt>
                <c:pt idx="21">
                  <c:v>165.34723946870639</c:v>
                </c:pt>
                <c:pt idx="22">
                  <c:v>166.25409799188236</c:v>
                </c:pt>
                <c:pt idx="23">
                  <c:v>167.49385118241085</c:v>
                </c:pt>
                <c:pt idx="24">
                  <c:v>168.47610169573497</c:v>
                </c:pt>
                <c:pt idx="25">
                  <c:v>168.92398034030867</c:v>
                </c:pt>
                <c:pt idx="26">
                  <c:v>168.02449833594397</c:v>
                </c:pt>
                <c:pt idx="27">
                  <c:v>166.24618854996865</c:v>
                </c:pt>
                <c:pt idx="28">
                  <c:v>161.92326284324687</c:v>
                </c:pt>
                <c:pt idx="29">
                  <c:v>153.01110182283603</c:v>
                </c:pt>
                <c:pt idx="30">
                  <c:v>135.29290651357394</c:v>
                </c:pt>
                <c:pt idx="31">
                  <c:v>120.12097023020603</c:v>
                </c:pt>
                <c:pt idx="32">
                  <c:v>108.64796422561291</c:v>
                </c:pt>
                <c:pt idx="33">
                  <c:v>101.30392736313846</c:v>
                </c:pt>
              </c:numCache>
            </c:numRef>
          </c:yVal>
          <c:smooth val="0"/>
          <c:extLst>
            <c:ext xmlns:c16="http://schemas.microsoft.com/office/drawing/2014/chart" uri="{C3380CC4-5D6E-409C-BE32-E72D297353CC}">
              <c16:uniqueId val="{00000001-B966-4941-AA5A-17FF51067E6E}"/>
            </c:ext>
          </c:extLst>
        </c:ser>
        <c:dLbls>
          <c:showLegendKey val="0"/>
          <c:showVal val="0"/>
          <c:showCatName val="0"/>
          <c:showSerName val="0"/>
          <c:showPercent val="0"/>
          <c:showBubbleSize val="0"/>
        </c:dLbls>
        <c:axId val="104460288"/>
        <c:axId val="104461824"/>
      </c:scatterChart>
      <c:valAx>
        <c:axId val="104452096"/>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2709234073013586"/>
              <c:y val="0.89709950378340131"/>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454016"/>
        <c:crossesAt val="-120"/>
        <c:crossBetween val="midCat"/>
        <c:majorUnit val="10"/>
        <c:minorUnit val="10"/>
      </c:valAx>
      <c:valAx>
        <c:axId val="104454016"/>
        <c:scaling>
          <c:orientation val="minMax"/>
          <c:max val="80"/>
          <c:min val="-2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636550850724079E-2"/>
              <c:y val="0.369890137778579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452096"/>
        <c:crossesAt val="1"/>
        <c:crossBetween val="midCat"/>
        <c:majorUnit val="20"/>
        <c:minorUnit val="8"/>
      </c:valAx>
      <c:valAx>
        <c:axId val="104460288"/>
        <c:scaling>
          <c:logBase val="10"/>
          <c:orientation val="minMax"/>
        </c:scaling>
        <c:delete val="1"/>
        <c:axPos val="b"/>
        <c:numFmt formatCode="General" sourceLinked="1"/>
        <c:majorTickMark val="out"/>
        <c:minorTickMark val="none"/>
        <c:tickLblPos val="none"/>
        <c:crossAx val="104461824"/>
        <c:crosses val="autoZero"/>
        <c:crossBetween val="midCat"/>
      </c:valAx>
      <c:valAx>
        <c:axId val="104461824"/>
        <c:scaling>
          <c:orientation val="minMax"/>
          <c:max val="180"/>
          <c:min val="45"/>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3298577537947658"/>
              <c:y val="0.41928472681372841"/>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04460288"/>
        <c:crosses val="max"/>
        <c:crossBetween val="midCat"/>
        <c:majorUnit val="45"/>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Ideal</a:t>
            </a:r>
            <a:r>
              <a:rPr lang="en-US" baseline="0"/>
              <a:t> </a:t>
            </a:r>
            <a:r>
              <a:rPr lang="en-US"/>
              <a:t>Error Amplifier</a:t>
            </a:r>
            <a:r>
              <a:rPr lang="en-US" baseline="0"/>
              <a:t> </a:t>
            </a:r>
            <a:r>
              <a:rPr lang="en-US"/>
              <a:t>Gain &amp; Phase</a:t>
            </a:r>
          </a:p>
        </c:rich>
      </c:tx>
      <c:layout>
        <c:manualLayout>
          <c:xMode val="edge"/>
          <c:yMode val="edge"/>
          <c:x val="0.33195940017987291"/>
          <c:y val="4.4541684197872224E-2"/>
        </c:manualLayout>
      </c:layout>
      <c:overlay val="0"/>
      <c:spPr>
        <a:noFill/>
        <a:ln w="25400">
          <a:noFill/>
        </a:ln>
      </c:spPr>
    </c:title>
    <c:autoTitleDeleted val="0"/>
    <c:plotArea>
      <c:layout>
        <c:manualLayout>
          <c:layoutTarget val="inner"/>
          <c:xMode val="edge"/>
          <c:yMode val="edge"/>
          <c:x val="0.12202023669650523"/>
          <c:y val="0.15734652399219337"/>
          <c:w val="0.75681599189141935"/>
          <c:h val="0.67378989164815994"/>
        </c:manualLayout>
      </c:layout>
      <c:scatterChart>
        <c:scatterStyle val="lineMarker"/>
        <c:varyColors val="0"/>
        <c:ser>
          <c:idx val="4"/>
          <c:order val="0"/>
          <c:tx>
            <c:v>Error Amplifier Gain</c:v>
          </c:tx>
          <c:spPr>
            <a:ln>
              <a:solidFill>
                <a:srgbClr val="000099"/>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'Non-Ideal EA'!$I$15:$I$48</c:f>
              <c:numCache>
                <c:formatCode>0.00</c:formatCode>
                <c:ptCount val="34"/>
                <c:pt idx="0">
                  <c:v>76.038396504644169</c:v>
                </c:pt>
                <c:pt idx="1">
                  <c:v>70.017800049903883</c:v>
                </c:pt>
                <c:pt idx="2">
                  <c:v>62.059024086161031</c:v>
                </c:pt>
                <c:pt idx="3">
                  <c:v>56.038510634986352</c:v>
                </c:pt>
                <c:pt idx="4">
                  <c:v>50.018256552914181</c:v>
                </c:pt>
                <c:pt idx="5">
                  <c:v>42.06187642714815</c:v>
                </c:pt>
                <c:pt idx="6">
                  <c:v>36.04990854941758</c:v>
                </c:pt>
                <c:pt idx="7">
                  <c:v>30.063666224275348</c:v>
                </c:pt>
                <c:pt idx="8">
                  <c:v>24.177841432022547</c:v>
                </c:pt>
                <c:pt idx="9">
                  <c:v>20.871744049594021</c:v>
                </c:pt>
                <c:pt idx="10">
                  <c:v>18.658045306052099</c:v>
                </c:pt>
                <c:pt idx="11">
                  <c:v>17.060855120003687</c:v>
                </c:pt>
                <c:pt idx="12">
                  <c:v>15.860643138506866</c:v>
                </c:pt>
                <c:pt idx="13">
                  <c:v>14.550350706560387</c:v>
                </c:pt>
                <c:pt idx="14">
                  <c:v>13.160284988087671</c:v>
                </c:pt>
                <c:pt idx="15">
                  <c:v>11.796783080257347</c:v>
                </c:pt>
                <c:pt idx="16">
                  <c:v>11.19650956836615</c:v>
                </c:pt>
                <c:pt idx="17">
                  <c:v>10.887837165729925</c:v>
                </c:pt>
                <c:pt idx="18">
                  <c:v>10.710488480199764</c:v>
                </c:pt>
                <c:pt idx="19">
                  <c:v>10.599944255041871</c:v>
                </c:pt>
                <c:pt idx="20">
                  <c:v>10.526660946907256</c:v>
                </c:pt>
                <c:pt idx="21">
                  <c:v>10.475693849419876</c:v>
                </c:pt>
                <c:pt idx="22">
                  <c:v>10.4388668122719</c:v>
                </c:pt>
                <c:pt idx="23">
                  <c:v>10.390421258143771</c:v>
                </c:pt>
                <c:pt idx="24">
                  <c:v>10.350377287747714</c:v>
                </c:pt>
                <c:pt idx="25">
                  <c:v>10.318972787618705</c:v>
                </c:pt>
                <c:pt idx="26">
                  <c:v>10.296394746591147</c:v>
                </c:pt>
                <c:pt idx="27">
                  <c:v>10.288455641776913</c:v>
                </c:pt>
                <c:pt idx="28">
                  <c:v>10.282750269501902</c:v>
                </c:pt>
                <c:pt idx="29">
                  <c:v>10.279734102273588</c:v>
                </c:pt>
                <c:pt idx="30">
                  <c:v>10.27799317115589</c:v>
                </c:pt>
                <c:pt idx="31">
                  <c:v>10.276304045180446</c:v>
                </c:pt>
                <c:pt idx="32">
                  <c:v>10.272148804026877</c:v>
                </c:pt>
                <c:pt idx="33">
                  <c:v>10.261178787336235</c:v>
                </c:pt>
              </c:numCache>
            </c:numRef>
          </c:yVal>
          <c:smooth val="0"/>
          <c:extLst>
            <c:ext xmlns:c16="http://schemas.microsoft.com/office/drawing/2014/chart" uri="{C3380CC4-5D6E-409C-BE32-E72D297353CC}">
              <c16:uniqueId val="{00000000-0F92-41B5-A4DC-8D53C653033D}"/>
            </c:ext>
          </c:extLst>
        </c:ser>
        <c:dLbls>
          <c:showLegendKey val="0"/>
          <c:showVal val="0"/>
          <c:showCatName val="0"/>
          <c:showSerName val="0"/>
          <c:showPercent val="0"/>
          <c:showBubbleSize val="0"/>
        </c:dLbls>
        <c:axId val="104349056"/>
        <c:axId val="104375808"/>
      </c:scatterChart>
      <c:scatterChart>
        <c:scatterStyle val="lineMarker"/>
        <c:varyColors val="0"/>
        <c:ser>
          <c:idx val="5"/>
          <c:order val="1"/>
          <c:tx>
            <c:v>Error Amplifier Phase</c:v>
          </c:tx>
          <c:spPr>
            <a:ln w="25400">
              <a:solidFill>
                <a:srgbClr val="FF00FF"/>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'Non-Ideal EA'!$J$15:$J$48</c:f>
              <c:numCache>
                <c:formatCode>General</c:formatCode>
                <c:ptCount val="34"/>
                <c:pt idx="0">
                  <c:v>90.02951639782691</c:v>
                </c:pt>
                <c:pt idx="1">
                  <c:v>90.059032779981507</c:v>
                </c:pt>
                <c:pt idx="2">
                  <c:v>90.147581675689096</c:v>
                </c:pt>
                <c:pt idx="3">
                  <c:v>90.295161392374965</c:v>
                </c:pt>
                <c:pt idx="4">
                  <c:v>90.59030711365989</c:v>
                </c:pt>
                <c:pt idx="5">
                  <c:v>91.475493644852932</c:v>
                </c:pt>
                <c:pt idx="6">
                  <c:v>92.949032139953445</c:v>
                </c:pt>
                <c:pt idx="7">
                  <c:v>95.882515764206232</c:v>
                </c:pt>
                <c:pt idx="8">
                  <c:v>101.64352356864812</c:v>
                </c:pt>
                <c:pt idx="9">
                  <c:v>107.17593038178363</c:v>
                </c:pt>
                <c:pt idx="10">
                  <c:v>112.39744844170349</c:v>
                </c:pt>
                <c:pt idx="11">
                  <c:v>117.25488379927887</c:v>
                </c:pt>
                <c:pt idx="12">
                  <c:v>121.72274958552194</c:v>
                </c:pt>
                <c:pt idx="13">
                  <c:v>127.69259056311189</c:v>
                </c:pt>
                <c:pt idx="14">
                  <c:v>135.85177122779891</c:v>
                </c:pt>
                <c:pt idx="15">
                  <c:v>147.08749276695835</c:v>
                </c:pt>
                <c:pt idx="16">
                  <c:v>154.10161922676295</c:v>
                </c:pt>
                <c:pt idx="17">
                  <c:v>158.76664699331974</c:v>
                </c:pt>
                <c:pt idx="18">
                  <c:v>162.05275233818739</c:v>
                </c:pt>
                <c:pt idx="19">
                  <c:v>164.47752310972493</c:v>
                </c:pt>
                <c:pt idx="20">
                  <c:v>166.33392716275594</c:v>
                </c:pt>
                <c:pt idx="21">
                  <c:v>167.79774278134806</c:v>
                </c:pt>
                <c:pt idx="22">
                  <c:v>168.97995618915849</c:v>
                </c:pt>
                <c:pt idx="23">
                  <c:v>170.76919072855071</c:v>
                </c:pt>
                <c:pt idx="24">
                  <c:v>172.57322651629366</c:v>
                </c:pt>
                <c:pt idx="25">
                  <c:v>174.38505739891059</c:v>
                </c:pt>
                <c:pt idx="26">
                  <c:v>176.19029974976516</c:v>
                </c:pt>
                <c:pt idx="27">
                  <c:v>177.07804228264106</c:v>
                </c:pt>
                <c:pt idx="28">
                  <c:v>177.93123716632982</c:v>
                </c:pt>
                <c:pt idx="29">
                  <c:v>178.52812647274783</c:v>
                </c:pt>
                <c:pt idx="30">
                  <c:v>178.72411224459046</c:v>
                </c:pt>
                <c:pt idx="31">
                  <c:v>178.42262794524493</c:v>
                </c:pt>
                <c:pt idx="32">
                  <c:v>177.65594243552781</c:v>
                </c:pt>
                <c:pt idx="33">
                  <c:v>176.29395742750046</c:v>
                </c:pt>
              </c:numCache>
            </c:numRef>
          </c:yVal>
          <c:smooth val="0"/>
          <c:extLst>
            <c:ext xmlns:c16="http://schemas.microsoft.com/office/drawing/2014/chart" uri="{C3380CC4-5D6E-409C-BE32-E72D297353CC}">
              <c16:uniqueId val="{00000001-0F92-41B5-A4DC-8D53C653033D}"/>
            </c:ext>
          </c:extLst>
        </c:ser>
        <c:dLbls>
          <c:showLegendKey val="0"/>
          <c:showVal val="0"/>
          <c:showCatName val="0"/>
          <c:showSerName val="0"/>
          <c:showPercent val="0"/>
          <c:showBubbleSize val="0"/>
        </c:dLbls>
        <c:axId val="104377728"/>
        <c:axId val="104379520"/>
      </c:scatterChart>
      <c:valAx>
        <c:axId val="104349056"/>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2709234073013586"/>
              <c:y val="0.89709950378340131"/>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375808"/>
        <c:crossesAt val="-120"/>
        <c:crossBetween val="midCat"/>
        <c:majorUnit val="10"/>
        <c:minorUnit val="10"/>
      </c:valAx>
      <c:valAx>
        <c:axId val="104375808"/>
        <c:scaling>
          <c:orientation val="minMax"/>
          <c:max val="80"/>
          <c:min val="-2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636550850724079E-2"/>
              <c:y val="0.369890137778579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349056"/>
        <c:crossesAt val="1"/>
        <c:crossBetween val="midCat"/>
        <c:majorUnit val="20"/>
        <c:minorUnit val="8"/>
      </c:valAx>
      <c:valAx>
        <c:axId val="104377728"/>
        <c:scaling>
          <c:logBase val="10"/>
          <c:orientation val="minMax"/>
        </c:scaling>
        <c:delete val="1"/>
        <c:axPos val="b"/>
        <c:numFmt formatCode="General" sourceLinked="1"/>
        <c:majorTickMark val="out"/>
        <c:minorTickMark val="none"/>
        <c:tickLblPos val="none"/>
        <c:crossAx val="104379520"/>
        <c:crosses val="autoZero"/>
        <c:crossBetween val="midCat"/>
      </c:valAx>
      <c:valAx>
        <c:axId val="104379520"/>
        <c:scaling>
          <c:orientation val="minMax"/>
          <c:max val="180"/>
          <c:min val="45"/>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3298577537947658"/>
              <c:y val="0.41928472681372841"/>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04377728"/>
        <c:crosses val="max"/>
        <c:crossBetween val="midCat"/>
        <c:majorUnit val="45"/>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Compared</a:t>
            </a:r>
          </a:p>
          <a:p>
            <a:pPr>
              <a:defRPr sz="1200" b="1" i="0" u="none" strike="noStrike" baseline="0">
                <a:solidFill>
                  <a:srgbClr val="000000"/>
                </a:solidFill>
                <a:latin typeface="Arial"/>
                <a:ea typeface="Arial"/>
                <a:cs typeface="Arial"/>
              </a:defRPr>
            </a:pPr>
            <a:r>
              <a:rPr lang="en-US" baseline="0"/>
              <a:t> </a:t>
            </a:r>
            <a:r>
              <a:rPr lang="en-US"/>
              <a:t>Error Amplifier</a:t>
            </a:r>
            <a:r>
              <a:rPr lang="en-US" baseline="0"/>
              <a:t> </a:t>
            </a:r>
            <a:r>
              <a:rPr lang="en-US"/>
              <a:t>Gain &amp; Phase</a:t>
            </a:r>
          </a:p>
        </c:rich>
      </c:tx>
      <c:layout>
        <c:manualLayout>
          <c:xMode val="edge"/>
          <c:yMode val="edge"/>
          <c:x val="0.33195940017987291"/>
          <c:y val="4.4541684197872224E-2"/>
        </c:manualLayout>
      </c:layout>
      <c:overlay val="0"/>
      <c:spPr>
        <a:noFill/>
        <a:ln w="25400">
          <a:noFill/>
        </a:ln>
      </c:spPr>
    </c:title>
    <c:autoTitleDeleted val="0"/>
    <c:plotArea>
      <c:layout>
        <c:manualLayout>
          <c:layoutTarget val="inner"/>
          <c:xMode val="edge"/>
          <c:yMode val="edge"/>
          <c:x val="0.12202023669650523"/>
          <c:y val="0.15734652399219337"/>
          <c:w val="0.75681599189141935"/>
          <c:h val="0.67378989164815994"/>
        </c:manualLayout>
      </c:layout>
      <c:scatterChart>
        <c:scatterStyle val="lineMarker"/>
        <c:varyColors val="0"/>
        <c:ser>
          <c:idx val="4"/>
          <c:order val="0"/>
          <c:tx>
            <c:v>Non-Ideal Amplifier Gain</c:v>
          </c:tx>
          <c:spPr>
            <a:ln>
              <a:solidFill>
                <a:srgbClr val="000099"/>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Plots'!$G$3:$G$37</c:f>
              <c:numCache>
                <c:formatCode>0</c:formatCode>
                <c:ptCount val="35"/>
                <c:pt idx="0">
                  <c:v>67.064248403538016</c:v>
                </c:pt>
                <c:pt idx="1">
                  <c:v>65.641276080219356</c:v>
                </c:pt>
                <c:pt idx="2">
                  <c:v>60.934689166501016</c:v>
                </c:pt>
                <c:pt idx="3">
                  <c:v>55.667362763220694</c:v>
                </c:pt>
                <c:pt idx="4">
                  <c:v>49.857746127818352</c:v>
                </c:pt>
                <c:pt idx="5">
                  <c:v>41.962222346734023</c:v>
                </c:pt>
                <c:pt idx="6">
                  <c:v>35.959017532367909</c:v>
                </c:pt>
                <c:pt idx="7">
                  <c:v>29.974965871407253</c:v>
                </c:pt>
                <c:pt idx="8">
                  <c:v>24.089677447522003</c:v>
                </c:pt>
                <c:pt idx="9">
                  <c:v>20.783661273453937</c:v>
                </c:pt>
                <c:pt idx="10">
                  <c:v>18.569969541362209</c:v>
                </c:pt>
                <c:pt idx="11">
                  <c:v>16.972759108879842</c:v>
                </c:pt>
                <c:pt idx="12">
                  <c:v>15.772511205843324</c:v>
                </c:pt>
                <c:pt idx="13">
                  <c:v>14.462143502524142</c:v>
                </c:pt>
                <c:pt idx="14">
                  <c:v>13.071905050881437</c:v>
                </c:pt>
                <c:pt idx="15">
                  <c:v>11.707897467659727</c:v>
                </c:pt>
                <c:pt idx="16">
                  <c:v>11.106911843389408</c:v>
                </c:pt>
                <c:pt idx="17">
                  <c:v>10.797322869499986</c:v>
                </c:pt>
                <c:pt idx="18">
                  <c:v>10.618853746257704</c:v>
                </c:pt>
                <c:pt idx="19">
                  <c:v>10.506985533346649</c:v>
                </c:pt>
                <c:pt idx="20">
                  <c:v>10.432174939888966</c:v>
                </c:pt>
                <c:pt idx="21">
                  <c:v>10.37947750575162</c:v>
                </c:pt>
                <c:pt idx="22">
                  <c:v>10.340717340180204</c:v>
                </c:pt>
                <c:pt idx="23">
                  <c:v>10.287798300281711</c:v>
                </c:pt>
                <c:pt idx="24">
                  <c:v>10.239530992456572</c:v>
                </c:pt>
                <c:pt idx="25">
                  <c:v>10.190412922871088</c:v>
                </c:pt>
                <c:pt idx="26">
                  <c:v>10.11761920202779</c:v>
                </c:pt>
                <c:pt idx="27">
                  <c:v>10.040339815344526</c:v>
                </c:pt>
                <c:pt idx="28">
                  <c:v>9.842412020959193</c:v>
                </c:pt>
                <c:pt idx="29">
                  <c:v>9.2759073930667562</c:v>
                </c:pt>
                <c:pt idx="30">
                  <c:v>7.3143158416906049</c:v>
                </c:pt>
                <c:pt idx="31">
                  <c:v>4.3059961777041762</c:v>
                </c:pt>
                <c:pt idx="32">
                  <c:v>0.43440523318519464</c:v>
                </c:pt>
                <c:pt idx="33">
                  <c:v>-3.6982068100123113</c:v>
                </c:pt>
              </c:numCache>
            </c:numRef>
          </c:yVal>
          <c:smooth val="0"/>
          <c:extLst>
            <c:ext xmlns:c16="http://schemas.microsoft.com/office/drawing/2014/chart" uri="{C3380CC4-5D6E-409C-BE32-E72D297353CC}">
              <c16:uniqueId val="{00000000-BFA5-4E5E-B67A-D5FCA384C64C}"/>
            </c:ext>
          </c:extLst>
        </c:ser>
        <c:ser>
          <c:idx val="0"/>
          <c:order val="2"/>
          <c:tx>
            <c:v>Ideal Amplifier Gain</c:v>
          </c:tx>
          <c:spPr>
            <a:ln>
              <a:prstDash val="sysDash"/>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'Non-Ideal EA'!$I$15:$I$48</c:f>
              <c:numCache>
                <c:formatCode>0.00</c:formatCode>
                <c:ptCount val="34"/>
                <c:pt idx="0">
                  <c:v>76.038396504644169</c:v>
                </c:pt>
                <c:pt idx="1">
                  <c:v>70.017800049903883</c:v>
                </c:pt>
                <c:pt idx="2">
                  <c:v>62.059024086161031</c:v>
                </c:pt>
                <c:pt idx="3">
                  <c:v>56.038510634986352</c:v>
                </c:pt>
                <c:pt idx="4">
                  <c:v>50.018256552914181</c:v>
                </c:pt>
                <c:pt idx="5">
                  <c:v>42.06187642714815</c:v>
                </c:pt>
                <c:pt idx="6">
                  <c:v>36.04990854941758</c:v>
                </c:pt>
                <c:pt idx="7">
                  <c:v>30.063666224275348</c:v>
                </c:pt>
                <c:pt idx="8">
                  <c:v>24.177841432022547</c:v>
                </c:pt>
                <c:pt idx="9">
                  <c:v>20.871744049594021</c:v>
                </c:pt>
                <c:pt idx="10">
                  <c:v>18.658045306052099</c:v>
                </c:pt>
                <c:pt idx="11">
                  <c:v>17.060855120003687</c:v>
                </c:pt>
                <c:pt idx="12">
                  <c:v>15.860643138506866</c:v>
                </c:pt>
                <c:pt idx="13">
                  <c:v>14.550350706560387</c:v>
                </c:pt>
                <c:pt idx="14">
                  <c:v>13.160284988087671</c:v>
                </c:pt>
                <c:pt idx="15">
                  <c:v>11.796783080257347</c:v>
                </c:pt>
                <c:pt idx="16">
                  <c:v>11.19650956836615</c:v>
                </c:pt>
                <c:pt idx="17">
                  <c:v>10.887837165729925</c:v>
                </c:pt>
                <c:pt idx="18">
                  <c:v>10.710488480199764</c:v>
                </c:pt>
                <c:pt idx="19">
                  <c:v>10.599944255041871</c:v>
                </c:pt>
                <c:pt idx="20">
                  <c:v>10.526660946907256</c:v>
                </c:pt>
                <c:pt idx="21">
                  <c:v>10.475693849419876</c:v>
                </c:pt>
                <c:pt idx="22">
                  <c:v>10.4388668122719</c:v>
                </c:pt>
                <c:pt idx="23">
                  <c:v>10.390421258143771</c:v>
                </c:pt>
                <c:pt idx="24">
                  <c:v>10.350377287747714</c:v>
                </c:pt>
                <c:pt idx="25">
                  <c:v>10.318972787618705</c:v>
                </c:pt>
                <c:pt idx="26">
                  <c:v>10.296394746591147</c:v>
                </c:pt>
                <c:pt idx="27">
                  <c:v>10.288455641776913</c:v>
                </c:pt>
                <c:pt idx="28">
                  <c:v>10.282750269501902</c:v>
                </c:pt>
                <c:pt idx="29">
                  <c:v>10.279734102273588</c:v>
                </c:pt>
                <c:pt idx="30">
                  <c:v>10.27799317115589</c:v>
                </c:pt>
                <c:pt idx="31">
                  <c:v>10.276304045180446</c:v>
                </c:pt>
                <c:pt idx="32">
                  <c:v>10.272148804026877</c:v>
                </c:pt>
                <c:pt idx="33">
                  <c:v>10.261178787336235</c:v>
                </c:pt>
              </c:numCache>
            </c:numRef>
          </c:yVal>
          <c:smooth val="0"/>
          <c:extLst>
            <c:ext xmlns:c16="http://schemas.microsoft.com/office/drawing/2014/chart" uri="{C3380CC4-5D6E-409C-BE32-E72D297353CC}">
              <c16:uniqueId val="{00000001-BFA5-4E5E-B67A-D5FCA384C64C}"/>
            </c:ext>
          </c:extLst>
        </c:ser>
        <c:dLbls>
          <c:showLegendKey val="0"/>
          <c:showVal val="0"/>
          <c:showCatName val="0"/>
          <c:showSerName val="0"/>
          <c:showPercent val="0"/>
          <c:showBubbleSize val="0"/>
        </c:dLbls>
        <c:axId val="104505728"/>
        <c:axId val="104507648"/>
      </c:scatterChart>
      <c:scatterChart>
        <c:scatterStyle val="lineMarker"/>
        <c:varyColors val="0"/>
        <c:ser>
          <c:idx val="5"/>
          <c:order val="1"/>
          <c:tx>
            <c:v>Non-Ideal Amplifier Phase</c:v>
          </c:tx>
          <c:spPr>
            <a:ln w="25400">
              <a:solidFill>
                <a:srgbClr val="FF00FF"/>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Plots'!$H$3:$H$36</c:f>
              <c:numCache>
                <c:formatCode>0</c:formatCode>
                <c:ptCount val="34"/>
                <c:pt idx="0">
                  <c:v>158.96015929070327</c:v>
                </c:pt>
                <c:pt idx="1">
                  <c:v>142.44437186393066</c:v>
                </c:pt>
                <c:pt idx="2">
                  <c:v>117.58211349261856</c:v>
                </c:pt>
                <c:pt idx="3">
                  <c:v>104.84371673753537</c:v>
                </c:pt>
                <c:pt idx="4">
                  <c:v>97.9797040719168</c:v>
                </c:pt>
                <c:pt idx="5">
                  <c:v>94.433598850015329</c:v>
                </c:pt>
                <c:pt idx="6">
                  <c:v>94.408513044601094</c:v>
                </c:pt>
                <c:pt idx="7">
                  <c:v>96.571237917541524</c:v>
                </c:pt>
                <c:pt idx="8">
                  <c:v>101.90561340781264</c:v>
                </c:pt>
                <c:pt idx="9">
                  <c:v>107.25922922488901</c:v>
                </c:pt>
                <c:pt idx="10">
                  <c:v>112.36392231478209</c:v>
                </c:pt>
                <c:pt idx="11">
                  <c:v>117.12931994061415</c:v>
                </c:pt>
                <c:pt idx="12">
                  <c:v>121.51754203735679</c:v>
                </c:pt>
                <c:pt idx="13">
                  <c:v>127.38031226832348</c:v>
                </c:pt>
                <c:pt idx="14">
                  <c:v>135.37757060489156</c:v>
                </c:pt>
                <c:pt idx="15">
                  <c:v>146.31425598318921</c:v>
                </c:pt>
                <c:pt idx="16">
                  <c:v>153.04177905841547</c:v>
                </c:pt>
                <c:pt idx="17">
                  <c:v>157.42521303155638</c:v>
                </c:pt>
                <c:pt idx="18">
                  <c:v>160.4322684392788</c:v>
                </c:pt>
                <c:pt idx="19">
                  <c:v>162.57948379708586</c:v>
                </c:pt>
                <c:pt idx="20">
                  <c:v>164.15930876293044</c:v>
                </c:pt>
                <c:pt idx="21">
                  <c:v>165.34723946870639</c:v>
                </c:pt>
                <c:pt idx="22">
                  <c:v>166.25409799188236</c:v>
                </c:pt>
                <c:pt idx="23">
                  <c:v>167.49385118241085</c:v>
                </c:pt>
                <c:pt idx="24">
                  <c:v>168.47610169573497</c:v>
                </c:pt>
                <c:pt idx="25">
                  <c:v>168.92398034030867</c:v>
                </c:pt>
                <c:pt idx="26">
                  <c:v>168.02449833594397</c:v>
                </c:pt>
                <c:pt idx="27">
                  <c:v>166.24618854996865</c:v>
                </c:pt>
                <c:pt idx="28">
                  <c:v>161.92326284324687</c:v>
                </c:pt>
                <c:pt idx="29">
                  <c:v>153.01110182283603</c:v>
                </c:pt>
                <c:pt idx="30">
                  <c:v>135.29290651357394</c:v>
                </c:pt>
                <c:pt idx="31">
                  <c:v>120.12097023020603</c:v>
                </c:pt>
                <c:pt idx="32">
                  <c:v>108.64796422561291</c:v>
                </c:pt>
                <c:pt idx="33">
                  <c:v>101.30392736313846</c:v>
                </c:pt>
              </c:numCache>
            </c:numRef>
          </c:yVal>
          <c:smooth val="0"/>
          <c:extLst>
            <c:ext xmlns:c16="http://schemas.microsoft.com/office/drawing/2014/chart" uri="{C3380CC4-5D6E-409C-BE32-E72D297353CC}">
              <c16:uniqueId val="{00000002-BFA5-4E5E-B67A-D5FCA384C64C}"/>
            </c:ext>
          </c:extLst>
        </c:ser>
        <c:ser>
          <c:idx val="1"/>
          <c:order val="3"/>
          <c:tx>
            <c:v>Ideal Amplifier Phase</c:v>
          </c:tx>
          <c:spPr>
            <a:ln>
              <a:prstDash val="sysDash"/>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'Non-Ideal EA'!$J$15:$J$48</c:f>
              <c:numCache>
                <c:formatCode>General</c:formatCode>
                <c:ptCount val="34"/>
                <c:pt idx="0">
                  <c:v>90.02951639782691</c:v>
                </c:pt>
                <c:pt idx="1">
                  <c:v>90.059032779981507</c:v>
                </c:pt>
                <c:pt idx="2">
                  <c:v>90.147581675689096</c:v>
                </c:pt>
                <c:pt idx="3">
                  <c:v>90.295161392374965</c:v>
                </c:pt>
                <c:pt idx="4">
                  <c:v>90.59030711365989</c:v>
                </c:pt>
                <c:pt idx="5">
                  <c:v>91.475493644852932</c:v>
                </c:pt>
                <c:pt idx="6">
                  <c:v>92.949032139953445</c:v>
                </c:pt>
                <c:pt idx="7">
                  <c:v>95.882515764206232</c:v>
                </c:pt>
                <c:pt idx="8">
                  <c:v>101.64352356864812</c:v>
                </c:pt>
                <c:pt idx="9">
                  <c:v>107.17593038178363</c:v>
                </c:pt>
                <c:pt idx="10">
                  <c:v>112.39744844170349</c:v>
                </c:pt>
                <c:pt idx="11">
                  <c:v>117.25488379927887</c:v>
                </c:pt>
                <c:pt idx="12">
                  <c:v>121.72274958552194</c:v>
                </c:pt>
                <c:pt idx="13">
                  <c:v>127.69259056311189</c:v>
                </c:pt>
                <c:pt idx="14">
                  <c:v>135.85177122779891</c:v>
                </c:pt>
                <c:pt idx="15">
                  <c:v>147.08749276695835</c:v>
                </c:pt>
                <c:pt idx="16">
                  <c:v>154.10161922676295</c:v>
                </c:pt>
                <c:pt idx="17">
                  <c:v>158.76664699331974</c:v>
                </c:pt>
                <c:pt idx="18">
                  <c:v>162.05275233818739</c:v>
                </c:pt>
                <c:pt idx="19">
                  <c:v>164.47752310972493</c:v>
                </c:pt>
                <c:pt idx="20">
                  <c:v>166.33392716275594</c:v>
                </c:pt>
                <c:pt idx="21">
                  <c:v>167.79774278134806</c:v>
                </c:pt>
                <c:pt idx="22">
                  <c:v>168.97995618915849</c:v>
                </c:pt>
                <c:pt idx="23">
                  <c:v>170.76919072855071</c:v>
                </c:pt>
                <c:pt idx="24">
                  <c:v>172.57322651629366</c:v>
                </c:pt>
                <c:pt idx="25">
                  <c:v>174.38505739891059</c:v>
                </c:pt>
                <c:pt idx="26">
                  <c:v>176.19029974976516</c:v>
                </c:pt>
                <c:pt idx="27">
                  <c:v>177.07804228264106</c:v>
                </c:pt>
                <c:pt idx="28">
                  <c:v>177.93123716632982</c:v>
                </c:pt>
                <c:pt idx="29">
                  <c:v>178.52812647274783</c:v>
                </c:pt>
                <c:pt idx="30">
                  <c:v>178.72411224459046</c:v>
                </c:pt>
                <c:pt idx="31">
                  <c:v>178.42262794524493</c:v>
                </c:pt>
                <c:pt idx="32">
                  <c:v>177.65594243552781</c:v>
                </c:pt>
                <c:pt idx="33">
                  <c:v>176.29395742750046</c:v>
                </c:pt>
              </c:numCache>
            </c:numRef>
          </c:yVal>
          <c:smooth val="0"/>
          <c:extLst>
            <c:ext xmlns:c16="http://schemas.microsoft.com/office/drawing/2014/chart" uri="{C3380CC4-5D6E-409C-BE32-E72D297353CC}">
              <c16:uniqueId val="{00000003-BFA5-4E5E-B67A-D5FCA384C64C}"/>
            </c:ext>
          </c:extLst>
        </c:ser>
        <c:dLbls>
          <c:showLegendKey val="0"/>
          <c:showVal val="0"/>
          <c:showCatName val="0"/>
          <c:showSerName val="0"/>
          <c:showPercent val="0"/>
          <c:showBubbleSize val="0"/>
        </c:dLbls>
        <c:axId val="104509824"/>
        <c:axId val="104511360"/>
      </c:scatterChart>
      <c:valAx>
        <c:axId val="104505728"/>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2709234073013586"/>
              <c:y val="0.89709950378340131"/>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507648"/>
        <c:crossesAt val="-120"/>
        <c:crossBetween val="midCat"/>
        <c:majorUnit val="10"/>
        <c:minorUnit val="10"/>
      </c:valAx>
      <c:valAx>
        <c:axId val="104507648"/>
        <c:scaling>
          <c:orientation val="minMax"/>
          <c:max val="80"/>
          <c:min val="-2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636550850724079E-2"/>
              <c:y val="0.369890137778579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505728"/>
        <c:crossesAt val="1"/>
        <c:crossBetween val="midCat"/>
        <c:majorUnit val="20"/>
        <c:minorUnit val="8"/>
      </c:valAx>
      <c:valAx>
        <c:axId val="104509824"/>
        <c:scaling>
          <c:logBase val="10"/>
          <c:orientation val="minMax"/>
        </c:scaling>
        <c:delete val="1"/>
        <c:axPos val="b"/>
        <c:numFmt formatCode="General" sourceLinked="1"/>
        <c:majorTickMark val="out"/>
        <c:minorTickMark val="none"/>
        <c:tickLblPos val="none"/>
        <c:crossAx val="104511360"/>
        <c:crosses val="autoZero"/>
        <c:crossBetween val="midCat"/>
      </c:valAx>
      <c:valAx>
        <c:axId val="104511360"/>
        <c:scaling>
          <c:orientation val="minMax"/>
          <c:max val="180"/>
          <c:min val="45"/>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3298577537947658"/>
              <c:y val="0.41928472681372841"/>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04509824"/>
        <c:crosses val="max"/>
        <c:crossBetween val="midCat"/>
        <c:majorUnit val="45"/>
      </c:valAx>
      <c:spPr>
        <a:solidFill>
          <a:srgbClr val="FFFFFF"/>
        </a:solidFill>
        <a:ln w="3175">
          <a:solidFill>
            <a:srgbClr val="000000"/>
          </a:solidFill>
          <a:prstDash val="solid"/>
        </a:ln>
      </c:spPr>
    </c:plotArea>
    <c:legend>
      <c:legendPos val="b"/>
      <c:overlay val="0"/>
    </c:legend>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6.png"/><Relationship Id="rId7"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1.jpeg"/><Relationship Id="rId2" Type="http://schemas.openxmlformats.org/officeDocument/2006/relationships/image" Target="../media/image10.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editAs="oneCell">
    <xdr:from>
      <xdr:col>3</xdr:col>
      <xdr:colOff>194446</xdr:colOff>
      <xdr:row>21</xdr:row>
      <xdr:rowOff>121228</xdr:rowOff>
    </xdr:from>
    <xdr:to>
      <xdr:col>4</xdr:col>
      <xdr:colOff>453287</xdr:colOff>
      <xdr:row>27</xdr:row>
      <xdr:rowOff>28377</xdr:rowOff>
    </xdr:to>
    <xdr:pic>
      <xdr:nvPicPr>
        <xdr:cNvPr id="11" name="Picture 10" descr="LM5119.jpg">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 cstate="print"/>
        <a:stretch>
          <a:fillRect/>
        </a:stretch>
      </xdr:blipFill>
      <xdr:spPr>
        <a:xfrm>
          <a:off x="5606378" y="4433455"/>
          <a:ext cx="1124750" cy="998195"/>
        </a:xfrm>
        <a:prstGeom prst="rect">
          <a:avLst/>
        </a:prstGeom>
      </xdr:spPr>
    </xdr:pic>
    <xdr:clientData/>
  </xdr:twoCellAnchor>
  <xdr:twoCellAnchor editAs="oneCell">
    <xdr:from>
      <xdr:col>5</xdr:col>
      <xdr:colOff>0</xdr:colOff>
      <xdr:row>0</xdr:row>
      <xdr:rowOff>0</xdr:rowOff>
    </xdr:from>
    <xdr:to>
      <xdr:col>9</xdr:col>
      <xdr:colOff>409575</xdr:colOff>
      <xdr:row>5</xdr:row>
      <xdr:rowOff>38100</xdr:rowOff>
    </xdr:to>
    <xdr:pic>
      <xdr:nvPicPr>
        <xdr:cNvPr id="1439286" name="Picture 42" hidden="1">
          <a:extLst>
            <a:ext uri="{FF2B5EF4-FFF2-40B4-BE49-F238E27FC236}">
              <a16:creationId xmlns:a16="http://schemas.microsoft.com/office/drawing/2014/main" id="{00000000-0008-0000-0000-000036F615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886575" y="0"/>
          <a:ext cx="2847975" cy="1590675"/>
        </a:xfrm>
        <a:prstGeom prst="rect">
          <a:avLst/>
        </a:prstGeom>
        <a:noFill/>
        <a:ln w="1">
          <a:noFill/>
          <a:miter lim="800000"/>
          <a:headEnd/>
          <a:tailEnd/>
        </a:ln>
      </xdr:spPr>
    </xdr:pic>
    <xdr:clientData/>
  </xdr:twoCellAnchor>
  <xdr:twoCellAnchor editAs="oneCell">
    <xdr:from>
      <xdr:col>5</xdr:col>
      <xdr:colOff>0</xdr:colOff>
      <xdr:row>0</xdr:row>
      <xdr:rowOff>0</xdr:rowOff>
    </xdr:from>
    <xdr:to>
      <xdr:col>9</xdr:col>
      <xdr:colOff>457200</xdr:colOff>
      <xdr:row>5</xdr:row>
      <xdr:rowOff>0</xdr:rowOff>
    </xdr:to>
    <xdr:pic>
      <xdr:nvPicPr>
        <xdr:cNvPr id="1439287" name="Picture 43" hidden="1">
          <a:extLst>
            <a:ext uri="{FF2B5EF4-FFF2-40B4-BE49-F238E27FC236}">
              <a16:creationId xmlns:a16="http://schemas.microsoft.com/office/drawing/2014/main" id="{00000000-0008-0000-0000-000037F615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6886575" y="0"/>
          <a:ext cx="2895600" cy="1552575"/>
        </a:xfrm>
        <a:prstGeom prst="rect">
          <a:avLst/>
        </a:prstGeom>
        <a:noFill/>
        <a:ln w="1">
          <a:noFill/>
          <a:miter lim="800000"/>
          <a:headEnd/>
          <a:tailEnd/>
        </a:ln>
      </xdr:spPr>
    </xdr:pic>
    <xdr:clientData/>
  </xdr:twoCellAnchor>
  <xdr:twoCellAnchor>
    <xdr:from>
      <xdr:col>3</xdr:col>
      <xdr:colOff>190500</xdr:colOff>
      <xdr:row>58</xdr:row>
      <xdr:rowOff>180975</xdr:rowOff>
    </xdr:from>
    <xdr:to>
      <xdr:col>12</xdr:col>
      <xdr:colOff>400050</xdr:colOff>
      <xdr:row>80</xdr:row>
      <xdr:rowOff>133350</xdr:rowOff>
    </xdr:to>
    <xdr:graphicFrame macro="">
      <xdr:nvGraphicFramePr>
        <xdr:cNvPr id="1439288" name="Chart 4">
          <a:extLst>
            <a:ext uri="{FF2B5EF4-FFF2-40B4-BE49-F238E27FC236}">
              <a16:creationId xmlns:a16="http://schemas.microsoft.com/office/drawing/2014/main" id="{00000000-0008-0000-0000-000038F61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0</xdr:colOff>
      <xdr:row>6</xdr:row>
      <xdr:rowOff>0</xdr:rowOff>
    </xdr:from>
    <xdr:to>
      <xdr:col>11</xdr:col>
      <xdr:colOff>476250</xdr:colOff>
      <xdr:row>29</xdr:row>
      <xdr:rowOff>104775</xdr:rowOff>
    </xdr:to>
    <xdr:pic>
      <xdr:nvPicPr>
        <xdr:cNvPr id="1439289" name="Picture 572" hidden="1">
          <a:extLst>
            <a:ext uri="{FF2B5EF4-FFF2-40B4-BE49-F238E27FC236}">
              <a16:creationId xmlns:a16="http://schemas.microsoft.com/office/drawing/2014/main" id="{00000000-0008-0000-0000-000039F615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6886575" y="1714500"/>
          <a:ext cx="4438650" cy="4114800"/>
        </a:xfrm>
        <a:prstGeom prst="rect">
          <a:avLst/>
        </a:prstGeom>
        <a:noFill/>
        <a:ln w="1">
          <a:noFill/>
          <a:miter lim="800000"/>
          <a:headEnd/>
          <a:tailEnd/>
        </a:ln>
      </xdr:spPr>
    </xdr:pic>
    <xdr:clientData/>
  </xdr:twoCellAnchor>
  <xdr:twoCellAnchor editAs="oneCell">
    <xdr:from>
      <xdr:col>5</xdr:col>
      <xdr:colOff>0</xdr:colOff>
      <xdr:row>6</xdr:row>
      <xdr:rowOff>0</xdr:rowOff>
    </xdr:from>
    <xdr:to>
      <xdr:col>11</xdr:col>
      <xdr:colOff>428625</xdr:colOff>
      <xdr:row>29</xdr:row>
      <xdr:rowOff>152400</xdr:rowOff>
    </xdr:to>
    <xdr:pic>
      <xdr:nvPicPr>
        <xdr:cNvPr id="1439290" name="Picture 998" hidden="1">
          <a:extLst>
            <a:ext uri="{FF2B5EF4-FFF2-40B4-BE49-F238E27FC236}">
              <a16:creationId xmlns:a16="http://schemas.microsoft.com/office/drawing/2014/main" id="{00000000-0008-0000-0000-00003AF615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6886575" y="1714500"/>
          <a:ext cx="4391025" cy="4162425"/>
        </a:xfrm>
        <a:prstGeom prst="rect">
          <a:avLst/>
        </a:prstGeom>
        <a:noFill/>
        <a:ln w="1">
          <a:noFill/>
          <a:miter lim="800000"/>
          <a:headEnd/>
          <a:tailEnd/>
        </a:ln>
      </xdr:spPr>
    </xdr:pic>
    <xdr:clientData/>
  </xdr:twoCellAnchor>
  <xdr:twoCellAnchor editAs="oneCell">
    <xdr:from>
      <xdr:col>5</xdr:col>
      <xdr:colOff>0</xdr:colOff>
      <xdr:row>6</xdr:row>
      <xdr:rowOff>0</xdr:rowOff>
    </xdr:from>
    <xdr:to>
      <xdr:col>11</xdr:col>
      <xdr:colOff>457200</xdr:colOff>
      <xdr:row>28</xdr:row>
      <xdr:rowOff>0</xdr:rowOff>
    </xdr:to>
    <xdr:pic>
      <xdr:nvPicPr>
        <xdr:cNvPr id="1439291" name="Picture 1015" hidden="1">
          <a:extLst>
            <a:ext uri="{FF2B5EF4-FFF2-40B4-BE49-F238E27FC236}">
              <a16:creationId xmlns:a16="http://schemas.microsoft.com/office/drawing/2014/main" id="{00000000-0008-0000-0000-00003BF615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6886575" y="1714500"/>
          <a:ext cx="4419600" cy="3848100"/>
        </a:xfrm>
        <a:prstGeom prst="rect">
          <a:avLst/>
        </a:prstGeom>
        <a:noFill/>
        <a:ln w="1">
          <a:noFill/>
          <a:miter lim="800000"/>
          <a:headEnd/>
          <a:tailEnd/>
        </a:ln>
      </xdr:spPr>
    </xdr:pic>
    <xdr:clientData/>
  </xdr:twoCellAnchor>
  <xdr:twoCellAnchor>
    <xdr:from>
      <xdr:col>4</xdr:col>
      <xdr:colOff>296168</xdr:colOff>
      <xdr:row>0</xdr:row>
      <xdr:rowOff>361950</xdr:rowOff>
    </xdr:from>
    <xdr:to>
      <xdr:col>7</xdr:col>
      <xdr:colOff>580054</xdr:colOff>
      <xdr:row>1</xdr:row>
      <xdr:rowOff>38100</xdr:rowOff>
    </xdr:to>
    <xdr:sp macro="" textlink="">
      <xdr:nvSpPr>
        <xdr:cNvPr id="980074" name="TextBox 9">
          <a:extLst>
            <a:ext uri="{FF2B5EF4-FFF2-40B4-BE49-F238E27FC236}">
              <a16:creationId xmlns:a16="http://schemas.microsoft.com/office/drawing/2014/main" id="{00000000-0008-0000-0000-00006AF40E00}"/>
            </a:ext>
          </a:extLst>
        </xdr:cNvPr>
        <xdr:cNvSpPr txBox="1">
          <a:spLocks noChangeArrowheads="1"/>
        </xdr:cNvSpPr>
      </xdr:nvSpPr>
      <xdr:spPr bwMode="auto">
        <a:xfrm>
          <a:off x="7921435" y="361950"/>
          <a:ext cx="2101103" cy="225238"/>
        </a:xfrm>
        <a:prstGeom prst="rect">
          <a:avLst/>
        </a:prstGeom>
        <a:solidFill>
          <a:srgbClr val="FFFFFF"/>
        </a:solidFill>
        <a:ln w="9525">
          <a:noFill/>
          <a:miter lim="800000"/>
          <a:headEnd/>
          <a:tailEnd/>
        </a:ln>
      </xdr:spPr>
      <xdr:txBody>
        <a:bodyPr vertOverflow="clip" wrap="square" lIns="36576" tIns="32004" rIns="0" bIns="0" anchor="t" upright="1"/>
        <a:lstStyle/>
        <a:p>
          <a:pPr algn="l" rtl="0">
            <a:defRPr sz="1000"/>
          </a:pPr>
          <a:r>
            <a:rPr lang="en-US" sz="1400" b="1" i="0" u="none" strike="noStrike" baseline="0">
              <a:solidFill>
                <a:srgbClr val="0000FF"/>
              </a:solidFill>
              <a:latin typeface="Calibri"/>
            </a:rPr>
            <a:t>Dual Output Schematic</a:t>
          </a:r>
        </a:p>
      </xdr:txBody>
    </xdr:sp>
    <xdr:clientData/>
  </xdr:twoCellAnchor>
  <xdr:twoCellAnchor>
    <xdr:from>
      <xdr:col>4</xdr:col>
      <xdr:colOff>356461</xdr:colOff>
      <xdr:row>28</xdr:row>
      <xdr:rowOff>66674</xdr:rowOff>
    </xdr:from>
    <xdr:to>
      <xdr:col>7</xdr:col>
      <xdr:colOff>320291</xdr:colOff>
      <xdr:row>30</xdr:row>
      <xdr:rowOff>45925</xdr:rowOff>
    </xdr:to>
    <xdr:sp macro="" textlink="">
      <xdr:nvSpPr>
        <xdr:cNvPr id="980075" name="TextBox 10">
          <a:extLst>
            <a:ext uri="{FF2B5EF4-FFF2-40B4-BE49-F238E27FC236}">
              <a16:creationId xmlns:a16="http://schemas.microsoft.com/office/drawing/2014/main" id="{00000000-0008-0000-0000-00006BF40E00}"/>
            </a:ext>
          </a:extLst>
        </xdr:cNvPr>
        <xdr:cNvSpPr txBox="1">
          <a:spLocks noChangeArrowheads="1"/>
        </xdr:cNvSpPr>
      </xdr:nvSpPr>
      <xdr:spPr bwMode="auto">
        <a:xfrm>
          <a:off x="6814411" y="5629274"/>
          <a:ext cx="1792630" cy="303101"/>
        </a:xfrm>
        <a:prstGeom prst="rect">
          <a:avLst/>
        </a:prstGeom>
        <a:solidFill>
          <a:srgbClr val="FFFFFF"/>
        </a:solidFill>
        <a:ln w="9525">
          <a:noFill/>
          <a:miter lim="800000"/>
          <a:headEnd/>
          <a:tailEnd/>
        </a:ln>
      </xdr:spPr>
      <xdr:txBody>
        <a:bodyPr vertOverflow="clip" wrap="square" lIns="36576" tIns="32004" rIns="0" bIns="0" anchor="t" upright="1"/>
        <a:lstStyle/>
        <a:p>
          <a:pPr algn="l" rtl="0">
            <a:defRPr sz="1000"/>
          </a:pPr>
          <a:r>
            <a:rPr lang="en-US" sz="1400" b="1" i="0" u="none" strike="noStrike" baseline="0">
              <a:solidFill>
                <a:srgbClr val="0000FF"/>
              </a:solidFill>
              <a:latin typeface="Calibri"/>
            </a:rPr>
            <a:t>Interleaved Schematic</a:t>
          </a:r>
        </a:p>
      </xdr:txBody>
    </xdr:sp>
    <xdr:clientData/>
  </xdr:twoCellAnchor>
  <xdr:twoCellAnchor>
    <xdr:from>
      <xdr:col>10</xdr:col>
      <xdr:colOff>352425</xdr:colOff>
      <xdr:row>0</xdr:row>
      <xdr:rowOff>161925</xdr:rowOff>
    </xdr:from>
    <xdr:to>
      <xdr:col>12</xdr:col>
      <xdr:colOff>352425</xdr:colOff>
      <xdr:row>1</xdr:row>
      <xdr:rowOff>9525</xdr:rowOff>
    </xdr:to>
    <xdr:pic>
      <xdr:nvPicPr>
        <xdr:cNvPr id="1439294" name="Picture 84">
          <a:extLst>
            <a:ext uri="{FF2B5EF4-FFF2-40B4-BE49-F238E27FC236}">
              <a16:creationId xmlns:a16="http://schemas.microsoft.com/office/drawing/2014/main" id="{00000000-0008-0000-0000-00003EF615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0287000" y="161925"/>
          <a:ext cx="1466850" cy="400050"/>
        </a:xfrm>
        <a:prstGeom prst="rect">
          <a:avLst/>
        </a:prstGeom>
        <a:noFill/>
        <a:ln w="1">
          <a:noFill/>
          <a:miter lim="800000"/>
          <a:headEnd/>
          <a:tailEnd/>
        </a:ln>
      </xdr:spPr>
    </xdr:pic>
    <xdr:clientData/>
  </xdr:twoCellAnchor>
  <mc:AlternateContent xmlns:mc="http://schemas.openxmlformats.org/markup-compatibility/2006">
    <mc:Choice xmlns:a14="http://schemas.microsoft.com/office/drawing/2010/main" Requires="a14">
      <xdr:twoCellAnchor>
        <xdr:from>
          <xdr:col>2</xdr:col>
          <xdr:colOff>657225</xdr:colOff>
          <xdr:row>0</xdr:row>
          <xdr:rowOff>28575</xdr:rowOff>
        </xdr:from>
        <xdr:to>
          <xdr:col>7</xdr:col>
          <xdr:colOff>0</xdr:colOff>
          <xdr:row>5</xdr:row>
          <xdr:rowOff>95250</xdr:rowOff>
        </xdr:to>
        <xdr:sp macro="" textlink="">
          <xdr:nvSpPr>
            <xdr:cNvPr id="980000" name="Object 1056" hidden="1">
              <a:extLst>
                <a:ext uri="{63B3BB69-23CF-44E3-9099-C40C66FF867C}">
                  <a14:compatExt spid="_x0000_s980000"/>
                </a:ext>
                <a:ext uri="{FF2B5EF4-FFF2-40B4-BE49-F238E27FC236}">
                  <a16:creationId xmlns:a16="http://schemas.microsoft.com/office/drawing/2014/main" id="{00000000-0008-0000-0000-000020F40E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1</xdr:row>
          <xdr:rowOff>95250</xdr:rowOff>
        </xdr:from>
        <xdr:to>
          <xdr:col>11</xdr:col>
          <xdr:colOff>133350</xdr:colOff>
          <xdr:row>25</xdr:row>
          <xdr:rowOff>19050</xdr:rowOff>
        </xdr:to>
        <xdr:sp macro="" textlink="">
          <xdr:nvSpPr>
            <xdr:cNvPr id="980089" name="Object 1145" hidden="1">
              <a:extLst>
                <a:ext uri="{63B3BB69-23CF-44E3-9099-C40C66FF867C}">
                  <a14:compatExt spid="_x0000_s980089"/>
                </a:ext>
                <a:ext uri="{FF2B5EF4-FFF2-40B4-BE49-F238E27FC236}">
                  <a16:creationId xmlns:a16="http://schemas.microsoft.com/office/drawing/2014/main" id="{00000000-0008-0000-0000-000079F40E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30</xdr:row>
          <xdr:rowOff>0</xdr:rowOff>
        </xdr:from>
        <xdr:to>
          <xdr:col>11</xdr:col>
          <xdr:colOff>447675</xdr:colOff>
          <xdr:row>56</xdr:row>
          <xdr:rowOff>0</xdr:rowOff>
        </xdr:to>
        <xdr:sp macro="" textlink="">
          <xdr:nvSpPr>
            <xdr:cNvPr id="980090" name="Object 1146" hidden="1">
              <a:extLst>
                <a:ext uri="{63B3BB69-23CF-44E3-9099-C40C66FF867C}">
                  <a14:compatExt spid="_x0000_s980090"/>
                </a:ext>
                <a:ext uri="{FF2B5EF4-FFF2-40B4-BE49-F238E27FC236}">
                  <a16:creationId xmlns:a16="http://schemas.microsoft.com/office/drawing/2014/main" id="{00000000-0008-0000-0000-00007AF40E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1114425</xdr:colOff>
      <xdr:row>33</xdr:row>
      <xdr:rowOff>57150</xdr:rowOff>
    </xdr:from>
    <xdr:to>
      <xdr:col>14</xdr:col>
      <xdr:colOff>19050</xdr:colOff>
      <xdr:row>57</xdr:row>
      <xdr:rowOff>123825</xdr:rowOff>
    </xdr:to>
    <xdr:graphicFrame macro="">
      <xdr:nvGraphicFramePr>
        <xdr:cNvPr id="982586" name="Chart 5">
          <a:extLst>
            <a:ext uri="{FF2B5EF4-FFF2-40B4-BE49-F238E27FC236}">
              <a16:creationId xmlns:a16="http://schemas.microsoft.com/office/drawing/2014/main" id="{00000000-0008-0000-0100-00003AFE0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33</xdr:row>
      <xdr:rowOff>66676</xdr:rowOff>
    </xdr:from>
    <xdr:to>
      <xdr:col>19</xdr:col>
      <xdr:colOff>371475</xdr:colOff>
      <xdr:row>47</xdr:row>
      <xdr:rowOff>104776</xdr:rowOff>
    </xdr:to>
    <xdr:sp macro="" textlink="">
      <xdr:nvSpPr>
        <xdr:cNvPr id="982042" name="TextBox 3">
          <a:extLst>
            <a:ext uri="{FF2B5EF4-FFF2-40B4-BE49-F238E27FC236}">
              <a16:creationId xmlns:a16="http://schemas.microsoft.com/office/drawing/2014/main" id="{00000000-0008-0000-0100-00001AFC0E00}"/>
            </a:ext>
          </a:extLst>
        </xdr:cNvPr>
        <xdr:cNvSpPr txBox="1">
          <a:spLocks noChangeArrowheads="1"/>
        </xdr:cNvSpPr>
      </xdr:nvSpPr>
      <xdr:spPr bwMode="auto">
        <a:xfrm>
          <a:off x="8896350" y="5610226"/>
          <a:ext cx="3352800" cy="2305050"/>
        </a:xfrm>
        <a:prstGeom prst="rect">
          <a:avLst/>
        </a:prstGeom>
        <a:solidFill>
          <a:srgbClr val="FFFFFF"/>
        </a:solidFill>
        <a:ln w="2857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rPr>
            <a:t>The graph labeled "Channel  1" is the junction temperature rise for  Channel  1 operating  with Channel 2 off. The "Channel 2" graph is the junction temperature  for Channel 2 operating with Channel  1 off. The graph labeled "Both Outputs" gives the junction temperature with both outputs operating.</a:t>
          </a:r>
        </a:p>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Calibri"/>
            </a:rPr>
            <a:t>Potentially high junction temperatures at high VIN may occur when both outputs are operating. Either decrease the switching frequency, decrease VIN, select lower gate charge MOSFETs or use an external source for VCC to reduce operating junction temperature.</a:t>
          </a:r>
        </a:p>
      </xdr:txBody>
    </xdr:sp>
    <xdr:clientData/>
  </xdr:twoCellAnchor>
  <xdr:twoCellAnchor>
    <xdr:from>
      <xdr:col>2</xdr:col>
      <xdr:colOff>984885</xdr:colOff>
      <xdr:row>37</xdr:row>
      <xdr:rowOff>7620</xdr:rowOff>
    </xdr:from>
    <xdr:to>
      <xdr:col>11</xdr:col>
      <xdr:colOff>466746</xdr:colOff>
      <xdr:row>41</xdr:row>
      <xdr:rowOff>51</xdr:rowOff>
    </xdr:to>
    <xdr:sp macro="" textlink="">
      <xdr:nvSpPr>
        <xdr:cNvPr id="982060" name="Rectangle 44">
          <a:extLst>
            <a:ext uri="{FF2B5EF4-FFF2-40B4-BE49-F238E27FC236}">
              <a16:creationId xmlns:a16="http://schemas.microsoft.com/office/drawing/2014/main" id="{00000000-0008-0000-0100-00002CFC0E00}"/>
            </a:ext>
          </a:extLst>
        </xdr:cNvPr>
        <xdr:cNvSpPr>
          <a:spLocks noChangeArrowheads="1"/>
        </xdr:cNvSpPr>
      </xdr:nvSpPr>
      <xdr:spPr bwMode="auto">
        <a:xfrm>
          <a:off x="1899285" y="6313170"/>
          <a:ext cx="5596911" cy="640131"/>
        </a:xfrm>
        <a:prstGeom prst="rect">
          <a:avLst/>
        </a:prstGeom>
        <a:solidFill>
          <a:srgbClr val="FF0000">
            <a:alpha val="17000"/>
          </a:srgbClr>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US" sz="1600" b="1" i="0" u="none" strike="noStrike" baseline="0">
              <a:solidFill>
                <a:srgbClr val="FF0000"/>
              </a:solidFill>
              <a:latin typeface="Arial"/>
              <a:cs typeface="Arial"/>
            </a:rPr>
            <a:t>External VCC is required in this region</a:t>
          </a:r>
        </a:p>
      </xdr:txBody>
    </xdr:sp>
    <xdr:clientData/>
  </xdr:twoCellAnchor>
  <xdr:twoCellAnchor>
    <xdr:from>
      <xdr:col>7</xdr:col>
      <xdr:colOff>419100</xdr:colOff>
      <xdr:row>0</xdr:row>
      <xdr:rowOff>104775</xdr:rowOff>
    </xdr:from>
    <xdr:to>
      <xdr:col>10</xdr:col>
      <xdr:colOff>57150</xdr:colOff>
      <xdr:row>2</xdr:row>
      <xdr:rowOff>114300</xdr:rowOff>
    </xdr:to>
    <xdr:pic>
      <xdr:nvPicPr>
        <xdr:cNvPr id="982589" name="Picture 84">
          <a:extLst>
            <a:ext uri="{FF2B5EF4-FFF2-40B4-BE49-F238E27FC236}">
              <a16:creationId xmlns:a16="http://schemas.microsoft.com/office/drawing/2014/main" id="{00000000-0008-0000-0100-00003DFE0E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010150" y="104775"/>
          <a:ext cx="1466850" cy="400050"/>
        </a:xfrm>
        <a:prstGeom prst="rect">
          <a:avLst/>
        </a:prstGeom>
        <a:noFill/>
        <a:ln w="1">
          <a:noFill/>
          <a:miter lim="800000"/>
          <a:headEnd/>
          <a:tailEnd/>
        </a:ln>
      </xdr:spPr>
    </xdr:pic>
    <xdr:clientData/>
  </xdr:twoCellAnchor>
  <xdr:twoCellAnchor editAs="oneCell">
    <xdr:from>
      <xdr:col>13</xdr:col>
      <xdr:colOff>238125</xdr:colOff>
      <xdr:row>2</xdr:row>
      <xdr:rowOff>114300</xdr:rowOff>
    </xdr:from>
    <xdr:to>
      <xdr:col>16</xdr:col>
      <xdr:colOff>182118</xdr:colOff>
      <xdr:row>11</xdr:row>
      <xdr:rowOff>47625</xdr:rowOff>
    </xdr:to>
    <xdr:pic>
      <xdr:nvPicPr>
        <xdr:cNvPr id="6" name="Picture 5" descr="LM5119.jpg">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stretch>
          <a:fillRect/>
        </a:stretch>
      </xdr:blipFill>
      <xdr:spPr>
        <a:xfrm>
          <a:off x="8486775" y="504825"/>
          <a:ext cx="1744218" cy="1543050"/>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0.8756</cdr:x>
      <cdr:y>0.42191</cdr:y>
    </cdr:from>
    <cdr:to>
      <cdr:x>0.98385</cdr:x>
      <cdr:y>0.50054</cdr:y>
    </cdr:to>
    <cdr:sp macro="" textlink="">
      <cdr:nvSpPr>
        <cdr:cNvPr id="2" name="TextBox 1"/>
        <cdr:cNvSpPr txBox="1"/>
      </cdr:nvSpPr>
      <cdr:spPr>
        <a:xfrm xmlns:a="http://schemas.openxmlformats.org/drawingml/2006/main">
          <a:off x="6172200" y="1581150"/>
          <a:ext cx="790575"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25036</xdr:colOff>
      <xdr:row>37</xdr:row>
      <xdr:rowOff>77561</xdr:rowOff>
    </xdr:from>
    <xdr:to>
      <xdr:col>12</xdr:col>
      <xdr:colOff>206827</xdr:colOff>
      <xdr:row>61</xdr:row>
      <xdr:rowOff>76201</xdr:rowOff>
    </xdr:to>
    <xdr:graphicFrame macro="">
      <xdr:nvGraphicFramePr>
        <xdr:cNvPr id="984592" name="Chart 2">
          <a:extLst>
            <a:ext uri="{FF2B5EF4-FFF2-40B4-BE49-F238E27FC236}">
              <a16:creationId xmlns:a16="http://schemas.microsoft.com/office/drawing/2014/main" id="{00000000-0008-0000-0200-000010060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180976</xdr:colOff>
      <xdr:row>37</xdr:row>
      <xdr:rowOff>76200</xdr:rowOff>
    </xdr:from>
    <xdr:to>
      <xdr:col>23</xdr:col>
      <xdr:colOff>32659</xdr:colOff>
      <xdr:row>61</xdr:row>
      <xdr:rowOff>76200</xdr:rowOff>
    </xdr:to>
    <xdr:graphicFrame macro="">
      <xdr:nvGraphicFramePr>
        <xdr:cNvPr id="984593" name="Chart 3">
          <a:extLst>
            <a:ext uri="{FF2B5EF4-FFF2-40B4-BE49-F238E27FC236}">
              <a16:creationId xmlns:a16="http://schemas.microsoft.com/office/drawing/2014/main" id="{00000000-0008-0000-0200-000011060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108857</xdr:colOff>
      <xdr:row>61</xdr:row>
      <xdr:rowOff>73480</xdr:rowOff>
    </xdr:from>
    <xdr:to>
      <xdr:col>18</xdr:col>
      <xdr:colOff>-1</xdr:colOff>
      <xdr:row>86</xdr:row>
      <xdr:rowOff>140155</xdr:rowOff>
    </xdr:to>
    <xdr:graphicFrame macro="">
      <xdr:nvGraphicFramePr>
        <xdr:cNvPr id="984594" name="Chart 4">
          <a:extLst>
            <a:ext uri="{FF2B5EF4-FFF2-40B4-BE49-F238E27FC236}">
              <a16:creationId xmlns:a16="http://schemas.microsoft.com/office/drawing/2014/main" id="{00000000-0008-0000-0200-000012060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266700</xdr:colOff>
      <xdr:row>0</xdr:row>
      <xdr:rowOff>114300</xdr:rowOff>
    </xdr:from>
    <xdr:to>
      <xdr:col>11</xdr:col>
      <xdr:colOff>504825</xdr:colOff>
      <xdr:row>1</xdr:row>
      <xdr:rowOff>9525</xdr:rowOff>
    </xdr:to>
    <xdr:pic>
      <xdr:nvPicPr>
        <xdr:cNvPr id="984595" name="Picture 84">
          <a:extLst>
            <a:ext uri="{FF2B5EF4-FFF2-40B4-BE49-F238E27FC236}">
              <a16:creationId xmlns:a16="http://schemas.microsoft.com/office/drawing/2014/main" id="{00000000-0008-0000-0200-000013060F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6238875" y="114300"/>
          <a:ext cx="1466850" cy="390525"/>
        </a:xfrm>
        <a:prstGeom prst="rect">
          <a:avLst/>
        </a:prstGeom>
        <a:noFill/>
        <a:ln w="1">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xdr:colOff>
          <xdr:row>1</xdr:row>
          <xdr:rowOff>161925</xdr:rowOff>
        </xdr:from>
        <xdr:to>
          <xdr:col>2</xdr:col>
          <xdr:colOff>171450</xdr:colOff>
          <xdr:row>11</xdr:row>
          <xdr:rowOff>133350</xdr:rowOff>
        </xdr:to>
        <xdr:sp macro="" textlink="">
          <xdr:nvSpPr>
            <xdr:cNvPr id="984065" name="Object 1" hidden="1">
              <a:extLst>
                <a:ext uri="{63B3BB69-23CF-44E3-9099-C40C66FF867C}">
                  <a14:compatExt spid="_x0000_s984065"/>
                </a:ext>
                <a:ext uri="{FF2B5EF4-FFF2-40B4-BE49-F238E27FC236}">
                  <a16:creationId xmlns:a16="http://schemas.microsoft.com/office/drawing/2014/main" id="{00000000-0008-0000-0300-000001040F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15240</xdr:colOff>
      <xdr:row>50</xdr:row>
      <xdr:rowOff>22860</xdr:rowOff>
    </xdr:from>
    <xdr:to>
      <xdr:col>4</xdr:col>
      <xdr:colOff>162759</xdr:colOff>
      <xdr:row>74</xdr:row>
      <xdr:rowOff>87406</xdr:rowOff>
    </xdr:to>
    <xdr:graphicFrame macro="">
      <xdr:nvGraphicFramePr>
        <xdr:cNvPr id="3" name="Chart 3">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50</xdr:row>
      <xdr:rowOff>30480</xdr:rowOff>
    </xdr:from>
    <xdr:to>
      <xdr:col>6</xdr:col>
      <xdr:colOff>2387799</xdr:colOff>
      <xdr:row>74</xdr:row>
      <xdr:rowOff>95026</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762000</xdr:colOff>
      <xdr:row>74</xdr:row>
      <xdr:rowOff>76200</xdr:rowOff>
    </xdr:from>
    <xdr:to>
      <xdr:col>5</xdr:col>
      <xdr:colOff>962859</xdr:colOff>
      <xdr:row>98</xdr:row>
      <xdr:rowOff>140746</xdr:rowOff>
    </xdr:to>
    <xdr:graphicFrame macro="">
      <xdr:nvGraphicFramePr>
        <xdr:cNvPr id="6" name="Chart 3">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dePlo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dePlots"/>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10" Type="http://schemas.openxmlformats.org/officeDocument/2006/relationships/comments" Target="../comments1.xml"/><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5" Type="http://schemas.openxmlformats.org/officeDocument/2006/relationships/image" Target="../media/image12.emf"/><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89"/>
  <sheetViews>
    <sheetView tabSelected="1" topLeftCell="A31" zoomScale="85" zoomScaleNormal="85" zoomScaleSheetLayoutView="100" workbookViewId="0">
      <selection activeCell="C53" sqref="C53"/>
    </sheetView>
  </sheetViews>
  <sheetFormatPr defaultColWidth="9.140625" defaultRowHeight="12.75" x14ac:dyDescent="0.2"/>
  <cols>
    <col min="1" max="1" width="29.7109375" style="1" customWidth="1"/>
    <col min="2" max="2" width="38.42578125" style="96" customWidth="1"/>
    <col min="3" max="3" width="13" style="96" customWidth="1"/>
    <col min="4" max="4" width="13" style="1" customWidth="1"/>
    <col min="5" max="5" width="12.28515625" style="1" bestFit="1" customWidth="1"/>
    <col min="6" max="10" width="9.140625" style="1"/>
    <col min="11" max="11" width="13.7109375" style="1" bestFit="1" customWidth="1"/>
    <col min="12" max="12" width="8.28515625" style="1" customWidth="1"/>
    <col min="13" max="13" width="7.5703125" style="1" customWidth="1"/>
    <col min="14" max="17" width="9.140625" style="1"/>
    <col min="18" max="18" width="12.7109375" style="1" hidden="1" customWidth="1"/>
    <col min="19" max="19" width="11.42578125" style="1" bestFit="1" customWidth="1"/>
    <col min="20" max="16384" width="9.140625" style="1"/>
  </cols>
  <sheetData>
    <row r="1" spans="1:19" ht="43.5" customHeight="1" thickBot="1" x14ac:dyDescent="0.25">
      <c r="A1" s="116" t="s">
        <v>71</v>
      </c>
    </row>
    <row r="2" spans="1:19" ht="21.95" customHeight="1" thickTop="1" x14ac:dyDescent="0.2">
      <c r="A2" s="201" t="s">
        <v>72</v>
      </c>
      <c r="B2" s="202"/>
      <c r="C2" s="203"/>
      <c r="E2" s="84"/>
    </row>
    <row r="3" spans="1:19" ht="21.95" customHeight="1" x14ac:dyDescent="0.2">
      <c r="A3" s="204"/>
      <c r="B3" s="205"/>
      <c r="C3" s="206"/>
    </row>
    <row r="4" spans="1:19" ht="21.95" customHeight="1" thickBot="1" x14ac:dyDescent="0.25">
      <c r="A4" s="207"/>
      <c r="B4" s="208"/>
      <c r="C4" s="209"/>
      <c r="D4" s="20"/>
    </row>
    <row r="5" spans="1:19" ht="13.5" thickTop="1" x14ac:dyDescent="0.2"/>
    <row r="6" spans="1:19" x14ac:dyDescent="0.2">
      <c r="A6" s="170" t="s">
        <v>65</v>
      </c>
      <c r="C6" s="132" t="s">
        <v>156</v>
      </c>
    </row>
    <row r="7" spans="1:19" x14ac:dyDescent="0.2">
      <c r="A7" s="170" t="s">
        <v>64</v>
      </c>
      <c r="B7" s="126"/>
      <c r="C7" s="133" t="s">
        <v>70</v>
      </c>
      <c r="F7" s="20"/>
      <c r="K7" s="2"/>
      <c r="L7" s="2"/>
      <c r="M7" s="2"/>
    </row>
    <row r="8" spans="1:19" x14ac:dyDescent="0.2">
      <c r="A8" s="28"/>
      <c r="K8" s="2"/>
      <c r="L8" s="2"/>
      <c r="M8" s="2"/>
    </row>
    <row r="9" spans="1:19" ht="15.75" x14ac:dyDescent="0.2">
      <c r="A9" s="39" t="s">
        <v>38</v>
      </c>
      <c r="B9" s="95" t="s">
        <v>92</v>
      </c>
      <c r="C9" s="134">
        <v>24</v>
      </c>
      <c r="K9" s="2"/>
      <c r="L9" s="2"/>
      <c r="M9" s="2"/>
    </row>
    <row r="10" spans="1:19" ht="15.75" x14ac:dyDescent="0.2">
      <c r="B10" s="95" t="s">
        <v>93</v>
      </c>
      <c r="C10" s="134">
        <v>34</v>
      </c>
      <c r="K10" s="2"/>
      <c r="L10" s="2"/>
      <c r="M10" s="2"/>
    </row>
    <row r="11" spans="1:19" ht="15.75" x14ac:dyDescent="0.2">
      <c r="B11" s="122" t="s">
        <v>95</v>
      </c>
      <c r="C11" s="134">
        <v>3.31</v>
      </c>
      <c r="D11" s="23" t="str">
        <f>IF(OR(C11&lt;0.8,C11&gt;Vin_max),"Out of Spec","")</f>
        <v/>
      </c>
      <c r="E11" s="85"/>
      <c r="K11" s="2"/>
      <c r="L11" s="2"/>
      <c r="M11" s="2"/>
      <c r="R11" s="90" t="s">
        <v>22</v>
      </c>
    </row>
    <row r="12" spans="1:19" x14ac:dyDescent="0.2">
      <c r="B12" s="95" t="s">
        <v>94</v>
      </c>
      <c r="C12" s="134">
        <v>18</v>
      </c>
      <c r="D12" s="14">
        <f>IF(C17="Interleaved",2*C12,"")</f>
        <v>36</v>
      </c>
      <c r="K12" s="2"/>
      <c r="L12" s="2"/>
      <c r="M12" s="2"/>
      <c r="R12" s="31" t="s">
        <v>10</v>
      </c>
      <c r="S12" s="30"/>
    </row>
    <row r="13" spans="1:19" x14ac:dyDescent="0.2">
      <c r="B13" s="95" t="s">
        <v>54</v>
      </c>
      <c r="C13" s="135">
        <v>0.33</v>
      </c>
      <c r="K13" s="2"/>
      <c r="L13" s="2"/>
      <c r="M13" s="2"/>
      <c r="R13" s="32" t="s">
        <v>17</v>
      </c>
      <c r="S13" s="30"/>
    </row>
    <row r="14" spans="1:19" x14ac:dyDescent="0.2">
      <c r="B14" s="95" t="s">
        <v>20</v>
      </c>
      <c r="C14" s="136">
        <f>Dmin</f>
        <v>9.7352941176470587E-2</v>
      </c>
      <c r="K14" s="2"/>
      <c r="L14" s="2"/>
      <c r="M14" s="2"/>
      <c r="R14" s="91"/>
      <c r="S14" s="92"/>
    </row>
    <row r="15" spans="1:19" x14ac:dyDescent="0.2">
      <c r="B15" s="122" t="s">
        <v>21</v>
      </c>
      <c r="C15" s="137">
        <f>Dmax</f>
        <v>0.13791666666666666</v>
      </c>
      <c r="K15" s="2"/>
      <c r="L15" s="2"/>
      <c r="M15" s="2"/>
      <c r="R15" s="91"/>
      <c r="S15" s="92"/>
    </row>
    <row r="16" spans="1:19" x14ac:dyDescent="0.2">
      <c r="A16" s="39"/>
      <c r="K16" s="2"/>
      <c r="L16" s="2"/>
      <c r="M16" s="2"/>
      <c r="R16" s="91" t="s">
        <v>8</v>
      </c>
      <c r="S16" s="92"/>
    </row>
    <row r="17" spans="1:19" ht="14.1" customHeight="1" x14ac:dyDescent="0.2">
      <c r="A17" s="39" t="s">
        <v>73</v>
      </c>
      <c r="B17" s="95" t="s">
        <v>90</v>
      </c>
      <c r="C17" s="134" t="s">
        <v>10</v>
      </c>
      <c r="D17" s="20"/>
      <c r="K17" s="2"/>
      <c r="L17" s="2"/>
      <c r="M17" s="2"/>
      <c r="R17" s="91" t="s">
        <v>9</v>
      </c>
      <c r="S17" s="92"/>
    </row>
    <row r="18" spans="1:19" ht="14.1" customHeight="1" x14ac:dyDescent="0.2">
      <c r="B18" s="121"/>
      <c r="K18" s="2"/>
      <c r="L18" s="2"/>
      <c r="M18" s="2"/>
      <c r="R18" s="91"/>
      <c r="S18" s="92"/>
    </row>
    <row r="19" spans="1:19" x14ac:dyDescent="0.2">
      <c r="A19" s="39"/>
      <c r="B19" s="95" t="s">
        <v>77</v>
      </c>
      <c r="C19" s="138" t="s">
        <v>66</v>
      </c>
      <c r="D19" s="29"/>
      <c r="K19" s="2"/>
      <c r="L19" s="2"/>
      <c r="M19" s="2"/>
      <c r="R19" s="91"/>
      <c r="S19" s="92"/>
    </row>
    <row r="20" spans="1:19" x14ac:dyDescent="0.2">
      <c r="B20" s="121"/>
      <c r="K20" s="2"/>
      <c r="L20" s="2"/>
      <c r="M20" s="2"/>
      <c r="R20" s="91" t="s">
        <v>4</v>
      </c>
      <c r="S20" s="92"/>
    </row>
    <row r="21" spans="1:19" x14ac:dyDescent="0.2">
      <c r="B21" s="95" t="s">
        <v>16</v>
      </c>
      <c r="C21" s="139" t="str">
        <f>IF(Vin_min&lt;5.5,IF(AND(Vin_max&lt;=42,Vin_min&gt;=4.5),"LM25119","Out of Spec"),IF(Vin_max&lt;=42,"LM25119",IF(Vin_max&lt;=65,"LM5119","Out of Spec")))</f>
        <v>LM25119</v>
      </c>
      <c r="D21" s="23" t="str">
        <f>IF(C21="Out of Spec","Check Vin","")</f>
        <v/>
      </c>
      <c r="K21" s="2"/>
      <c r="L21" s="2"/>
      <c r="M21" s="2"/>
      <c r="R21" s="93" t="s">
        <v>5</v>
      </c>
      <c r="S21" s="92"/>
    </row>
    <row r="22" spans="1:19" x14ac:dyDescent="0.2">
      <c r="A22" s="39"/>
      <c r="B22" s="99"/>
      <c r="E22" s="20"/>
      <c r="G22" s="20"/>
      <c r="K22" s="2"/>
      <c r="L22" s="2"/>
      <c r="M22" s="2"/>
    </row>
    <row r="23" spans="1:19" ht="15.75" x14ac:dyDescent="0.2">
      <c r="A23" s="39" t="s">
        <v>39</v>
      </c>
      <c r="B23" s="122" t="s">
        <v>96</v>
      </c>
      <c r="C23" s="134">
        <v>152.5</v>
      </c>
      <c r="K23" s="2"/>
      <c r="L23" s="2"/>
      <c r="M23" s="2"/>
    </row>
    <row r="24" spans="1:19" x14ac:dyDescent="0.2">
      <c r="B24" s="123"/>
      <c r="E24" s="86"/>
      <c r="K24" s="2"/>
      <c r="L24" s="2"/>
      <c r="M24" s="2"/>
    </row>
    <row r="25" spans="1:19" ht="15.75" x14ac:dyDescent="0.2">
      <c r="A25" s="39" t="s">
        <v>40</v>
      </c>
      <c r="B25" s="95" t="s">
        <v>97</v>
      </c>
      <c r="C25" s="140">
        <f>((5.2*10^9)/(Fsw*10^3)-948)/1000</f>
        <v>33.150360655737707</v>
      </c>
      <c r="E25" s="87"/>
      <c r="K25" s="2"/>
      <c r="L25" s="2"/>
      <c r="M25" s="2"/>
    </row>
    <row r="26" spans="1:19" x14ac:dyDescent="0.2">
      <c r="A26" s="39"/>
      <c r="B26" s="121"/>
      <c r="C26" s="141"/>
      <c r="E26" s="86"/>
      <c r="K26" s="2"/>
      <c r="L26" s="2"/>
      <c r="M26" s="2"/>
    </row>
    <row r="27" spans="1:19" ht="15.75" x14ac:dyDescent="0.2">
      <c r="A27" s="39" t="s">
        <v>56</v>
      </c>
      <c r="B27" s="95" t="s">
        <v>98</v>
      </c>
      <c r="C27" s="131">
        <f>(Vout/(I_load_ripple*Max_Ave_Load*Fsw*10000))*(1-(Vout/Vin_max))*10000000</f>
        <v>3.2982963677274189</v>
      </c>
      <c r="K27" s="2"/>
      <c r="L27" s="2"/>
      <c r="M27" s="2"/>
    </row>
    <row r="28" spans="1:19" ht="15.75" x14ac:dyDescent="0.2">
      <c r="B28" s="95" t="s">
        <v>99</v>
      </c>
      <c r="C28" s="142">
        <v>3.3</v>
      </c>
      <c r="K28" s="2"/>
      <c r="L28" s="2"/>
      <c r="M28" s="2"/>
    </row>
    <row r="29" spans="1:19" x14ac:dyDescent="0.2">
      <c r="B29" s="95" t="s">
        <v>100</v>
      </c>
      <c r="C29" s="143">
        <f>Vout/L/Fsw*(1-Dmin)*1000</f>
        <v>5.936933461909355</v>
      </c>
      <c r="K29" s="2"/>
      <c r="L29" s="2"/>
      <c r="M29" s="2"/>
    </row>
    <row r="30" spans="1:19" x14ac:dyDescent="0.2">
      <c r="B30" s="124"/>
      <c r="K30" s="2"/>
      <c r="L30" s="2"/>
      <c r="M30" s="2"/>
    </row>
    <row r="31" spans="1:19" x14ac:dyDescent="0.2">
      <c r="A31" s="39" t="s">
        <v>41</v>
      </c>
      <c r="B31" s="95" t="s">
        <v>50</v>
      </c>
      <c r="C31" s="144">
        <v>0.2</v>
      </c>
      <c r="K31" s="2"/>
      <c r="L31" s="2"/>
      <c r="M31" s="2"/>
    </row>
    <row r="32" spans="1:19" x14ac:dyDescent="0.2">
      <c r="B32" s="125" t="s">
        <v>101</v>
      </c>
      <c r="C32" s="145">
        <f>(1+Iload_margin)*Max_Ave_Load</f>
        <v>21.599999999999998</v>
      </c>
      <c r="K32" s="2"/>
      <c r="L32" s="2"/>
      <c r="M32" s="2"/>
    </row>
    <row r="33" spans="1:14" x14ac:dyDescent="0.2">
      <c r="B33" s="125"/>
      <c r="C33" s="146"/>
      <c r="K33" s="2"/>
      <c r="L33" s="2"/>
      <c r="M33" s="2"/>
    </row>
    <row r="34" spans="1:14" x14ac:dyDescent="0.2">
      <c r="B34" s="125" t="s">
        <v>91</v>
      </c>
      <c r="C34" s="147">
        <v>1.7</v>
      </c>
      <c r="D34" s="20" t="str">
        <f>IF(C34&gt;3,"K Too Large","")</f>
        <v/>
      </c>
      <c r="K34" s="2"/>
      <c r="L34" s="2"/>
      <c r="M34" s="2"/>
    </row>
    <row r="35" spans="1:14" ht="15.75" x14ac:dyDescent="0.2">
      <c r="B35" s="95" t="s">
        <v>102</v>
      </c>
      <c r="C35" s="148">
        <f>0.12/(C32+(Vout*K)/(Fsw*L*10^-3)-Vout/(L*10^-6)/(Fsw*10^3)*(1-Vout/Vin_min)/2)*1000</f>
        <v>4.0071790591329588</v>
      </c>
      <c r="K35" s="2"/>
      <c r="L35" s="2"/>
      <c r="M35" s="2"/>
    </row>
    <row r="36" spans="1:14" ht="15.75" x14ac:dyDescent="0.2">
      <c r="B36" s="95" t="s">
        <v>136</v>
      </c>
      <c r="C36" s="149">
        <v>4</v>
      </c>
      <c r="K36" s="2"/>
      <c r="L36" s="2"/>
      <c r="M36" s="2"/>
    </row>
    <row r="37" spans="1:14" x14ac:dyDescent="0.2">
      <c r="B37" s="95" t="s">
        <v>135</v>
      </c>
      <c r="C37" s="131">
        <f>0.12/Rss*1000+(Vin_max*100*10^-9)/(L*10^-6)</f>
        <v>31.030303030303031</v>
      </c>
      <c r="G37" s="84"/>
      <c r="K37" s="2"/>
      <c r="L37" s="2"/>
      <c r="M37" s="2"/>
    </row>
    <row r="38" spans="1:14" x14ac:dyDescent="0.2">
      <c r="K38" s="2"/>
      <c r="L38" s="2"/>
      <c r="M38" s="2"/>
    </row>
    <row r="39" spans="1:14" x14ac:dyDescent="0.2">
      <c r="K39" s="2"/>
      <c r="L39" s="2"/>
      <c r="M39" s="2"/>
    </row>
    <row r="40" spans="1:14" ht="15.75" x14ac:dyDescent="0.2">
      <c r="A40" s="39" t="s">
        <v>42</v>
      </c>
      <c r="B40" s="122" t="s">
        <v>103</v>
      </c>
      <c r="C40" s="149">
        <v>75</v>
      </c>
      <c r="K40" s="2"/>
      <c r="L40" s="2"/>
      <c r="M40" s="2"/>
      <c r="N40" s="34"/>
    </row>
    <row r="41" spans="1:14" ht="15.75" x14ac:dyDescent="0.2">
      <c r="B41" s="95" t="s">
        <v>104</v>
      </c>
      <c r="C41" s="150">
        <f>L/(10*Rss/1000*Rramp*K)*1000</f>
        <v>647.05882352941182</v>
      </c>
      <c r="K41" s="2"/>
      <c r="L41" s="2"/>
      <c r="M41" s="2"/>
    </row>
    <row r="42" spans="1:14" x14ac:dyDescent="0.2">
      <c r="E42" s="88"/>
      <c r="K42" s="2"/>
      <c r="L42" s="2"/>
      <c r="M42" s="2"/>
    </row>
    <row r="43" spans="1:14" ht="15.75" x14ac:dyDescent="0.2">
      <c r="A43" s="39" t="s">
        <v>43</v>
      </c>
      <c r="B43" s="95" t="s">
        <v>105</v>
      </c>
      <c r="C43" s="151">
        <v>660</v>
      </c>
      <c r="K43" s="2"/>
      <c r="L43" s="2"/>
      <c r="M43" s="2"/>
    </row>
    <row r="44" spans="1:14" ht="15.75" x14ac:dyDescent="0.2">
      <c r="B44" s="95" t="s">
        <v>106</v>
      </c>
      <c r="C44" s="152"/>
      <c r="K44" s="2"/>
      <c r="L44" s="2"/>
      <c r="M44" s="2"/>
    </row>
    <row r="45" spans="1:14" x14ac:dyDescent="0.2">
      <c r="B45" s="125" t="s">
        <v>117</v>
      </c>
      <c r="C45" s="149">
        <f>9/2</f>
        <v>4.5</v>
      </c>
      <c r="D45" s="120">
        <f>IF(C17="Interleaved", ESR/2,"")</f>
        <v>2.25</v>
      </c>
      <c r="K45" s="2"/>
      <c r="L45" s="2"/>
      <c r="M45" s="2"/>
    </row>
    <row r="46" spans="1:14" ht="15.75" x14ac:dyDescent="0.2">
      <c r="B46" s="125" t="s">
        <v>118</v>
      </c>
      <c r="C46" s="150">
        <f>Cout1+Cout2</f>
        <v>660</v>
      </c>
      <c r="D46" s="34">
        <f>IF(C17="Interleaved", 2*Cout_Total,"")</f>
        <v>1320</v>
      </c>
      <c r="K46" s="2"/>
      <c r="L46" s="2"/>
      <c r="M46" s="2"/>
    </row>
    <row r="47" spans="1:14" x14ac:dyDescent="0.2">
      <c r="B47" s="95" t="s">
        <v>119</v>
      </c>
      <c r="C47" s="153">
        <f>Ipp*SQRT((ESR/1000)^2+(1/(8*Fsw*10^3*Cout_Total*10^-6)^2))*1000</f>
        <v>27.714978850728659</v>
      </c>
      <c r="K47" s="2"/>
      <c r="L47" s="2"/>
      <c r="M47" s="2"/>
    </row>
    <row r="48" spans="1:14" x14ac:dyDescent="0.2">
      <c r="C48" s="154"/>
      <c r="K48" s="2"/>
      <c r="L48" s="2"/>
      <c r="M48" s="2"/>
    </row>
    <row r="49" spans="1:14" ht="15.75" x14ac:dyDescent="0.2">
      <c r="A49" s="39" t="s">
        <v>44</v>
      </c>
      <c r="B49" s="95" t="s">
        <v>120</v>
      </c>
      <c r="C49" s="155">
        <f>47*4</f>
        <v>188</v>
      </c>
      <c r="K49" s="2"/>
      <c r="L49" s="2"/>
      <c r="M49" s="2"/>
    </row>
    <row r="50" spans="1:14" x14ac:dyDescent="0.2">
      <c r="A50" s="39"/>
      <c r="B50" s="95" t="s">
        <v>121</v>
      </c>
      <c r="C50" s="156">
        <f>IOUT/(4*Fsw*10^3*C49*10^-6)</f>
        <v>0.1569584931984653</v>
      </c>
      <c r="K50" s="2"/>
      <c r="L50" s="2"/>
      <c r="M50" s="34"/>
    </row>
    <row r="51" spans="1:14" x14ac:dyDescent="0.2">
      <c r="A51" s="89"/>
      <c r="B51" s="121"/>
      <c r="C51" s="157"/>
      <c r="K51" s="2"/>
      <c r="L51" s="2"/>
      <c r="M51" s="2"/>
    </row>
    <row r="52" spans="1:14" x14ac:dyDescent="0.2">
      <c r="A52" s="89"/>
      <c r="B52" s="121"/>
      <c r="K52" s="2"/>
      <c r="L52" s="2"/>
      <c r="M52" s="2"/>
    </row>
    <row r="53" spans="1:14" x14ac:dyDescent="0.2">
      <c r="A53" s="39" t="s">
        <v>45</v>
      </c>
      <c r="B53" s="95" t="s">
        <v>122</v>
      </c>
      <c r="C53" s="142">
        <v>15.35</v>
      </c>
      <c r="D53" s="21"/>
      <c r="K53" s="2"/>
      <c r="L53" s="2"/>
      <c r="M53" s="2"/>
    </row>
    <row r="54" spans="1:14" ht="15.75" x14ac:dyDescent="0.2">
      <c r="A54" s="89"/>
      <c r="B54" s="95" t="s">
        <v>137</v>
      </c>
      <c r="C54" s="149">
        <v>2</v>
      </c>
      <c r="K54" s="2"/>
      <c r="L54" s="2"/>
      <c r="M54" s="2"/>
    </row>
    <row r="55" spans="1:14" ht="15.75" x14ac:dyDescent="0.2">
      <c r="A55" s="89"/>
      <c r="B55" s="95" t="s">
        <v>123</v>
      </c>
      <c r="C55" s="158">
        <f>C54/(20*10^-3)</f>
        <v>100</v>
      </c>
      <c r="K55" s="2"/>
      <c r="L55" s="2"/>
      <c r="M55" s="2"/>
    </row>
    <row r="56" spans="1:14" ht="15.75" x14ac:dyDescent="0.2">
      <c r="A56" s="89"/>
      <c r="B56" s="95" t="s">
        <v>124</v>
      </c>
      <c r="C56" s="159">
        <f>(1.25*_Ruv2)/(Vin_UV-1.25)</f>
        <v>8.8652482269503547</v>
      </c>
      <c r="K56" s="2"/>
      <c r="L56" s="2"/>
      <c r="M56" s="2"/>
    </row>
    <row r="57" spans="1:14" x14ac:dyDescent="0.2">
      <c r="A57" s="89"/>
      <c r="B57" s="121"/>
      <c r="K57" s="2"/>
      <c r="L57" s="2"/>
      <c r="M57" s="2"/>
    </row>
    <row r="58" spans="1:14" ht="15.75" x14ac:dyDescent="0.2">
      <c r="A58" s="39" t="s">
        <v>46</v>
      </c>
      <c r="B58" s="95" t="s">
        <v>125</v>
      </c>
      <c r="C58" s="149">
        <v>0.97599999999999998</v>
      </c>
      <c r="K58" s="2"/>
      <c r="L58" s="2"/>
      <c r="M58" s="2"/>
    </row>
    <row r="59" spans="1:14" ht="15.75" x14ac:dyDescent="0.2">
      <c r="A59" s="89"/>
      <c r="B59" s="95" t="s">
        <v>126</v>
      </c>
      <c r="C59" s="159">
        <f>_RFB1*((Vout/0.8)-1)</f>
        <v>3.0622000000000003</v>
      </c>
      <c r="K59" s="2"/>
      <c r="L59" s="2"/>
      <c r="M59" s="2"/>
    </row>
    <row r="60" spans="1:14" x14ac:dyDescent="0.2">
      <c r="A60" s="89"/>
      <c r="B60" s="121"/>
      <c r="K60" s="2"/>
      <c r="L60" s="2"/>
      <c r="M60" s="2"/>
    </row>
    <row r="61" spans="1:14" x14ac:dyDescent="0.2">
      <c r="A61" s="39" t="s">
        <v>47</v>
      </c>
      <c r="B61" s="95" t="s">
        <v>127</v>
      </c>
      <c r="C61" s="149">
        <v>14.9</v>
      </c>
      <c r="K61" s="2"/>
      <c r="L61" s="2"/>
      <c r="M61" s="2"/>
    </row>
    <row r="62" spans="1:14" ht="15.75" x14ac:dyDescent="0.2">
      <c r="A62" s="39"/>
      <c r="B62" s="95" t="s">
        <v>128</v>
      </c>
      <c r="C62" s="158">
        <f>Correction_Factor*2*3.14*(Rss/1000*10)*(Cout_Total*10^-6)*(_Rfb2*1000)*(Fbw*1000)*10^-3</f>
        <v>9.1646143296317906</v>
      </c>
      <c r="D62" s="49"/>
      <c r="K62" s="2"/>
      <c r="L62" s="2"/>
      <c r="M62" s="2"/>
    </row>
    <row r="63" spans="1:14" ht="15.75" x14ac:dyDescent="0.2">
      <c r="B63" s="95" t="s">
        <v>129</v>
      </c>
      <c r="C63" s="160">
        <v>10</v>
      </c>
      <c r="D63" s="49"/>
      <c r="K63" s="2"/>
      <c r="L63" s="2"/>
      <c r="M63" s="2"/>
    </row>
    <row r="64" spans="1:14" ht="15.75" x14ac:dyDescent="0.2">
      <c r="B64" s="127" t="s">
        <v>130</v>
      </c>
      <c r="C64" s="158">
        <f>(1/(wp_lf*Rcomp*1000))*10^9</f>
        <v>8.5795965401403134</v>
      </c>
      <c r="D64" s="49"/>
      <c r="K64" s="2"/>
      <c r="L64" s="2"/>
      <c r="M64" s="2"/>
      <c r="N64" s="94"/>
    </row>
    <row r="65" spans="1:14" ht="15.75" x14ac:dyDescent="0.2">
      <c r="B65" s="128" t="s">
        <v>131</v>
      </c>
      <c r="C65" s="160">
        <v>8.1999999999999993</v>
      </c>
      <c r="D65" s="49"/>
      <c r="K65" s="2"/>
      <c r="L65" s="2"/>
      <c r="M65" s="2"/>
      <c r="N65" s="94"/>
    </row>
    <row r="66" spans="1:14" ht="15.75" x14ac:dyDescent="0.2">
      <c r="B66" s="95" t="s">
        <v>132</v>
      </c>
      <c r="C66" s="150">
        <f>(((ESR/1000)*Cout_Total*10^-6*Ccomp*10^-9)/((Rcomp*10^3)*Ccomp*10^-9-(ESR/1000)*Cout_Total*10^-6))*10^12</f>
        <v>308.16145767430078</v>
      </c>
      <c r="D66" s="49"/>
      <c r="K66" s="2"/>
      <c r="L66" s="2"/>
      <c r="M66" s="2"/>
    </row>
    <row r="67" spans="1:14" ht="15.75" x14ac:dyDescent="0.2">
      <c r="B67" s="95" t="s">
        <v>133</v>
      </c>
      <c r="C67" s="150">
        <f>(((ESR/1000/10)*Cout_Total*10^-6*Ccomp*10^-9)/((Rcomp*10^3)*Ccomp*10^-9-(ESR/1000/10)*Cout_Total*10^-6))*10^12</f>
        <v>29.807962987895181</v>
      </c>
      <c r="D67" s="49"/>
      <c r="K67" s="2"/>
      <c r="L67" s="2"/>
      <c r="M67" s="2"/>
    </row>
    <row r="68" spans="1:14" ht="15.75" x14ac:dyDescent="0.2">
      <c r="B68" s="95" t="s">
        <v>134</v>
      </c>
      <c r="C68" s="200">
        <v>1</v>
      </c>
      <c r="D68" s="49"/>
      <c r="K68" s="2"/>
      <c r="L68" s="2"/>
      <c r="M68" s="2"/>
    </row>
    <row r="69" spans="1:14" x14ac:dyDescent="0.2">
      <c r="B69" s="121"/>
      <c r="D69" s="49"/>
      <c r="K69" s="2"/>
      <c r="L69" s="2"/>
      <c r="M69" s="2"/>
    </row>
    <row r="70" spans="1:14" x14ac:dyDescent="0.2">
      <c r="A70" s="39" t="s">
        <v>51</v>
      </c>
      <c r="B70" s="95" t="s">
        <v>116</v>
      </c>
      <c r="C70" s="149">
        <v>0.8</v>
      </c>
      <c r="D70" s="49"/>
      <c r="K70" s="2"/>
      <c r="L70" s="2"/>
      <c r="M70" s="2"/>
    </row>
    <row r="71" spans="1:14" ht="15.75" x14ac:dyDescent="0.2">
      <c r="A71" s="89"/>
      <c r="B71" s="95" t="s">
        <v>115</v>
      </c>
      <c r="C71" s="150">
        <f>(10*10^-6*tss*10^-3)/0.8*10^9</f>
        <v>10</v>
      </c>
      <c r="K71" s="2"/>
      <c r="L71" s="2"/>
      <c r="M71" s="2"/>
    </row>
    <row r="72" spans="1:14" x14ac:dyDescent="0.2">
      <c r="A72" s="89"/>
      <c r="B72" s="95"/>
      <c r="K72" s="2"/>
      <c r="L72" s="2"/>
      <c r="M72" s="2"/>
    </row>
    <row r="73" spans="1:14" ht="15.75" x14ac:dyDescent="0.2">
      <c r="A73" s="39" t="s">
        <v>48</v>
      </c>
      <c r="B73" s="95" t="s">
        <v>113</v>
      </c>
      <c r="C73" s="149">
        <v>28</v>
      </c>
      <c r="K73" s="2"/>
      <c r="L73" s="2"/>
      <c r="M73" s="2"/>
    </row>
    <row r="74" spans="1:14" ht="15.75" x14ac:dyDescent="0.2">
      <c r="A74" s="39"/>
      <c r="B74" s="95" t="s">
        <v>114</v>
      </c>
      <c r="C74" s="149">
        <v>28</v>
      </c>
      <c r="K74" s="2"/>
      <c r="L74" s="2"/>
      <c r="M74" s="2"/>
    </row>
    <row r="75" spans="1:14" x14ac:dyDescent="0.2">
      <c r="B75" s="95" t="s">
        <v>112</v>
      </c>
      <c r="C75" s="161">
        <f>C73+C74</f>
        <v>56</v>
      </c>
      <c r="K75" s="2"/>
      <c r="L75" s="2"/>
      <c r="M75" s="2"/>
    </row>
    <row r="76" spans="1:14" x14ac:dyDescent="0.2">
      <c r="B76" s="121"/>
      <c r="K76" s="2"/>
      <c r="L76" s="2"/>
      <c r="M76" s="2"/>
    </row>
    <row r="77" spans="1:14" ht="15.75" x14ac:dyDescent="0.2">
      <c r="A77" s="39" t="s">
        <v>55</v>
      </c>
      <c r="B77" s="95" t="s">
        <v>111</v>
      </c>
      <c r="C77" s="162">
        <f>(QgTotal1*10^-9/0.15)*10^6</f>
        <v>0.37333333333333341</v>
      </c>
      <c r="K77" s="2"/>
      <c r="L77" s="2"/>
      <c r="M77" s="2"/>
    </row>
    <row r="78" spans="1:14" ht="15.75" x14ac:dyDescent="0.2">
      <c r="A78" s="39"/>
      <c r="B78" s="95" t="s">
        <v>110</v>
      </c>
      <c r="C78" s="159">
        <f>C73*10^-9/0.15*10^6</f>
        <v>0.1866666666666667</v>
      </c>
      <c r="K78" s="2"/>
      <c r="L78" s="2"/>
      <c r="M78" s="2"/>
    </row>
    <row r="79" spans="1:14" ht="15.75" x14ac:dyDescent="0.2">
      <c r="A79" s="39"/>
      <c r="B79" s="95" t="s">
        <v>109</v>
      </c>
      <c r="C79" s="163">
        <f>(QgTotal1*10^-9*Fsw*10^3+3.9*10^-3)*10^3</f>
        <v>12.44</v>
      </c>
      <c r="K79" s="2"/>
      <c r="L79" s="2"/>
      <c r="M79" s="2"/>
    </row>
    <row r="80" spans="1:14" x14ac:dyDescent="0.2">
      <c r="C80" s="33"/>
      <c r="K80" s="2"/>
      <c r="L80" s="2"/>
      <c r="M80" s="2"/>
    </row>
    <row r="81" spans="1:13" x14ac:dyDescent="0.2">
      <c r="A81" s="39" t="s">
        <v>49</v>
      </c>
      <c r="B81" s="95" t="s">
        <v>108</v>
      </c>
      <c r="C81" s="149">
        <v>59</v>
      </c>
      <c r="K81" s="2"/>
      <c r="L81" s="2"/>
      <c r="M81" s="2"/>
    </row>
    <row r="82" spans="1:13" ht="15.75" x14ac:dyDescent="0.2">
      <c r="A82" s="39"/>
      <c r="B82" s="95" t="s">
        <v>107</v>
      </c>
      <c r="C82" s="159">
        <f>10*10^-6*C81*10^-3/1.25*10^6</f>
        <v>0.47199999999999998</v>
      </c>
      <c r="K82" s="2"/>
      <c r="L82" s="2"/>
      <c r="M82" s="2"/>
    </row>
    <row r="87" spans="1:13" ht="15" x14ac:dyDescent="0.25">
      <c r="A87" s="83"/>
      <c r="B87" s="129"/>
      <c r="C87" s="129"/>
    </row>
    <row r="88" spans="1:13" ht="15" x14ac:dyDescent="0.25">
      <c r="A88" s="83"/>
      <c r="B88" s="129"/>
      <c r="C88" s="129"/>
    </row>
    <row r="89" spans="1:13" x14ac:dyDescent="0.2">
      <c r="A89" s="82"/>
      <c r="B89" s="130"/>
      <c r="C89" s="130"/>
    </row>
  </sheetData>
  <sheetProtection password="E1A4" sheet="1" objects="1" scenarios="1" selectLockedCells="1"/>
  <protectedRanges>
    <protectedRange sqref="C9:C13 C17 C23 C28:C29 C31 C34 C36 C40 C43:C45 C49 C53:C54 C58 C81 C70 C73:C74 C61:C64" name="Range1"/>
  </protectedRanges>
  <mergeCells count="1">
    <mergeCell ref="A2:C4"/>
  </mergeCells>
  <phoneticPr fontId="6" type="noConversion"/>
  <conditionalFormatting sqref="C11">
    <cfRule type="expression" dxfId="15" priority="26">
      <formula>C11&gt;0.9*C9</formula>
    </cfRule>
  </conditionalFormatting>
  <conditionalFormatting sqref="C32">
    <cfRule type="expression" dxfId="14" priority="23">
      <formula>#REF!="Vout too large"</formula>
    </cfRule>
  </conditionalFormatting>
  <conditionalFormatting sqref="D11 D21">
    <cfRule type="expression" dxfId="13" priority="12" stopIfTrue="1">
      <formula>"C21=""Out of Spec"""</formula>
    </cfRule>
    <cfRule type="containsText" dxfId="12" priority="15" stopIfTrue="1" operator="containsText" text="Check Vin">
      <formula>NOT(ISERROR(SEARCH("Check Vin",D11)))</formula>
    </cfRule>
  </conditionalFormatting>
  <conditionalFormatting sqref="D11">
    <cfRule type="containsText" dxfId="11" priority="1" stopIfTrue="1" operator="containsText" text="Out of Spec">
      <formula>NOT(ISERROR(SEARCH("Out of Spec",D11)))</formula>
    </cfRule>
    <cfRule type="expression" dxfId="10" priority="22">
      <formula>D11="Check Vin/Vout"</formula>
    </cfRule>
  </conditionalFormatting>
  <conditionalFormatting sqref="D12">
    <cfRule type="expression" dxfId="9" priority="38" stopIfTrue="1">
      <formula>C17="Interleaved"</formula>
    </cfRule>
  </conditionalFormatting>
  <conditionalFormatting sqref="D34">
    <cfRule type="expression" dxfId="8" priority="47" stopIfTrue="1">
      <formula>D34="K Too Large"</formula>
    </cfRule>
  </conditionalFormatting>
  <conditionalFormatting sqref="D45">
    <cfRule type="expression" dxfId="7" priority="10" stopIfTrue="1">
      <formula>C17="Interleaved"</formula>
    </cfRule>
  </conditionalFormatting>
  <conditionalFormatting sqref="D45:D46">
    <cfRule type="expression" dxfId="6" priority="9" stopIfTrue="1">
      <formula>"C17=""Dual Output"""</formula>
    </cfRule>
  </conditionalFormatting>
  <conditionalFormatting sqref="D46">
    <cfRule type="expression" dxfId="5" priority="42" stopIfTrue="1">
      <formula>C17="Interleaved"</formula>
    </cfRule>
  </conditionalFormatting>
  <conditionalFormatting sqref="M50">
    <cfRule type="expression" dxfId="4" priority="5" stopIfTrue="1">
      <formula>"C17=""Dual Output"""</formula>
    </cfRule>
    <cfRule type="expression" dxfId="3" priority="6" stopIfTrue="1">
      <formula>L21="Interleaved"</formula>
    </cfRule>
  </conditionalFormatting>
  <conditionalFormatting sqref="N40">
    <cfRule type="expression" dxfId="2" priority="7" stopIfTrue="1">
      <formula>"C17=""Dual Output"""</formula>
    </cfRule>
    <cfRule type="expression" dxfId="1" priority="8" stopIfTrue="1">
      <formula>M11="Interleaved"</formula>
    </cfRule>
  </conditionalFormatting>
  <dataValidations count="1">
    <dataValidation type="list" allowBlank="1" showInputMessage="1" showErrorMessage="1" sqref="C17" xr:uid="{00000000-0002-0000-0000-000000000000}">
      <formula1>OFFSET(PicTable,,,,1)</formula1>
    </dataValidation>
  </dataValidations>
  <printOptions horizontalCentered="1" verticalCentered="1"/>
  <pageMargins left="0.1" right="0.1" top="0.5" bottom="0.5" header="0.25" footer="0.25"/>
  <pageSetup scale="59" orientation="portrait" r:id="rId1"/>
  <headerFooter alignWithMargins="0"/>
  <drawing r:id="rId2"/>
  <legacyDrawing r:id="rId3"/>
  <oleObjects>
    <mc:AlternateContent xmlns:mc="http://schemas.openxmlformats.org/markup-compatibility/2006">
      <mc:Choice Requires="x14">
        <oleObject progId="Visio.Drawing.11" shapeId="980000" r:id="rId4">
          <objectPr defaultSize="0" autoPict="0" r:id="rId5">
            <anchor moveWithCells="1" sizeWithCells="1">
              <from>
                <xdr:col>2</xdr:col>
                <xdr:colOff>657225</xdr:colOff>
                <xdr:row>0</xdr:row>
                <xdr:rowOff>28575</xdr:rowOff>
              </from>
              <to>
                <xdr:col>7</xdr:col>
                <xdr:colOff>0</xdr:colOff>
                <xdr:row>5</xdr:row>
                <xdr:rowOff>95250</xdr:rowOff>
              </to>
            </anchor>
          </objectPr>
        </oleObject>
      </mc:Choice>
      <mc:Fallback>
        <oleObject progId="Visio.Drawing.11" shapeId="980000" r:id="rId4"/>
      </mc:Fallback>
    </mc:AlternateContent>
    <mc:AlternateContent xmlns:mc="http://schemas.openxmlformats.org/markup-compatibility/2006">
      <mc:Choice Requires="x14">
        <oleObject progId="Visio.Drawing.11" shapeId="980089" r:id="rId6">
          <objectPr defaultSize="0" autoPict="0" r:id="rId7">
            <anchor moveWithCells="1">
              <from>
                <xdr:col>4</xdr:col>
                <xdr:colOff>190500</xdr:colOff>
                <xdr:row>1</xdr:row>
                <xdr:rowOff>95250</xdr:rowOff>
              </from>
              <to>
                <xdr:col>11</xdr:col>
                <xdr:colOff>133350</xdr:colOff>
                <xdr:row>25</xdr:row>
                <xdr:rowOff>19050</xdr:rowOff>
              </to>
            </anchor>
          </objectPr>
        </oleObject>
      </mc:Choice>
      <mc:Fallback>
        <oleObject progId="Visio.Drawing.11" shapeId="980089" r:id="rId6"/>
      </mc:Fallback>
    </mc:AlternateContent>
    <mc:AlternateContent xmlns:mc="http://schemas.openxmlformats.org/markup-compatibility/2006">
      <mc:Choice Requires="x14">
        <oleObject progId="Visio.Drawing.11" shapeId="980090" r:id="rId8">
          <objectPr defaultSize="0" autoPict="0" r:id="rId9">
            <anchor moveWithCells="1">
              <from>
                <xdr:col>4</xdr:col>
                <xdr:colOff>57150</xdr:colOff>
                <xdr:row>30</xdr:row>
                <xdr:rowOff>0</xdr:rowOff>
              </from>
              <to>
                <xdr:col>11</xdr:col>
                <xdr:colOff>447675</xdr:colOff>
                <xdr:row>56</xdr:row>
                <xdr:rowOff>0</xdr:rowOff>
              </to>
            </anchor>
          </objectPr>
        </oleObject>
      </mc:Choice>
      <mc:Fallback>
        <oleObject progId="Visio.Drawing.11" shapeId="980090" r:id="rId8"/>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BX1259"/>
  <sheetViews>
    <sheetView topLeftCell="A16" zoomScaleNormal="100" workbookViewId="0">
      <selection activeCell="K12" sqref="K12"/>
    </sheetView>
  </sheetViews>
  <sheetFormatPr defaultRowHeight="12.75" x14ac:dyDescent="0.2"/>
  <cols>
    <col min="1" max="1" width="5.28515625" customWidth="1"/>
    <col min="2" max="2" width="8.42578125" customWidth="1"/>
    <col min="3" max="3" width="18.5703125" bestFit="1" customWidth="1"/>
    <col min="14" max="14" width="8.7109375" customWidth="1"/>
    <col min="22" max="22" width="0" style="1" hidden="1" customWidth="1"/>
    <col min="23" max="76" width="9.140625" style="1" customWidth="1"/>
  </cols>
  <sheetData>
    <row r="1" spans="1:76" x14ac:dyDescent="0.2">
      <c r="A1" s="2"/>
      <c r="B1" s="2"/>
      <c r="C1" s="2"/>
      <c r="D1" s="2"/>
      <c r="E1" s="2"/>
      <c r="F1" s="2"/>
      <c r="G1" s="2"/>
      <c r="H1" s="2"/>
      <c r="I1" s="2"/>
      <c r="J1" s="2"/>
      <c r="K1" s="2"/>
      <c r="L1" s="2"/>
      <c r="M1" s="2"/>
      <c r="N1" s="2"/>
      <c r="O1" s="1"/>
      <c r="P1" s="1"/>
      <c r="Q1" s="1"/>
      <c r="R1" s="1"/>
      <c r="S1" s="1"/>
      <c r="T1" s="1"/>
      <c r="U1" s="1"/>
    </row>
    <row r="2" spans="1:76" ht="18" x14ac:dyDescent="0.25">
      <c r="A2" s="2"/>
      <c r="C2" s="35" t="s">
        <v>58</v>
      </c>
      <c r="D2" s="2"/>
      <c r="E2" s="2"/>
      <c r="F2" s="2"/>
      <c r="G2" s="2"/>
      <c r="H2" s="2"/>
      <c r="I2" s="2"/>
      <c r="J2" s="2"/>
      <c r="K2" s="2"/>
      <c r="L2" s="2"/>
      <c r="M2" s="2"/>
      <c r="N2" s="2"/>
      <c r="O2" s="1"/>
      <c r="P2" s="1"/>
      <c r="Q2" s="1"/>
      <c r="R2" s="1"/>
      <c r="S2" s="1"/>
      <c r="T2" s="1"/>
      <c r="U2" s="1"/>
    </row>
    <row r="3" spans="1:76" x14ac:dyDescent="0.2">
      <c r="A3" s="2"/>
      <c r="B3" s="2"/>
      <c r="C3" s="2"/>
      <c r="D3" s="2"/>
      <c r="F3" s="1"/>
      <c r="G3" s="2"/>
      <c r="H3" s="2"/>
      <c r="I3" s="2"/>
      <c r="J3" s="2"/>
      <c r="K3" s="2"/>
      <c r="L3" s="2"/>
      <c r="M3" s="2"/>
      <c r="N3" s="2"/>
      <c r="O3" s="1"/>
      <c r="P3" s="1"/>
      <c r="Q3" s="1"/>
      <c r="R3" s="1"/>
      <c r="S3" s="1"/>
      <c r="T3" s="1"/>
      <c r="U3" s="1"/>
    </row>
    <row r="4" spans="1:76" x14ac:dyDescent="0.2">
      <c r="A4" s="1"/>
      <c r="B4" s="1"/>
      <c r="C4" s="44"/>
      <c r="D4" s="45"/>
      <c r="E4" s="2"/>
      <c r="F4" s="2"/>
      <c r="G4" s="2"/>
      <c r="H4" s="2"/>
      <c r="I4" s="2"/>
      <c r="J4" s="2"/>
      <c r="K4" s="2"/>
      <c r="L4" s="2"/>
      <c r="M4" s="2"/>
      <c r="N4" s="2"/>
      <c r="O4" s="1"/>
      <c r="P4" s="1"/>
      <c r="Q4" s="1"/>
      <c r="R4" s="1"/>
      <c r="S4" s="1"/>
      <c r="T4" s="1"/>
      <c r="U4" s="1"/>
    </row>
    <row r="5" spans="1:76" x14ac:dyDescent="0.2">
      <c r="A5" s="1"/>
      <c r="B5" s="1"/>
      <c r="C5" s="63" t="s">
        <v>33</v>
      </c>
      <c r="D5" s="50"/>
      <c r="E5" s="42"/>
      <c r="F5" s="42"/>
      <c r="G5" s="79"/>
      <c r="I5" s="1"/>
      <c r="J5" s="2"/>
      <c r="K5" s="2"/>
      <c r="L5" s="2"/>
      <c r="M5" s="2"/>
      <c r="N5" s="2"/>
      <c r="O5" s="1"/>
      <c r="P5" s="1"/>
      <c r="Q5" s="1"/>
      <c r="R5" s="1"/>
      <c r="S5" s="1"/>
      <c r="T5" s="1"/>
      <c r="U5" s="1"/>
    </row>
    <row r="6" spans="1:76" x14ac:dyDescent="0.2">
      <c r="A6" s="1"/>
      <c r="B6" s="1"/>
      <c r="C6" s="2"/>
      <c r="E6" s="43"/>
      <c r="F6" s="1"/>
      <c r="G6" s="1"/>
      <c r="H6" s="1"/>
      <c r="I6" s="1"/>
      <c r="K6" s="2"/>
      <c r="L6" s="2"/>
      <c r="M6" s="2"/>
      <c r="N6" s="2"/>
      <c r="O6" s="1"/>
      <c r="P6" s="1"/>
      <c r="Q6" s="1"/>
      <c r="R6" s="1"/>
      <c r="S6" s="1"/>
      <c r="T6" s="1"/>
      <c r="U6" s="1"/>
    </row>
    <row r="7" spans="1:76" x14ac:dyDescent="0.2">
      <c r="A7" s="1"/>
      <c r="B7" s="1"/>
      <c r="C7" s="2"/>
      <c r="D7" s="2"/>
      <c r="E7" s="40" t="s">
        <v>18</v>
      </c>
      <c r="G7" s="22"/>
      <c r="H7" s="22" t="s">
        <v>23</v>
      </c>
      <c r="I7" s="2"/>
      <c r="J7" s="2"/>
      <c r="K7" s="40" t="s">
        <v>24</v>
      </c>
      <c r="L7" s="2"/>
      <c r="M7" s="2"/>
      <c r="N7" s="2"/>
      <c r="O7" s="1"/>
      <c r="P7" s="1"/>
      <c r="Q7" s="1"/>
      <c r="R7" s="1"/>
      <c r="S7" s="1"/>
      <c r="T7" s="1"/>
      <c r="U7" s="1"/>
    </row>
    <row r="8" spans="1:76" ht="13.5" thickBot="1" x14ac:dyDescent="0.25">
      <c r="A8" s="1"/>
      <c r="B8" s="1"/>
      <c r="C8" s="9"/>
      <c r="D8" s="9"/>
      <c r="E8" s="9"/>
      <c r="F8" s="2"/>
      <c r="G8" s="2"/>
      <c r="H8" s="12"/>
      <c r="I8" s="2"/>
      <c r="J8" s="2"/>
      <c r="K8" s="2"/>
      <c r="L8" s="2"/>
      <c r="M8" s="2"/>
      <c r="N8" s="2"/>
      <c r="O8" s="1"/>
      <c r="P8" s="1"/>
      <c r="Q8" s="1"/>
      <c r="R8" s="1"/>
      <c r="S8" s="1"/>
      <c r="T8" s="1"/>
      <c r="U8" s="1"/>
    </row>
    <row r="9" spans="1:76" s="103" customFormat="1" ht="16.5" thickBot="1" x14ac:dyDescent="0.25">
      <c r="A9" s="96"/>
      <c r="B9" s="96"/>
      <c r="C9" s="97"/>
      <c r="D9" s="95" t="s">
        <v>75</v>
      </c>
      <c r="E9" s="98">
        <v>35</v>
      </c>
      <c r="F9" s="99"/>
      <c r="G9" s="99"/>
      <c r="H9" s="100"/>
      <c r="I9" s="99"/>
      <c r="J9" s="101" t="s">
        <v>52</v>
      </c>
      <c r="K9" s="102">
        <v>28</v>
      </c>
      <c r="L9" s="99"/>
      <c r="M9" s="99"/>
      <c r="N9" s="99"/>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c r="BM9" s="96"/>
      <c r="BN9" s="96"/>
      <c r="BO9" s="96"/>
      <c r="BP9" s="96"/>
      <c r="BQ9" s="96"/>
      <c r="BR9" s="96"/>
      <c r="BS9" s="96"/>
      <c r="BT9" s="96"/>
      <c r="BU9" s="96"/>
      <c r="BV9" s="96"/>
      <c r="BW9" s="96"/>
      <c r="BX9" s="96"/>
    </row>
    <row r="10" spans="1:76" s="103" customFormat="1" ht="16.5" thickBot="1" x14ac:dyDescent="0.25">
      <c r="A10" s="96"/>
      <c r="B10" s="96"/>
      <c r="C10" s="97"/>
      <c r="D10" s="95" t="s">
        <v>74</v>
      </c>
      <c r="E10" s="104">
        <v>40</v>
      </c>
      <c r="F10" s="99"/>
      <c r="G10" s="99"/>
      <c r="H10" s="100"/>
      <c r="I10" s="99"/>
      <c r="J10" s="101" t="s">
        <v>53</v>
      </c>
      <c r="K10" s="102">
        <v>28</v>
      </c>
      <c r="L10" s="99"/>
      <c r="M10" s="99"/>
      <c r="N10" s="99"/>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c r="BM10" s="96"/>
      <c r="BN10" s="96"/>
      <c r="BO10" s="96"/>
      <c r="BP10" s="96"/>
      <c r="BQ10" s="96"/>
      <c r="BR10" s="96"/>
      <c r="BS10" s="96"/>
      <c r="BT10" s="96"/>
      <c r="BU10" s="96"/>
      <c r="BV10" s="96"/>
      <c r="BW10" s="96"/>
      <c r="BX10" s="96"/>
    </row>
    <row r="11" spans="1:76" s="103" customFormat="1" ht="16.5" customHeight="1" thickBot="1" x14ac:dyDescent="0.25">
      <c r="A11" s="96"/>
      <c r="B11" s="96"/>
      <c r="C11" s="105"/>
      <c r="D11" s="106" t="s">
        <v>30</v>
      </c>
      <c r="E11" s="107" t="s">
        <v>5</v>
      </c>
      <c r="F11" s="99"/>
      <c r="G11" s="99"/>
      <c r="H11" s="100"/>
      <c r="I11" s="99"/>
      <c r="J11" s="95" t="s">
        <v>29</v>
      </c>
      <c r="K11" s="108">
        <f>K9+K10</f>
        <v>56</v>
      </c>
      <c r="L11" s="99"/>
      <c r="M11" s="99"/>
      <c r="N11" s="99"/>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96"/>
      <c r="BH11" s="96"/>
      <c r="BI11" s="96"/>
      <c r="BJ11" s="96"/>
      <c r="BK11" s="96"/>
      <c r="BL11" s="96"/>
      <c r="BM11" s="96"/>
      <c r="BN11" s="96"/>
      <c r="BO11" s="96"/>
      <c r="BP11" s="96"/>
      <c r="BQ11" s="96"/>
      <c r="BR11" s="96"/>
      <c r="BS11" s="96"/>
      <c r="BT11" s="96"/>
      <c r="BU11" s="96"/>
      <c r="BV11" s="96"/>
      <c r="BW11" s="96"/>
      <c r="BX11" s="96"/>
    </row>
    <row r="12" spans="1:76" s="103" customFormat="1" ht="16.5" customHeight="1" thickBot="1" x14ac:dyDescent="0.25">
      <c r="A12" s="96"/>
      <c r="B12" s="96"/>
      <c r="C12" s="97"/>
      <c r="D12" s="95" t="str">
        <f>IF(E11="Yes","External VCC (V) ", " ")</f>
        <v xml:space="preserve"> </v>
      </c>
      <c r="E12" s="109">
        <v>10</v>
      </c>
      <c r="F12" s="99"/>
      <c r="G12" s="99"/>
      <c r="H12" s="99"/>
      <c r="I12" s="99"/>
      <c r="J12" s="95" t="s">
        <v>28</v>
      </c>
      <c r="K12" s="110">
        <f>K11*Fsw*10^-3</f>
        <v>8.5400000000000009</v>
      </c>
      <c r="L12" s="99"/>
      <c r="M12" s="99"/>
      <c r="N12" s="99"/>
      <c r="O12" s="96"/>
      <c r="P12" s="96"/>
      <c r="Q12" s="96"/>
      <c r="R12" s="96"/>
      <c r="S12" s="96"/>
      <c r="T12" s="96"/>
      <c r="U12" s="96"/>
      <c r="V12" s="111" t="s">
        <v>4</v>
      </c>
      <c r="W12" s="96"/>
      <c r="X12" s="96"/>
      <c r="Y12" s="96"/>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c r="BM12" s="96"/>
      <c r="BN12" s="96"/>
      <c r="BO12" s="96"/>
      <c r="BP12" s="96"/>
      <c r="BQ12" s="96"/>
      <c r="BR12" s="96"/>
      <c r="BS12" s="96"/>
      <c r="BT12" s="96"/>
      <c r="BU12" s="96"/>
      <c r="BV12" s="96"/>
      <c r="BW12" s="96"/>
      <c r="BX12" s="96"/>
    </row>
    <row r="13" spans="1:76" x14ac:dyDescent="0.2">
      <c r="A13" s="4"/>
      <c r="B13" s="13"/>
      <c r="C13" s="24"/>
      <c r="D13" s="2"/>
      <c r="E13" s="2"/>
      <c r="F13" s="2"/>
      <c r="G13" s="2"/>
      <c r="H13" s="13"/>
      <c r="I13" s="14"/>
      <c r="J13" s="2"/>
      <c r="K13" s="2"/>
      <c r="L13" s="2"/>
      <c r="M13" s="2"/>
      <c r="N13" s="2"/>
      <c r="O13" s="1"/>
      <c r="P13" s="1"/>
      <c r="Q13" s="1"/>
      <c r="R13" s="1"/>
      <c r="S13" s="1"/>
      <c r="T13" s="1"/>
      <c r="U13" s="1"/>
      <c r="V13" s="41" t="s">
        <v>5</v>
      </c>
    </row>
    <row r="14" spans="1:76" x14ac:dyDescent="0.2">
      <c r="A14" s="2"/>
      <c r="B14" s="13"/>
      <c r="C14" s="46"/>
      <c r="D14" s="2"/>
      <c r="E14" s="2"/>
      <c r="F14" s="2"/>
      <c r="G14" s="2"/>
      <c r="H14" s="2"/>
      <c r="I14" s="2"/>
      <c r="J14" s="2"/>
      <c r="K14" s="2"/>
      <c r="L14" s="2"/>
      <c r="M14" s="2"/>
      <c r="N14" s="2"/>
      <c r="O14" s="1"/>
      <c r="P14" s="1"/>
      <c r="Q14" s="1"/>
      <c r="R14" s="1"/>
      <c r="S14" s="1"/>
      <c r="T14" s="1"/>
      <c r="U14" s="1"/>
    </row>
    <row r="15" spans="1:76" x14ac:dyDescent="0.2">
      <c r="A15" s="2"/>
      <c r="B15" s="2"/>
      <c r="C15" s="22" t="s">
        <v>25</v>
      </c>
      <c r="D15" s="2"/>
      <c r="E15" s="2"/>
      <c r="F15" s="16"/>
      <c r="G15" s="16"/>
      <c r="H15" s="16"/>
      <c r="I15" s="17"/>
      <c r="J15" s="2"/>
      <c r="K15" s="2"/>
      <c r="L15" s="2"/>
      <c r="M15" s="2"/>
      <c r="N15" s="2"/>
      <c r="O15" s="1"/>
      <c r="P15" s="1"/>
      <c r="Q15" s="1"/>
      <c r="R15" s="1"/>
      <c r="S15" s="1"/>
      <c r="T15" s="1"/>
      <c r="U15" s="1"/>
    </row>
    <row r="16" spans="1:76" x14ac:dyDescent="0.2">
      <c r="B16" s="1"/>
      <c r="C16" s="18" t="s">
        <v>11</v>
      </c>
      <c r="D16" s="72">
        <f>Vin_min</f>
        <v>24</v>
      </c>
      <c r="E16" s="73">
        <f>Vin_min+(Vin_max-Vin_min)/10</f>
        <v>25</v>
      </c>
      <c r="F16" s="73">
        <f>Vin_min+2*(Vin_max-Vin_min)/10</f>
        <v>26</v>
      </c>
      <c r="G16" s="73">
        <v>22.1</v>
      </c>
      <c r="H16" s="73">
        <f>Vin_min+4*(Vin_max-Vin_min)/10</f>
        <v>28</v>
      </c>
      <c r="I16" s="73">
        <f>Vin_min+5*(Vin_max-Vin_min)/10</f>
        <v>29</v>
      </c>
      <c r="J16" s="73">
        <f>Vin_min+6*(Vin_max-Vin_min)/10</f>
        <v>30</v>
      </c>
      <c r="K16" s="73">
        <f>Vin_min+7*(Vin_max-Vin_min)/10</f>
        <v>31</v>
      </c>
      <c r="L16" s="73">
        <f>Vin_min+8*(Vin_max-Vin_min)/10</f>
        <v>32</v>
      </c>
      <c r="M16" s="73">
        <f>Vin_min+9*(Vin_max-Vin_min)/10</f>
        <v>33</v>
      </c>
      <c r="N16" s="74">
        <f>Vin_min+10*(Vin_max-Vin_min)/10</f>
        <v>34</v>
      </c>
      <c r="O16" s="1"/>
      <c r="P16" s="1"/>
      <c r="Q16" s="1"/>
      <c r="R16" s="1"/>
      <c r="S16" s="1"/>
      <c r="T16" s="1"/>
      <c r="U16" s="1"/>
    </row>
    <row r="17" spans="1:21" x14ac:dyDescent="0.2">
      <c r="A17" s="1"/>
      <c r="B17" s="11"/>
      <c r="C17" s="19" t="s">
        <v>12</v>
      </c>
      <c r="D17" s="75">
        <f t="shared" ref="D17:N17" si="0">IF(EXTVCC="Yes",0.006*D16+$E$12*(ICC*10^-3),D16*(0.006+ICC*10^-3))</f>
        <v>0.44255999999999995</v>
      </c>
      <c r="E17" s="75">
        <f t="shared" si="0"/>
        <v>0.46099999999999997</v>
      </c>
      <c r="F17" s="75">
        <f t="shared" si="0"/>
        <v>0.47943999999999998</v>
      </c>
      <c r="G17" s="75">
        <f t="shared" si="0"/>
        <v>0.407524</v>
      </c>
      <c r="H17" s="75">
        <f t="shared" si="0"/>
        <v>0.51631999999999989</v>
      </c>
      <c r="I17" s="75">
        <f t="shared" si="0"/>
        <v>0.5347599999999999</v>
      </c>
      <c r="J17" s="75">
        <f t="shared" si="0"/>
        <v>0.55319999999999991</v>
      </c>
      <c r="K17" s="75">
        <f t="shared" si="0"/>
        <v>0.57163999999999993</v>
      </c>
      <c r="L17" s="75">
        <f t="shared" si="0"/>
        <v>0.59007999999999994</v>
      </c>
      <c r="M17" s="75">
        <f t="shared" si="0"/>
        <v>0.60851999999999995</v>
      </c>
      <c r="N17" s="75">
        <f t="shared" si="0"/>
        <v>0.62695999999999996</v>
      </c>
      <c r="O17" s="1"/>
      <c r="P17" s="1"/>
      <c r="Q17" s="1"/>
      <c r="R17" s="1"/>
      <c r="S17" s="1"/>
      <c r="T17" s="1"/>
      <c r="U17" s="1"/>
    </row>
    <row r="18" spans="1:21" ht="15.75" x14ac:dyDescent="0.3">
      <c r="A18" s="1"/>
      <c r="B18" s="1"/>
      <c r="C18" s="64" t="s">
        <v>34</v>
      </c>
      <c r="D18" s="51">
        <f t="shared" ref="D18:N18" si="1">D17*RJA</f>
        <v>17.702399999999997</v>
      </c>
      <c r="E18" s="51">
        <f t="shared" si="1"/>
        <v>18.439999999999998</v>
      </c>
      <c r="F18" s="51">
        <f t="shared" si="1"/>
        <v>19.177599999999998</v>
      </c>
      <c r="G18" s="51">
        <f t="shared" si="1"/>
        <v>16.30096</v>
      </c>
      <c r="H18" s="51">
        <f t="shared" si="1"/>
        <v>20.652799999999996</v>
      </c>
      <c r="I18" s="51">
        <f t="shared" si="1"/>
        <v>21.390399999999996</v>
      </c>
      <c r="J18" s="51">
        <f t="shared" si="1"/>
        <v>22.127999999999997</v>
      </c>
      <c r="K18" s="51">
        <f t="shared" si="1"/>
        <v>22.865599999999997</v>
      </c>
      <c r="L18" s="51">
        <f t="shared" si="1"/>
        <v>23.603199999999998</v>
      </c>
      <c r="M18" s="51">
        <f t="shared" si="1"/>
        <v>24.340799999999998</v>
      </c>
      <c r="N18" s="52">
        <f t="shared" si="1"/>
        <v>25.078399999999998</v>
      </c>
      <c r="O18" s="1"/>
      <c r="P18" s="1"/>
      <c r="Q18" s="1"/>
      <c r="R18" s="1"/>
      <c r="S18" s="1"/>
      <c r="T18" s="1"/>
      <c r="U18" s="1"/>
    </row>
    <row r="19" spans="1:21" x14ac:dyDescent="0.2">
      <c r="A19" s="1"/>
      <c r="B19" s="1"/>
      <c r="C19" s="80" t="s">
        <v>37</v>
      </c>
      <c r="D19" s="53">
        <f t="shared" ref="D19:N19" si="2">TA+D17*RJA</f>
        <v>52.702399999999997</v>
      </c>
      <c r="E19" s="53">
        <f t="shared" si="2"/>
        <v>53.44</v>
      </c>
      <c r="F19" s="53">
        <f t="shared" si="2"/>
        <v>54.177599999999998</v>
      </c>
      <c r="G19" s="53">
        <f t="shared" si="2"/>
        <v>51.300960000000003</v>
      </c>
      <c r="H19" s="53">
        <f t="shared" si="2"/>
        <v>55.652799999999999</v>
      </c>
      <c r="I19" s="53">
        <f t="shared" si="2"/>
        <v>56.3904</v>
      </c>
      <c r="J19" s="53">
        <f t="shared" si="2"/>
        <v>57.128</v>
      </c>
      <c r="K19" s="53">
        <f t="shared" si="2"/>
        <v>57.865600000000001</v>
      </c>
      <c r="L19" s="53">
        <f t="shared" si="2"/>
        <v>58.603200000000001</v>
      </c>
      <c r="M19" s="53">
        <f t="shared" si="2"/>
        <v>59.340800000000002</v>
      </c>
      <c r="N19" s="54">
        <f t="shared" si="2"/>
        <v>60.078400000000002</v>
      </c>
      <c r="O19" s="1"/>
      <c r="P19" s="1"/>
      <c r="Q19" s="1"/>
      <c r="R19" s="1"/>
      <c r="S19" s="1"/>
      <c r="T19" s="1"/>
      <c r="U19" s="1"/>
    </row>
    <row r="20" spans="1:21" x14ac:dyDescent="0.2">
      <c r="A20" s="1"/>
      <c r="B20" s="1"/>
      <c r="C20" s="14"/>
      <c r="D20" s="15"/>
      <c r="E20" s="15"/>
      <c r="F20" s="15"/>
      <c r="G20" s="15"/>
      <c r="H20" s="15"/>
      <c r="I20" s="15"/>
      <c r="J20" s="15"/>
      <c r="K20" s="15"/>
      <c r="L20" s="15"/>
      <c r="M20" s="15"/>
      <c r="N20" s="15"/>
      <c r="O20" s="1"/>
      <c r="P20" s="1"/>
      <c r="Q20" s="1"/>
      <c r="R20" s="1"/>
      <c r="S20" s="1"/>
      <c r="T20" s="1"/>
      <c r="U20" s="1"/>
    </row>
    <row r="21" spans="1:21" x14ac:dyDescent="0.2">
      <c r="A21" s="2"/>
      <c r="B21" s="2"/>
      <c r="C21" s="22" t="s">
        <v>26</v>
      </c>
      <c r="D21" s="2"/>
      <c r="E21" s="2"/>
      <c r="F21" s="16"/>
      <c r="G21" s="17"/>
      <c r="H21" s="17"/>
      <c r="I21" s="16"/>
      <c r="J21" s="2"/>
      <c r="K21" s="2"/>
      <c r="L21" s="2"/>
      <c r="M21" s="2"/>
      <c r="N21" s="2"/>
      <c r="O21" s="1"/>
      <c r="P21" s="1"/>
      <c r="Q21" s="1"/>
      <c r="R21" s="1"/>
      <c r="S21" s="1"/>
      <c r="T21" s="1"/>
      <c r="U21" s="1"/>
    </row>
    <row r="22" spans="1:21" x14ac:dyDescent="0.2">
      <c r="A22" s="2"/>
      <c r="B22" s="2"/>
      <c r="C22" s="37" t="s">
        <v>11</v>
      </c>
      <c r="D22" s="69">
        <f>Vin_min</f>
        <v>24</v>
      </c>
      <c r="E22" s="70">
        <f>Vin_min+(Vin_max-Vin_min)/10</f>
        <v>25</v>
      </c>
      <c r="F22" s="70">
        <f>Vin_min+2*(Vin_max-Vin_min)/10</f>
        <v>26</v>
      </c>
      <c r="G22" s="70">
        <v>22.1</v>
      </c>
      <c r="H22" s="70">
        <f>Vin_min+4*(Vin_max-Vin_min)/10</f>
        <v>28</v>
      </c>
      <c r="I22" s="70">
        <f>Vin_min+5*(Vin_max-Vin_min)/10</f>
        <v>29</v>
      </c>
      <c r="J22" s="70">
        <f>Vin_min+6*(Vin_max-Vin_min)/10</f>
        <v>30</v>
      </c>
      <c r="K22" s="70">
        <f>Vin_min+7*(Vin_max-Vin_min)/10</f>
        <v>31</v>
      </c>
      <c r="L22" s="70">
        <f>Vin_min+8*(Vin_max-Vin_min)/10</f>
        <v>32</v>
      </c>
      <c r="M22" s="70">
        <f>Vin_min+9*(Vin_max-Vin_min)/10</f>
        <v>33</v>
      </c>
      <c r="N22" s="71">
        <f>Vin_min+10*(Vin_max-Vin_min)/10</f>
        <v>34</v>
      </c>
      <c r="O22" s="1"/>
      <c r="P22" s="1"/>
      <c r="Q22" s="1"/>
      <c r="R22" s="1"/>
      <c r="S22" s="1"/>
      <c r="T22" s="1"/>
      <c r="U22" s="1"/>
    </row>
    <row r="23" spans="1:21" x14ac:dyDescent="0.2">
      <c r="A23" s="2"/>
      <c r="B23" s="13"/>
      <c r="C23" s="38" t="s">
        <v>12</v>
      </c>
      <c r="D23" s="76">
        <f t="shared" ref="D23:N23" si="3">IF(EXTVCC="Yes",$E$12*(0.0014+ICC_Chan2*10^-3),D22*(0.0014+ICC_Chan2*10^-3))</f>
        <v>0.23856000000000002</v>
      </c>
      <c r="E23" s="76">
        <f t="shared" si="3"/>
        <v>0.24850000000000003</v>
      </c>
      <c r="F23" s="76">
        <f t="shared" si="3"/>
        <v>0.25844</v>
      </c>
      <c r="G23" s="76">
        <f t="shared" si="3"/>
        <v>0.21967400000000004</v>
      </c>
      <c r="H23" s="76">
        <f t="shared" si="3"/>
        <v>0.27832000000000001</v>
      </c>
      <c r="I23" s="76">
        <f t="shared" si="3"/>
        <v>0.28826000000000002</v>
      </c>
      <c r="J23" s="76">
        <f t="shared" si="3"/>
        <v>0.29820000000000002</v>
      </c>
      <c r="K23" s="76">
        <f t="shared" si="3"/>
        <v>0.30814000000000002</v>
      </c>
      <c r="L23" s="76">
        <f t="shared" si="3"/>
        <v>0.31808000000000003</v>
      </c>
      <c r="M23" s="76">
        <f t="shared" si="3"/>
        <v>0.32802000000000003</v>
      </c>
      <c r="N23" s="76">
        <f t="shared" si="3"/>
        <v>0.33796000000000004</v>
      </c>
      <c r="O23" s="1"/>
      <c r="P23" s="1"/>
      <c r="Q23" s="1"/>
      <c r="R23" s="1"/>
      <c r="S23" s="1"/>
      <c r="T23" s="1"/>
      <c r="U23" s="1"/>
    </row>
    <row r="24" spans="1:21" ht="15.75" x14ac:dyDescent="0.3">
      <c r="A24" s="2"/>
      <c r="B24" s="2"/>
      <c r="C24" s="65" t="s">
        <v>35</v>
      </c>
      <c r="D24" s="55">
        <f t="shared" ref="D24:N24" si="4">D23*RJA</f>
        <v>9.5424000000000007</v>
      </c>
      <c r="E24" s="55">
        <f t="shared" si="4"/>
        <v>9.9400000000000013</v>
      </c>
      <c r="F24" s="55">
        <f t="shared" si="4"/>
        <v>10.3376</v>
      </c>
      <c r="G24" s="55">
        <f t="shared" si="4"/>
        <v>8.7869600000000005</v>
      </c>
      <c r="H24" s="55">
        <f t="shared" si="4"/>
        <v>11.1328</v>
      </c>
      <c r="I24" s="55">
        <f t="shared" si="4"/>
        <v>11.5304</v>
      </c>
      <c r="J24" s="55">
        <f t="shared" si="4"/>
        <v>11.928000000000001</v>
      </c>
      <c r="K24" s="55">
        <f t="shared" si="4"/>
        <v>12.325600000000001</v>
      </c>
      <c r="L24" s="55">
        <f t="shared" si="4"/>
        <v>12.723200000000002</v>
      </c>
      <c r="M24" s="55">
        <f t="shared" si="4"/>
        <v>13.120800000000001</v>
      </c>
      <c r="N24" s="56">
        <f t="shared" si="4"/>
        <v>13.518400000000002</v>
      </c>
      <c r="O24" s="1"/>
      <c r="P24" s="1"/>
      <c r="Q24" s="1"/>
      <c r="R24" s="1"/>
      <c r="S24" s="1"/>
      <c r="T24" s="1"/>
      <c r="U24" s="1"/>
    </row>
    <row r="25" spans="1:21" x14ac:dyDescent="0.2">
      <c r="A25" s="2"/>
      <c r="B25" s="2"/>
      <c r="C25" s="81" t="s">
        <v>37</v>
      </c>
      <c r="D25" s="57">
        <f>TA+D23*RJA</f>
        <v>44.542400000000001</v>
      </c>
      <c r="E25" s="57">
        <f t="shared" ref="E25:N25" si="5">TA+E23*RJA</f>
        <v>44.94</v>
      </c>
      <c r="F25" s="57">
        <f t="shared" si="5"/>
        <v>45.337600000000002</v>
      </c>
      <c r="G25" s="57">
        <f t="shared" si="5"/>
        <v>43.786960000000001</v>
      </c>
      <c r="H25" s="57">
        <f t="shared" si="5"/>
        <v>46.132800000000003</v>
      </c>
      <c r="I25" s="57">
        <f t="shared" si="5"/>
        <v>46.5304</v>
      </c>
      <c r="J25" s="57">
        <f t="shared" si="5"/>
        <v>46.927999999999997</v>
      </c>
      <c r="K25" s="57">
        <f t="shared" si="5"/>
        <v>47.325600000000001</v>
      </c>
      <c r="L25" s="57">
        <f t="shared" si="5"/>
        <v>47.723200000000006</v>
      </c>
      <c r="M25" s="57">
        <f t="shared" si="5"/>
        <v>48.120800000000003</v>
      </c>
      <c r="N25" s="58">
        <f t="shared" si="5"/>
        <v>48.5184</v>
      </c>
      <c r="O25" s="1"/>
      <c r="P25" s="1"/>
      <c r="Q25" s="1"/>
      <c r="R25" s="1"/>
      <c r="S25" s="1"/>
      <c r="T25" s="1"/>
      <c r="U25" s="1"/>
    </row>
    <row r="26" spans="1:21" x14ac:dyDescent="0.2">
      <c r="A26" s="2"/>
      <c r="B26" s="2"/>
      <c r="C26" s="14"/>
      <c r="D26" s="15"/>
      <c r="E26" s="15"/>
      <c r="F26" s="15"/>
      <c r="G26" s="15"/>
      <c r="H26" s="15"/>
      <c r="I26" s="15"/>
      <c r="J26" s="15"/>
      <c r="K26" s="15"/>
      <c r="L26" s="15"/>
      <c r="M26" s="15"/>
      <c r="N26" s="15"/>
      <c r="O26" s="1"/>
      <c r="P26" s="1"/>
      <c r="Q26" s="1"/>
      <c r="R26" s="1"/>
      <c r="S26" s="1"/>
      <c r="T26" s="1"/>
      <c r="U26" s="1"/>
    </row>
    <row r="27" spans="1:21" x14ac:dyDescent="0.2">
      <c r="A27" s="2"/>
      <c r="B27" s="2"/>
      <c r="C27" s="39" t="s">
        <v>27</v>
      </c>
      <c r="D27" s="1"/>
      <c r="E27" s="1"/>
      <c r="G27" s="1"/>
      <c r="H27" s="1"/>
      <c r="J27" s="1"/>
      <c r="K27" s="1"/>
      <c r="L27" s="1"/>
      <c r="M27" s="1"/>
      <c r="N27" s="1"/>
      <c r="O27" s="1"/>
      <c r="P27" s="1"/>
      <c r="Q27" s="1"/>
      <c r="R27" s="1"/>
      <c r="S27" s="1"/>
      <c r="T27" s="1"/>
      <c r="U27" s="1"/>
    </row>
    <row r="28" spans="1:21" x14ac:dyDescent="0.2">
      <c r="A28" s="2"/>
      <c r="B28" s="2"/>
      <c r="C28" s="25" t="s">
        <v>11</v>
      </c>
      <c r="D28" s="66">
        <f>Vin_min</f>
        <v>24</v>
      </c>
      <c r="E28" s="67">
        <f>Vin_min+(Vin_max-Vin_min)/10</f>
        <v>25</v>
      </c>
      <c r="F28" s="67">
        <f>Vin_min+2*(Vin_max-Vin_min)/10</f>
        <v>26</v>
      </c>
      <c r="G28" s="67">
        <v>22.1</v>
      </c>
      <c r="H28" s="67">
        <f>Vin_min+4*(Vin_max-Vin_min)/10</f>
        <v>28</v>
      </c>
      <c r="I28" s="67">
        <f>Vin_min+5*(Vin_max-Vin_min)/10</f>
        <v>29</v>
      </c>
      <c r="J28" s="67">
        <f>Vin_min+6*(Vin_max-Vin_min)/10</f>
        <v>30</v>
      </c>
      <c r="K28" s="67">
        <f>Vin_min+7*(Vin_max-Vin_min)/10</f>
        <v>31</v>
      </c>
      <c r="L28" s="67">
        <f>Vin_min+8*(Vin_max-Vin_min)/10</f>
        <v>32</v>
      </c>
      <c r="M28" s="67">
        <f>Vin_min+9*(Vin_max-Vin_min)/10</f>
        <v>33</v>
      </c>
      <c r="N28" s="68">
        <f>Vin_min+10*(Vin_max-Vin_min)/10</f>
        <v>34</v>
      </c>
      <c r="O28" s="1"/>
      <c r="P28" s="1"/>
      <c r="Q28" s="1"/>
      <c r="R28" s="1"/>
      <c r="S28" s="1"/>
      <c r="T28" s="1"/>
      <c r="U28" s="1"/>
    </row>
    <row r="29" spans="1:21" x14ac:dyDescent="0.2">
      <c r="A29" s="2"/>
      <c r="B29" s="2"/>
      <c r="C29" s="26" t="s">
        <v>15</v>
      </c>
      <c r="D29" s="77">
        <f t="shared" ref="D29:N29" si="6">D17+D23</f>
        <v>0.68111999999999995</v>
      </c>
      <c r="E29" s="77">
        <f t="shared" si="6"/>
        <v>0.70950000000000002</v>
      </c>
      <c r="F29" s="77">
        <f t="shared" si="6"/>
        <v>0.73787999999999998</v>
      </c>
      <c r="G29" s="77">
        <f t="shared" si="6"/>
        <v>0.62719800000000003</v>
      </c>
      <c r="H29" s="77">
        <f t="shared" si="6"/>
        <v>0.7946399999999999</v>
      </c>
      <c r="I29" s="77">
        <f t="shared" si="6"/>
        <v>0.82301999999999986</v>
      </c>
      <c r="J29" s="77">
        <f t="shared" si="6"/>
        <v>0.85139999999999993</v>
      </c>
      <c r="K29" s="77">
        <f t="shared" si="6"/>
        <v>0.87978000000000001</v>
      </c>
      <c r="L29" s="77">
        <f t="shared" si="6"/>
        <v>0.90815999999999997</v>
      </c>
      <c r="M29" s="77">
        <f t="shared" si="6"/>
        <v>0.93653999999999993</v>
      </c>
      <c r="N29" s="78">
        <f t="shared" si="6"/>
        <v>0.96492</v>
      </c>
      <c r="O29" s="1"/>
      <c r="P29" s="1"/>
      <c r="Q29" s="1"/>
      <c r="R29" s="1"/>
      <c r="S29" s="1"/>
      <c r="T29" s="1"/>
      <c r="U29" s="1"/>
    </row>
    <row r="30" spans="1:21" ht="15.75" x14ac:dyDescent="0.3">
      <c r="A30" s="2"/>
      <c r="B30" s="2"/>
      <c r="C30" s="26" t="s">
        <v>36</v>
      </c>
      <c r="D30" s="59">
        <f t="shared" ref="D30:N30" si="7">D29*RJA</f>
        <v>27.244799999999998</v>
      </c>
      <c r="E30" s="59">
        <f t="shared" si="7"/>
        <v>28.380000000000003</v>
      </c>
      <c r="F30" s="59">
        <f t="shared" si="7"/>
        <v>29.5152</v>
      </c>
      <c r="G30" s="59">
        <f t="shared" si="7"/>
        <v>25.08792</v>
      </c>
      <c r="H30" s="59">
        <f t="shared" si="7"/>
        <v>31.785599999999995</v>
      </c>
      <c r="I30" s="59">
        <f t="shared" si="7"/>
        <v>32.920799999999993</v>
      </c>
      <c r="J30" s="59">
        <f t="shared" si="7"/>
        <v>34.055999999999997</v>
      </c>
      <c r="K30" s="59">
        <f t="shared" si="7"/>
        <v>35.191200000000002</v>
      </c>
      <c r="L30" s="59">
        <f t="shared" si="7"/>
        <v>36.3264</v>
      </c>
      <c r="M30" s="59">
        <f t="shared" si="7"/>
        <v>37.461599999999997</v>
      </c>
      <c r="N30" s="60">
        <f t="shared" si="7"/>
        <v>38.596800000000002</v>
      </c>
      <c r="O30" s="1"/>
      <c r="P30" s="1"/>
      <c r="Q30" s="1"/>
      <c r="R30" s="1"/>
      <c r="S30" s="1"/>
      <c r="T30" s="1"/>
      <c r="U30" s="1"/>
    </row>
    <row r="31" spans="1:21" x14ac:dyDescent="0.2">
      <c r="A31" s="2"/>
      <c r="B31" s="2"/>
      <c r="C31" s="26" t="s">
        <v>37</v>
      </c>
      <c r="D31" s="61">
        <f t="shared" ref="D31:N31" si="8">TA+D29*RJA</f>
        <v>62.244799999999998</v>
      </c>
      <c r="E31" s="61">
        <f t="shared" si="8"/>
        <v>63.38</v>
      </c>
      <c r="F31" s="61">
        <f t="shared" si="8"/>
        <v>64.515199999999993</v>
      </c>
      <c r="G31" s="61">
        <f t="shared" si="8"/>
        <v>60.087919999999997</v>
      </c>
      <c r="H31" s="61">
        <f t="shared" si="8"/>
        <v>66.785599999999988</v>
      </c>
      <c r="I31" s="61">
        <f t="shared" si="8"/>
        <v>67.920799999999986</v>
      </c>
      <c r="J31" s="61">
        <f t="shared" si="8"/>
        <v>69.055999999999997</v>
      </c>
      <c r="K31" s="61">
        <f t="shared" si="8"/>
        <v>70.191200000000009</v>
      </c>
      <c r="L31" s="61">
        <f t="shared" si="8"/>
        <v>71.326400000000007</v>
      </c>
      <c r="M31" s="61">
        <f t="shared" si="8"/>
        <v>72.461600000000004</v>
      </c>
      <c r="N31" s="62">
        <f t="shared" si="8"/>
        <v>73.596800000000002</v>
      </c>
      <c r="O31" s="1"/>
      <c r="P31" s="1"/>
      <c r="Q31" s="1"/>
      <c r="R31" s="1"/>
      <c r="S31" s="1"/>
      <c r="T31" s="1"/>
      <c r="U31" s="1"/>
    </row>
    <row r="32" spans="1:21" x14ac:dyDescent="0.2">
      <c r="A32" s="2"/>
      <c r="B32" s="2"/>
      <c r="C32" s="2"/>
      <c r="D32" s="2"/>
      <c r="E32" s="2"/>
      <c r="F32" s="2"/>
      <c r="G32" s="2"/>
      <c r="H32" s="2"/>
      <c r="I32" s="2"/>
      <c r="J32" s="2"/>
      <c r="K32" s="2"/>
      <c r="L32" s="2"/>
      <c r="M32" s="2"/>
      <c r="N32" s="2"/>
      <c r="O32" s="1"/>
      <c r="P32" s="1"/>
      <c r="Q32" s="1"/>
      <c r="R32" s="1"/>
      <c r="S32" s="1"/>
      <c r="T32" s="1"/>
      <c r="U32" s="1"/>
    </row>
    <row r="33" spans="1:21" x14ac:dyDescent="0.2">
      <c r="A33" s="2"/>
      <c r="B33" s="2"/>
      <c r="C33" s="2"/>
      <c r="D33" s="2"/>
      <c r="E33" s="2"/>
      <c r="F33" s="2"/>
      <c r="G33" s="2"/>
      <c r="H33" s="2"/>
      <c r="I33" s="2"/>
      <c r="J33" s="2"/>
      <c r="K33" s="2"/>
      <c r="L33" s="2"/>
      <c r="M33" s="2"/>
      <c r="N33" s="2"/>
      <c r="O33" s="1"/>
      <c r="P33" s="1"/>
      <c r="Q33" s="1"/>
      <c r="R33" s="1"/>
      <c r="S33" s="1"/>
      <c r="T33" s="1"/>
      <c r="U33" s="1"/>
    </row>
    <row r="34" spans="1:21" x14ac:dyDescent="0.2">
      <c r="A34" s="2"/>
      <c r="B34" s="2"/>
      <c r="C34" s="2"/>
      <c r="D34" s="2"/>
      <c r="E34" s="2"/>
      <c r="F34" s="2"/>
      <c r="G34" s="2"/>
      <c r="H34" s="2"/>
      <c r="I34" s="2"/>
      <c r="J34" s="2"/>
      <c r="K34" s="2"/>
      <c r="L34" s="2"/>
      <c r="M34" s="2"/>
      <c r="N34" s="2"/>
      <c r="O34" s="1"/>
      <c r="P34" s="1"/>
      <c r="Q34" s="1"/>
      <c r="R34" s="1"/>
      <c r="S34" s="1"/>
      <c r="T34" s="1"/>
      <c r="U34" s="1"/>
    </row>
    <row r="35" spans="1:21" x14ac:dyDescent="0.2">
      <c r="A35" s="2"/>
      <c r="B35" s="2"/>
      <c r="C35" s="2"/>
      <c r="D35" s="2"/>
      <c r="E35" s="2"/>
      <c r="F35" s="2"/>
      <c r="G35" s="2"/>
      <c r="H35" s="2"/>
      <c r="I35" s="2"/>
      <c r="J35" s="2"/>
      <c r="K35" s="2"/>
      <c r="L35" s="2"/>
      <c r="M35" s="2"/>
      <c r="N35" s="2"/>
      <c r="O35" s="1"/>
      <c r="P35" s="1"/>
      <c r="Q35" s="1"/>
      <c r="R35" s="1"/>
      <c r="S35" s="1"/>
      <c r="T35" s="1"/>
      <c r="U35" s="1"/>
    </row>
    <row r="36" spans="1:21" x14ac:dyDescent="0.2">
      <c r="A36" s="2"/>
      <c r="B36" s="2"/>
      <c r="C36" s="2"/>
      <c r="D36" s="2"/>
      <c r="E36" s="2"/>
      <c r="F36" s="2"/>
      <c r="G36" s="2"/>
      <c r="H36" s="2"/>
      <c r="I36" s="2"/>
      <c r="J36" s="2"/>
      <c r="K36" s="2"/>
      <c r="L36" s="2"/>
      <c r="M36" s="2"/>
      <c r="N36" s="2"/>
      <c r="O36" s="1"/>
      <c r="P36" s="1"/>
      <c r="Q36" s="1"/>
      <c r="R36" s="1"/>
      <c r="S36" s="1"/>
      <c r="T36" s="1"/>
      <c r="U36" s="1"/>
    </row>
    <row r="37" spans="1:21" x14ac:dyDescent="0.2">
      <c r="A37" s="2"/>
      <c r="B37" s="2"/>
      <c r="C37" s="2"/>
      <c r="D37" s="2"/>
      <c r="E37" s="2"/>
      <c r="F37" s="2"/>
      <c r="G37" s="2"/>
      <c r="H37" s="2"/>
      <c r="I37" s="2"/>
      <c r="J37" s="2"/>
      <c r="K37" s="2"/>
      <c r="L37" s="2"/>
      <c r="M37" s="2"/>
      <c r="N37" s="2"/>
      <c r="O37" s="1"/>
      <c r="P37" s="1"/>
      <c r="Q37" s="1"/>
      <c r="R37" s="1"/>
      <c r="S37" s="1"/>
      <c r="T37" s="1"/>
      <c r="U37" s="1"/>
    </row>
    <row r="38" spans="1:21" x14ac:dyDescent="0.2">
      <c r="A38" s="2"/>
      <c r="B38" s="2"/>
      <c r="C38" s="2"/>
      <c r="D38" s="2"/>
      <c r="E38" s="2"/>
      <c r="F38" s="2"/>
      <c r="G38" s="2"/>
      <c r="H38" s="2"/>
      <c r="I38" s="2"/>
      <c r="J38" s="2"/>
      <c r="K38" s="2"/>
      <c r="L38" s="2"/>
      <c r="M38" s="2"/>
      <c r="N38" s="2"/>
      <c r="O38" s="1"/>
      <c r="P38" s="1"/>
      <c r="Q38" s="1"/>
      <c r="R38" s="1"/>
      <c r="S38" s="1"/>
      <c r="T38" s="1"/>
      <c r="U38" s="1"/>
    </row>
    <row r="39" spans="1:21" x14ac:dyDescent="0.2">
      <c r="A39" s="2"/>
      <c r="B39" s="2"/>
      <c r="C39" s="2"/>
      <c r="D39" s="2"/>
      <c r="E39" s="2"/>
      <c r="F39" s="2"/>
      <c r="G39" s="2"/>
      <c r="H39" s="2"/>
      <c r="I39" s="2"/>
      <c r="J39" s="2"/>
      <c r="K39" s="2"/>
      <c r="L39" s="2"/>
      <c r="M39" s="2"/>
      <c r="N39" s="2"/>
      <c r="O39" s="1"/>
      <c r="P39" s="1"/>
      <c r="Q39" s="1"/>
      <c r="R39" s="1"/>
      <c r="S39" s="1"/>
      <c r="T39" s="1"/>
      <c r="U39" s="1"/>
    </row>
    <row r="40" spans="1:21" x14ac:dyDescent="0.2">
      <c r="A40" s="2"/>
      <c r="B40" s="2"/>
      <c r="C40" s="2"/>
      <c r="D40" s="2"/>
      <c r="E40" s="2"/>
      <c r="F40" s="2"/>
      <c r="G40" s="2"/>
      <c r="H40" s="2"/>
      <c r="I40" s="2"/>
      <c r="J40" s="2"/>
      <c r="K40" s="2"/>
      <c r="L40" s="2"/>
      <c r="M40" s="2"/>
      <c r="N40" s="2"/>
      <c r="O40" s="1"/>
      <c r="P40" s="1"/>
      <c r="Q40" s="1"/>
      <c r="R40" s="1"/>
      <c r="S40" s="1"/>
      <c r="T40" s="1"/>
      <c r="U40" s="1"/>
    </row>
    <row r="41" spans="1:21" x14ac:dyDescent="0.2">
      <c r="A41" s="2"/>
      <c r="B41" s="2"/>
      <c r="C41" s="2"/>
      <c r="D41" s="2"/>
      <c r="E41" s="2"/>
      <c r="F41" s="2"/>
      <c r="G41" s="2"/>
      <c r="H41" s="2"/>
      <c r="I41" s="2"/>
      <c r="J41" s="2"/>
      <c r="K41" s="2"/>
      <c r="L41" s="2"/>
      <c r="M41" s="2"/>
      <c r="N41" s="2"/>
      <c r="O41" s="1"/>
      <c r="P41" s="1"/>
      <c r="Q41" s="1"/>
      <c r="R41" s="1"/>
      <c r="S41" s="1"/>
      <c r="T41" s="1"/>
      <c r="U41" s="1"/>
    </row>
    <row r="42" spans="1:21" x14ac:dyDescent="0.2">
      <c r="A42" s="2"/>
      <c r="B42" s="2"/>
      <c r="C42" s="2"/>
      <c r="D42" s="2"/>
      <c r="E42" s="2"/>
      <c r="F42" s="2"/>
      <c r="G42" s="2"/>
      <c r="H42" s="2"/>
      <c r="I42" s="2"/>
      <c r="J42" s="2"/>
      <c r="K42" s="2"/>
      <c r="L42" s="2"/>
      <c r="M42" s="2"/>
      <c r="N42" s="2"/>
      <c r="O42" s="1"/>
      <c r="P42" s="1"/>
      <c r="Q42" s="1"/>
      <c r="R42" s="1"/>
      <c r="S42" s="1"/>
      <c r="T42" s="1"/>
      <c r="U42" s="1"/>
    </row>
    <row r="43" spans="1:21" x14ac:dyDescent="0.2">
      <c r="A43" s="2"/>
      <c r="B43" s="2"/>
      <c r="C43" s="2"/>
      <c r="D43" s="2"/>
      <c r="E43" s="2"/>
      <c r="F43" s="2"/>
      <c r="G43" s="2"/>
      <c r="H43" s="2"/>
      <c r="I43" s="2"/>
      <c r="J43" s="2"/>
      <c r="K43" s="2"/>
      <c r="L43" s="2"/>
      <c r="M43" s="2"/>
      <c r="N43" s="2"/>
      <c r="O43" s="1"/>
      <c r="P43" s="1"/>
      <c r="Q43" s="1"/>
      <c r="R43" s="1"/>
      <c r="S43" s="1"/>
      <c r="T43" s="1"/>
      <c r="U43" s="1"/>
    </row>
    <row r="44" spans="1:21" x14ac:dyDescent="0.2">
      <c r="A44" s="2"/>
      <c r="B44" s="2"/>
      <c r="C44" s="2"/>
      <c r="D44" s="2"/>
      <c r="E44" s="2"/>
      <c r="F44" s="2"/>
      <c r="G44" s="2"/>
      <c r="H44" s="2"/>
      <c r="I44" s="2"/>
      <c r="J44" s="2"/>
      <c r="K44" s="2"/>
      <c r="L44" s="2"/>
      <c r="M44" s="2"/>
      <c r="N44" s="2"/>
      <c r="O44" s="1"/>
      <c r="P44" s="1"/>
      <c r="Q44" s="1"/>
      <c r="R44" s="1"/>
      <c r="S44" s="1"/>
      <c r="T44" s="1"/>
      <c r="U44" s="1"/>
    </row>
    <row r="45" spans="1:21" x14ac:dyDescent="0.2">
      <c r="A45" s="2"/>
      <c r="B45" s="2"/>
      <c r="C45" s="2"/>
      <c r="D45" s="2"/>
      <c r="E45" s="2"/>
      <c r="F45" s="2"/>
      <c r="G45" s="2"/>
      <c r="H45" s="2"/>
      <c r="I45" s="2"/>
      <c r="J45" s="2"/>
      <c r="K45" s="2"/>
      <c r="L45" s="2"/>
      <c r="M45" s="2"/>
      <c r="N45" s="2"/>
      <c r="O45" s="1"/>
      <c r="P45" s="1"/>
      <c r="Q45" s="1"/>
      <c r="R45" s="1"/>
      <c r="S45" s="1"/>
      <c r="T45" s="1"/>
      <c r="U45" s="1"/>
    </row>
    <row r="46" spans="1:21" x14ac:dyDescent="0.2">
      <c r="A46" s="2"/>
      <c r="B46" s="2"/>
      <c r="C46" s="2"/>
      <c r="D46" s="2"/>
      <c r="E46" s="2"/>
      <c r="F46" s="2"/>
      <c r="G46" s="2"/>
      <c r="H46" s="2"/>
      <c r="I46" s="2"/>
      <c r="J46" s="2"/>
      <c r="K46" s="2"/>
      <c r="L46" s="2"/>
      <c r="M46" s="2"/>
      <c r="N46" s="2"/>
      <c r="O46" s="1"/>
      <c r="P46" s="1"/>
      <c r="Q46" s="1"/>
      <c r="R46" s="1"/>
      <c r="S46" s="1"/>
      <c r="T46" s="1"/>
      <c r="U46" s="1"/>
    </row>
    <row r="47" spans="1:21" x14ac:dyDescent="0.2">
      <c r="A47" s="2"/>
      <c r="B47" s="2"/>
      <c r="C47" s="2"/>
      <c r="D47" s="2"/>
      <c r="E47" s="2"/>
      <c r="F47" s="2"/>
      <c r="G47" s="2"/>
      <c r="H47" s="2"/>
      <c r="I47" s="2"/>
      <c r="J47" s="2"/>
      <c r="K47" s="2"/>
      <c r="L47" s="2"/>
      <c r="M47" s="2"/>
      <c r="N47" s="2"/>
      <c r="O47" s="1"/>
      <c r="P47" s="1"/>
      <c r="Q47" s="1"/>
      <c r="R47" s="1"/>
      <c r="S47" s="1"/>
      <c r="T47" s="1"/>
      <c r="U47" s="1"/>
    </row>
    <row r="48" spans="1:21" x14ac:dyDescent="0.2">
      <c r="A48" s="2"/>
      <c r="B48" s="2"/>
      <c r="C48" s="2"/>
      <c r="D48" s="2"/>
      <c r="E48" s="2"/>
      <c r="F48" s="2"/>
      <c r="G48" s="2"/>
      <c r="H48" s="2"/>
      <c r="I48" s="2"/>
      <c r="J48" s="2"/>
      <c r="K48" s="2"/>
      <c r="L48" s="2"/>
      <c r="M48" s="2"/>
      <c r="N48" s="2"/>
      <c r="O48" s="1"/>
      <c r="P48" s="1"/>
      <c r="Q48" s="1"/>
      <c r="R48" s="1"/>
      <c r="S48" s="1"/>
      <c r="T48" s="1"/>
      <c r="U48" s="1"/>
    </row>
    <row r="49" spans="1:21" x14ac:dyDescent="0.2">
      <c r="A49" s="2"/>
      <c r="B49" s="2"/>
      <c r="C49" s="2"/>
      <c r="D49" s="2"/>
      <c r="E49" s="2"/>
      <c r="F49" s="2"/>
      <c r="G49" s="2"/>
      <c r="H49" s="2"/>
      <c r="I49" s="2"/>
      <c r="J49" s="2"/>
      <c r="K49" s="2"/>
      <c r="L49" s="2"/>
      <c r="M49" s="2"/>
      <c r="N49" s="2"/>
      <c r="O49" s="1"/>
      <c r="P49" s="1"/>
      <c r="Q49" s="1"/>
      <c r="R49" s="1"/>
      <c r="S49" s="1"/>
      <c r="T49" s="1"/>
      <c r="U49" s="1"/>
    </row>
    <row r="50" spans="1:21" x14ac:dyDescent="0.2">
      <c r="A50" s="2"/>
      <c r="B50" s="2"/>
      <c r="C50" s="2"/>
      <c r="D50" s="2"/>
      <c r="E50" s="2"/>
      <c r="F50" s="2"/>
      <c r="G50" s="2"/>
      <c r="H50" s="2"/>
      <c r="I50" s="2"/>
      <c r="J50" s="2"/>
      <c r="K50" s="2"/>
      <c r="L50" s="2"/>
      <c r="M50" s="2"/>
      <c r="N50" s="2"/>
      <c r="O50" s="1"/>
      <c r="P50" s="1"/>
      <c r="Q50" s="1"/>
      <c r="R50" s="1"/>
      <c r="S50" s="1"/>
      <c r="T50" s="1"/>
      <c r="U50" s="1"/>
    </row>
    <row r="51" spans="1:21" x14ac:dyDescent="0.2">
      <c r="A51" s="2"/>
      <c r="B51" s="2"/>
      <c r="C51" s="2"/>
      <c r="D51" s="2"/>
      <c r="E51" s="2"/>
      <c r="F51" s="2"/>
      <c r="G51" s="2"/>
      <c r="H51" s="2"/>
      <c r="I51" s="2"/>
      <c r="J51" s="2"/>
      <c r="K51" s="2"/>
      <c r="L51" s="2"/>
      <c r="M51" s="2"/>
      <c r="N51" s="2"/>
      <c r="O51" s="1"/>
      <c r="P51" s="1"/>
      <c r="Q51" s="1"/>
      <c r="R51" s="1"/>
      <c r="S51" s="1"/>
      <c r="T51" s="1"/>
      <c r="U51" s="1"/>
    </row>
    <row r="52" spans="1:21" x14ac:dyDescent="0.2">
      <c r="A52" s="2"/>
      <c r="B52" s="2"/>
      <c r="C52" s="2"/>
      <c r="D52" s="2"/>
      <c r="E52" s="2"/>
      <c r="F52" s="2"/>
      <c r="G52" s="2"/>
      <c r="H52" s="2"/>
      <c r="I52" s="2"/>
      <c r="J52" s="2"/>
      <c r="K52" s="2"/>
      <c r="L52" s="2"/>
      <c r="M52" s="2"/>
      <c r="N52" s="2"/>
      <c r="O52" s="1"/>
      <c r="P52" s="1"/>
      <c r="Q52" s="1"/>
      <c r="R52" s="1"/>
      <c r="S52" s="1"/>
      <c r="T52" s="1"/>
      <c r="U52" s="1"/>
    </row>
    <row r="53" spans="1:21" x14ac:dyDescent="0.2">
      <c r="A53" s="1"/>
      <c r="B53" s="1"/>
      <c r="C53" s="1"/>
      <c r="D53" s="1"/>
      <c r="E53" s="1"/>
      <c r="F53" s="1"/>
      <c r="G53" s="1"/>
      <c r="H53" s="1"/>
      <c r="I53" s="1"/>
      <c r="J53" s="1"/>
      <c r="K53" s="1"/>
      <c r="L53" s="1"/>
      <c r="M53" s="1"/>
      <c r="N53" s="1"/>
      <c r="O53" s="1"/>
      <c r="P53" s="1"/>
      <c r="Q53" s="1"/>
      <c r="R53" s="1"/>
      <c r="S53" s="1"/>
      <c r="T53" s="1"/>
      <c r="U53" s="1"/>
    </row>
    <row r="54" spans="1:21" x14ac:dyDescent="0.2">
      <c r="A54" s="1"/>
      <c r="B54" s="1"/>
      <c r="C54" s="1"/>
      <c r="D54" s="1"/>
      <c r="E54" s="1"/>
      <c r="F54" s="1"/>
      <c r="G54" s="1"/>
      <c r="H54" s="1"/>
      <c r="I54" s="1"/>
      <c r="J54" s="1"/>
      <c r="K54" s="1"/>
      <c r="L54" s="1"/>
      <c r="M54" s="1"/>
      <c r="N54" s="1"/>
      <c r="O54" s="1"/>
      <c r="P54" s="1"/>
      <c r="Q54" s="1"/>
      <c r="R54" s="1"/>
      <c r="S54" s="1"/>
      <c r="T54" s="1"/>
      <c r="U54" s="1"/>
    </row>
    <row r="55" spans="1:21" x14ac:dyDescent="0.2">
      <c r="A55" s="1"/>
      <c r="B55" s="1"/>
      <c r="C55" s="1"/>
      <c r="D55" s="1"/>
      <c r="E55" s="1"/>
      <c r="F55" s="1"/>
      <c r="G55" s="1"/>
      <c r="H55" s="1"/>
      <c r="I55" s="1"/>
      <c r="J55" s="1"/>
      <c r="K55" s="1"/>
      <c r="L55" s="1"/>
      <c r="M55" s="1"/>
      <c r="N55" s="1"/>
      <c r="O55" s="1"/>
      <c r="P55" s="1"/>
      <c r="Q55" s="1"/>
      <c r="R55" s="1"/>
      <c r="S55" s="1"/>
      <c r="T55" s="1"/>
      <c r="U55" s="1"/>
    </row>
    <row r="56" spans="1:21" x14ac:dyDescent="0.2">
      <c r="A56" s="1"/>
      <c r="B56" s="1"/>
      <c r="C56" s="1"/>
      <c r="D56" s="1"/>
      <c r="E56" s="1"/>
      <c r="F56" s="1"/>
      <c r="G56" s="1"/>
      <c r="H56" s="1"/>
      <c r="I56" s="1"/>
      <c r="J56" s="1"/>
      <c r="K56" s="1"/>
      <c r="L56" s="1"/>
      <c r="M56" s="1"/>
      <c r="N56" s="1"/>
      <c r="O56" s="1"/>
      <c r="P56" s="1"/>
      <c r="Q56" s="1"/>
      <c r="R56" s="1"/>
      <c r="S56" s="1"/>
      <c r="T56" s="1"/>
      <c r="U56" s="1"/>
    </row>
    <row r="57" spans="1:21" x14ac:dyDescent="0.2">
      <c r="A57" s="1"/>
      <c r="B57" s="1"/>
      <c r="C57" s="1"/>
      <c r="D57" s="1"/>
      <c r="E57" s="1"/>
      <c r="F57" s="1"/>
      <c r="G57" s="1"/>
      <c r="H57" s="1"/>
      <c r="I57" s="1"/>
      <c r="J57" s="1"/>
      <c r="K57" s="1"/>
      <c r="L57" s="1"/>
      <c r="M57" s="1"/>
      <c r="N57" s="1"/>
      <c r="O57" s="1"/>
      <c r="P57" s="1"/>
      <c r="Q57" s="1"/>
      <c r="R57" s="1"/>
      <c r="S57" s="1"/>
      <c r="T57" s="1"/>
      <c r="U57" s="1"/>
    </row>
    <row r="58" spans="1:21" x14ac:dyDescent="0.2">
      <c r="A58" s="1"/>
      <c r="B58" s="1"/>
      <c r="C58" s="1"/>
      <c r="D58" s="1"/>
      <c r="E58" s="1"/>
      <c r="F58" s="1"/>
      <c r="G58" s="1"/>
      <c r="H58" s="1"/>
      <c r="I58" s="1"/>
      <c r="J58" s="1"/>
      <c r="K58" s="1"/>
      <c r="L58" s="1"/>
      <c r="M58" s="1"/>
      <c r="N58" s="1"/>
      <c r="O58" s="1"/>
      <c r="P58" s="1"/>
      <c r="Q58" s="1"/>
      <c r="R58" s="1"/>
      <c r="S58" s="1"/>
      <c r="T58" s="1"/>
      <c r="U58" s="1"/>
    </row>
    <row r="59" spans="1:21" x14ac:dyDescent="0.2">
      <c r="A59" s="1"/>
      <c r="B59" s="1"/>
      <c r="C59" s="1"/>
      <c r="D59" s="1"/>
      <c r="E59" s="1"/>
      <c r="F59" s="1"/>
      <c r="G59" s="1"/>
      <c r="H59" s="1"/>
      <c r="I59" s="1"/>
      <c r="J59" s="1"/>
      <c r="K59" s="1"/>
      <c r="L59" s="1"/>
      <c r="M59" s="1"/>
      <c r="N59" s="1"/>
      <c r="O59" s="1"/>
      <c r="P59" s="1"/>
      <c r="Q59" s="1"/>
      <c r="R59" s="1"/>
      <c r="S59" s="1"/>
      <c r="T59" s="1"/>
      <c r="U59" s="1"/>
    </row>
    <row r="60" spans="1:21" x14ac:dyDescent="0.2">
      <c r="A60" s="1"/>
      <c r="B60" s="1"/>
      <c r="C60" s="1"/>
      <c r="D60" s="1"/>
      <c r="E60" s="1"/>
      <c r="F60" s="1"/>
      <c r="G60" s="1"/>
      <c r="H60" s="1"/>
      <c r="I60" s="1"/>
      <c r="J60" s="1"/>
      <c r="K60" s="1"/>
      <c r="L60" s="1"/>
      <c r="M60" s="1"/>
      <c r="N60" s="1"/>
      <c r="O60" s="1"/>
      <c r="P60" s="1"/>
      <c r="Q60" s="1"/>
      <c r="R60" s="1"/>
      <c r="S60" s="1"/>
      <c r="T60" s="1"/>
      <c r="U60" s="1"/>
    </row>
    <row r="61" spans="1:21" x14ac:dyDescent="0.2">
      <c r="A61" s="1"/>
      <c r="B61" s="1"/>
      <c r="C61" s="1"/>
      <c r="D61" s="1"/>
      <c r="E61" s="1"/>
      <c r="F61" s="1"/>
      <c r="G61" s="1"/>
      <c r="H61" s="1"/>
      <c r="I61" s="1"/>
      <c r="J61" s="1"/>
      <c r="K61" s="1"/>
      <c r="L61" s="1"/>
      <c r="M61" s="1"/>
      <c r="N61" s="1"/>
      <c r="O61" s="1"/>
      <c r="P61" s="1"/>
      <c r="Q61" s="1"/>
      <c r="R61" s="1"/>
      <c r="S61" s="1"/>
      <c r="T61" s="1"/>
      <c r="U61" s="1"/>
    </row>
    <row r="62" spans="1:21" x14ac:dyDescent="0.2">
      <c r="A62" s="1"/>
      <c r="B62" s="1"/>
      <c r="C62" s="1"/>
      <c r="D62" s="1"/>
      <c r="E62" s="1"/>
      <c r="F62" s="1"/>
      <c r="G62" s="1"/>
      <c r="H62" s="1"/>
      <c r="I62" s="1"/>
      <c r="J62" s="1"/>
      <c r="K62" s="1"/>
      <c r="L62" s="1"/>
      <c r="M62" s="1"/>
      <c r="N62" s="1"/>
      <c r="O62" s="1"/>
      <c r="P62" s="1"/>
      <c r="Q62" s="1"/>
      <c r="R62" s="1"/>
      <c r="S62" s="1"/>
      <c r="T62" s="1"/>
      <c r="U62" s="1"/>
    </row>
    <row r="63" spans="1:21" x14ac:dyDescent="0.2">
      <c r="A63" s="1"/>
      <c r="B63" s="1"/>
      <c r="C63" s="1"/>
      <c r="D63" s="1"/>
      <c r="E63" s="1"/>
      <c r="F63" s="1"/>
      <c r="G63" s="1"/>
      <c r="H63" s="1"/>
      <c r="I63" s="1"/>
      <c r="J63" s="1"/>
      <c r="K63" s="1"/>
      <c r="L63" s="1"/>
      <c r="M63" s="1"/>
      <c r="N63" s="1"/>
      <c r="O63" s="1"/>
      <c r="P63" s="1"/>
      <c r="Q63" s="1"/>
      <c r="R63" s="1"/>
      <c r="S63" s="1"/>
      <c r="T63" s="1"/>
      <c r="U63" s="1"/>
    </row>
    <row r="64" spans="1:21" x14ac:dyDescent="0.2">
      <c r="A64" s="1"/>
      <c r="B64" s="1"/>
      <c r="C64" s="1"/>
      <c r="D64" s="1"/>
      <c r="E64" s="1"/>
      <c r="F64" s="1"/>
      <c r="G64" s="1"/>
      <c r="H64" s="1"/>
      <c r="I64" s="1"/>
      <c r="J64" s="1"/>
      <c r="K64" s="1"/>
      <c r="L64" s="1"/>
      <c r="M64" s="1"/>
      <c r="N64" s="1"/>
      <c r="O64" s="1"/>
      <c r="P64" s="1"/>
      <c r="Q64" s="1"/>
      <c r="R64" s="1"/>
      <c r="S64" s="1"/>
      <c r="T64" s="1"/>
      <c r="U64" s="1"/>
    </row>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row r="254" s="1" customFormat="1" x14ac:dyDescent="0.2"/>
    <row r="255" s="1" customFormat="1" x14ac:dyDescent="0.2"/>
    <row r="256" s="1" customFormat="1" x14ac:dyDescent="0.2"/>
    <row r="257" s="1" customFormat="1" x14ac:dyDescent="0.2"/>
    <row r="258" s="1" customFormat="1" x14ac:dyDescent="0.2"/>
    <row r="259" s="1" customFormat="1" x14ac:dyDescent="0.2"/>
    <row r="260" s="1" customFormat="1" x14ac:dyDescent="0.2"/>
    <row r="261" s="1" customFormat="1" x14ac:dyDescent="0.2"/>
    <row r="262" s="1" customFormat="1" x14ac:dyDescent="0.2"/>
    <row r="263" s="1" customFormat="1" x14ac:dyDescent="0.2"/>
    <row r="264" s="1" customFormat="1" x14ac:dyDescent="0.2"/>
    <row r="265" s="1" customFormat="1" x14ac:dyDescent="0.2"/>
    <row r="266" s="1" customFormat="1" x14ac:dyDescent="0.2"/>
    <row r="267" s="1" customFormat="1" x14ac:dyDescent="0.2"/>
    <row r="268" s="1" customFormat="1" x14ac:dyDescent="0.2"/>
    <row r="269" s="1" customFormat="1" x14ac:dyDescent="0.2"/>
    <row r="270" s="1" customFormat="1" x14ac:dyDescent="0.2"/>
    <row r="271" s="1" customFormat="1" x14ac:dyDescent="0.2"/>
    <row r="272" s="1" customFormat="1" x14ac:dyDescent="0.2"/>
    <row r="273" s="1" customFormat="1" x14ac:dyDescent="0.2"/>
    <row r="274" s="1" customFormat="1" x14ac:dyDescent="0.2"/>
    <row r="275" s="1" customFormat="1" x14ac:dyDescent="0.2"/>
    <row r="276" s="1" customFormat="1" x14ac:dyDescent="0.2"/>
    <row r="277" s="1" customFormat="1" x14ac:dyDescent="0.2"/>
    <row r="278" s="1" customFormat="1" x14ac:dyDescent="0.2"/>
    <row r="279" s="1" customFormat="1" x14ac:dyDescent="0.2"/>
    <row r="280" s="1" customFormat="1" x14ac:dyDescent="0.2"/>
    <row r="281" s="1" customFormat="1" x14ac:dyDescent="0.2"/>
    <row r="282" s="1" customFormat="1" x14ac:dyDescent="0.2"/>
    <row r="283" s="1" customFormat="1" x14ac:dyDescent="0.2"/>
    <row r="284" s="1" customFormat="1" x14ac:dyDescent="0.2"/>
    <row r="285" s="1" customFormat="1" x14ac:dyDescent="0.2"/>
    <row r="286" s="1" customFormat="1" x14ac:dyDescent="0.2"/>
    <row r="287" s="1" customFormat="1" x14ac:dyDescent="0.2"/>
    <row r="288" s="1" customFormat="1" x14ac:dyDescent="0.2"/>
    <row r="289" s="1" customFormat="1" x14ac:dyDescent="0.2"/>
    <row r="290" s="1" customFormat="1" x14ac:dyDescent="0.2"/>
    <row r="291" s="1" customFormat="1" x14ac:dyDescent="0.2"/>
    <row r="292" s="1" customFormat="1" x14ac:dyDescent="0.2"/>
    <row r="293" s="1" customFormat="1" x14ac:dyDescent="0.2"/>
    <row r="294" s="1" customFormat="1" x14ac:dyDescent="0.2"/>
    <row r="295" s="1" customFormat="1" x14ac:dyDescent="0.2"/>
    <row r="296" s="1" customFormat="1" x14ac:dyDescent="0.2"/>
    <row r="297" s="1" customFormat="1" x14ac:dyDescent="0.2"/>
    <row r="298" s="1" customFormat="1" x14ac:dyDescent="0.2"/>
    <row r="299" s="1" customFormat="1" x14ac:dyDescent="0.2"/>
    <row r="300" s="1" customFormat="1" x14ac:dyDescent="0.2"/>
    <row r="301" s="1" customFormat="1" x14ac:dyDescent="0.2"/>
    <row r="302" s="1" customFormat="1" x14ac:dyDescent="0.2"/>
    <row r="303" s="1" customFormat="1" x14ac:dyDescent="0.2"/>
    <row r="304" s="1" customFormat="1" x14ac:dyDescent="0.2"/>
    <row r="305" s="1" customFormat="1" x14ac:dyDescent="0.2"/>
    <row r="306" s="1" customFormat="1" x14ac:dyDescent="0.2"/>
    <row r="307" s="1" customFormat="1" x14ac:dyDescent="0.2"/>
    <row r="308" s="1" customFormat="1" x14ac:dyDescent="0.2"/>
    <row r="309" s="1" customFormat="1" x14ac:dyDescent="0.2"/>
    <row r="310" s="1" customFormat="1" x14ac:dyDescent="0.2"/>
    <row r="311" s="1" customFormat="1" x14ac:dyDescent="0.2"/>
    <row r="312" s="1" customFormat="1" x14ac:dyDescent="0.2"/>
    <row r="313" s="1" customFormat="1" x14ac:dyDescent="0.2"/>
    <row r="314" s="1" customFormat="1" x14ac:dyDescent="0.2"/>
    <row r="315" s="1" customFormat="1" x14ac:dyDescent="0.2"/>
    <row r="316" s="1" customFormat="1" x14ac:dyDescent="0.2"/>
    <row r="317" s="1" customFormat="1" x14ac:dyDescent="0.2"/>
    <row r="318" s="1" customFormat="1" x14ac:dyDescent="0.2"/>
    <row r="319" s="1" customFormat="1" x14ac:dyDescent="0.2"/>
    <row r="320" s="1" customFormat="1" x14ac:dyDescent="0.2"/>
    <row r="321" s="1" customFormat="1" x14ac:dyDescent="0.2"/>
    <row r="322" s="1" customFormat="1" x14ac:dyDescent="0.2"/>
    <row r="323" s="1" customFormat="1" x14ac:dyDescent="0.2"/>
    <row r="324" s="1" customFormat="1" x14ac:dyDescent="0.2"/>
    <row r="325" s="1" customFormat="1" x14ac:dyDescent="0.2"/>
    <row r="326" s="1" customFormat="1" x14ac:dyDescent="0.2"/>
    <row r="327" s="1" customFormat="1" x14ac:dyDescent="0.2"/>
    <row r="328" s="1" customFormat="1" x14ac:dyDescent="0.2"/>
    <row r="329" s="1" customFormat="1" x14ac:dyDescent="0.2"/>
    <row r="330" s="1" customFormat="1" x14ac:dyDescent="0.2"/>
    <row r="331" s="1" customFormat="1" x14ac:dyDescent="0.2"/>
    <row r="332" s="1" customFormat="1" x14ac:dyDescent="0.2"/>
    <row r="333" s="1" customFormat="1" x14ac:dyDescent="0.2"/>
    <row r="334" s="1" customFormat="1" x14ac:dyDescent="0.2"/>
    <row r="335" s="1" customFormat="1" x14ac:dyDescent="0.2"/>
    <row r="336" s="1" customFormat="1" x14ac:dyDescent="0.2"/>
    <row r="337" s="1" customFormat="1" x14ac:dyDescent="0.2"/>
    <row r="338" s="1" customFormat="1" x14ac:dyDescent="0.2"/>
    <row r="339" s="1" customFormat="1" x14ac:dyDescent="0.2"/>
    <row r="340" s="1" customFormat="1" x14ac:dyDescent="0.2"/>
    <row r="341" s="1" customFormat="1" x14ac:dyDescent="0.2"/>
    <row r="342" s="1" customFormat="1" x14ac:dyDescent="0.2"/>
    <row r="343" s="1" customFormat="1" x14ac:dyDescent="0.2"/>
    <row r="344" s="1" customFormat="1" x14ac:dyDescent="0.2"/>
    <row r="345" s="1" customFormat="1" x14ac:dyDescent="0.2"/>
    <row r="346" s="1" customFormat="1" x14ac:dyDescent="0.2"/>
    <row r="347" s="1" customFormat="1" x14ac:dyDescent="0.2"/>
    <row r="348" s="1" customFormat="1" x14ac:dyDescent="0.2"/>
    <row r="349" s="1" customFormat="1" x14ac:dyDescent="0.2"/>
    <row r="350" s="1" customFormat="1" x14ac:dyDescent="0.2"/>
    <row r="351" s="1" customFormat="1" x14ac:dyDescent="0.2"/>
    <row r="352" s="1" customFormat="1" x14ac:dyDescent="0.2"/>
    <row r="353" s="1" customFormat="1" x14ac:dyDescent="0.2"/>
    <row r="354" s="1" customFormat="1" x14ac:dyDescent="0.2"/>
    <row r="355" s="1" customFormat="1" x14ac:dyDescent="0.2"/>
    <row r="356" s="1" customFormat="1" x14ac:dyDescent="0.2"/>
    <row r="357" s="1" customFormat="1" x14ac:dyDescent="0.2"/>
    <row r="358" s="1" customFormat="1" x14ac:dyDescent="0.2"/>
    <row r="359" s="1" customFormat="1" x14ac:dyDescent="0.2"/>
    <row r="360" s="1" customFormat="1" x14ac:dyDescent="0.2"/>
    <row r="361" s="1" customFormat="1" x14ac:dyDescent="0.2"/>
    <row r="362" s="1" customFormat="1" x14ac:dyDescent="0.2"/>
    <row r="363" s="1" customFormat="1" x14ac:dyDescent="0.2"/>
    <row r="364" s="1" customFormat="1" x14ac:dyDescent="0.2"/>
    <row r="365" s="1" customFormat="1" x14ac:dyDescent="0.2"/>
    <row r="366" s="1" customFormat="1" x14ac:dyDescent="0.2"/>
    <row r="367" s="1" customFormat="1" x14ac:dyDescent="0.2"/>
    <row r="368" s="1" customFormat="1" x14ac:dyDescent="0.2"/>
    <row r="369" s="1" customFormat="1" x14ac:dyDescent="0.2"/>
    <row r="370" s="1" customFormat="1" x14ac:dyDescent="0.2"/>
    <row r="371" s="1" customFormat="1" x14ac:dyDescent="0.2"/>
    <row r="372" s="1" customFormat="1" x14ac:dyDescent="0.2"/>
    <row r="373" s="1" customFormat="1" x14ac:dyDescent="0.2"/>
    <row r="374" s="1" customFormat="1" x14ac:dyDescent="0.2"/>
    <row r="375" s="1" customFormat="1" x14ac:dyDescent="0.2"/>
    <row r="376" s="1" customFormat="1" x14ac:dyDescent="0.2"/>
    <row r="377" s="1" customFormat="1" x14ac:dyDescent="0.2"/>
    <row r="378" s="1" customFormat="1" x14ac:dyDescent="0.2"/>
    <row r="379" s="1" customFormat="1" x14ac:dyDescent="0.2"/>
    <row r="380" s="1" customFormat="1" x14ac:dyDescent="0.2"/>
    <row r="381" s="1" customFormat="1" x14ac:dyDescent="0.2"/>
    <row r="382" s="1" customFormat="1" x14ac:dyDescent="0.2"/>
    <row r="383" s="1" customFormat="1" x14ac:dyDescent="0.2"/>
    <row r="384" s="1" customFormat="1" x14ac:dyDescent="0.2"/>
    <row r="385" s="1" customFormat="1" x14ac:dyDescent="0.2"/>
    <row r="386" s="1" customFormat="1" x14ac:dyDescent="0.2"/>
    <row r="387" s="1" customFormat="1" x14ac:dyDescent="0.2"/>
    <row r="388" s="1" customFormat="1" x14ac:dyDescent="0.2"/>
    <row r="389" s="1" customFormat="1" x14ac:dyDescent="0.2"/>
    <row r="390" s="1" customFormat="1" x14ac:dyDescent="0.2"/>
    <row r="391" s="1" customFormat="1" x14ac:dyDescent="0.2"/>
    <row r="392" s="1" customFormat="1" x14ac:dyDescent="0.2"/>
    <row r="393" s="1" customFormat="1" x14ac:dyDescent="0.2"/>
    <row r="394" s="1" customFormat="1" x14ac:dyDescent="0.2"/>
    <row r="395" s="1" customFormat="1" x14ac:dyDescent="0.2"/>
    <row r="396" s="1" customFormat="1" x14ac:dyDescent="0.2"/>
    <row r="397" s="1" customFormat="1" x14ac:dyDescent="0.2"/>
    <row r="398" s="1" customFormat="1" x14ac:dyDescent="0.2"/>
    <row r="399" s="1" customFormat="1" x14ac:dyDescent="0.2"/>
    <row r="400" s="1" customFormat="1" x14ac:dyDescent="0.2"/>
    <row r="401" s="1" customFormat="1" x14ac:dyDescent="0.2"/>
    <row r="402" s="1" customFormat="1" x14ac:dyDescent="0.2"/>
    <row r="403" s="1" customFormat="1" x14ac:dyDescent="0.2"/>
    <row r="404" s="1" customFormat="1" x14ac:dyDescent="0.2"/>
    <row r="405" s="1" customFormat="1" x14ac:dyDescent="0.2"/>
    <row r="406" s="1" customFormat="1" x14ac:dyDescent="0.2"/>
    <row r="407" s="1" customFormat="1" x14ac:dyDescent="0.2"/>
    <row r="408" s="1" customFormat="1" x14ac:dyDescent="0.2"/>
    <row r="409" s="1" customFormat="1" x14ac:dyDescent="0.2"/>
    <row r="410" s="1" customFormat="1" x14ac:dyDescent="0.2"/>
    <row r="411" s="1" customFormat="1" x14ac:dyDescent="0.2"/>
    <row r="412" s="1" customFormat="1" x14ac:dyDescent="0.2"/>
    <row r="413" s="1" customFormat="1" x14ac:dyDescent="0.2"/>
    <row r="414" s="1" customFormat="1" x14ac:dyDescent="0.2"/>
    <row r="415" s="1" customFormat="1" x14ac:dyDescent="0.2"/>
    <row r="416" s="1" customFormat="1" x14ac:dyDescent="0.2"/>
    <row r="417" s="1" customFormat="1" x14ac:dyDescent="0.2"/>
    <row r="418" s="1" customFormat="1" x14ac:dyDescent="0.2"/>
    <row r="419" s="1" customFormat="1" x14ac:dyDescent="0.2"/>
    <row r="420" s="1" customFormat="1" x14ac:dyDescent="0.2"/>
    <row r="421" s="1" customFormat="1" x14ac:dyDescent="0.2"/>
    <row r="422" s="1" customFormat="1" x14ac:dyDescent="0.2"/>
    <row r="423" s="1" customFormat="1" x14ac:dyDescent="0.2"/>
    <row r="424" s="1" customFormat="1" x14ac:dyDescent="0.2"/>
    <row r="425" s="1" customFormat="1" x14ac:dyDescent="0.2"/>
    <row r="426" s="1" customFormat="1" x14ac:dyDescent="0.2"/>
    <row r="427" s="1" customFormat="1" x14ac:dyDescent="0.2"/>
    <row r="428" s="1" customFormat="1" x14ac:dyDescent="0.2"/>
    <row r="429" s="1" customFormat="1" x14ac:dyDescent="0.2"/>
    <row r="430" s="1" customFormat="1" x14ac:dyDescent="0.2"/>
    <row r="431" s="1" customFormat="1" x14ac:dyDescent="0.2"/>
    <row r="432" s="1" customFormat="1" x14ac:dyDescent="0.2"/>
    <row r="433" s="1" customFormat="1" x14ac:dyDescent="0.2"/>
    <row r="434" s="1" customFormat="1" x14ac:dyDescent="0.2"/>
    <row r="435" s="1" customFormat="1" x14ac:dyDescent="0.2"/>
    <row r="436" s="1" customFormat="1" x14ac:dyDescent="0.2"/>
    <row r="437" s="1" customFormat="1" x14ac:dyDescent="0.2"/>
    <row r="438" s="1" customFormat="1" x14ac:dyDescent="0.2"/>
    <row r="439" s="1" customFormat="1" x14ac:dyDescent="0.2"/>
    <row r="440" s="1" customFormat="1" x14ac:dyDescent="0.2"/>
    <row r="441" s="1" customFormat="1" x14ac:dyDescent="0.2"/>
    <row r="442" s="1" customFormat="1" x14ac:dyDescent="0.2"/>
    <row r="443" s="1" customFormat="1" x14ac:dyDescent="0.2"/>
    <row r="444" s="1" customFormat="1" x14ac:dyDescent="0.2"/>
    <row r="445" s="1" customFormat="1" x14ac:dyDescent="0.2"/>
    <row r="446" s="1" customFormat="1" x14ac:dyDescent="0.2"/>
    <row r="447" s="1" customFormat="1" x14ac:dyDescent="0.2"/>
    <row r="448" s="1" customFormat="1" x14ac:dyDescent="0.2"/>
    <row r="449" s="1" customFormat="1" x14ac:dyDescent="0.2"/>
    <row r="450" s="1" customFormat="1" x14ac:dyDescent="0.2"/>
    <row r="451" s="1" customFormat="1" x14ac:dyDescent="0.2"/>
    <row r="452" s="1" customFormat="1" x14ac:dyDescent="0.2"/>
    <row r="453" s="1" customFormat="1" x14ac:dyDescent="0.2"/>
    <row r="454" s="1" customFormat="1" x14ac:dyDescent="0.2"/>
    <row r="455" s="1" customFormat="1" x14ac:dyDescent="0.2"/>
    <row r="456" s="1" customFormat="1" x14ac:dyDescent="0.2"/>
    <row r="457" s="1" customFormat="1" x14ac:dyDescent="0.2"/>
    <row r="458" s="1" customFormat="1" x14ac:dyDescent="0.2"/>
    <row r="459" s="1" customFormat="1" x14ac:dyDescent="0.2"/>
    <row r="460" s="1" customFormat="1" x14ac:dyDescent="0.2"/>
    <row r="461" s="1" customFormat="1" x14ac:dyDescent="0.2"/>
    <row r="462" s="1" customFormat="1" x14ac:dyDescent="0.2"/>
    <row r="463" s="1" customFormat="1" x14ac:dyDescent="0.2"/>
    <row r="464" s="1" customFormat="1" x14ac:dyDescent="0.2"/>
    <row r="465" s="1" customFormat="1" x14ac:dyDescent="0.2"/>
    <row r="466" s="1" customFormat="1" x14ac:dyDescent="0.2"/>
    <row r="467" s="1" customFormat="1" x14ac:dyDescent="0.2"/>
    <row r="468" s="1" customFormat="1" x14ac:dyDescent="0.2"/>
    <row r="469" s="1" customFormat="1" x14ac:dyDescent="0.2"/>
    <row r="470" s="1" customFormat="1" x14ac:dyDescent="0.2"/>
    <row r="471" s="1" customFormat="1" x14ac:dyDescent="0.2"/>
    <row r="472" s="1" customFormat="1" x14ac:dyDescent="0.2"/>
    <row r="473" s="1" customFormat="1" x14ac:dyDescent="0.2"/>
    <row r="474" s="1" customFormat="1" x14ac:dyDescent="0.2"/>
    <row r="475" s="1" customFormat="1" x14ac:dyDescent="0.2"/>
    <row r="476" s="1" customFormat="1" x14ac:dyDescent="0.2"/>
    <row r="477" s="1" customFormat="1" x14ac:dyDescent="0.2"/>
    <row r="478" s="1" customFormat="1" x14ac:dyDescent="0.2"/>
    <row r="479" s="1" customFormat="1" x14ac:dyDescent="0.2"/>
    <row r="480" s="1" customFormat="1" x14ac:dyDescent="0.2"/>
    <row r="481" s="1" customFormat="1" x14ac:dyDescent="0.2"/>
    <row r="482" s="1" customFormat="1" x14ac:dyDescent="0.2"/>
    <row r="483" s="1" customFormat="1" x14ac:dyDescent="0.2"/>
    <row r="484" s="1" customFormat="1" x14ac:dyDescent="0.2"/>
    <row r="485" s="1" customFormat="1" x14ac:dyDescent="0.2"/>
    <row r="486" s="1" customFormat="1" x14ac:dyDescent="0.2"/>
    <row r="487" s="1" customFormat="1" x14ac:dyDescent="0.2"/>
    <row r="488" s="1" customFormat="1" x14ac:dyDescent="0.2"/>
    <row r="489" s="1" customFormat="1" x14ac:dyDescent="0.2"/>
    <row r="490" s="1" customFormat="1" x14ac:dyDescent="0.2"/>
    <row r="491" s="1" customFormat="1" x14ac:dyDescent="0.2"/>
    <row r="492" s="1" customFormat="1" x14ac:dyDescent="0.2"/>
    <row r="493" s="1" customFormat="1" x14ac:dyDescent="0.2"/>
    <row r="494" s="1" customFormat="1" x14ac:dyDescent="0.2"/>
    <row r="495" s="1" customFormat="1" x14ac:dyDescent="0.2"/>
    <row r="496" s="1" customFormat="1" x14ac:dyDescent="0.2"/>
    <row r="497" s="1" customFormat="1" x14ac:dyDescent="0.2"/>
    <row r="498" s="1" customFormat="1" x14ac:dyDescent="0.2"/>
    <row r="499" s="1" customFormat="1" x14ac:dyDescent="0.2"/>
    <row r="500" s="1" customFormat="1" x14ac:dyDescent="0.2"/>
    <row r="501" s="1" customFormat="1" x14ac:dyDescent="0.2"/>
    <row r="502" s="1" customFormat="1" x14ac:dyDescent="0.2"/>
    <row r="503" s="1" customFormat="1" x14ac:dyDescent="0.2"/>
    <row r="504" s="1" customFormat="1" x14ac:dyDescent="0.2"/>
    <row r="505" s="1" customFormat="1" x14ac:dyDescent="0.2"/>
    <row r="506" s="1" customFormat="1" x14ac:dyDescent="0.2"/>
    <row r="507" s="1" customFormat="1" x14ac:dyDescent="0.2"/>
    <row r="508" s="1" customFormat="1" x14ac:dyDescent="0.2"/>
    <row r="509" s="1" customFormat="1" x14ac:dyDescent="0.2"/>
    <row r="510" s="1" customFormat="1" x14ac:dyDescent="0.2"/>
    <row r="511" s="1" customFormat="1" x14ac:dyDescent="0.2"/>
    <row r="512" s="1" customFormat="1" x14ac:dyDescent="0.2"/>
    <row r="513" s="1" customFormat="1" x14ac:dyDescent="0.2"/>
    <row r="514" s="1" customFormat="1" x14ac:dyDescent="0.2"/>
    <row r="515" s="1" customFormat="1" x14ac:dyDescent="0.2"/>
    <row r="516" s="1" customFormat="1" x14ac:dyDescent="0.2"/>
    <row r="517" s="1" customFormat="1" x14ac:dyDescent="0.2"/>
    <row r="518" s="1" customFormat="1" x14ac:dyDescent="0.2"/>
    <row r="519" s="1" customFormat="1" x14ac:dyDescent="0.2"/>
    <row r="520" s="1" customFormat="1" x14ac:dyDescent="0.2"/>
    <row r="521" s="1" customFormat="1" x14ac:dyDescent="0.2"/>
    <row r="522" s="1" customFormat="1" x14ac:dyDescent="0.2"/>
    <row r="523" s="1" customFormat="1" x14ac:dyDescent="0.2"/>
    <row r="524" s="1" customFormat="1" x14ac:dyDescent="0.2"/>
    <row r="525" s="1" customFormat="1" x14ac:dyDescent="0.2"/>
    <row r="526" s="1" customFormat="1" x14ac:dyDescent="0.2"/>
    <row r="527" s="1" customFormat="1" x14ac:dyDescent="0.2"/>
    <row r="528" s="1" customFormat="1" x14ac:dyDescent="0.2"/>
    <row r="529" s="1" customFormat="1" x14ac:dyDescent="0.2"/>
    <row r="530" s="1" customFormat="1" x14ac:dyDescent="0.2"/>
    <row r="531" s="1" customFormat="1" x14ac:dyDescent="0.2"/>
    <row r="532" s="1" customFormat="1" x14ac:dyDescent="0.2"/>
    <row r="533" s="1" customFormat="1" x14ac:dyDescent="0.2"/>
    <row r="534" s="1" customFormat="1" x14ac:dyDescent="0.2"/>
    <row r="535" s="1" customFormat="1" x14ac:dyDescent="0.2"/>
    <row r="536" s="1" customFormat="1" x14ac:dyDescent="0.2"/>
    <row r="537" s="1" customFormat="1" x14ac:dyDescent="0.2"/>
    <row r="538" s="1" customFormat="1" x14ac:dyDescent="0.2"/>
    <row r="539" s="1" customFormat="1" x14ac:dyDescent="0.2"/>
    <row r="540" s="1" customFormat="1" x14ac:dyDescent="0.2"/>
    <row r="541" s="1" customFormat="1" x14ac:dyDescent="0.2"/>
    <row r="542" s="1" customFormat="1" x14ac:dyDescent="0.2"/>
    <row r="543" s="1" customFormat="1" x14ac:dyDescent="0.2"/>
    <row r="544" s="1" customFormat="1" x14ac:dyDescent="0.2"/>
    <row r="545" s="1" customFormat="1" x14ac:dyDescent="0.2"/>
    <row r="546" s="1" customFormat="1" x14ac:dyDescent="0.2"/>
    <row r="547" s="1" customFormat="1" x14ac:dyDescent="0.2"/>
    <row r="548" s="1" customFormat="1" x14ac:dyDescent="0.2"/>
    <row r="549" s="1" customFormat="1" x14ac:dyDescent="0.2"/>
    <row r="550" s="1" customFormat="1" x14ac:dyDescent="0.2"/>
    <row r="551" s="1" customFormat="1" x14ac:dyDescent="0.2"/>
    <row r="552" s="1" customFormat="1" x14ac:dyDescent="0.2"/>
    <row r="553" s="1" customFormat="1" x14ac:dyDescent="0.2"/>
    <row r="554" s="1" customFormat="1" x14ac:dyDescent="0.2"/>
    <row r="555" s="1" customFormat="1" x14ac:dyDescent="0.2"/>
    <row r="556" s="1" customFormat="1" x14ac:dyDescent="0.2"/>
    <row r="557" s="1" customFormat="1" x14ac:dyDescent="0.2"/>
    <row r="558" s="1" customFormat="1" x14ac:dyDescent="0.2"/>
    <row r="559" s="1" customFormat="1" x14ac:dyDescent="0.2"/>
    <row r="560" s="1" customFormat="1" x14ac:dyDescent="0.2"/>
    <row r="561" s="1" customFormat="1" x14ac:dyDescent="0.2"/>
    <row r="562" s="1" customFormat="1" x14ac:dyDescent="0.2"/>
    <row r="563" s="1" customFormat="1" x14ac:dyDescent="0.2"/>
    <row r="564" s="1" customFormat="1" x14ac:dyDescent="0.2"/>
    <row r="565" s="1" customFormat="1" x14ac:dyDescent="0.2"/>
    <row r="566" s="1" customFormat="1" x14ac:dyDescent="0.2"/>
    <row r="567" s="1" customFormat="1" x14ac:dyDescent="0.2"/>
    <row r="568" s="1" customFormat="1" x14ac:dyDescent="0.2"/>
    <row r="569" s="1" customFormat="1" x14ac:dyDescent="0.2"/>
    <row r="570" s="1" customFormat="1" x14ac:dyDescent="0.2"/>
    <row r="571" s="1" customFormat="1" x14ac:dyDescent="0.2"/>
    <row r="572" s="1" customFormat="1" x14ac:dyDescent="0.2"/>
    <row r="573" s="1" customFormat="1" x14ac:dyDescent="0.2"/>
    <row r="574" s="1" customFormat="1" x14ac:dyDescent="0.2"/>
    <row r="575" s="1" customFormat="1" x14ac:dyDescent="0.2"/>
    <row r="576" s="1" customFormat="1" x14ac:dyDescent="0.2"/>
    <row r="577" s="1" customFormat="1" x14ac:dyDescent="0.2"/>
    <row r="578" s="1" customFormat="1" x14ac:dyDescent="0.2"/>
    <row r="579" s="1" customFormat="1" x14ac:dyDescent="0.2"/>
    <row r="580" s="1" customFormat="1" x14ac:dyDescent="0.2"/>
    <row r="581" s="1" customFormat="1" x14ac:dyDescent="0.2"/>
    <row r="582" s="1" customFormat="1" x14ac:dyDescent="0.2"/>
    <row r="583" s="1" customFormat="1" x14ac:dyDescent="0.2"/>
    <row r="584" s="1" customFormat="1" x14ac:dyDescent="0.2"/>
    <row r="585" s="1" customFormat="1" x14ac:dyDescent="0.2"/>
    <row r="586" s="1" customFormat="1" x14ac:dyDescent="0.2"/>
    <row r="587" s="1" customFormat="1" x14ac:dyDescent="0.2"/>
    <row r="588" s="1" customFormat="1" x14ac:dyDescent="0.2"/>
    <row r="589" s="1" customFormat="1" x14ac:dyDescent="0.2"/>
    <row r="590" s="1" customFormat="1" x14ac:dyDescent="0.2"/>
    <row r="591" s="1" customFormat="1" x14ac:dyDescent="0.2"/>
    <row r="592" s="1" customFormat="1" x14ac:dyDescent="0.2"/>
    <row r="593" s="1" customFormat="1" x14ac:dyDescent="0.2"/>
    <row r="594" s="1" customFormat="1" x14ac:dyDescent="0.2"/>
    <row r="595" s="1" customFormat="1" x14ac:dyDescent="0.2"/>
    <row r="596" s="1" customFormat="1" x14ac:dyDescent="0.2"/>
    <row r="597" s="1" customFormat="1" x14ac:dyDescent="0.2"/>
    <row r="598" s="1" customFormat="1" x14ac:dyDescent="0.2"/>
    <row r="599" s="1" customFormat="1" x14ac:dyDescent="0.2"/>
    <row r="600" s="1" customFormat="1" x14ac:dyDescent="0.2"/>
    <row r="601" s="1" customFormat="1" x14ac:dyDescent="0.2"/>
    <row r="602" s="1" customFormat="1" x14ac:dyDescent="0.2"/>
    <row r="603" s="1" customFormat="1" x14ac:dyDescent="0.2"/>
    <row r="604" s="1" customFormat="1" x14ac:dyDescent="0.2"/>
    <row r="605" s="1" customFormat="1" x14ac:dyDescent="0.2"/>
    <row r="606" s="1" customFormat="1" x14ac:dyDescent="0.2"/>
    <row r="607" s="1" customFormat="1" x14ac:dyDescent="0.2"/>
    <row r="608" s="1" customFormat="1" x14ac:dyDescent="0.2"/>
    <row r="609" s="1" customFormat="1" x14ac:dyDescent="0.2"/>
    <row r="610" s="1" customFormat="1" x14ac:dyDescent="0.2"/>
    <row r="611" s="1" customFormat="1" x14ac:dyDescent="0.2"/>
    <row r="612" s="1" customFormat="1" x14ac:dyDescent="0.2"/>
    <row r="613" s="1" customFormat="1" x14ac:dyDescent="0.2"/>
    <row r="614" s="1" customFormat="1" x14ac:dyDescent="0.2"/>
    <row r="615" s="1" customFormat="1" x14ac:dyDescent="0.2"/>
    <row r="616" s="1" customFormat="1" x14ac:dyDescent="0.2"/>
    <row r="617" s="1" customFormat="1" x14ac:dyDescent="0.2"/>
    <row r="618" s="1" customFormat="1" x14ac:dyDescent="0.2"/>
    <row r="619" s="1" customFormat="1" x14ac:dyDescent="0.2"/>
    <row r="620" s="1" customFormat="1" x14ac:dyDescent="0.2"/>
    <row r="621" s="1" customFormat="1" x14ac:dyDescent="0.2"/>
    <row r="622" s="1" customFormat="1" x14ac:dyDescent="0.2"/>
    <row r="623" s="1" customFormat="1" x14ac:dyDescent="0.2"/>
    <row r="624" s="1" customFormat="1" x14ac:dyDescent="0.2"/>
    <row r="625" s="1" customFormat="1" x14ac:dyDescent="0.2"/>
    <row r="626" s="1" customFormat="1" x14ac:dyDescent="0.2"/>
    <row r="627" s="1" customFormat="1" x14ac:dyDescent="0.2"/>
    <row r="628" s="1" customFormat="1" x14ac:dyDescent="0.2"/>
    <row r="629" s="1" customFormat="1" x14ac:dyDescent="0.2"/>
    <row r="630" s="1" customFormat="1" x14ac:dyDescent="0.2"/>
    <row r="631" s="1" customFormat="1" x14ac:dyDescent="0.2"/>
    <row r="632" s="1" customFormat="1" x14ac:dyDescent="0.2"/>
    <row r="633" s="1" customFormat="1" x14ac:dyDescent="0.2"/>
    <row r="634" s="1" customFormat="1" x14ac:dyDescent="0.2"/>
    <row r="635" s="1" customFormat="1" x14ac:dyDescent="0.2"/>
    <row r="636" s="1" customFormat="1" x14ac:dyDescent="0.2"/>
    <row r="637" s="1" customFormat="1" x14ac:dyDescent="0.2"/>
    <row r="638" s="1" customFormat="1" x14ac:dyDescent="0.2"/>
    <row r="639" s="1" customFormat="1" x14ac:dyDescent="0.2"/>
    <row r="640" s="1" customFormat="1" x14ac:dyDescent="0.2"/>
    <row r="641" s="1" customFormat="1" x14ac:dyDescent="0.2"/>
    <row r="642" s="1" customFormat="1" x14ac:dyDescent="0.2"/>
    <row r="643" s="1" customFormat="1" x14ac:dyDescent="0.2"/>
    <row r="644" s="1" customFormat="1" x14ac:dyDescent="0.2"/>
    <row r="645" s="1" customFormat="1" x14ac:dyDescent="0.2"/>
    <row r="646" s="1" customFormat="1" x14ac:dyDescent="0.2"/>
    <row r="647" s="1" customFormat="1" x14ac:dyDescent="0.2"/>
    <row r="648" s="1" customFormat="1" x14ac:dyDescent="0.2"/>
    <row r="649" s="1" customFormat="1" x14ac:dyDescent="0.2"/>
    <row r="650" s="1" customFormat="1" x14ac:dyDescent="0.2"/>
    <row r="651" s="1" customFormat="1" x14ac:dyDescent="0.2"/>
    <row r="652" s="1" customFormat="1" x14ac:dyDescent="0.2"/>
    <row r="653" s="1" customFormat="1" x14ac:dyDescent="0.2"/>
    <row r="654" s="1" customFormat="1" x14ac:dyDescent="0.2"/>
    <row r="655" s="1" customFormat="1" x14ac:dyDescent="0.2"/>
    <row r="656" s="1" customFormat="1" x14ac:dyDescent="0.2"/>
    <row r="657" s="1" customFormat="1" x14ac:dyDescent="0.2"/>
    <row r="658" s="1" customFormat="1" x14ac:dyDescent="0.2"/>
    <row r="659" s="1" customFormat="1" x14ac:dyDescent="0.2"/>
    <row r="660" s="1" customFormat="1" x14ac:dyDescent="0.2"/>
    <row r="661" s="1" customFormat="1" x14ac:dyDescent="0.2"/>
    <row r="662" s="1" customFormat="1" x14ac:dyDescent="0.2"/>
    <row r="663" s="1" customFormat="1" x14ac:dyDescent="0.2"/>
    <row r="664" s="1" customFormat="1" x14ac:dyDescent="0.2"/>
    <row r="665" s="1" customFormat="1" x14ac:dyDescent="0.2"/>
    <row r="666" s="1" customFormat="1" x14ac:dyDescent="0.2"/>
    <row r="667" s="1" customFormat="1" x14ac:dyDescent="0.2"/>
    <row r="668" s="1" customFormat="1" x14ac:dyDescent="0.2"/>
    <row r="669" s="1" customFormat="1" x14ac:dyDescent="0.2"/>
    <row r="670" s="1" customFormat="1" x14ac:dyDescent="0.2"/>
    <row r="671" s="1" customFormat="1" x14ac:dyDescent="0.2"/>
    <row r="672" s="1" customFormat="1" x14ac:dyDescent="0.2"/>
    <row r="673" s="1" customFormat="1" x14ac:dyDescent="0.2"/>
    <row r="674" s="1" customFormat="1" x14ac:dyDescent="0.2"/>
    <row r="675" s="1" customFormat="1" x14ac:dyDescent="0.2"/>
    <row r="676" s="1" customFormat="1" x14ac:dyDescent="0.2"/>
    <row r="677" s="1" customFormat="1" x14ac:dyDescent="0.2"/>
    <row r="678" s="1" customFormat="1" x14ac:dyDescent="0.2"/>
    <row r="679" s="1" customFormat="1" x14ac:dyDescent="0.2"/>
    <row r="680" s="1" customFormat="1" x14ac:dyDescent="0.2"/>
    <row r="681" s="1" customFormat="1" x14ac:dyDescent="0.2"/>
    <row r="682" s="1" customFormat="1" x14ac:dyDescent="0.2"/>
    <row r="683" s="1" customFormat="1" x14ac:dyDescent="0.2"/>
    <row r="684" s="1" customFormat="1" x14ac:dyDescent="0.2"/>
    <row r="685" s="1" customFormat="1" x14ac:dyDescent="0.2"/>
    <row r="686" s="1" customFormat="1" x14ac:dyDescent="0.2"/>
    <row r="687" s="1" customFormat="1" x14ac:dyDescent="0.2"/>
    <row r="688" s="1" customFormat="1" x14ac:dyDescent="0.2"/>
    <row r="689" s="1" customFormat="1" x14ac:dyDescent="0.2"/>
    <row r="690" s="1" customFormat="1" x14ac:dyDescent="0.2"/>
    <row r="691" s="1" customFormat="1" x14ac:dyDescent="0.2"/>
    <row r="692" s="1" customFormat="1" x14ac:dyDescent="0.2"/>
    <row r="693" s="1" customFormat="1" x14ac:dyDescent="0.2"/>
    <row r="694" s="1" customFormat="1" x14ac:dyDescent="0.2"/>
    <row r="695" s="1" customFormat="1" x14ac:dyDescent="0.2"/>
    <row r="696" s="1" customFormat="1" x14ac:dyDescent="0.2"/>
    <row r="697" s="1" customFormat="1" x14ac:dyDescent="0.2"/>
    <row r="698" s="1" customFormat="1" x14ac:dyDescent="0.2"/>
    <row r="699" s="1" customFormat="1" x14ac:dyDescent="0.2"/>
    <row r="700" s="1" customFormat="1" x14ac:dyDescent="0.2"/>
    <row r="701" s="1" customFormat="1" x14ac:dyDescent="0.2"/>
    <row r="702" s="1" customFormat="1" x14ac:dyDescent="0.2"/>
    <row r="703" s="1" customFormat="1" x14ac:dyDescent="0.2"/>
    <row r="704" s="1" customFormat="1" x14ac:dyDescent="0.2"/>
    <row r="705" s="1" customFormat="1" x14ac:dyDescent="0.2"/>
    <row r="706" s="1" customFormat="1" x14ac:dyDescent="0.2"/>
    <row r="707" s="1" customFormat="1" x14ac:dyDescent="0.2"/>
    <row r="708" s="1" customFormat="1" x14ac:dyDescent="0.2"/>
    <row r="709" s="1" customFormat="1" x14ac:dyDescent="0.2"/>
    <row r="710" s="1" customFormat="1" x14ac:dyDescent="0.2"/>
    <row r="711" s="1" customFormat="1" x14ac:dyDescent="0.2"/>
    <row r="712" s="1" customFormat="1" x14ac:dyDescent="0.2"/>
    <row r="713" s="1" customFormat="1" x14ac:dyDescent="0.2"/>
    <row r="714" s="1" customFormat="1" x14ac:dyDescent="0.2"/>
    <row r="715" s="1" customFormat="1" x14ac:dyDescent="0.2"/>
    <row r="716" s="1" customFormat="1" x14ac:dyDescent="0.2"/>
    <row r="717" s="1" customFormat="1" x14ac:dyDescent="0.2"/>
    <row r="718" s="1" customFormat="1" x14ac:dyDescent="0.2"/>
    <row r="719" s="1" customFormat="1" x14ac:dyDescent="0.2"/>
    <row r="720" s="1" customFormat="1" x14ac:dyDescent="0.2"/>
    <row r="721" s="1" customFormat="1" x14ac:dyDescent="0.2"/>
    <row r="722" s="1" customFormat="1" x14ac:dyDescent="0.2"/>
    <row r="723" s="1" customFormat="1" x14ac:dyDescent="0.2"/>
    <row r="724" s="1" customFormat="1" x14ac:dyDescent="0.2"/>
    <row r="725" s="1" customFormat="1" x14ac:dyDescent="0.2"/>
    <row r="726" s="1" customFormat="1" x14ac:dyDescent="0.2"/>
    <row r="727" s="1" customFormat="1" x14ac:dyDescent="0.2"/>
    <row r="728" s="1" customFormat="1" x14ac:dyDescent="0.2"/>
    <row r="729" s="1" customFormat="1" x14ac:dyDescent="0.2"/>
    <row r="730" s="1" customFormat="1" x14ac:dyDescent="0.2"/>
    <row r="731" s="1" customFormat="1" x14ac:dyDescent="0.2"/>
    <row r="732" s="1" customFormat="1" x14ac:dyDescent="0.2"/>
    <row r="733" s="1" customFormat="1" x14ac:dyDescent="0.2"/>
    <row r="734" s="1" customFormat="1" x14ac:dyDescent="0.2"/>
    <row r="735" s="1" customFormat="1" x14ac:dyDescent="0.2"/>
    <row r="736" s="1" customFormat="1" x14ac:dyDescent="0.2"/>
    <row r="737" s="1" customFormat="1" x14ac:dyDescent="0.2"/>
    <row r="738" s="1" customFormat="1" x14ac:dyDescent="0.2"/>
    <row r="739" s="1" customFormat="1" x14ac:dyDescent="0.2"/>
    <row r="740" s="1" customFormat="1" x14ac:dyDescent="0.2"/>
    <row r="741" s="1" customFormat="1" x14ac:dyDescent="0.2"/>
    <row r="742" s="1" customFormat="1" x14ac:dyDescent="0.2"/>
    <row r="743" s="1" customFormat="1" x14ac:dyDescent="0.2"/>
    <row r="744" s="1" customFormat="1" x14ac:dyDescent="0.2"/>
    <row r="745" s="1" customFormat="1" x14ac:dyDescent="0.2"/>
    <row r="746" s="1" customFormat="1" x14ac:dyDescent="0.2"/>
    <row r="747" s="1" customFormat="1" x14ac:dyDescent="0.2"/>
    <row r="748" s="1" customFormat="1" x14ac:dyDescent="0.2"/>
    <row r="749" s="1" customFormat="1" x14ac:dyDescent="0.2"/>
    <row r="750" s="1" customFormat="1" x14ac:dyDescent="0.2"/>
    <row r="751" s="1" customFormat="1" x14ac:dyDescent="0.2"/>
    <row r="752" s="1" customFormat="1" x14ac:dyDescent="0.2"/>
    <row r="753" s="1" customFormat="1" x14ac:dyDescent="0.2"/>
    <row r="754" s="1" customFormat="1" x14ac:dyDescent="0.2"/>
    <row r="755" s="1" customFormat="1" x14ac:dyDescent="0.2"/>
    <row r="756" s="1" customFormat="1" x14ac:dyDescent="0.2"/>
    <row r="757" s="1" customFormat="1" x14ac:dyDescent="0.2"/>
    <row r="758" s="1" customFormat="1" x14ac:dyDescent="0.2"/>
    <row r="759" s="1" customFormat="1" x14ac:dyDescent="0.2"/>
    <row r="760" s="1" customFormat="1" x14ac:dyDescent="0.2"/>
    <row r="761" s="1" customFormat="1" x14ac:dyDescent="0.2"/>
    <row r="762" s="1" customFormat="1" x14ac:dyDescent="0.2"/>
    <row r="763" s="1" customFormat="1" x14ac:dyDescent="0.2"/>
    <row r="764" s="1" customFormat="1" x14ac:dyDescent="0.2"/>
    <row r="765" s="1" customFormat="1" x14ac:dyDescent="0.2"/>
    <row r="766" s="1" customFormat="1" x14ac:dyDescent="0.2"/>
    <row r="767" s="1" customFormat="1" x14ac:dyDescent="0.2"/>
    <row r="768" s="1" customFormat="1" x14ac:dyDescent="0.2"/>
    <row r="769" s="1" customFormat="1" x14ac:dyDescent="0.2"/>
    <row r="770" s="1" customFormat="1" x14ac:dyDescent="0.2"/>
    <row r="771" s="1" customFormat="1" x14ac:dyDescent="0.2"/>
    <row r="772" s="1" customFormat="1" x14ac:dyDescent="0.2"/>
    <row r="773" s="1" customFormat="1" x14ac:dyDescent="0.2"/>
    <row r="774" s="1" customFormat="1" x14ac:dyDescent="0.2"/>
    <row r="775" s="1" customFormat="1" x14ac:dyDescent="0.2"/>
    <row r="776" s="1" customFormat="1" x14ac:dyDescent="0.2"/>
    <row r="777" s="1" customFormat="1" x14ac:dyDescent="0.2"/>
    <row r="778" s="1" customFormat="1" x14ac:dyDescent="0.2"/>
    <row r="779" s="1" customFormat="1" x14ac:dyDescent="0.2"/>
    <row r="780" s="1" customFormat="1" x14ac:dyDescent="0.2"/>
    <row r="781" s="1" customFormat="1" x14ac:dyDescent="0.2"/>
    <row r="782" s="1" customFormat="1" x14ac:dyDescent="0.2"/>
    <row r="783" s="1" customFormat="1" x14ac:dyDescent="0.2"/>
    <row r="784" s="1" customFormat="1" x14ac:dyDescent="0.2"/>
    <row r="785" s="1" customFormat="1" x14ac:dyDescent="0.2"/>
    <row r="786" s="1" customFormat="1" x14ac:dyDescent="0.2"/>
    <row r="787" s="1" customFormat="1" x14ac:dyDescent="0.2"/>
    <row r="788" s="1" customFormat="1" x14ac:dyDescent="0.2"/>
    <row r="789" s="1" customFormat="1" x14ac:dyDescent="0.2"/>
    <row r="790" s="1" customFormat="1" x14ac:dyDescent="0.2"/>
    <row r="791" s="1" customFormat="1" x14ac:dyDescent="0.2"/>
    <row r="792" s="1" customFormat="1" x14ac:dyDescent="0.2"/>
    <row r="793" s="1" customFormat="1" x14ac:dyDescent="0.2"/>
    <row r="794" s="1" customFormat="1" x14ac:dyDescent="0.2"/>
    <row r="795" s="1" customFormat="1" x14ac:dyDescent="0.2"/>
    <row r="796" s="1" customFormat="1" x14ac:dyDescent="0.2"/>
    <row r="797" s="1" customFormat="1" x14ac:dyDescent="0.2"/>
    <row r="798" s="1" customFormat="1" x14ac:dyDescent="0.2"/>
    <row r="799" s="1" customFormat="1" x14ac:dyDescent="0.2"/>
    <row r="800" s="1" customFormat="1" x14ac:dyDescent="0.2"/>
    <row r="801" s="1" customFormat="1" x14ac:dyDescent="0.2"/>
    <row r="802" s="1" customFormat="1" x14ac:dyDescent="0.2"/>
    <row r="803" s="1" customFormat="1" x14ac:dyDescent="0.2"/>
    <row r="804" s="1" customFormat="1" x14ac:dyDescent="0.2"/>
    <row r="805" s="1" customFormat="1" x14ac:dyDescent="0.2"/>
    <row r="806" s="1" customFormat="1" x14ac:dyDescent="0.2"/>
    <row r="807" s="1" customFormat="1" x14ac:dyDescent="0.2"/>
    <row r="808" s="1" customFormat="1" x14ac:dyDescent="0.2"/>
    <row r="809" s="1" customFormat="1" x14ac:dyDescent="0.2"/>
    <row r="810" s="1" customFormat="1" x14ac:dyDescent="0.2"/>
    <row r="811" s="1" customFormat="1" x14ac:dyDescent="0.2"/>
    <row r="812" s="1" customFormat="1" x14ac:dyDescent="0.2"/>
    <row r="813" s="1" customFormat="1" x14ac:dyDescent="0.2"/>
    <row r="814" s="1" customFormat="1" x14ac:dyDescent="0.2"/>
    <row r="815" s="1" customFormat="1" x14ac:dyDescent="0.2"/>
    <row r="816" s="1" customFormat="1" x14ac:dyDescent="0.2"/>
    <row r="817" s="1" customFormat="1" x14ac:dyDescent="0.2"/>
    <row r="818" s="1" customFormat="1" x14ac:dyDescent="0.2"/>
    <row r="819" s="1" customFormat="1" x14ac:dyDescent="0.2"/>
    <row r="820" s="1" customFormat="1" x14ac:dyDescent="0.2"/>
    <row r="821" s="1" customFormat="1" x14ac:dyDescent="0.2"/>
    <row r="822" s="1" customFormat="1" x14ac:dyDescent="0.2"/>
    <row r="823" s="1" customFormat="1" x14ac:dyDescent="0.2"/>
    <row r="824" s="1" customFormat="1" x14ac:dyDescent="0.2"/>
    <row r="825" s="1" customFormat="1" x14ac:dyDescent="0.2"/>
    <row r="826" s="1" customFormat="1" x14ac:dyDescent="0.2"/>
    <row r="827" s="1" customFormat="1" x14ac:dyDescent="0.2"/>
    <row r="828" s="1" customFormat="1" x14ac:dyDescent="0.2"/>
    <row r="829" s="1" customFormat="1" x14ac:dyDescent="0.2"/>
    <row r="830" s="1" customFormat="1" x14ac:dyDescent="0.2"/>
    <row r="831" s="1" customFormat="1" x14ac:dyDescent="0.2"/>
    <row r="832" s="1" customFormat="1" x14ac:dyDescent="0.2"/>
    <row r="833" s="1" customFormat="1" x14ac:dyDescent="0.2"/>
    <row r="834" s="1" customFormat="1" x14ac:dyDescent="0.2"/>
    <row r="835" s="1" customFormat="1" x14ac:dyDescent="0.2"/>
    <row r="836" s="1" customFormat="1" x14ac:dyDescent="0.2"/>
    <row r="837" s="1" customFormat="1" x14ac:dyDescent="0.2"/>
    <row r="838" s="1" customFormat="1" x14ac:dyDescent="0.2"/>
    <row r="839" s="1" customFormat="1" x14ac:dyDescent="0.2"/>
    <row r="840" s="1" customFormat="1" x14ac:dyDescent="0.2"/>
    <row r="841" s="1" customFormat="1" x14ac:dyDescent="0.2"/>
    <row r="842" s="1" customFormat="1" x14ac:dyDescent="0.2"/>
    <row r="843" s="1" customFormat="1" x14ac:dyDescent="0.2"/>
    <row r="844" s="1" customFormat="1" x14ac:dyDescent="0.2"/>
    <row r="845" s="1" customFormat="1" x14ac:dyDescent="0.2"/>
    <row r="846" s="1" customFormat="1" x14ac:dyDescent="0.2"/>
    <row r="847" s="1" customFormat="1" x14ac:dyDescent="0.2"/>
    <row r="848" s="1" customFormat="1" x14ac:dyDescent="0.2"/>
    <row r="849" s="1" customFormat="1" x14ac:dyDescent="0.2"/>
    <row r="850" s="1" customFormat="1" x14ac:dyDescent="0.2"/>
    <row r="851" s="1" customFormat="1" x14ac:dyDescent="0.2"/>
    <row r="852" s="1" customFormat="1" x14ac:dyDescent="0.2"/>
    <row r="853" s="1" customFormat="1" x14ac:dyDescent="0.2"/>
    <row r="854" s="1" customFormat="1" x14ac:dyDescent="0.2"/>
    <row r="855" s="1" customFormat="1" x14ac:dyDescent="0.2"/>
    <row r="856" s="1" customFormat="1" x14ac:dyDescent="0.2"/>
    <row r="857" s="1" customFormat="1" x14ac:dyDescent="0.2"/>
    <row r="858" s="1" customFormat="1" x14ac:dyDescent="0.2"/>
    <row r="859" s="1" customFormat="1" x14ac:dyDescent="0.2"/>
    <row r="860" s="1" customFormat="1" x14ac:dyDescent="0.2"/>
    <row r="861" s="1" customFormat="1" x14ac:dyDescent="0.2"/>
    <row r="862" s="1" customFormat="1" x14ac:dyDescent="0.2"/>
    <row r="863" s="1" customFormat="1" x14ac:dyDescent="0.2"/>
    <row r="864" s="1" customFormat="1" x14ac:dyDescent="0.2"/>
    <row r="865" s="1" customFormat="1" x14ac:dyDescent="0.2"/>
    <row r="866" s="1" customFormat="1" x14ac:dyDescent="0.2"/>
    <row r="867" s="1" customFormat="1" x14ac:dyDescent="0.2"/>
    <row r="868" s="1" customFormat="1" x14ac:dyDescent="0.2"/>
    <row r="869" s="1" customFormat="1" x14ac:dyDescent="0.2"/>
    <row r="870" s="1" customFormat="1" x14ac:dyDescent="0.2"/>
    <row r="871" s="1" customFormat="1" x14ac:dyDescent="0.2"/>
    <row r="872" s="1" customFormat="1" x14ac:dyDescent="0.2"/>
    <row r="873" s="1" customFormat="1" x14ac:dyDescent="0.2"/>
    <row r="874" s="1" customFormat="1" x14ac:dyDescent="0.2"/>
    <row r="875" s="1" customFormat="1" x14ac:dyDescent="0.2"/>
    <row r="876" s="1" customFormat="1" x14ac:dyDescent="0.2"/>
    <row r="877" s="1" customFormat="1" x14ac:dyDescent="0.2"/>
    <row r="878" s="1" customFormat="1" x14ac:dyDescent="0.2"/>
    <row r="879" s="1" customFormat="1" x14ac:dyDescent="0.2"/>
    <row r="880" s="1" customFormat="1" x14ac:dyDescent="0.2"/>
    <row r="881" s="1" customFormat="1" x14ac:dyDescent="0.2"/>
    <row r="882" s="1" customFormat="1" x14ac:dyDescent="0.2"/>
    <row r="883" s="1" customFormat="1" x14ac:dyDescent="0.2"/>
    <row r="884" s="1" customFormat="1" x14ac:dyDescent="0.2"/>
    <row r="885" s="1" customFormat="1" x14ac:dyDescent="0.2"/>
    <row r="886" s="1" customFormat="1" x14ac:dyDescent="0.2"/>
    <row r="887" s="1" customFormat="1" x14ac:dyDescent="0.2"/>
    <row r="888" s="1" customFormat="1" x14ac:dyDescent="0.2"/>
    <row r="889" s="1" customFormat="1" x14ac:dyDescent="0.2"/>
    <row r="890" s="1" customFormat="1" x14ac:dyDescent="0.2"/>
    <row r="891" s="1" customFormat="1" x14ac:dyDescent="0.2"/>
    <row r="892" s="1" customFormat="1" x14ac:dyDescent="0.2"/>
    <row r="893" s="1" customFormat="1" x14ac:dyDescent="0.2"/>
    <row r="894" s="1" customFormat="1" x14ac:dyDescent="0.2"/>
    <row r="895" s="1" customFormat="1" x14ac:dyDescent="0.2"/>
    <row r="896" s="1" customFormat="1" x14ac:dyDescent="0.2"/>
    <row r="897" s="1" customFormat="1" x14ac:dyDescent="0.2"/>
    <row r="898" s="1" customFormat="1" x14ac:dyDescent="0.2"/>
    <row r="899" s="1" customFormat="1" x14ac:dyDescent="0.2"/>
    <row r="900" s="1" customFormat="1" x14ac:dyDescent="0.2"/>
    <row r="901" s="1" customFormat="1" x14ac:dyDescent="0.2"/>
    <row r="902" s="1" customFormat="1" x14ac:dyDescent="0.2"/>
    <row r="903" s="1" customFormat="1" x14ac:dyDescent="0.2"/>
    <row r="904" s="1" customFormat="1" x14ac:dyDescent="0.2"/>
    <row r="905" s="1" customFormat="1" x14ac:dyDescent="0.2"/>
    <row r="906" s="1" customFormat="1" x14ac:dyDescent="0.2"/>
    <row r="907" s="1" customFormat="1" x14ac:dyDescent="0.2"/>
    <row r="908" s="1" customFormat="1" x14ac:dyDescent="0.2"/>
    <row r="909" s="1" customFormat="1" x14ac:dyDescent="0.2"/>
    <row r="910" s="1" customFormat="1" x14ac:dyDescent="0.2"/>
    <row r="911" s="1" customFormat="1" x14ac:dyDescent="0.2"/>
    <row r="912" s="1" customFormat="1" x14ac:dyDescent="0.2"/>
    <row r="913" s="1" customFormat="1" x14ac:dyDescent="0.2"/>
    <row r="914" s="1" customFormat="1" x14ac:dyDescent="0.2"/>
    <row r="915" s="1" customFormat="1" x14ac:dyDescent="0.2"/>
    <row r="916" s="1" customFormat="1" x14ac:dyDescent="0.2"/>
    <row r="917" s="1" customFormat="1" x14ac:dyDescent="0.2"/>
    <row r="918" s="1" customFormat="1" x14ac:dyDescent="0.2"/>
    <row r="919" s="1" customFormat="1" x14ac:dyDescent="0.2"/>
    <row r="920" s="1" customFormat="1" x14ac:dyDescent="0.2"/>
    <row r="921" s="1" customFormat="1" x14ac:dyDescent="0.2"/>
    <row r="922" s="1" customFormat="1" x14ac:dyDescent="0.2"/>
    <row r="923" s="1" customFormat="1" x14ac:dyDescent="0.2"/>
    <row r="924" s="1" customFormat="1" x14ac:dyDescent="0.2"/>
    <row r="925" s="1" customFormat="1" x14ac:dyDescent="0.2"/>
    <row r="926" s="1" customFormat="1" x14ac:dyDescent="0.2"/>
    <row r="927" s="1" customFormat="1" x14ac:dyDescent="0.2"/>
    <row r="928" s="1" customFormat="1" x14ac:dyDescent="0.2"/>
    <row r="929" s="1" customFormat="1" x14ac:dyDescent="0.2"/>
    <row r="930" s="1" customFormat="1" x14ac:dyDescent="0.2"/>
    <row r="931" s="1" customFormat="1" x14ac:dyDescent="0.2"/>
    <row r="932" s="1" customFormat="1" x14ac:dyDescent="0.2"/>
    <row r="933" s="1" customFormat="1" x14ac:dyDescent="0.2"/>
    <row r="934" s="1" customFormat="1" x14ac:dyDescent="0.2"/>
    <row r="935" s="1" customFormat="1" x14ac:dyDescent="0.2"/>
    <row r="936" s="1" customFormat="1" x14ac:dyDescent="0.2"/>
    <row r="937" s="1" customFormat="1" x14ac:dyDescent="0.2"/>
    <row r="938" s="1" customFormat="1" x14ac:dyDescent="0.2"/>
    <row r="939" s="1" customFormat="1" x14ac:dyDescent="0.2"/>
    <row r="940" s="1" customFormat="1" x14ac:dyDescent="0.2"/>
    <row r="941" s="1" customFormat="1" x14ac:dyDescent="0.2"/>
    <row r="942" s="1" customFormat="1" x14ac:dyDescent="0.2"/>
    <row r="943" s="1" customFormat="1" x14ac:dyDescent="0.2"/>
    <row r="944" s="1" customFormat="1" x14ac:dyDescent="0.2"/>
    <row r="945" s="1" customFormat="1" x14ac:dyDescent="0.2"/>
    <row r="946" s="1" customFormat="1" x14ac:dyDescent="0.2"/>
    <row r="947" s="1" customFormat="1" x14ac:dyDescent="0.2"/>
    <row r="948" s="1" customFormat="1" x14ac:dyDescent="0.2"/>
    <row r="949" s="1" customFormat="1" x14ac:dyDescent="0.2"/>
    <row r="950" s="1" customFormat="1" x14ac:dyDescent="0.2"/>
    <row r="951" s="1" customFormat="1" x14ac:dyDescent="0.2"/>
    <row r="952" s="1" customFormat="1" x14ac:dyDescent="0.2"/>
    <row r="953" s="1" customFormat="1" x14ac:dyDescent="0.2"/>
    <row r="954" s="1" customFormat="1" x14ac:dyDescent="0.2"/>
    <row r="955" s="1" customFormat="1" x14ac:dyDescent="0.2"/>
    <row r="956" s="1" customFormat="1" x14ac:dyDescent="0.2"/>
    <row r="957" s="1" customFormat="1" x14ac:dyDescent="0.2"/>
    <row r="958" s="1" customFormat="1" x14ac:dyDescent="0.2"/>
    <row r="959" s="1" customFormat="1" x14ac:dyDescent="0.2"/>
    <row r="960" s="1" customFormat="1" x14ac:dyDescent="0.2"/>
    <row r="961" s="1" customFormat="1" x14ac:dyDescent="0.2"/>
    <row r="962" s="1" customFormat="1" x14ac:dyDescent="0.2"/>
    <row r="963" s="1" customFormat="1" x14ac:dyDescent="0.2"/>
    <row r="964" s="1" customFormat="1" x14ac:dyDescent="0.2"/>
    <row r="965" s="1" customFormat="1" x14ac:dyDescent="0.2"/>
    <row r="966" s="1" customFormat="1" x14ac:dyDescent="0.2"/>
    <row r="967" s="1" customFormat="1" x14ac:dyDescent="0.2"/>
    <row r="968" s="1" customFormat="1" x14ac:dyDescent="0.2"/>
    <row r="969" s="1" customFormat="1" x14ac:dyDescent="0.2"/>
    <row r="970" s="1" customFormat="1" x14ac:dyDescent="0.2"/>
    <row r="971" s="1" customFormat="1" x14ac:dyDescent="0.2"/>
    <row r="972" s="1" customFormat="1" x14ac:dyDescent="0.2"/>
    <row r="973" s="1" customFormat="1" x14ac:dyDescent="0.2"/>
    <row r="974" s="1" customFormat="1" x14ac:dyDescent="0.2"/>
    <row r="975" s="1" customFormat="1" x14ac:dyDescent="0.2"/>
    <row r="976" s="1" customFormat="1" x14ac:dyDescent="0.2"/>
    <row r="977" s="1" customFormat="1" x14ac:dyDescent="0.2"/>
    <row r="978" s="1" customFormat="1" x14ac:dyDescent="0.2"/>
    <row r="979" s="1" customFormat="1" x14ac:dyDescent="0.2"/>
    <row r="980" s="1" customFormat="1" x14ac:dyDescent="0.2"/>
    <row r="981" s="1" customFormat="1" x14ac:dyDescent="0.2"/>
    <row r="982" s="1" customFormat="1" x14ac:dyDescent="0.2"/>
    <row r="983" s="1" customFormat="1" x14ac:dyDescent="0.2"/>
    <row r="984" s="1" customFormat="1" x14ac:dyDescent="0.2"/>
    <row r="985" s="1" customFormat="1" x14ac:dyDescent="0.2"/>
    <row r="986" s="1" customFormat="1" x14ac:dyDescent="0.2"/>
    <row r="987" s="1" customFormat="1" x14ac:dyDescent="0.2"/>
    <row r="988" s="1" customFormat="1" x14ac:dyDescent="0.2"/>
    <row r="989" s="1" customFormat="1" x14ac:dyDescent="0.2"/>
    <row r="990" s="1" customFormat="1" x14ac:dyDescent="0.2"/>
    <row r="991" s="1" customFormat="1" x14ac:dyDescent="0.2"/>
    <row r="992" s="1" customFormat="1" x14ac:dyDescent="0.2"/>
    <row r="993" s="1" customFormat="1" x14ac:dyDescent="0.2"/>
    <row r="994" s="1" customFormat="1" x14ac:dyDescent="0.2"/>
    <row r="995" s="1" customFormat="1" x14ac:dyDescent="0.2"/>
    <row r="996" s="1" customFormat="1" x14ac:dyDescent="0.2"/>
    <row r="997" s="1" customFormat="1" x14ac:dyDescent="0.2"/>
    <row r="998" s="1" customFormat="1" x14ac:dyDescent="0.2"/>
    <row r="999" s="1" customFormat="1" x14ac:dyDescent="0.2"/>
    <row r="1000" s="1" customFormat="1" x14ac:dyDescent="0.2"/>
    <row r="1001" s="1" customFormat="1" x14ac:dyDescent="0.2"/>
    <row r="1002" s="1" customFormat="1" x14ac:dyDescent="0.2"/>
    <row r="1003" s="1" customFormat="1" x14ac:dyDescent="0.2"/>
    <row r="1004" s="1" customFormat="1" x14ac:dyDescent="0.2"/>
    <row r="1005" s="1" customFormat="1" x14ac:dyDescent="0.2"/>
    <row r="1006" s="1" customFormat="1" x14ac:dyDescent="0.2"/>
    <row r="1007" s="1" customFormat="1" x14ac:dyDescent="0.2"/>
    <row r="1008" s="1" customFormat="1" x14ac:dyDescent="0.2"/>
    <row r="1009" s="1" customFormat="1" x14ac:dyDescent="0.2"/>
    <row r="1010" s="1" customFormat="1" x14ac:dyDescent="0.2"/>
    <row r="1011" s="1" customFormat="1" x14ac:dyDescent="0.2"/>
    <row r="1012" s="1" customFormat="1" x14ac:dyDescent="0.2"/>
    <row r="1013" s="1" customFormat="1" x14ac:dyDescent="0.2"/>
    <row r="1014" s="1" customFormat="1" x14ac:dyDescent="0.2"/>
    <row r="1015" s="1" customFormat="1" x14ac:dyDescent="0.2"/>
    <row r="1016" s="1" customFormat="1" x14ac:dyDescent="0.2"/>
    <row r="1017" s="1" customFormat="1" x14ac:dyDescent="0.2"/>
    <row r="1018" s="1" customFormat="1" x14ac:dyDescent="0.2"/>
    <row r="1019" s="1" customFormat="1" x14ac:dyDescent="0.2"/>
    <row r="1020" s="1" customFormat="1" x14ac:dyDescent="0.2"/>
    <row r="1021" s="1" customFormat="1" x14ac:dyDescent="0.2"/>
    <row r="1022" s="1" customFormat="1" x14ac:dyDescent="0.2"/>
    <row r="1023" s="1" customFormat="1" x14ac:dyDescent="0.2"/>
    <row r="1024" s="1" customFormat="1" x14ac:dyDescent="0.2"/>
    <row r="1025" s="1" customFormat="1" x14ac:dyDescent="0.2"/>
    <row r="1026" s="1" customFormat="1" x14ac:dyDescent="0.2"/>
    <row r="1027" s="1" customFormat="1" x14ac:dyDescent="0.2"/>
    <row r="1028" s="1" customFormat="1" x14ac:dyDescent="0.2"/>
    <row r="1029" s="1" customFormat="1" x14ac:dyDescent="0.2"/>
    <row r="1030" s="1" customFormat="1" x14ac:dyDescent="0.2"/>
    <row r="1031" s="1" customFormat="1" x14ac:dyDescent="0.2"/>
    <row r="1032" s="1" customFormat="1" x14ac:dyDescent="0.2"/>
    <row r="1033" s="1" customFormat="1" x14ac:dyDescent="0.2"/>
    <row r="1034" s="1" customFormat="1" x14ac:dyDescent="0.2"/>
    <row r="1035" s="1" customFormat="1" x14ac:dyDescent="0.2"/>
    <row r="1036" s="1" customFormat="1" x14ac:dyDescent="0.2"/>
    <row r="1037" s="1" customFormat="1" x14ac:dyDescent="0.2"/>
    <row r="1038" s="1" customFormat="1" x14ac:dyDescent="0.2"/>
    <row r="1039" s="1" customFormat="1" x14ac:dyDescent="0.2"/>
    <row r="1040" s="1" customFormat="1" x14ac:dyDescent="0.2"/>
    <row r="1041" s="1" customFormat="1" x14ac:dyDescent="0.2"/>
    <row r="1042" s="1" customFormat="1" x14ac:dyDescent="0.2"/>
    <row r="1043" s="1" customFormat="1" x14ac:dyDescent="0.2"/>
    <row r="1044" s="1" customFormat="1" x14ac:dyDescent="0.2"/>
    <row r="1045" s="1" customFormat="1" x14ac:dyDescent="0.2"/>
    <row r="1046" s="1" customFormat="1" x14ac:dyDescent="0.2"/>
    <row r="1047" s="1" customFormat="1" x14ac:dyDescent="0.2"/>
    <row r="1048" s="1" customFormat="1" x14ac:dyDescent="0.2"/>
    <row r="1049" s="1" customFormat="1" x14ac:dyDescent="0.2"/>
    <row r="1050" s="1" customFormat="1" x14ac:dyDescent="0.2"/>
    <row r="1051" s="1" customFormat="1" x14ac:dyDescent="0.2"/>
    <row r="1052" s="1" customFormat="1" x14ac:dyDescent="0.2"/>
    <row r="1053" s="1" customFormat="1" x14ac:dyDescent="0.2"/>
    <row r="1054" s="1" customFormat="1" x14ac:dyDescent="0.2"/>
    <row r="1055" s="1" customFormat="1" x14ac:dyDescent="0.2"/>
    <row r="1056" s="1" customFormat="1" x14ac:dyDescent="0.2"/>
    <row r="1057" s="1" customFormat="1" x14ac:dyDescent="0.2"/>
    <row r="1058" s="1" customFormat="1" x14ac:dyDescent="0.2"/>
    <row r="1059" s="1" customFormat="1" x14ac:dyDescent="0.2"/>
    <row r="1060" s="1" customFormat="1" x14ac:dyDescent="0.2"/>
    <row r="1061" s="1" customFormat="1" x14ac:dyDescent="0.2"/>
    <row r="1062" s="1" customFormat="1" x14ac:dyDescent="0.2"/>
    <row r="1063" s="1" customFormat="1" x14ac:dyDescent="0.2"/>
    <row r="1064" s="1" customFormat="1" x14ac:dyDescent="0.2"/>
    <row r="1065" s="1" customFormat="1" x14ac:dyDescent="0.2"/>
    <row r="1066" s="1" customFormat="1" x14ac:dyDescent="0.2"/>
    <row r="1067" s="1" customFormat="1" x14ac:dyDescent="0.2"/>
    <row r="1068" s="1" customFormat="1" x14ac:dyDescent="0.2"/>
    <row r="1069" s="1" customFormat="1" x14ac:dyDescent="0.2"/>
    <row r="1070" s="1" customFormat="1" x14ac:dyDescent="0.2"/>
    <row r="1071" s="1" customFormat="1" x14ac:dyDescent="0.2"/>
    <row r="1072" s="1" customFormat="1" x14ac:dyDescent="0.2"/>
    <row r="1073" s="1" customFormat="1" x14ac:dyDescent="0.2"/>
    <row r="1074" s="1" customFormat="1" x14ac:dyDescent="0.2"/>
    <row r="1075" s="1" customFormat="1" x14ac:dyDescent="0.2"/>
    <row r="1076" s="1" customFormat="1" x14ac:dyDescent="0.2"/>
    <row r="1077" s="1" customFormat="1" x14ac:dyDescent="0.2"/>
    <row r="1078" s="1" customFormat="1" x14ac:dyDescent="0.2"/>
    <row r="1079" s="1" customFormat="1" x14ac:dyDescent="0.2"/>
    <row r="1080" s="1" customFormat="1" x14ac:dyDescent="0.2"/>
    <row r="1081" s="1" customFormat="1" x14ac:dyDescent="0.2"/>
    <row r="1082" s="1" customFormat="1" x14ac:dyDescent="0.2"/>
    <row r="1083" s="1" customFormat="1" x14ac:dyDescent="0.2"/>
    <row r="1084" s="1" customFormat="1" x14ac:dyDescent="0.2"/>
    <row r="1085" s="1" customFormat="1" x14ac:dyDescent="0.2"/>
    <row r="1086" s="1" customFormat="1" x14ac:dyDescent="0.2"/>
    <row r="1087" s="1" customFormat="1" x14ac:dyDescent="0.2"/>
    <row r="1088" s="1" customFormat="1" x14ac:dyDescent="0.2"/>
    <row r="1089" s="1" customFormat="1" x14ac:dyDescent="0.2"/>
    <row r="1090" s="1" customFormat="1" x14ac:dyDescent="0.2"/>
    <row r="1091" s="1" customFormat="1" x14ac:dyDescent="0.2"/>
    <row r="1092" s="1" customFormat="1" x14ac:dyDescent="0.2"/>
    <row r="1093" s="1" customFormat="1" x14ac:dyDescent="0.2"/>
    <row r="1094" s="1" customFormat="1" x14ac:dyDescent="0.2"/>
    <row r="1095" s="1" customFormat="1" x14ac:dyDescent="0.2"/>
    <row r="1096" s="1" customFormat="1" x14ac:dyDescent="0.2"/>
    <row r="1097" s="1" customFormat="1" x14ac:dyDescent="0.2"/>
    <row r="1098" s="1" customFormat="1" x14ac:dyDescent="0.2"/>
    <row r="1099" s="1" customFormat="1" x14ac:dyDescent="0.2"/>
    <row r="1100" s="1" customFormat="1" x14ac:dyDescent="0.2"/>
    <row r="1101" s="1" customFormat="1" x14ac:dyDescent="0.2"/>
    <row r="1102" s="1" customFormat="1" x14ac:dyDescent="0.2"/>
    <row r="1103" s="1" customFormat="1" x14ac:dyDescent="0.2"/>
    <row r="1104" s="1" customFormat="1" x14ac:dyDescent="0.2"/>
    <row r="1105" s="1" customFormat="1" x14ac:dyDescent="0.2"/>
    <row r="1106" s="1" customFormat="1" x14ac:dyDescent="0.2"/>
    <row r="1107" s="1" customFormat="1" x14ac:dyDescent="0.2"/>
    <row r="1108" s="1" customFormat="1" x14ac:dyDescent="0.2"/>
    <row r="1109" s="1" customFormat="1" x14ac:dyDescent="0.2"/>
    <row r="1110" s="1" customFormat="1" x14ac:dyDescent="0.2"/>
    <row r="1111" s="1" customFormat="1" x14ac:dyDescent="0.2"/>
    <row r="1112" s="1" customFormat="1" x14ac:dyDescent="0.2"/>
    <row r="1113" s="1" customFormat="1" x14ac:dyDescent="0.2"/>
    <row r="1114" s="1" customFormat="1" x14ac:dyDescent="0.2"/>
    <row r="1115" s="1" customFormat="1" x14ac:dyDescent="0.2"/>
    <row r="1116" s="1" customFormat="1" x14ac:dyDescent="0.2"/>
    <row r="1117" s="1" customFormat="1" x14ac:dyDescent="0.2"/>
    <row r="1118" s="1" customFormat="1" x14ac:dyDescent="0.2"/>
    <row r="1119" s="1" customFormat="1" x14ac:dyDescent="0.2"/>
    <row r="1120" s="1" customFormat="1" x14ac:dyDescent="0.2"/>
    <row r="1121" s="1" customFormat="1" x14ac:dyDescent="0.2"/>
    <row r="1122" s="1" customFormat="1" x14ac:dyDescent="0.2"/>
    <row r="1123" s="1" customFormat="1" x14ac:dyDescent="0.2"/>
    <row r="1124" s="1" customFormat="1" x14ac:dyDescent="0.2"/>
    <row r="1125" s="1" customFormat="1" x14ac:dyDescent="0.2"/>
    <row r="1126" s="1" customFormat="1" x14ac:dyDescent="0.2"/>
    <row r="1127" s="1" customFormat="1" x14ac:dyDescent="0.2"/>
    <row r="1128" s="1" customFormat="1" x14ac:dyDescent="0.2"/>
    <row r="1129" s="1" customFormat="1" x14ac:dyDescent="0.2"/>
    <row r="1130" s="1" customFormat="1" x14ac:dyDescent="0.2"/>
    <row r="1131" s="1" customFormat="1" x14ac:dyDescent="0.2"/>
    <row r="1132" s="1" customFormat="1" x14ac:dyDescent="0.2"/>
    <row r="1133" s="1" customFormat="1" x14ac:dyDescent="0.2"/>
    <row r="1134" s="1" customFormat="1" x14ac:dyDescent="0.2"/>
    <row r="1135" s="1" customFormat="1" x14ac:dyDescent="0.2"/>
    <row r="1136" s="1" customFormat="1" x14ac:dyDescent="0.2"/>
    <row r="1137" s="1" customFormat="1" x14ac:dyDescent="0.2"/>
    <row r="1138" s="1" customFormat="1" x14ac:dyDescent="0.2"/>
    <row r="1139" s="1" customFormat="1" x14ac:dyDescent="0.2"/>
    <row r="1140" s="1" customFormat="1" x14ac:dyDescent="0.2"/>
    <row r="1141" s="1" customFormat="1" x14ac:dyDescent="0.2"/>
    <row r="1142" s="1" customFormat="1" x14ac:dyDescent="0.2"/>
    <row r="1143" s="1" customFormat="1" x14ac:dyDescent="0.2"/>
    <row r="1144" s="1" customFormat="1" x14ac:dyDescent="0.2"/>
    <row r="1145" s="1" customFormat="1" x14ac:dyDescent="0.2"/>
    <row r="1146" s="1" customFormat="1" x14ac:dyDescent="0.2"/>
    <row r="1147" s="1" customFormat="1" x14ac:dyDescent="0.2"/>
    <row r="1148" s="1" customFormat="1" x14ac:dyDescent="0.2"/>
    <row r="1149" s="1" customFormat="1" x14ac:dyDescent="0.2"/>
    <row r="1150" s="1" customFormat="1" x14ac:dyDescent="0.2"/>
    <row r="1151" s="1" customFormat="1" x14ac:dyDescent="0.2"/>
    <row r="1152" s="1" customFormat="1" x14ac:dyDescent="0.2"/>
    <row r="1153" s="1" customFormat="1" x14ac:dyDescent="0.2"/>
    <row r="1154" s="1" customFormat="1" x14ac:dyDescent="0.2"/>
    <row r="1155" s="1" customFormat="1" x14ac:dyDescent="0.2"/>
    <row r="1156" s="1" customFormat="1" x14ac:dyDescent="0.2"/>
    <row r="1157" s="1" customFormat="1" x14ac:dyDescent="0.2"/>
    <row r="1158" s="1" customFormat="1" x14ac:dyDescent="0.2"/>
    <row r="1159" s="1" customFormat="1" x14ac:dyDescent="0.2"/>
    <row r="1160" s="1" customFormat="1" x14ac:dyDescent="0.2"/>
    <row r="1161" s="1" customFormat="1" x14ac:dyDescent="0.2"/>
    <row r="1162" s="1" customFormat="1" x14ac:dyDescent="0.2"/>
    <row r="1163" s="1" customFormat="1" x14ac:dyDescent="0.2"/>
    <row r="1164" s="1" customFormat="1" x14ac:dyDescent="0.2"/>
    <row r="1165" s="1" customFormat="1" x14ac:dyDescent="0.2"/>
    <row r="1166" s="1" customFormat="1" x14ac:dyDescent="0.2"/>
    <row r="1167" s="1" customFormat="1" x14ac:dyDescent="0.2"/>
    <row r="1168" s="1" customFormat="1" x14ac:dyDescent="0.2"/>
    <row r="1169" s="1" customFormat="1" x14ac:dyDescent="0.2"/>
    <row r="1170" s="1" customFormat="1" x14ac:dyDescent="0.2"/>
    <row r="1171" s="1" customFormat="1" x14ac:dyDescent="0.2"/>
    <row r="1172" s="1" customFormat="1" x14ac:dyDescent="0.2"/>
    <row r="1173" s="1" customFormat="1" x14ac:dyDescent="0.2"/>
    <row r="1174" s="1" customFormat="1" x14ac:dyDescent="0.2"/>
    <row r="1175" s="1" customFormat="1" x14ac:dyDescent="0.2"/>
    <row r="1176" s="1" customFormat="1" x14ac:dyDescent="0.2"/>
    <row r="1177" s="1" customFormat="1" x14ac:dyDescent="0.2"/>
    <row r="1178" s="1" customFormat="1" x14ac:dyDescent="0.2"/>
    <row r="1179" s="1" customFormat="1" x14ac:dyDescent="0.2"/>
    <row r="1180" s="1" customFormat="1" x14ac:dyDescent="0.2"/>
    <row r="1181" s="1" customFormat="1" x14ac:dyDescent="0.2"/>
    <row r="1182" s="1" customFormat="1" x14ac:dyDescent="0.2"/>
    <row r="1183" s="1" customFormat="1" x14ac:dyDescent="0.2"/>
    <row r="1184" s="1" customFormat="1" x14ac:dyDescent="0.2"/>
    <row r="1185" s="1" customFormat="1" x14ac:dyDescent="0.2"/>
    <row r="1186" s="1" customFormat="1" x14ac:dyDescent="0.2"/>
    <row r="1187" s="1" customFormat="1" x14ac:dyDescent="0.2"/>
    <row r="1188" s="1" customFormat="1" x14ac:dyDescent="0.2"/>
    <row r="1189" s="1" customFormat="1" x14ac:dyDescent="0.2"/>
    <row r="1190" s="1" customFormat="1" x14ac:dyDescent="0.2"/>
    <row r="1191" s="1" customFormat="1" x14ac:dyDescent="0.2"/>
    <row r="1192" s="1" customFormat="1" x14ac:dyDescent="0.2"/>
    <row r="1193" s="1" customFormat="1" x14ac:dyDescent="0.2"/>
    <row r="1194" s="1" customFormat="1" x14ac:dyDescent="0.2"/>
    <row r="1195" s="1" customFormat="1" x14ac:dyDescent="0.2"/>
    <row r="1196" s="1" customFormat="1" x14ac:dyDescent="0.2"/>
    <row r="1197" s="1" customFormat="1" x14ac:dyDescent="0.2"/>
    <row r="1198" s="1" customFormat="1" x14ac:dyDescent="0.2"/>
    <row r="1199" s="1" customFormat="1" x14ac:dyDescent="0.2"/>
    <row r="1200" s="1" customFormat="1" x14ac:dyDescent="0.2"/>
    <row r="1201" s="1" customFormat="1" x14ac:dyDescent="0.2"/>
    <row r="1202" s="1" customFormat="1" x14ac:dyDescent="0.2"/>
    <row r="1203" s="1" customFormat="1" x14ac:dyDescent="0.2"/>
    <row r="1204" s="1" customFormat="1" x14ac:dyDescent="0.2"/>
    <row r="1205" s="1" customFormat="1" x14ac:dyDescent="0.2"/>
    <row r="1206" s="1" customFormat="1" x14ac:dyDescent="0.2"/>
    <row r="1207" s="1" customFormat="1" x14ac:dyDescent="0.2"/>
    <row r="1208" s="1" customFormat="1" x14ac:dyDescent="0.2"/>
    <row r="1209" s="1" customFormat="1" x14ac:dyDescent="0.2"/>
    <row r="1210" s="1" customFormat="1" x14ac:dyDescent="0.2"/>
    <row r="1211" s="1" customFormat="1" x14ac:dyDescent="0.2"/>
    <row r="1212" s="1" customFormat="1" x14ac:dyDescent="0.2"/>
    <row r="1213" s="1" customFormat="1" x14ac:dyDescent="0.2"/>
    <row r="1214" s="1" customFormat="1" x14ac:dyDescent="0.2"/>
    <row r="1215" s="1" customFormat="1" x14ac:dyDescent="0.2"/>
    <row r="1216" s="1" customFormat="1" x14ac:dyDescent="0.2"/>
    <row r="1217" s="1" customFormat="1" x14ac:dyDescent="0.2"/>
    <row r="1218" s="1" customFormat="1" x14ac:dyDescent="0.2"/>
    <row r="1219" s="1" customFormat="1" x14ac:dyDescent="0.2"/>
    <row r="1220" s="1" customFormat="1" x14ac:dyDescent="0.2"/>
    <row r="1221" s="1" customFormat="1" x14ac:dyDescent="0.2"/>
    <row r="1222" s="1" customFormat="1" x14ac:dyDescent="0.2"/>
    <row r="1223" s="1" customFormat="1" x14ac:dyDescent="0.2"/>
    <row r="1224" s="1" customFormat="1" x14ac:dyDescent="0.2"/>
    <row r="1225" s="1" customFormat="1" x14ac:dyDescent="0.2"/>
    <row r="1226" s="1" customFormat="1" x14ac:dyDescent="0.2"/>
    <row r="1227" s="1" customFormat="1" x14ac:dyDescent="0.2"/>
    <row r="1228" s="1" customFormat="1" x14ac:dyDescent="0.2"/>
    <row r="1229" s="1" customFormat="1" x14ac:dyDescent="0.2"/>
    <row r="1230" s="1" customFormat="1" x14ac:dyDescent="0.2"/>
    <row r="1231" s="1" customFormat="1" x14ac:dyDescent="0.2"/>
    <row r="1232" s="1" customFormat="1" x14ac:dyDescent="0.2"/>
    <row r="1233" s="1" customFormat="1" x14ac:dyDescent="0.2"/>
    <row r="1234" s="1" customFormat="1" x14ac:dyDescent="0.2"/>
    <row r="1235" s="1" customFormat="1" x14ac:dyDescent="0.2"/>
    <row r="1236" s="1" customFormat="1" x14ac:dyDescent="0.2"/>
    <row r="1237" s="1" customFormat="1" x14ac:dyDescent="0.2"/>
    <row r="1238" s="1" customFormat="1" x14ac:dyDescent="0.2"/>
    <row r="1239" s="1" customFormat="1" x14ac:dyDescent="0.2"/>
    <row r="1240" s="1" customFormat="1" x14ac:dyDescent="0.2"/>
    <row r="1241" s="1" customFormat="1" x14ac:dyDescent="0.2"/>
    <row r="1242" s="1" customFormat="1" x14ac:dyDescent="0.2"/>
    <row r="1243" s="1" customFormat="1" x14ac:dyDescent="0.2"/>
    <row r="1244" s="1" customFormat="1" x14ac:dyDescent="0.2"/>
    <row r="1245" s="1" customFormat="1" x14ac:dyDescent="0.2"/>
    <row r="1246" s="1" customFormat="1" x14ac:dyDescent="0.2"/>
    <row r="1247" s="1" customFormat="1" x14ac:dyDescent="0.2"/>
    <row r="1248" s="1" customFormat="1" x14ac:dyDescent="0.2"/>
    <row r="1249" s="1" customFormat="1" x14ac:dyDescent="0.2"/>
    <row r="1250" s="1" customFormat="1" x14ac:dyDescent="0.2"/>
    <row r="1251" s="1" customFormat="1" x14ac:dyDescent="0.2"/>
    <row r="1252" s="1" customFormat="1" x14ac:dyDescent="0.2"/>
    <row r="1253" s="1" customFormat="1" x14ac:dyDescent="0.2"/>
    <row r="1254" s="1" customFormat="1" x14ac:dyDescent="0.2"/>
    <row r="1255" s="1" customFormat="1" x14ac:dyDescent="0.2"/>
    <row r="1256" s="1" customFormat="1" x14ac:dyDescent="0.2"/>
    <row r="1257" s="1" customFormat="1" x14ac:dyDescent="0.2"/>
    <row r="1258" s="1" customFormat="1" x14ac:dyDescent="0.2"/>
    <row r="1259" s="1" customFormat="1" x14ac:dyDescent="0.2"/>
  </sheetData>
  <sheetProtection password="E1A4" sheet="1" objects="1" scenarios="1"/>
  <protectedRanges>
    <protectedRange sqref="E9 E11:E12 K9:K10" name="Range1"/>
  </protectedRanges>
  <phoneticPr fontId="6" type="noConversion"/>
  <conditionalFormatting sqref="E12">
    <cfRule type="expression" dxfId="0" priority="1" stopIfTrue="1">
      <formula>EXTVCC="No"</formula>
    </cfRule>
  </conditionalFormatting>
  <dataValidations count="1">
    <dataValidation type="list" allowBlank="1" showInputMessage="1" showErrorMessage="1" sqref="E11" xr:uid="{00000000-0002-0000-0100-000000000000}">
      <formula1>$V$12:$V$13</formula1>
    </dataValidation>
  </dataValidations>
  <printOptions horizontalCentered="1"/>
  <pageMargins left="0.5" right="0.5" top="0.5" bottom="0.5" header="0.25" footer="0.25"/>
  <pageSetup scale="52"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J565"/>
  <sheetViews>
    <sheetView showGridLines="0" topLeftCell="A37" zoomScale="85" zoomScaleNormal="85" workbookViewId="0">
      <selection activeCell="G1" sqref="G1"/>
    </sheetView>
  </sheetViews>
  <sheetFormatPr defaultColWidth="9.140625" defaultRowHeight="12.75" x14ac:dyDescent="0.2"/>
  <cols>
    <col min="1" max="1" width="5" style="1" customWidth="1"/>
    <col min="2" max="2" width="3.85546875" style="1" customWidth="1"/>
    <col min="3" max="3" width="11.42578125" style="1" customWidth="1"/>
    <col min="4" max="4" width="11.85546875" style="1" customWidth="1"/>
    <col min="5" max="5" width="13.42578125" style="1" customWidth="1"/>
    <col min="6" max="6" width="11.85546875" style="1" customWidth="1"/>
    <col min="7" max="8" width="10.42578125" style="1" customWidth="1"/>
    <col min="9" max="9" width="10.85546875" style="1" customWidth="1"/>
    <col min="10" max="10" width="10.28515625" style="1" bestFit="1" customWidth="1"/>
    <col min="11" max="11" width="7.5703125" style="1" customWidth="1"/>
    <col min="12" max="12" width="8.7109375" style="1" customWidth="1"/>
    <col min="13" max="13" width="14.85546875" style="1" customWidth="1"/>
    <col min="14" max="14" width="10.140625" style="1" bestFit="1" customWidth="1"/>
    <col min="15" max="15" width="7.140625" style="1" customWidth="1"/>
    <col min="16" max="16" width="7.85546875" style="1" customWidth="1"/>
    <col min="17" max="17" width="7.140625" style="1" customWidth="1"/>
    <col min="18" max="18" width="9.5703125" style="1" bestFit="1" customWidth="1"/>
    <col min="19" max="19" width="12" style="1" bestFit="1" customWidth="1"/>
    <col min="20" max="20" width="23.140625" style="1" bestFit="1" customWidth="1"/>
    <col min="21" max="21" width="8.5703125" style="1" customWidth="1"/>
    <col min="22" max="22" width="4" style="1" bestFit="1" customWidth="1"/>
    <col min="23" max="23" width="11.28515625" style="1" customWidth="1"/>
    <col min="24" max="24" width="8.85546875" style="1" bestFit="1" customWidth="1"/>
    <col min="25" max="25" width="33.85546875" style="1" customWidth="1"/>
    <col min="26" max="26" width="33.85546875" style="1" bestFit="1" customWidth="1"/>
    <col min="27" max="27" width="42.5703125" style="1" bestFit="1" customWidth="1"/>
    <col min="28" max="28" width="38" style="1" bestFit="1" customWidth="1"/>
    <col min="29" max="29" width="39.140625" style="1" bestFit="1" customWidth="1"/>
    <col min="30" max="30" width="38.42578125" style="1" bestFit="1" customWidth="1"/>
    <col min="31" max="16384" width="9.140625" style="1"/>
  </cols>
  <sheetData>
    <row r="1" spans="1:33" ht="39" customHeight="1" x14ac:dyDescent="0.2">
      <c r="C1" s="117" t="s">
        <v>76</v>
      </c>
    </row>
    <row r="2" spans="1:33" ht="61.15" customHeight="1" x14ac:dyDescent="0.2">
      <c r="A2" s="2"/>
      <c r="B2" s="2"/>
      <c r="C2" s="3" t="s">
        <v>2</v>
      </c>
      <c r="D2" s="3" t="s">
        <v>3</v>
      </c>
      <c r="E2" s="3" t="s">
        <v>61</v>
      </c>
      <c r="F2" s="3" t="s">
        <v>60</v>
      </c>
      <c r="G2" s="3" t="s">
        <v>59</v>
      </c>
      <c r="H2" s="3" t="s">
        <v>155</v>
      </c>
      <c r="I2" s="3" t="s">
        <v>62</v>
      </c>
      <c r="J2" s="3" t="s">
        <v>63</v>
      </c>
      <c r="K2" s="2"/>
      <c r="L2" s="2"/>
      <c r="M2" s="27" t="s">
        <v>19</v>
      </c>
      <c r="N2" s="2"/>
      <c r="O2" s="2"/>
      <c r="P2" s="2"/>
      <c r="R2" s="22"/>
      <c r="S2" s="2"/>
      <c r="T2" s="2"/>
      <c r="U2" s="2"/>
      <c r="V2" s="2"/>
      <c r="AE2" s="14"/>
      <c r="AF2" s="14"/>
    </row>
    <row r="3" spans="1:33" x14ac:dyDescent="0.2">
      <c r="A3" s="2"/>
      <c r="B3" s="2"/>
      <c r="C3" s="4">
        <v>1</v>
      </c>
      <c r="D3" s="5">
        <f>2*PI()*C3</f>
        <v>6.2831853071795862</v>
      </c>
      <c r="E3" s="6">
        <f t="shared" ref="E3:E36" si="0">20*LOG(Am*IMABS(IMDIV(IMDIV(IMDIV(COMPLEX(1,D3/wz_esr),COMPLEX(1,D3/wp_lf)),COMPLEX(1,D3/wp_esr)),COMPLEX(1-D3^2/(wn^2),D3/wp_hf))))</f>
        <v>10.09181283913242</v>
      </c>
      <c r="F3" s="6">
        <f t="shared" ref="F3:F36" si="1">IMARGUMENT(IMDIV(IMDIV(IMDIV(COMPLEX(1,D3/wz_esr),COMPLEX(1,D3/wp_lf)),COMPLEX(1,D3/wp_esr)),COMPLEX(1-D3^2/(wn^2),D3/wp_hf)))*180/PI()</f>
        <v>-3.2650135036192483E-2</v>
      </c>
      <c r="G3" s="7">
        <f>20*LOG(IMABS('Non-Ideal EA'!H15))</f>
        <v>67.064248403538016</v>
      </c>
      <c r="H3" s="7">
        <f>IMARGUMENT('Non-Ideal EA'!H15)*(180/PI())</f>
        <v>158.96015929070327</v>
      </c>
      <c r="I3" s="6">
        <f t="shared" ref="I3:I36" si="2">E3+G3</f>
        <v>77.156061242670432</v>
      </c>
      <c r="J3" s="6">
        <f t="shared" ref="J3:J36" si="3">F3+H3</f>
        <v>158.92750915566708</v>
      </c>
      <c r="K3" s="2"/>
      <c r="L3"/>
      <c r="M3" s="119" t="s">
        <v>31</v>
      </c>
      <c r="N3" s="2"/>
      <c r="O3" s="2"/>
      <c r="P3" s="2"/>
      <c r="R3" s="118"/>
      <c r="S3" s="2"/>
      <c r="T3" s="2"/>
      <c r="U3" s="2"/>
      <c r="V3" s="2"/>
      <c r="AE3" s="173"/>
      <c r="AF3" s="173"/>
      <c r="AG3" s="173"/>
    </row>
    <row r="4" spans="1:33" x14ac:dyDescent="0.2">
      <c r="A4" s="2"/>
      <c r="B4" s="2"/>
      <c r="C4" s="4">
        <v>2</v>
      </c>
      <c r="D4" s="5">
        <f t="shared" ref="D4:D36" si="4">2*PI()*C4</f>
        <v>12.566370614359172</v>
      </c>
      <c r="E4" s="6">
        <f t="shared" si="0"/>
        <v>10.091809030145047</v>
      </c>
      <c r="F4" s="6">
        <f t="shared" si="1"/>
        <v>-6.5300252111046425E-2</v>
      </c>
      <c r="G4" s="7">
        <f>20*LOG(IMABS('Non-Ideal EA'!H16))</f>
        <v>65.641276080219356</v>
      </c>
      <c r="H4" s="7">
        <f>IMARGUMENT('Non-Ideal EA'!H16)*(180/PI())</f>
        <v>142.44437186393066</v>
      </c>
      <c r="I4" s="6">
        <f t="shared" si="2"/>
        <v>75.733085110364399</v>
      </c>
      <c r="J4" s="6">
        <f t="shared" si="3"/>
        <v>142.3790716118196</v>
      </c>
      <c r="K4" s="2"/>
      <c r="L4"/>
      <c r="M4" s="48" t="s">
        <v>81</v>
      </c>
      <c r="N4" s="47">
        <f>(1/((Rload+ESR/1000)*(Cout1+Cout2)*10^-6))+(1/(L*10^-6*(Cout1+Cout2)*10^-6*wp_hf))</f>
        <v>11655.559737820093</v>
      </c>
      <c r="O4" s="12" t="s">
        <v>138</v>
      </c>
      <c r="P4" s="113">
        <f>wp_lf/2/PI()</f>
        <v>1855.0399467769435</v>
      </c>
      <c r="Q4" s="20" t="s">
        <v>140</v>
      </c>
      <c r="R4" s="118"/>
      <c r="S4" s="2"/>
      <c r="T4" s="2"/>
      <c r="U4" s="2"/>
      <c r="V4" s="2"/>
      <c r="AE4" s="173"/>
      <c r="AF4" s="173"/>
      <c r="AG4" s="173"/>
    </row>
    <row r="5" spans="1:33" x14ac:dyDescent="0.2">
      <c r="A5" s="2"/>
      <c r="B5" s="2"/>
      <c r="C5" s="4">
        <v>5</v>
      </c>
      <c r="D5" s="5">
        <f t="shared" si="4"/>
        <v>31.415926535897931</v>
      </c>
      <c r="E5" s="6">
        <f t="shared" si="0"/>
        <v>10.091782367325898</v>
      </c>
      <c r="F5" s="6">
        <f t="shared" si="1"/>
        <v>-0.1632503159555081</v>
      </c>
      <c r="G5" s="7">
        <f>20*LOG(IMABS('Non-Ideal EA'!H17))</f>
        <v>60.934689166501016</v>
      </c>
      <c r="H5" s="7">
        <f>IMARGUMENT('Non-Ideal EA'!H17)*(180/PI())</f>
        <v>117.58211349261856</v>
      </c>
      <c r="I5" s="6">
        <f t="shared" si="2"/>
        <v>71.026471533826907</v>
      </c>
      <c r="J5" s="6">
        <f t="shared" si="3"/>
        <v>117.41886317666305</v>
      </c>
      <c r="K5" s="2"/>
      <c r="L5"/>
      <c r="M5" s="48" t="s">
        <v>82</v>
      </c>
      <c r="N5" s="47">
        <f>Fsw*1000/(K-0.5)</f>
        <v>127083.33333333334</v>
      </c>
      <c r="O5" s="12" t="s">
        <v>138</v>
      </c>
      <c r="P5" s="168">
        <f>wp_hf/(2*PI()*1000)</f>
        <v>20.225940684595034</v>
      </c>
      <c r="Q5" s="20" t="s">
        <v>141</v>
      </c>
      <c r="R5" s="118"/>
      <c r="S5" s="5"/>
      <c r="T5" s="2"/>
      <c r="U5" s="2"/>
      <c r="V5" s="2"/>
      <c r="AE5" s="173"/>
      <c r="AF5" s="173"/>
      <c r="AG5" s="173"/>
    </row>
    <row r="6" spans="1:33" x14ac:dyDescent="0.2">
      <c r="A6" s="2"/>
      <c r="B6" s="2"/>
      <c r="C6" s="4">
        <v>10</v>
      </c>
      <c r="D6" s="5">
        <f t="shared" si="4"/>
        <v>62.831853071795862</v>
      </c>
      <c r="E6" s="6">
        <f t="shared" si="0"/>
        <v>10.091687144292154</v>
      </c>
      <c r="F6" s="6">
        <f t="shared" si="1"/>
        <v>-0.32649838679066068</v>
      </c>
      <c r="G6" s="7">
        <f>20*LOG(IMABS('Non-Ideal EA'!H18))</f>
        <v>55.667362763220694</v>
      </c>
      <c r="H6" s="7">
        <f>IMARGUMENT('Non-Ideal EA'!H18)*(180/PI())</f>
        <v>104.84371673753537</v>
      </c>
      <c r="I6" s="6">
        <f t="shared" si="2"/>
        <v>65.759049907512846</v>
      </c>
      <c r="J6" s="6">
        <f t="shared" si="3"/>
        <v>104.51721835074471</v>
      </c>
      <c r="K6" s="2"/>
      <c r="L6"/>
      <c r="M6" s="48" t="s">
        <v>83</v>
      </c>
      <c r="N6" s="47">
        <f>1/((ESR/1000)*Cout1*10^-6)</f>
        <v>336700.33670033677</v>
      </c>
      <c r="O6" s="12" t="s">
        <v>138</v>
      </c>
      <c r="P6" s="168">
        <f>wz_esr/(2*PI()*1000)</f>
        <v>53.587522926564105</v>
      </c>
      <c r="Q6" s="20" t="s">
        <v>141</v>
      </c>
      <c r="S6" s="8" t="s">
        <v>6</v>
      </c>
      <c r="T6" s="8"/>
      <c r="U6" s="2"/>
      <c r="AE6" s="173"/>
      <c r="AF6" s="173"/>
      <c r="AG6" s="173"/>
    </row>
    <row r="7" spans="1:33" x14ac:dyDescent="0.2">
      <c r="A7" s="2"/>
      <c r="B7" s="2"/>
      <c r="C7" s="4">
        <v>20</v>
      </c>
      <c r="D7" s="5">
        <f t="shared" si="4"/>
        <v>125.66370614359172</v>
      </c>
      <c r="E7" s="6">
        <f t="shared" si="0"/>
        <v>10.091306272785816</v>
      </c>
      <c r="F7" s="6">
        <f t="shared" si="1"/>
        <v>-0.65297881379208278</v>
      </c>
      <c r="G7" s="7">
        <f>20*LOG(IMABS('Non-Ideal EA'!H19))</f>
        <v>49.857746127818352</v>
      </c>
      <c r="H7" s="7">
        <f>IMARGUMENT('Non-Ideal EA'!H19)*(180/PI())</f>
        <v>97.9797040719168</v>
      </c>
      <c r="I7" s="6">
        <f t="shared" si="2"/>
        <v>59.949052400604167</v>
      </c>
      <c r="J7" s="6">
        <f t="shared" si="3"/>
        <v>97.326725258124711</v>
      </c>
      <c r="K7" s="2"/>
      <c r="L7"/>
      <c r="M7" s="48" t="s">
        <v>84</v>
      </c>
      <c r="N7" s="94">
        <f>IF(Cout2=0, 100000000000, 1/(ESR/1000*(Cout1*Cout2/(Cout1+Cout2))*10^-6))</f>
        <v>100000000000</v>
      </c>
      <c r="O7" s="12" t="s">
        <v>138</v>
      </c>
      <c r="P7" s="113">
        <f>wp_esr/(2*PI()*1000)</f>
        <v>15915494.309189536</v>
      </c>
      <c r="Q7" s="20" t="s">
        <v>141</v>
      </c>
      <c r="S7" s="2"/>
      <c r="T7" s="2"/>
      <c r="U7" s="4"/>
      <c r="AE7" s="173"/>
      <c r="AF7" s="173"/>
      <c r="AG7" s="173"/>
    </row>
    <row r="8" spans="1:33" x14ac:dyDescent="0.2">
      <c r="A8" s="2"/>
      <c r="B8" s="2"/>
      <c r="C8" s="4">
        <v>50</v>
      </c>
      <c r="D8" s="5">
        <f t="shared" si="4"/>
        <v>314.15926535897933</v>
      </c>
      <c r="E8" s="6">
        <f t="shared" si="0"/>
        <v>10.088641095963304</v>
      </c>
      <c r="F8" s="6">
        <f t="shared" si="1"/>
        <v>-1.632132869545202</v>
      </c>
      <c r="G8" s="7">
        <f>20*LOG(IMABS('Non-Ideal EA'!H20))</f>
        <v>41.962222346734023</v>
      </c>
      <c r="H8" s="7">
        <f>IMARGUMENT('Non-Ideal EA'!H20)*(180/PI())</f>
        <v>94.433598850015329</v>
      </c>
      <c r="I8" s="6">
        <f t="shared" si="2"/>
        <v>52.050863442697327</v>
      </c>
      <c r="J8" s="6">
        <f t="shared" si="3"/>
        <v>92.801465980470127</v>
      </c>
      <c r="K8" s="2"/>
      <c r="L8"/>
      <c r="M8" s="48" t="s">
        <v>85</v>
      </c>
      <c r="N8" s="94">
        <f>2*PI()*Fsw*1000/2</f>
        <v>479092.87967244349</v>
      </c>
      <c r="O8" s="12" t="s">
        <v>138</v>
      </c>
      <c r="P8" s="113">
        <f>wn/(2*PI()*1000)</f>
        <v>76.250000000000014</v>
      </c>
      <c r="Q8" s="20" t="s">
        <v>141</v>
      </c>
      <c r="S8" s="166" t="s">
        <v>0</v>
      </c>
      <c r="T8" s="10">
        <f>Vout/IOUT</f>
        <v>0.18388888888888888</v>
      </c>
      <c r="U8" s="115" t="s">
        <v>69</v>
      </c>
      <c r="AE8" s="173"/>
      <c r="AF8" s="173"/>
      <c r="AG8" s="173"/>
    </row>
    <row r="9" spans="1:33" x14ac:dyDescent="0.2">
      <c r="A9" s="2"/>
      <c r="B9" s="2"/>
      <c r="C9" s="4">
        <v>100</v>
      </c>
      <c r="D9" s="5">
        <f t="shared" si="4"/>
        <v>628.31853071795865</v>
      </c>
      <c r="E9" s="6">
        <f t="shared" si="0"/>
        <v>10.079135778086748</v>
      </c>
      <c r="F9" s="6">
        <f t="shared" si="1"/>
        <v>-3.262025449764705</v>
      </c>
      <c r="G9" s="7">
        <f>20*LOG(IMABS('Non-Ideal EA'!H21))</f>
        <v>35.959017532367909</v>
      </c>
      <c r="H9" s="7">
        <f>IMARGUMENT('Non-Ideal EA'!H21)*(180/PI())</f>
        <v>94.408513044601094</v>
      </c>
      <c r="I9" s="6">
        <f t="shared" si="2"/>
        <v>46.038153310454661</v>
      </c>
      <c r="J9" s="6">
        <f t="shared" si="3"/>
        <v>91.146487594836387</v>
      </c>
      <c r="K9" s="2"/>
      <c r="L9"/>
      <c r="M9" s="171"/>
      <c r="O9" s="2"/>
      <c r="P9" s="2"/>
      <c r="S9" s="166" t="s">
        <v>1</v>
      </c>
      <c r="T9" s="167">
        <f>Rload/(10*Rss)</f>
        <v>4.5972222222222222E-3</v>
      </c>
      <c r="U9" s="115" t="s">
        <v>139</v>
      </c>
      <c r="AE9" s="173"/>
      <c r="AF9" s="173"/>
      <c r="AG9" s="173"/>
    </row>
    <row r="10" spans="1:33" x14ac:dyDescent="0.2">
      <c r="A10" s="2"/>
      <c r="B10" s="2"/>
      <c r="C10" s="4">
        <v>200</v>
      </c>
      <c r="D10" s="5">
        <f t="shared" si="4"/>
        <v>1256.6370614359173</v>
      </c>
      <c r="E10" s="6">
        <f t="shared" si="0"/>
        <v>10.041318735339127</v>
      </c>
      <c r="F10" s="6">
        <f t="shared" si="1"/>
        <v>-6.5062446916968675</v>
      </c>
      <c r="G10" s="7">
        <f>20*LOG(IMABS('Non-Ideal EA'!H22))</f>
        <v>29.974965871407253</v>
      </c>
      <c r="H10" s="7">
        <f>IMARGUMENT('Non-Ideal EA'!H22)*(180/PI())</f>
        <v>96.571237917541524</v>
      </c>
      <c r="I10" s="6">
        <f t="shared" si="2"/>
        <v>40.016284606746382</v>
      </c>
      <c r="J10" s="6">
        <f t="shared" si="3"/>
        <v>90.06499322584466</v>
      </c>
      <c r="K10" s="2"/>
      <c r="L10"/>
      <c r="M10" s="48" t="s">
        <v>32</v>
      </c>
      <c r="N10" s="169">
        <f>Rload/Rss*1000/10/(1+Rload/(wp_hf*L*10^-6))</f>
        <v>3.195881777368482</v>
      </c>
      <c r="O10" s="12" t="s">
        <v>139</v>
      </c>
      <c r="P10" s="168">
        <f>20*LOG(Am)</f>
        <v>10.091814108795612</v>
      </c>
      <c r="Q10" s="20" t="s">
        <v>143</v>
      </c>
      <c r="S10" s="166" t="s">
        <v>7</v>
      </c>
      <c r="T10" s="165">
        <v>7.6</v>
      </c>
      <c r="U10" s="12" t="s">
        <v>68</v>
      </c>
      <c r="AE10" s="173"/>
      <c r="AF10" s="173"/>
      <c r="AG10" s="173"/>
    </row>
    <row r="11" spans="1:33" x14ac:dyDescent="0.2">
      <c r="A11" s="2"/>
      <c r="B11" s="2"/>
      <c r="C11" s="4">
        <v>400</v>
      </c>
      <c r="D11" s="5">
        <f>2*PI()*C11</f>
        <v>2513.2741228718346</v>
      </c>
      <c r="E11" s="6">
        <f>20*LOG(Am*IMABS(IMDIV(IMDIV(IMDIV(COMPLEX(1,D11/wz_esr),COMPLEX(1,D11/wp_lf)),COMPLEX(1,D11/wp_esr)),COMPLEX(1-D11^2/(wn^2),D11/wp_hf))))</f>
        <v>9.8932219955606993</v>
      </c>
      <c r="F11" s="6">
        <f>IMARGUMENT(IMDIV(IMDIV(IMDIV(COMPLEX(1,D11/wz_esr),COMPLEX(1,D11/wp_lf)),COMPLEX(1,D11/wp_esr)),COMPLEX(1-D11^2/(wn^2),D11/wp_hf)))*180/PI()</f>
        <v>-12.87363801462811</v>
      </c>
      <c r="G11" s="7">
        <f>20*LOG(IMABS('Non-Ideal EA'!H23))</f>
        <v>24.089677447522003</v>
      </c>
      <c r="H11" s="7">
        <f>IMARGUMENT('Non-Ideal EA'!H23)*(180/PI())</f>
        <v>101.90561340781264</v>
      </c>
      <c r="I11" s="6">
        <f t="shared" si="2"/>
        <v>33.982899443082701</v>
      </c>
      <c r="J11" s="6">
        <f t="shared" si="3"/>
        <v>89.031975393184524</v>
      </c>
      <c r="K11" s="2"/>
      <c r="L11"/>
      <c r="M11" s="48"/>
      <c r="N11" s="114"/>
      <c r="O11" s="2"/>
      <c r="P11" s="2"/>
      <c r="R11" s="118"/>
      <c r="S11" s="2"/>
      <c r="T11" s="9"/>
      <c r="U11" s="9"/>
      <c r="V11" s="12"/>
      <c r="AE11" s="173"/>
      <c r="AF11" s="173"/>
      <c r="AG11" s="173"/>
    </row>
    <row r="12" spans="1:33" x14ac:dyDescent="0.2">
      <c r="A12" s="2"/>
      <c r="B12" s="2"/>
      <c r="C12" s="4">
        <v>600</v>
      </c>
      <c r="D12" s="5">
        <f t="shared" si="4"/>
        <v>3769.9111843077517</v>
      </c>
      <c r="E12" s="6">
        <f t="shared" si="0"/>
        <v>9.6569644923275391</v>
      </c>
      <c r="F12" s="6">
        <f t="shared" si="1"/>
        <v>-18.981234482060003</v>
      </c>
      <c r="G12" s="7">
        <f>20*LOG(IMABS('Non-Ideal EA'!H24))</f>
        <v>20.783661273453937</v>
      </c>
      <c r="H12" s="7">
        <f>IMARGUMENT('Non-Ideal EA'!H24)*(180/PI())</f>
        <v>107.25922922488901</v>
      </c>
      <c r="I12" s="6">
        <f t="shared" si="2"/>
        <v>30.440625765781476</v>
      </c>
      <c r="J12" s="6">
        <f t="shared" si="3"/>
        <v>88.277994742829009</v>
      </c>
      <c r="K12" s="2"/>
      <c r="L12"/>
      <c r="O12" s="2"/>
      <c r="P12" s="2"/>
      <c r="R12" s="118"/>
      <c r="S12" s="2"/>
      <c r="T12" s="2"/>
      <c r="U12" s="2"/>
      <c r="V12" s="2"/>
      <c r="AE12" s="173"/>
      <c r="AF12" s="173"/>
      <c r="AG12" s="173"/>
    </row>
    <row r="13" spans="1:33" x14ac:dyDescent="0.2">
      <c r="A13" s="2"/>
      <c r="B13" s="2"/>
      <c r="C13" s="4">
        <v>800</v>
      </c>
      <c r="D13" s="5">
        <f t="shared" si="4"/>
        <v>5026.5482457436692</v>
      </c>
      <c r="E13" s="6">
        <f t="shared" si="0"/>
        <v>9.3461626344828321</v>
      </c>
      <c r="F13" s="6">
        <f t="shared" si="1"/>
        <v>-24.738490597737915</v>
      </c>
      <c r="G13" s="7">
        <f>20*LOG(IMABS('Non-Ideal EA'!H25))</f>
        <v>18.569969541362209</v>
      </c>
      <c r="H13" s="7">
        <f>IMARGUMENT('Non-Ideal EA'!H25)*(180/PI())</f>
        <v>112.36392231478209</v>
      </c>
      <c r="I13" s="6">
        <f t="shared" si="2"/>
        <v>27.916132175845043</v>
      </c>
      <c r="J13" s="6">
        <f t="shared" si="3"/>
        <v>87.625431717044165</v>
      </c>
      <c r="K13" s="2"/>
      <c r="L13"/>
      <c r="O13" s="12"/>
      <c r="P13" s="12"/>
      <c r="R13" s="118"/>
      <c r="S13" s="2"/>
      <c r="T13" s="2"/>
      <c r="U13" s="4"/>
      <c r="V13" s="4"/>
      <c r="AE13" s="173"/>
      <c r="AF13" s="173"/>
      <c r="AG13" s="173"/>
    </row>
    <row r="14" spans="1:33" x14ac:dyDescent="0.2">
      <c r="A14" s="2"/>
      <c r="B14" s="2"/>
      <c r="C14" s="4">
        <v>1000</v>
      </c>
      <c r="D14" s="5">
        <f t="shared" si="4"/>
        <v>6283.1853071795858</v>
      </c>
      <c r="E14" s="6">
        <f t="shared" si="0"/>
        <v>8.9763016665323843</v>
      </c>
      <c r="F14" s="6">
        <f t="shared" si="1"/>
        <v>-30.089757564256004</v>
      </c>
      <c r="G14" s="7">
        <f>20*LOG(IMABS('Non-Ideal EA'!H26))</f>
        <v>16.972759108879842</v>
      </c>
      <c r="H14" s="7">
        <f>IMARGUMENT('Non-Ideal EA'!H26)*(180/PI())</f>
        <v>117.12931994061415</v>
      </c>
      <c r="I14" s="6">
        <f t="shared" si="2"/>
        <v>25.949060775412228</v>
      </c>
      <c r="J14" s="6">
        <f t="shared" si="3"/>
        <v>87.039562376358148</v>
      </c>
      <c r="K14" s="2"/>
      <c r="L14"/>
      <c r="M14" s="119" t="s">
        <v>57</v>
      </c>
      <c r="N14" s="36"/>
      <c r="O14" s="2"/>
      <c r="P14" s="2"/>
      <c r="R14" s="118"/>
      <c r="S14" s="2"/>
      <c r="T14" s="2"/>
      <c r="U14" s="2"/>
      <c r="V14" s="4"/>
      <c r="AE14" s="173"/>
      <c r="AF14" s="173"/>
      <c r="AG14" s="173"/>
    </row>
    <row r="15" spans="1:33" x14ac:dyDescent="0.2">
      <c r="A15" s="2"/>
      <c r="B15" s="2"/>
      <c r="C15" s="4">
        <v>1200</v>
      </c>
      <c r="D15" s="5">
        <f t="shared" si="4"/>
        <v>7539.8223686155034</v>
      </c>
      <c r="E15" s="6">
        <f t="shared" si="0"/>
        <v>8.5626981019350481</v>
      </c>
      <c r="F15" s="6">
        <f t="shared" si="1"/>
        <v>-35.011658311364528</v>
      </c>
      <c r="G15" s="7">
        <f>20*LOG(IMABS('Non-Ideal EA'!H27))</f>
        <v>15.772511205843324</v>
      </c>
      <c r="H15" s="7">
        <f>IMARGUMENT('Non-Ideal EA'!H27)*(180/PI())</f>
        <v>121.51754203735679</v>
      </c>
      <c r="I15" s="6">
        <f t="shared" si="2"/>
        <v>24.335209307778371</v>
      </c>
      <c r="J15" s="6">
        <f t="shared" si="3"/>
        <v>86.505883725992263</v>
      </c>
      <c r="K15" s="2"/>
      <c r="L15"/>
      <c r="M15" s="12" t="s">
        <v>80</v>
      </c>
      <c r="N15" s="113">
        <f>Wzero</f>
        <v>12195.121951219513</v>
      </c>
      <c r="O15" s="12" t="s">
        <v>138</v>
      </c>
      <c r="P15" s="113">
        <f>N15/(2*PI())</f>
        <v>1940.9139401450652</v>
      </c>
      <c r="Q15" s="20" t="s">
        <v>140</v>
      </c>
      <c r="R15" s="118"/>
      <c r="T15" s="12"/>
      <c r="U15" s="2"/>
      <c r="V15" s="2"/>
      <c r="AE15" s="173"/>
      <c r="AF15" s="173"/>
      <c r="AG15" s="173"/>
    </row>
    <row r="16" spans="1:33" x14ac:dyDescent="0.2">
      <c r="A16" s="2"/>
      <c r="B16" s="2"/>
      <c r="C16" s="4">
        <v>1500</v>
      </c>
      <c r="D16" s="5">
        <f>2*PI()*C16</f>
        <v>9424.7779607693792</v>
      </c>
      <c r="E16" s="6">
        <f>20*LOG(Am*IMABS(IMDIV(IMDIV(IMDIV(COMPLEX(1,D16/wz_esr),COMPLEX(1,D16/wp_lf)),COMPLEX(1,D16/wp_esr)),COMPLEX(1-D16^2/(wn^2),D16/wp_hf))))</f>
        <v>7.8897856450168016</v>
      </c>
      <c r="F16" s="6">
        <f>IMARGUMENT(IMDIV(IMDIV(IMDIV(COMPLEX(1,D16/wz_esr),COMPLEX(1,D16/wp_lf)),COMPLEX(1,D16/wp_esr)),COMPLEX(1-D16^2/(wn^2),D16/wp_hf)))*180/PI()</f>
        <v>-41.598954196527451</v>
      </c>
      <c r="G16" s="7">
        <f>20*LOG(IMABS('Non-Ideal EA'!H28))</f>
        <v>14.462143502524142</v>
      </c>
      <c r="H16" s="7">
        <f>IMARGUMENT('Non-Ideal EA'!H28)*(180/PI())</f>
        <v>127.38031226832348</v>
      </c>
      <c r="I16" s="6">
        <f t="shared" si="2"/>
        <v>22.351929147540943</v>
      </c>
      <c r="J16" s="6">
        <f t="shared" si="3"/>
        <v>85.781358071796035</v>
      </c>
      <c r="K16" s="2"/>
      <c r="L16"/>
      <c r="M16" s="12" t="s">
        <v>79</v>
      </c>
      <c r="N16" s="47">
        <f>wpole</f>
        <v>39819.851487722612</v>
      </c>
      <c r="O16" s="12" t="s">
        <v>138</v>
      </c>
      <c r="P16" s="168">
        <f>N16/(2*PI()*1000)</f>
        <v>6.3375261974562171</v>
      </c>
      <c r="Q16" s="20" t="s">
        <v>141</v>
      </c>
      <c r="R16" s="118"/>
      <c r="S16" s="2"/>
      <c r="V16" s="2"/>
      <c r="AE16" s="173"/>
      <c r="AF16" s="173"/>
      <c r="AG16" s="173"/>
    </row>
    <row r="17" spans="1:33" x14ac:dyDescent="0.2">
      <c r="A17" s="2"/>
      <c r="B17" s="2"/>
      <c r="C17" s="4">
        <v>2000</v>
      </c>
      <c r="D17" s="5">
        <f t="shared" si="4"/>
        <v>12566.370614359172</v>
      </c>
      <c r="E17" s="6">
        <f t="shared" si="0"/>
        <v>6.7121721477617156</v>
      </c>
      <c r="F17" s="6">
        <f t="shared" si="1"/>
        <v>-50.667141202519986</v>
      </c>
      <c r="G17" s="7">
        <f>20*LOG(IMABS('Non-Ideal EA'!H29))</f>
        <v>13.071905050881437</v>
      </c>
      <c r="H17" s="7">
        <f>IMARGUMENT('Non-Ideal EA'!H29)*(180/PI())</f>
        <v>135.37757060489156</v>
      </c>
      <c r="I17" s="6">
        <f t="shared" si="2"/>
        <v>19.784077198643153</v>
      </c>
      <c r="J17" s="6">
        <f t="shared" si="3"/>
        <v>84.710429402371574</v>
      </c>
      <c r="K17" s="2"/>
      <c r="L17"/>
      <c r="M17" s="12" t="s">
        <v>13</v>
      </c>
      <c r="N17" s="47">
        <f>whf</f>
        <v>100012195.12195122</v>
      </c>
      <c r="O17" s="12" t="s">
        <v>138</v>
      </c>
      <c r="P17" s="168">
        <f>N17/(2*PI()*1000)</f>
        <v>15917.435223129682</v>
      </c>
      <c r="Q17" s="20" t="s">
        <v>141</v>
      </c>
      <c r="R17" s="118"/>
      <c r="S17" s="2"/>
      <c r="V17" s="2"/>
      <c r="AE17" s="173"/>
      <c r="AF17" s="173"/>
      <c r="AG17" s="173"/>
    </row>
    <row r="18" spans="1:33" x14ac:dyDescent="0.2">
      <c r="A18" s="2"/>
      <c r="B18" s="2"/>
      <c r="C18" s="4">
        <v>3000</v>
      </c>
      <c r="D18" s="5">
        <f t="shared" si="4"/>
        <v>18849.555921538758</v>
      </c>
      <c r="E18" s="6">
        <f t="shared" si="0"/>
        <v>4.4425124357680232</v>
      </c>
      <c r="F18" s="6">
        <f t="shared" si="1"/>
        <v>-63.515060640119984</v>
      </c>
      <c r="G18" s="7">
        <f>20*LOG(IMABS('Non-Ideal EA'!H30))</f>
        <v>11.707897467659727</v>
      </c>
      <c r="H18" s="7">
        <f>IMARGUMENT('Non-Ideal EA'!H30)*(180/PI())</f>
        <v>146.31425598318921</v>
      </c>
      <c r="I18" s="6">
        <f t="shared" si="2"/>
        <v>16.15040990342775</v>
      </c>
      <c r="J18" s="6">
        <f t="shared" si="3"/>
        <v>82.799195343069229</v>
      </c>
      <c r="K18" s="2"/>
      <c r="L18"/>
      <c r="M18" s="2" t="s">
        <v>78</v>
      </c>
      <c r="N18" s="36">
        <f>wbw</f>
        <v>18849555.921538759</v>
      </c>
      <c r="O18" s="12" t="s">
        <v>138</v>
      </c>
      <c r="P18" s="113">
        <f>N18/(2*PI()*10^6)</f>
        <v>3</v>
      </c>
      <c r="Q18" s="20" t="s">
        <v>142</v>
      </c>
      <c r="R18" s="118"/>
      <c r="S18" s="2"/>
      <c r="V18" s="2"/>
      <c r="AE18" s="173"/>
      <c r="AF18" s="173"/>
      <c r="AG18" s="173"/>
    </row>
    <row r="19" spans="1:33" x14ac:dyDescent="0.2">
      <c r="A19" s="2"/>
      <c r="B19" s="2"/>
      <c r="C19" s="4">
        <v>4000</v>
      </c>
      <c r="D19" s="5">
        <f>2*PI()*C19</f>
        <v>25132.741228718343</v>
      </c>
      <c r="E19" s="6">
        <f>20*LOG(Am*IMABS(IMDIV(IMDIV(IMDIV(COMPLEX(1,D19/wz_esr),COMPLEX(1,D19/wp_lf)),COMPLEX(1,D19/wp_esr)),COMPLEX(1-D19^2/(wn^2),D19/wp_hf))))</f>
        <v>2.4521973973508668</v>
      </c>
      <c r="F19" s="6">
        <f>IMARGUMENT(IMDIV(IMDIV(IMDIV(COMPLEX(1,D19/wz_esr),COMPLEX(1,D19/wp_lf)),COMPLEX(1,D19/wp_esr)),COMPLEX(1-D19^2/(wn^2),D19/wp_hf)))*180/PI()</f>
        <v>-72.068031041479856</v>
      </c>
      <c r="G19" s="7">
        <f>20*LOG(IMABS('Non-Ideal EA'!H31))</f>
        <v>11.106911843389408</v>
      </c>
      <c r="H19" s="7">
        <f>IMARGUMENT('Non-Ideal EA'!H31)*(180/PI())</f>
        <v>153.04177905841547</v>
      </c>
      <c r="I19" s="6">
        <f t="shared" si="2"/>
        <v>13.559109240740275</v>
      </c>
      <c r="J19" s="6">
        <f t="shared" si="3"/>
        <v>80.973748016935616</v>
      </c>
      <c r="K19" s="2"/>
      <c r="L19"/>
      <c r="M19" s="12"/>
      <c r="N19" s="36"/>
      <c r="O19" s="2"/>
      <c r="P19" s="2"/>
      <c r="R19" s="118"/>
      <c r="S19" s="2"/>
      <c r="V19" s="2"/>
      <c r="AE19" s="173"/>
      <c r="AF19" s="173"/>
      <c r="AG19" s="173"/>
    </row>
    <row r="20" spans="1:33" x14ac:dyDescent="0.2">
      <c r="A20" s="2"/>
      <c r="B20" s="2"/>
      <c r="C20" s="4">
        <v>5000</v>
      </c>
      <c r="D20" s="5">
        <f t="shared" si="4"/>
        <v>31415.926535897932</v>
      </c>
      <c r="E20" s="6">
        <f t="shared" si="0"/>
        <v>0.7347046580501706</v>
      </c>
      <c r="F20" s="6">
        <f t="shared" si="1"/>
        <v>-78.257371610073093</v>
      </c>
      <c r="G20" s="7">
        <f>20*LOG(IMABS('Non-Ideal EA'!H32))</f>
        <v>10.797322869499986</v>
      </c>
      <c r="H20" s="7">
        <f>IMARGUMENT('Non-Ideal EA'!H32)*(180/PI())</f>
        <v>157.42521303155638</v>
      </c>
      <c r="I20" s="6">
        <f t="shared" si="2"/>
        <v>11.532027527550156</v>
      </c>
      <c r="J20" s="6">
        <f t="shared" si="3"/>
        <v>79.167841421483288</v>
      </c>
      <c r="K20" s="2"/>
      <c r="L20"/>
      <c r="V20" s="2"/>
      <c r="AE20" s="173"/>
      <c r="AF20" s="173"/>
      <c r="AG20" s="173"/>
    </row>
    <row r="21" spans="1:33" ht="15.75" x14ac:dyDescent="0.3">
      <c r="A21" s="2"/>
      <c r="B21" s="2"/>
      <c r="C21" s="4">
        <v>6000</v>
      </c>
      <c r="D21" s="5">
        <f>2*PI()*C21</f>
        <v>37699.111843077517</v>
      </c>
      <c r="E21" s="6">
        <f>20*LOG(Am*IMABS(IMDIV(IMDIV(IMDIV(COMPLEX(1,D21/wz_esr),COMPLEX(1,D21/wp_lf)),COMPLEX(1,D21/wp_esr)),COMPLEX(1-D21^2/(wn^2),D21/wp_hf))))</f>
        <v>-0.7632422956760776</v>
      </c>
      <c r="F21" s="6">
        <f>IMARGUMENT(IMDIV(IMDIV(IMDIV(COMPLEX(1,D21/wz_esr),COMPLEX(1,D21/wp_lf)),COMPLEX(1,D21/wp_esr)),COMPLEX(1-D21^2/(wn^2),D21/wp_hf)))*180/PI()</f>
        <v>-83.051422841468323</v>
      </c>
      <c r="G21" s="7">
        <f>20*LOG(IMABS('Non-Ideal EA'!H33))</f>
        <v>10.618853746257704</v>
      </c>
      <c r="H21" s="7">
        <f>IMARGUMENT('Non-Ideal EA'!H33)*(180/PI())</f>
        <v>160.4322684392788</v>
      </c>
      <c r="I21" s="6">
        <f t="shared" si="2"/>
        <v>9.8556114505816268</v>
      </c>
      <c r="J21" s="6">
        <f t="shared" si="3"/>
        <v>77.380845597810477</v>
      </c>
      <c r="K21" s="2"/>
      <c r="L21"/>
      <c r="M21" s="12" t="s">
        <v>67</v>
      </c>
      <c r="N21" s="2">
        <v>10000</v>
      </c>
      <c r="O21" s="12" t="s">
        <v>139</v>
      </c>
      <c r="P21" s="13">
        <f>20*LOG(Aol)</f>
        <v>80</v>
      </c>
      <c r="Q21" s="20" t="s">
        <v>143</v>
      </c>
      <c r="R21" s="118"/>
      <c r="V21" s="2"/>
      <c r="AE21" s="173"/>
      <c r="AF21" s="173"/>
      <c r="AG21" s="173"/>
    </row>
    <row r="22" spans="1:33" x14ac:dyDescent="0.2">
      <c r="A22" s="2"/>
      <c r="B22" s="2"/>
      <c r="C22" s="4">
        <v>7000</v>
      </c>
      <c r="D22" s="5">
        <f t="shared" si="4"/>
        <v>43982.297150257102</v>
      </c>
      <c r="E22" s="6">
        <f t="shared" si="0"/>
        <v>-2.0900943870870599</v>
      </c>
      <c r="F22" s="6">
        <f t="shared" si="1"/>
        <v>-86.955843161667502</v>
      </c>
      <c r="G22" s="7">
        <f>20*LOG(IMABS('Non-Ideal EA'!H34))</f>
        <v>10.506985533346649</v>
      </c>
      <c r="H22" s="7">
        <f>IMARGUMENT('Non-Ideal EA'!H34)*(180/PI())</f>
        <v>162.57948379708586</v>
      </c>
      <c r="I22" s="6">
        <f t="shared" si="2"/>
        <v>8.416891146259589</v>
      </c>
      <c r="J22" s="6">
        <f t="shared" si="3"/>
        <v>75.623640635418354</v>
      </c>
      <c r="K22" s="2"/>
      <c r="L22" s="2"/>
      <c r="M22" s="12" t="s">
        <v>153</v>
      </c>
      <c r="N22" s="47">
        <f>2*PI()*P22</f>
        <v>1884.9555921538758</v>
      </c>
      <c r="O22" s="12" t="s">
        <v>138</v>
      </c>
      <c r="P22" s="2">
        <v>300</v>
      </c>
      <c r="Q22" s="1" t="s">
        <v>140</v>
      </c>
      <c r="R22" s="118"/>
      <c r="S22" s="194"/>
      <c r="T22" s="194"/>
      <c r="U22" s="195"/>
      <c r="V22" s="2"/>
      <c r="AE22" s="173"/>
      <c r="AF22" s="173"/>
      <c r="AG22" s="173"/>
    </row>
    <row r="23" spans="1:33" ht="15.75" x14ac:dyDescent="0.3">
      <c r="A23" s="2"/>
      <c r="B23" s="2"/>
      <c r="C23" s="4">
        <v>8000</v>
      </c>
      <c r="D23" s="5">
        <f t="shared" si="4"/>
        <v>50265.482457436687</v>
      </c>
      <c r="E23" s="6">
        <f t="shared" si="0"/>
        <v>-3.2828829147236842</v>
      </c>
      <c r="F23" s="6">
        <f t="shared" si="1"/>
        <v>-90.252263264780296</v>
      </c>
      <c r="G23" s="7">
        <f>20*LOG(IMABS('Non-Ideal EA'!H35))</f>
        <v>10.432174939888966</v>
      </c>
      <c r="H23" s="7">
        <f>IMARGUMENT('Non-Ideal EA'!H35)*(180/PI())</f>
        <v>164.15930876293044</v>
      </c>
      <c r="I23" s="6">
        <f t="shared" si="2"/>
        <v>7.1492920251652823</v>
      </c>
      <c r="J23" s="6">
        <f t="shared" si="3"/>
        <v>73.90704549815014</v>
      </c>
      <c r="K23" s="2"/>
      <c r="L23" s="2"/>
      <c r="M23" s="12" t="s">
        <v>86</v>
      </c>
      <c r="N23" s="118">
        <f>ATAN(D3/Wzero)-PI()/2-ATAN(D3/whf)</f>
        <v>-1.5702811684694884</v>
      </c>
      <c r="O23" s="164" t="s">
        <v>139</v>
      </c>
      <c r="P23" s="164"/>
      <c r="R23" s="118"/>
      <c r="S23" s="196"/>
      <c r="T23" s="194" t="s">
        <v>159</v>
      </c>
      <c r="U23" s="194"/>
      <c r="V23" s="2"/>
      <c r="AE23" s="173"/>
      <c r="AF23" s="173"/>
      <c r="AG23" s="173"/>
    </row>
    <row r="24" spans="1:33" ht="15.75" x14ac:dyDescent="0.3">
      <c r="A24" s="2"/>
      <c r="B24" s="2"/>
      <c r="C24" s="4">
        <v>9000</v>
      </c>
      <c r="D24" s="5">
        <f t="shared" si="4"/>
        <v>56548.667764616279</v>
      </c>
      <c r="E24" s="6">
        <f t="shared" si="0"/>
        <v>-4.3689470565479489</v>
      </c>
      <c r="F24" s="6">
        <f t="shared" si="1"/>
        <v>-93.10750754822746</v>
      </c>
      <c r="G24" s="7">
        <f>20*LOG(IMABS('Non-Ideal EA'!H36))</f>
        <v>10.37947750575162</v>
      </c>
      <c r="H24" s="7">
        <f>IMARGUMENT('Non-Ideal EA'!H36)*(180/PI())</f>
        <v>165.34723946870639</v>
      </c>
      <c r="I24" s="6">
        <f t="shared" si="2"/>
        <v>6.0105304492036709</v>
      </c>
      <c r="J24" s="6">
        <f t="shared" si="3"/>
        <v>72.239731920478931</v>
      </c>
      <c r="L24" s="2"/>
      <c r="M24" s="12" t="s">
        <v>87</v>
      </c>
      <c r="N24" s="47">
        <f>SQRT(1+(D3/Wzero)^2)/(D3/wpole*SQRT(1+(D3/whf)^2))</f>
        <v>6337.527038613438</v>
      </c>
      <c r="O24" s="164" t="s">
        <v>69</v>
      </c>
      <c r="P24" s="164"/>
      <c r="R24" s="118"/>
      <c r="S24" s="196"/>
      <c r="T24" s="194">
        <f>1/((K-0.5)*PI())</f>
        <v>0.26525823848649221</v>
      </c>
      <c r="U24" s="194"/>
      <c r="V24" s="2"/>
      <c r="AE24" s="173"/>
      <c r="AF24" s="173"/>
      <c r="AG24" s="173"/>
    </row>
    <row r="25" spans="1:33" ht="15.75" x14ac:dyDescent="0.3">
      <c r="A25" s="2"/>
      <c r="B25" s="2"/>
      <c r="C25" s="4">
        <v>10000</v>
      </c>
      <c r="D25" s="5">
        <f t="shared" si="4"/>
        <v>62831.853071795864</v>
      </c>
      <c r="E25" s="6">
        <f t="shared" si="0"/>
        <v>-5.3684739881353636</v>
      </c>
      <c r="F25" s="6">
        <f t="shared" si="1"/>
        <v>-95.625947395906138</v>
      </c>
      <c r="G25" s="7">
        <f>20*LOG(IMABS('Non-Ideal EA'!H37))</f>
        <v>10.340717340180204</v>
      </c>
      <c r="H25" s="7">
        <f>IMARGUMENT('Non-Ideal EA'!H37)*(180/PI())</f>
        <v>166.25409799188236</v>
      </c>
      <c r="I25" s="6">
        <f t="shared" si="2"/>
        <v>4.9722433520448401</v>
      </c>
      <c r="J25" s="6">
        <f t="shared" si="3"/>
        <v>70.628150595976223</v>
      </c>
      <c r="K25" s="2"/>
      <c r="L25" s="2"/>
      <c r="M25" s="12" t="s">
        <v>88</v>
      </c>
      <c r="N25" s="47">
        <f>1/(_Rfb2*(Ccomp*1000+Chf))*10^9</f>
        <v>39819.851487722612</v>
      </c>
      <c r="O25" s="12" t="s">
        <v>138</v>
      </c>
      <c r="P25" s="168">
        <f>N25/(2*PI()*1000)</f>
        <v>6.3375261974562171</v>
      </c>
      <c r="Q25" s="20" t="s">
        <v>141</v>
      </c>
      <c r="R25" s="118"/>
      <c r="S25" s="196"/>
      <c r="T25" s="197" t="s">
        <v>162</v>
      </c>
      <c r="U25" s="194"/>
      <c r="V25" s="2"/>
      <c r="AE25" s="173"/>
      <c r="AF25" s="173"/>
      <c r="AG25" s="173"/>
    </row>
    <row r="26" spans="1:33" x14ac:dyDescent="0.2">
      <c r="A26" s="2"/>
      <c r="B26" s="2"/>
      <c r="C26" s="4">
        <v>12000</v>
      </c>
      <c r="D26" s="5">
        <f t="shared" si="4"/>
        <v>75398.223686155034</v>
      </c>
      <c r="E26" s="6">
        <f t="shared" si="0"/>
        <v>-7.1645238062366454</v>
      </c>
      <c r="F26" s="6">
        <f t="shared" si="1"/>
        <v>-99.905148263440111</v>
      </c>
      <c r="G26" s="7">
        <f>20*LOG(IMABS('Non-Ideal EA'!H38))</f>
        <v>10.287798300281711</v>
      </c>
      <c r="H26" s="7">
        <f>IMARGUMENT('Non-Ideal EA'!H38)*(180/PI())</f>
        <v>167.49385118241085</v>
      </c>
      <c r="I26" s="6">
        <f t="shared" si="2"/>
        <v>3.1232744940450656</v>
      </c>
      <c r="J26" s="6">
        <f t="shared" si="3"/>
        <v>67.588702918970739</v>
      </c>
      <c r="K26" s="2"/>
      <c r="L26" s="2"/>
      <c r="M26" s="2"/>
      <c r="N26" s="2"/>
      <c r="O26" s="2"/>
      <c r="P26" s="2"/>
      <c r="R26" s="118"/>
      <c r="S26" s="196"/>
      <c r="T26" s="198">
        <f>((Fsw*1000)/(4*T24))*(SQRT(1+4*(T24)^2)-1)*10^-3</f>
        <v>18.97358465283606</v>
      </c>
      <c r="U26" s="194"/>
      <c r="V26" s="2"/>
      <c r="AE26" s="173"/>
      <c r="AF26" s="173"/>
      <c r="AG26" s="173"/>
    </row>
    <row r="27" spans="1:33" x14ac:dyDescent="0.2">
      <c r="A27" s="2"/>
      <c r="B27" s="2"/>
      <c r="C27" s="4">
        <v>15000</v>
      </c>
      <c r="D27" s="5">
        <f t="shared" si="4"/>
        <v>94247.779607693796</v>
      </c>
      <c r="E27" s="6">
        <f t="shared" si="0"/>
        <v>-9.4865308319684765</v>
      </c>
      <c r="F27" s="6">
        <f t="shared" si="1"/>
        <v>-104.96171815289411</v>
      </c>
      <c r="G27" s="7">
        <f>20*LOG(IMABS('Non-Ideal EA'!H39))</f>
        <v>10.239530992456572</v>
      </c>
      <c r="H27" s="7">
        <f>IMARGUMENT('Non-Ideal EA'!H39)*(180/PI())</f>
        <v>168.47610169573497</v>
      </c>
      <c r="I27" s="6">
        <f t="shared" si="2"/>
        <v>0.75300016048809582</v>
      </c>
      <c r="J27" s="6">
        <f t="shared" si="3"/>
        <v>63.514383542840861</v>
      </c>
      <c r="K27" s="2"/>
      <c r="L27" s="2"/>
      <c r="M27" s="2" t="s">
        <v>14</v>
      </c>
      <c r="N27" s="112">
        <f>SQRT(1+(w/Wzero)^2)/(w/wpole*SQRT(1+(w/whf)^2))</f>
        <v>3.2924475438018246</v>
      </c>
      <c r="O27" s="164" t="s">
        <v>69</v>
      </c>
      <c r="P27" s="164"/>
      <c r="R27" s="118"/>
      <c r="S27" s="196"/>
      <c r="T27" s="196" t="s">
        <v>160</v>
      </c>
      <c r="U27" s="196"/>
      <c r="AE27" s="173"/>
      <c r="AF27" s="173"/>
      <c r="AG27" s="173"/>
    </row>
    <row r="28" spans="1:33" ht="15.75" x14ac:dyDescent="0.3">
      <c r="A28" s="2"/>
      <c r="B28" s="2"/>
      <c r="C28" s="4">
        <v>20000</v>
      </c>
      <c r="D28" s="5">
        <f t="shared" si="4"/>
        <v>125663.70614359173</v>
      </c>
      <c r="E28" s="6">
        <f t="shared" si="0"/>
        <v>-12.69233731211491</v>
      </c>
      <c r="F28" s="6">
        <f t="shared" si="1"/>
        <v>-110.95345628542238</v>
      </c>
      <c r="G28" s="7">
        <f>20*LOG(IMABS('Non-Ideal EA'!H40))</f>
        <v>10.190412922871088</v>
      </c>
      <c r="H28" s="7">
        <f>IMARGUMENT('Non-Ideal EA'!H40)*(180/PI())</f>
        <v>168.92398034030867</v>
      </c>
      <c r="I28" s="6">
        <f t="shared" si="2"/>
        <v>-2.5019243892438219</v>
      </c>
      <c r="J28" s="6">
        <f t="shared" si="3"/>
        <v>57.970524054886297</v>
      </c>
      <c r="K28" s="2"/>
      <c r="L28" s="2"/>
      <c r="M28" s="12" t="s">
        <v>89</v>
      </c>
      <c r="N28" s="112">
        <f>_RFB1/(_RFB1+_Rfb2)</f>
        <v>0.24169184290030213</v>
      </c>
      <c r="O28" s="12" t="s">
        <v>139</v>
      </c>
      <c r="P28" s="168">
        <f>20*LOG(kfb)</f>
        <v>-12.334760135675502</v>
      </c>
      <c r="Q28" s="20" t="s">
        <v>143</v>
      </c>
      <c r="R28" s="118"/>
      <c r="S28" s="196"/>
      <c r="T28" s="199">
        <f>IMABS(COMPLEX(1-((2*PI()*Fbw*1000))^2/(wn^2),(2*PI()*Fbw*1000)/wp_hf))</f>
        <v>1.2115205979274775</v>
      </c>
      <c r="U28" s="196"/>
      <c r="V28" s="2"/>
      <c r="AE28" s="173"/>
      <c r="AF28" s="173"/>
      <c r="AG28" s="173"/>
    </row>
    <row r="29" spans="1:33" x14ac:dyDescent="0.2">
      <c r="A29" s="2"/>
      <c r="B29" s="2"/>
      <c r="C29" s="4">
        <v>30000</v>
      </c>
      <c r="D29" s="5">
        <f t="shared" si="4"/>
        <v>188495.55921538759</v>
      </c>
      <c r="E29" s="6">
        <f t="shared" si="0"/>
        <v>-17.561572402416743</v>
      </c>
      <c r="F29" s="6">
        <f t="shared" si="1"/>
        <v>-117.5442915393543</v>
      </c>
      <c r="G29" s="7">
        <f>20*LOG(IMABS('Non-Ideal EA'!H41))</f>
        <v>10.11761920202779</v>
      </c>
      <c r="H29" s="7">
        <f>IMARGUMENT('Non-Ideal EA'!H41)*(180/PI())</f>
        <v>168.02449833594397</v>
      </c>
      <c r="I29" s="6">
        <f t="shared" si="2"/>
        <v>-7.4439532003889539</v>
      </c>
      <c r="J29" s="6">
        <f t="shared" si="3"/>
        <v>50.48020679658967</v>
      </c>
      <c r="K29" s="2"/>
      <c r="L29" s="2"/>
      <c r="R29" s="2"/>
      <c r="S29" s="196"/>
      <c r="T29" s="194"/>
      <c r="U29" s="196"/>
      <c r="V29" s="2"/>
      <c r="AE29" s="173"/>
      <c r="AF29" s="173"/>
      <c r="AG29" s="173"/>
    </row>
    <row r="30" spans="1:33" x14ac:dyDescent="0.2">
      <c r="A30" s="2"/>
      <c r="B30" s="2"/>
      <c r="C30" s="4">
        <v>40000</v>
      </c>
      <c r="D30" s="5">
        <f t="shared" si="4"/>
        <v>251327.41228718346</v>
      </c>
      <c r="E30" s="6">
        <f t="shared" si="0"/>
        <v>-21.138653449068311</v>
      </c>
      <c r="F30" s="6">
        <f t="shared" si="1"/>
        <v>-120.47796055180896</v>
      </c>
      <c r="G30" s="7">
        <f>20*LOG(IMABS('Non-Ideal EA'!H42))</f>
        <v>10.040339815344526</v>
      </c>
      <c r="H30" s="7">
        <f>IMARGUMENT('Non-Ideal EA'!H42)*(180/PI())</f>
        <v>166.24618854996865</v>
      </c>
      <c r="I30" s="6">
        <f t="shared" si="2"/>
        <v>-11.098313633723786</v>
      </c>
      <c r="J30" s="6">
        <f t="shared" si="3"/>
        <v>45.768227998159688</v>
      </c>
      <c r="R30" s="2"/>
      <c r="S30" s="196"/>
      <c r="T30" s="196"/>
      <c r="U30" s="196"/>
      <c r="V30" s="2"/>
      <c r="AE30" s="173"/>
      <c r="AF30" s="173"/>
      <c r="AG30" s="173"/>
    </row>
    <row r="31" spans="1:33" x14ac:dyDescent="0.2">
      <c r="A31" s="2"/>
      <c r="B31" s="2"/>
      <c r="C31" s="4">
        <v>60000</v>
      </c>
      <c r="D31" s="5">
        <f t="shared" si="4"/>
        <v>376991.11843077518</v>
      </c>
      <c r="E31" s="6">
        <f t="shared" si="0"/>
        <v>-26.095271992978319</v>
      </c>
      <c r="F31" s="6">
        <f t="shared" si="1"/>
        <v>-122.68307600584846</v>
      </c>
      <c r="G31" s="7">
        <f>20*LOG(IMABS('Non-Ideal EA'!H43))</f>
        <v>9.842412020959193</v>
      </c>
      <c r="H31" s="7">
        <f>IMARGUMENT('Non-Ideal EA'!H43)*(180/PI())</f>
        <v>161.92326284324687</v>
      </c>
      <c r="I31" s="6">
        <f t="shared" si="2"/>
        <v>-16.252859972019124</v>
      </c>
      <c r="J31" s="6">
        <f t="shared" si="3"/>
        <v>39.240186837398412</v>
      </c>
      <c r="R31" s="2"/>
      <c r="S31" s="2"/>
      <c r="T31" s="2"/>
      <c r="U31" s="2"/>
      <c r="V31" s="2"/>
      <c r="AE31" s="173"/>
      <c r="AF31" s="173"/>
      <c r="AG31" s="173"/>
    </row>
    <row r="32" spans="1:33" x14ac:dyDescent="0.2">
      <c r="A32" s="2"/>
      <c r="B32" s="2"/>
      <c r="C32" s="4">
        <v>100000</v>
      </c>
      <c r="D32" s="5">
        <f t="shared" si="4"/>
        <v>628318.53071795858</v>
      </c>
      <c r="E32" s="6">
        <f t="shared" si="0"/>
        <v>-32.000511291659258</v>
      </c>
      <c r="F32" s="6">
        <f t="shared" si="1"/>
        <v>-125.40856708657296</v>
      </c>
      <c r="G32" s="7">
        <f>20*LOG(IMABS('Non-Ideal EA'!H44))</f>
        <v>9.2759073930667562</v>
      </c>
      <c r="H32" s="7">
        <f>IMARGUMENT('Non-Ideal EA'!H44)*(180/PI())</f>
        <v>153.01110182283603</v>
      </c>
      <c r="I32" s="6">
        <f t="shared" si="2"/>
        <v>-22.724603898592502</v>
      </c>
      <c r="J32" s="6">
        <f t="shared" si="3"/>
        <v>27.602534736263067</v>
      </c>
      <c r="K32" s="2"/>
      <c r="L32" s="2"/>
      <c r="R32" s="2"/>
      <c r="S32" s="2"/>
      <c r="T32" s="2"/>
      <c r="U32" s="2"/>
      <c r="V32" s="2"/>
      <c r="AE32" s="173"/>
      <c r="AF32" s="173"/>
      <c r="AG32" s="173"/>
    </row>
    <row r="33" spans="1:33" x14ac:dyDescent="0.2">
      <c r="A33" s="2"/>
      <c r="B33" s="2"/>
      <c r="C33" s="4">
        <v>200000</v>
      </c>
      <c r="D33" s="5">
        <f t="shared" si="4"/>
        <v>1256637.0614359172</v>
      </c>
      <c r="E33" s="6">
        <f t="shared" si="0"/>
        <v>-40.038947169621977</v>
      </c>
      <c r="F33" s="6">
        <f t="shared" si="1"/>
        <v>-135.20565643217969</v>
      </c>
      <c r="G33" s="7">
        <f>20*LOG(IMABS('Non-Ideal EA'!H45))</f>
        <v>7.3143158416906049</v>
      </c>
      <c r="H33" s="7">
        <f>IMARGUMENT('Non-Ideal EA'!H45)*(180/PI())</f>
        <v>135.29290651357394</v>
      </c>
      <c r="I33" s="6">
        <f t="shared" si="2"/>
        <v>-32.72463132793137</v>
      </c>
      <c r="J33" s="6">
        <f t="shared" si="3"/>
        <v>8.7250081394245171E-2</v>
      </c>
      <c r="K33" s="2"/>
      <c r="L33" s="2"/>
      <c r="R33" s="2"/>
      <c r="S33" s="2"/>
      <c r="T33" s="2"/>
      <c r="U33" s="2"/>
      <c r="V33" s="2"/>
      <c r="AE33" s="173"/>
      <c r="AF33" s="173"/>
      <c r="AG33" s="173"/>
    </row>
    <row r="34" spans="1:33" x14ac:dyDescent="0.2">
      <c r="A34" s="2"/>
      <c r="B34" s="2"/>
      <c r="C34" s="4">
        <v>350000</v>
      </c>
      <c r="D34" s="5">
        <f>2*PI()*C34</f>
        <v>2199114.857512855</v>
      </c>
      <c r="E34" s="6">
        <f>20*LOG(Am*IMABS(IMDIV(IMDIV(IMDIV(COMPLEX(1,D34/wz_esr),COMPLEX(1,D34/wp_lf)),COMPLEX(1,D34/wp_esr)),COMPLEX(1-D34^2/(wn^2),D34/wp_hf))))</f>
        <v>-47.486710094442898</v>
      </c>
      <c r="F34" s="6">
        <f>IMARGUMENT(IMDIV(IMDIV(IMDIV(COMPLEX(1,D34/wz_esr),COMPLEX(1,D34/wp_lf)),COMPLEX(1,D34/wp_esr)),COMPLEX(1-D34^2/(wn^2),D34/wp_hf)))*180/PI()</f>
        <v>-147.63366114395782</v>
      </c>
      <c r="G34" s="7">
        <f>20*LOG(IMABS('Non-Ideal EA'!H46))</f>
        <v>4.3059961777041762</v>
      </c>
      <c r="H34" s="7">
        <f>IMARGUMENT('Non-Ideal EA'!H46)*(180/PI())</f>
        <v>120.12097023020603</v>
      </c>
      <c r="I34" s="6">
        <f t="shared" si="2"/>
        <v>-43.180713916738725</v>
      </c>
      <c r="J34" s="6">
        <f t="shared" si="3"/>
        <v>-27.512690913751797</v>
      </c>
      <c r="K34" s="2"/>
      <c r="L34" s="2"/>
      <c r="R34" s="2"/>
      <c r="S34" s="2"/>
      <c r="T34" s="2"/>
      <c r="U34" s="2"/>
      <c r="V34" s="2"/>
      <c r="AE34" s="173"/>
      <c r="AF34" s="173"/>
      <c r="AG34" s="173"/>
    </row>
    <row r="35" spans="1:33" x14ac:dyDescent="0.2">
      <c r="A35" s="2"/>
      <c r="B35" s="2"/>
      <c r="C35" s="4">
        <v>600000</v>
      </c>
      <c r="D35" s="5">
        <f>2*PI()*C35</f>
        <v>3769911.1843077517</v>
      </c>
      <c r="E35" s="6">
        <f>20*LOG(Am*IMABS(IMDIV(IMDIV(IMDIV(COMPLEX(1,D35/wz_esr),COMPLEX(1,D35/wp_lf)),COMPLEX(1,D35/wp_esr)),COMPLEX(1-D35^2/(wn^2),D35/wp_hf))))</f>
        <v>-55.707107419731862</v>
      </c>
      <c r="F35" s="6">
        <f>IMARGUMENT(IMDIV(IMDIV(IMDIV(COMPLEX(1,D35/wz_esr),COMPLEX(1,D35/wp_lf)),COMPLEX(1,D35/wp_esr)),COMPLEX(1-D35^2/(wn^2),D35/wp_hf)))*180/PI()</f>
        <v>-158.96460154871258</v>
      </c>
      <c r="G35" s="7">
        <f>20*LOG(IMABS('Non-Ideal EA'!H47))</f>
        <v>0.43440523318519464</v>
      </c>
      <c r="H35" s="7">
        <f>IMARGUMENT('Non-Ideal EA'!H47)*(180/PI())</f>
        <v>108.64796422561291</v>
      </c>
      <c r="I35" s="6">
        <f t="shared" si="2"/>
        <v>-55.272702186546667</v>
      </c>
      <c r="J35" s="6">
        <f t="shared" si="3"/>
        <v>-50.31663732309967</v>
      </c>
      <c r="K35" s="2"/>
      <c r="L35" s="2"/>
      <c r="R35" s="2"/>
      <c r="S35" s="2"/>
      <c r="T35" s="2"/>
      <c r="U35" s="2"/>
      <c r="V35" s="2"/>
      <c r="AE35" s="173"/>
      <c r="AF35" s="173"/>
      <c r="AG35" s="173"/>
    </row>
    <row r="36" spans="1:33" x14ac:dyDescent="0.2">
      <c r="A36" s="2"/>
      <c r="B36" s="2"/>
      <c r="C36" s="4">
        <v>1000000</v>
      </c>
      <c r="D36" s="5">
        <f t="shared" si="4"/>
        <v>6283185.307179586</v>
      </c>
      <c r="E36" s="6">
        <f t="shared" si="0"/>
        <v>-64.118404436249932</v>
      </c>
      <c r="F36" s="6">
        <f t="shared" si="1"/>
        <v>-166.83819234417601</v>
      </c>
      <c r="G36" s="7">
        <f>20*LOG(IMABS('Non-Ideal EA'!H48))</f>
        <v>-3.6982068100123113</v>
      </c>
      <c r="H36" s="7">
        <f>IMARGUMENT('Non-Ideal EA'!H48)*(180/PI())</f>
        <v>101.30392736313846</v>
      </c>
      <c r="I36" s="6">
        <f t="shared" si="2"/>
        <v>-67.816611246262241</v>
      </c>
      <c r="J36" s="6">
        <f t="shared" si="3"/>
        <v>-65.534264981037552</v>
      </c>
      <c r="K36" s="2"/>
      <c r="L36" s="2"/>
      <c r="R36" s="2"/>
      <c r="S36" s="2"/>
      <c r="T36" s="2"/>
      <c r="U36" s="2"/>
      <c r="V36" s="2"/>
      <c r="AE36" s="173"/>
      <c r="AF36" s="173"/>
      <c r="AG36" s="173"/>
    </row>
    <row r="37" spans="1:33" x14ac:dyDescent="0.2">
      <c r="A37" s="2"/>
      <c r="B37" s="2"/>
      <c r="C37" s="4"/>
      <c r="D37" s="5"/>
      <c r="E37" s="6"/>
      <c r="F37" s="6"/>
      <c r="G37" s="7"/>
      <c r="H37" s="7"/>
      <c r="I37" s="6"/>
      <c r="J37" s="6"/>
      <c r="K37" s="2"/>
      <c r="L37" s="2"/>
      <c r="M37" s="2"/>
      <c r="N37" s="2"/>
      <c r="O37" s="2"/>
      <c r="P37" s="2"/>
      <c r="Q37" s="2"/>
      <c r="R37" s="2"/>
      <c r="S37" s="2"/>
      <c r="T37" s="2"/>
      <c r="U37" s="2"/>
      <c r="V37" s="2"/>
    </row>
    <row r="38" spans="1:33" x14ac:dyDescent="0.2">
      <c r="A38" s="2"/>
      <c r="B38" s="2"/>
      <c r="C38" s="2"/>
      <c r="D38" s="2"/>
      <c r="E38" s="2"/>
      <c r="F38" s="2"/>
      <c r="G38" s="2"/>
      <c r="H38" s="2"/>
      <c r="I38" s="2"/>
      <c r="J38" s="2"/>
      <c r="K38" s="2"/>
      <c r="L38" s="2"/>
      <c r="M38" s="2"/>
      <c r="N38" s="2"/>
      <c r="O38" s="2"/>
      <c r="P38" s="2"/>
      <c r="Q38" s="2"/>
      <c r="R38" s="2"/>
      <c r="S38" s="2"/>
      <c r="T38" s="2"/>
      <c r="U38" s="2"/>
      <c r="V38" s="2"/>
    </row>
    <row r="39" spans="1:33" x14ac:dyDescent="0.2">
      <c r="A39" s="2"/>
      <c r="B39" s="2"/>
      <c r="C39" s="2"/>
      <c r="D39" s="2"/>
      <c r="E39" s="2"/>
      <c r="F39" s="2"/>
      <c r="G39" s="2"/>
      <c r="H39" s="2"/>
      <c r="I39" s="2"/>
      <c r="J39" s="2"/>
      <c r="K39" s="2"/>
      <c r="L39" s="2"/>
      <c r="M39" s="2"/>
      <c r="N39" s="2"/>
      <c r="O39" s="2"/>
      <c r="P39" s="2"/>
      <c r="Q39" s="2"/>
      <c r="R39" s="2"/>
      <c r="S39" s="2"/>
      <c r="T39" s="2"/>
      <c r="U39" s="2"/>
      <c r="V39" s="2"/>
    </row>
    <row r="40" spans="1:33" x14ac:dyDescent="0.2">
      <c r="A40" s="2"/>
      <c r="B40" s="2"/>
      <c r="C40" s="2"/>
      <c r="D40" s="2"/>
      <c r="E40" s="2"/>
      <c r="F40" s="2"/>
      <c r="G40" s="2"/>
      <c r="H40" s="2"/>
      <c r="I40" s="2"/>
      <c r="J40" s="2"/>
      <c r="K40" s="2"/>
      <c r="L40" s="2"/>
      <c r="M40" s="2"/>
      <c r="N40" s="2"/>
      <c r="O40" s="2"/>
      <c r="P40" s="2"/>
      <c r="Q40" s="2"/>
      <c r="R40" s="2"/>
      <c r="S40" s="2"/>
      <c r="T40" s="2"/>
      <c r="U40" s="2"/>
      <c r="V40" s="2"/>
    </row>
    <row r="41" spans="1:33" x14ac:dyDescent="0.2">
      <c r="A41" s="2"/>
      <c r="B41" s="2"/>
      <c r="C41" s="2"/>
      <c r="D41" s="2"/>
      <c r="E41" s="2"/>
      <c r="F41" s="2"/>
      <c r="G41" s="2"/>
      <c r="H41" s="2"/>
      <c r="I41" s="2"/>
      <c r="J41" s="2"/>
      <c r="K41" s="2"/>
      <c r="L41" s="2"/>
      <c r="M41" s="2"/>
      <c r="N41" s="2"/>
      <c r="O41" s="2"/>
      <c r="P41" s="2"/>
      <c r="Q41" s="2"/>
      <c r="R41" s="2"/>
      <c r="S41" s="2"/>
      <c r="T41" s="2"/>
      <c r="U41" s="2"/>
      <c r="V41" s="2"/>
    </row>
    <row r="42" spans="1:33" x14ac:dyDescent="0.2">
      <c r="A42" s="2"/>
      <c r="B42" s="2"/>
      <c r="C42" s="2"/>
      <c r="D42" s="2"/>
      <c r="E42" s="2"/>
      <c r="F42" s="2"/>
      <c r="G42" s="2"/>
      <c r="H42" s="2"/>
      <c r="I42" s="2"/>
      <c r="J42" s="2"/>
      <c r="K42" s="2"/>
      <c r="L42" s="2"/>
      <c r="M42" s="2"/>
      <c r="N42" s="2"/>
      <c r="O42" s="2"/>
      <c r="P42" s="2"/>
      <c r="Q42" s="2"/>
      <c r="R42" s="2"/>
      <c r="S42" s="2"/>
      <c r="T42" s="2"/>
      <c r="U42" s="2"/>
      <c r="V42" s="2"/>
    </row>
    <row r="43" spans="1:33" x14ac:dyDescent="0.2">
      <c r="A43" s="2"/>
      <c r="B43" s="2"/>
      <c r="C43" s="2"/>
      <c r="D43" s="2"/>
      <c r="E43" s="2"/>
      <c r="F43" s="2"/>
      <c r="G43" s="2"/>
      <c r="H43" s="2"/>
      <c r="I43" s="2"/>
      <c r="J43" s="2"/>
      <c r="K43" s="2"/>
      <c r="L43" s="2"/>
      <c r="M43" s="2"/>
      <c r="N43" s="2"/>
      <c r="O43" s="2"/>
      <c r="P43" s="2"/>
      <c r="Q43" s="2"/>
      <c r="R43" s="2"/>
      <c r="S43" s="2"/>
      <c r="T43" s="2"/>
      <c r="U43" s="2"/>
      <c r="V43" s="2"/>
      <c r="W43" s="173"/>
      <c r="X43" s="2"/>
      <c r="Y43" s="2"/>
      <c r="Z43" s="2"/>
      <c r="AA43" s="2"/>
      <c r="AB43" s="2"/>
    </row>
    <row r="44" spans="1:33" x14ac:dyDescent="0.2">
      <c r="A44" s="2"/>
      <c r="B44" s="2"/>
      <c r="C44" s="2"/>
      <c r="D44" s="2"/>
      <c r="E44" s="2"/>
      <c r="F44" s="2"/>
      <c r="G44" s="2"/>
      <c r="H44" s="2"/>
      <c r="I44" s="2"/>
      <c r="J44" s="2"/>
      <c r="K44" s="2"/>
      <c r="L44" s="2"/>
      <c r="M44" s="2"/>
      <c r="N44" s="2"/>
      <c r="O44" s="2"/>
      <c r="P44" s="2"/>
      <c r="Q44" s="2"/>
      <c r="R44" s="2"/>
      <c r="S44" s="2"/>
      <c r="T44" s="2"/>
      <c r="U44" s="2"/>
      <c r="V44" s="2"/>
      <c r="W44" s="173"/>
      <c r="X44" s="2"/>
      <c r="Y44" s="2"/>
      <c r="Z44" s="2"/>
      <c r="AA44" s="2"/>
      <c r="AB44" s="2"/>
    </row>
    <row r="45" spans="1:33" x14ac:dyDescent="0.2">
      <c r="A45" s="2"/>
      <c r="B45" s="2"/>
      <c r="C45" s="2"/>
      <c r="D45" s="2"/>
      <c r="E45" s="2"/>
      <c r="F45" s="2"/>
      <c r="G45" s="2"/>
      <c r="H45" s="2"/>
      <c r="I45" s="2"/>
      <c r="J45" s="2"/>
      <c r="K45" s="2"/>
      <c r="L45" s="2"/>
      <c r="M45" s="2"/>
      <c r="N45" s="2"/>
      <c r="O45" s="2"/>
      <c r="P45" s="2"/>
      <c r="Q45" s="2"/>
      <c r="R45" s="2"/>
      <c r="S45" s="2"/>
      <c r="T45" s="2"/>
      <c r="U45" s="2"/>
      <c r="V45" s="2"/>
      <c r="W45" s="173"/>
      <c r="X45" s="2"/>
      <c r="Y45" s="2"/>
      <c r="Z45" s="2"/>
      <c r="AA45" s="2"/>
      <c r="AB45" s="2"/>
    </row>
    <row r="46" spans="1:33"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33"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33"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36"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36"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36" x14ac:dyDescent="0.2">
      <c r="A51" s="2"/>
      <c r="B51" s="2"/>
      <c r="C51" s="2"/>
      <c r="D51" s="2"/>
      <c r="E51" s="2"/>
      <c r="F51" s="2"/>
      <c r="G51" s="2"/>
      <c r="H51" s="2"/>
      <c r="I51" s="2"/>
      <c r="J51" s="2"/>
      <c r="K51" s="2"/>
      <c r="L51" s="2"/>
      <c r="M51" s="2"/>
      <c r="N51" s="2"/>
      <c r="O51" s="2"/>
      <c r="P51" s="2"/>
      <c r="Q51" s="2"/>
      <c r="R51" s="2"/>
      <c r="S51" s="2"/>
      <c r="T51" s="2"/>
      <c r="U51" s="2"/>
      <c r="V51" s="2"/>
      <c r="W51" s="2"/>
      <c r="X51" s="12"/>
      <c r="Y51" s="2"/>
      <c r="Z51" s="2"/>
      <c r="AA51" s="12"/>
      <c r="AB51" s="2"/>
    </row>
    <row r="52" spans="1:36"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36" x14ac:dyDescent="0.2">
      <c r="A53" s="2"/>
      <c r="B53" s="2"/>
      <c r="C53" s="2"/>
      <c r="D53" s="2"/>
      <c r="E53" s="2"/>
      <c r="F53" s="2"/>
      <c r="G53" s="2"/>
      <c r="H53" s="2"/>
      <c r="I53" s="2"/>
      <c r="J53" s="2"/>
      <c r="K53" s="2"/>
      <c r="L53" s="2"/>
      <c r="M53" s="2"/>
      <c r="N53" s="2"/>
      <c r="O53" s="2"/>
      <c r="P53" s="2"/>
      <c r="Q53" s="2"/>
      <c r="R53" s="2"/>
      <c r="S53" s="2"/>
      <c r="T53" s="2"/>
      <c r="U53" s="2"/>
      <c r="V53" s="2"/>
      <c r="W53" s="2"/>
      <c r="X53" s="172"/>
      <c r="Y53" s="172"/>
      <c r="Z53" s="172"/>
      <c r="AA53" s="172"/>
      <c r="AB53" s="172"/>
      <c r="AC53" s="172"/>
      <c r="AD53" s="172"/>
      <c r="AE53" s="171"/>
      <c r="AF53" s="171"/>
      <c r="AG53" s="171"/>
      <c r="AH53" s="171"/>
      <c r="AI53" s="171"/>
      <c r="AJ53" s="171"/>
    </row>
    <row r="54" spans="1:36" x14ac:dyDescent="0.2">
      <c r="A54" s="2"/>
      <c r="B54" s="2"/>
      <c r="C54" s="2"/>
      <c r="D54" s="2"/>
      <c r="E54" s="2"/>
      <c r="F54" s="2"/>
      <c r="G54" s="2"/>
      <c r="H54" s="2"/>
      <c r="I54" s="2"/>
      <c r="J54" s="2"/>
      <c r="K54" s="2"/>
      <c r="L54" s="2"/>
      <c r="M54" s="2"/>
      <c r="N54" s="2"/>
      <c r="O54" s="2"/>
      <c r="P54" s="2"/>
      <c r="Q54" s="2"/>
      <c r="R54" s="2"/>
      <c r="S54" s="2"/>
      <c r="T54" s="2"/>
      <c r="U54" s="2"/>
      <c r="V54" s="2"/>
      <c r="W54" s="2"/>
      <c r="X54" s="172"/>
      <c r="Y54" s="172"/>
      <c r="Z54" s="172"/>
      <c r="AA54" s="172"/>
      <c r="AB54" s="172"/>
      <c r="AC54" s="172"/>
      <c r="AD54" s="172"/>
      <c r="AE54" s="171"/>
      <c r="AF54" s="171"/>
      <c r="AG54" s="171"/>
      <c r="AH54" s="171"/>
      <c r="AI54" s="171"/>
      <c r="AJ54" s="171"/>
    </row>
    <row r="55" spans="1:36" x14ac:dyDescent="0.2">
      <c r="A55" s="2"/>
      <c r="B55" s="2"/>
      <c r="C55" s="2"/>
      <c r="D55" s="2"/>
      <c r="E55" s="2"/>
      <c r="F55" s="2"/>
      <c r="G55" s="2"/>
      <c r="H55" s="2"/>
      <c r="I55" s="2"/>
      <c r="J55" s="2"/>
      <c r="K55" s="2"/>
      <c r="L55" s="2"/>
      <c r="M55" s="2"/>
      <c r="N55" s="2"/>
      <c r="O55" s="2"/>
      <c r="P55" s="2"/>
      <c r="Q55" s="2"/>
      <c r="R55" s="2"/>
      <c r="S55" s="2"/>
      <c r="T55" s="2"/>
      <c r="U55" s="2"/>
      <c r="V55" s="2"/>
      <c r="W55" s="2"/>
      <c r="X55" s="172"/>
      <c r="Y55" s="172"/>
      <c r="Z55" s="172"/>
      <c r="AA55" s="172"/>
      <c r="AB55" s="172"/>
      <c r="AC55" s="172"/>
      <c r="AD55" s="172"/>
      <c r="AE55" s="171"/>
      <c r="AF55" s="171"/>
      <c r="AG55" s="171"/>
      <c r="AH55" s="171"/>
      <c r="AI55" s="171"/>
      <c r="AJ55" s="171"/>
    </row>
    <row r="56" spans="1:36" x14ac:dyDescent="0.2">
      <c r="A56" s="2"/>
      <c r="B56" s="2"/>
      <c r="C56" s="2"/>
      <c r="D56" s="2"/>
      <c r="E56" s="2"/>
      <c r="F56" s="2"/>
      <c r="G56" s="2"/>
      <c r="H56" s="2"/>
      <c r="I56" s="2"/>
      <c r="J56" s="2"/>
      <c r="K56" s="2"/>
      <c r="L56" s="2"/>
      <c r="M56" s="2"/>
      <c r="N56" s="2"/>
      <c r="O56" s="2"/>
      <c r="P56" s="2"/>
      <c r="Q56" s="2"/>
      <c r="R56" s="2"/>
      <c r="S56" s="2"/>
      <c r="T56" s="2"/>
      <c r="U56" s="2"/>
      <c r="V56" s="2"/>
      <c r="W56" s="2"/>
      <c r="X56" s="172"/>
      <c r="Y56" s="172"/>
      <c r="Z56" s="172"/>
      <c r="AA56" s="172"/>
      <c r="AB56" s="172"/>
      <c r="AC56" s="172"/>
      <c r="AD56" s="172"/>
      <c r="AE56" s="171"/>
      <c r="AF56" s="171"/>
      <c r="AG56" s="171"/>
      <c r="AH56" s="171"/>
      <c r="AI56" s="171"/>
      <c r="AJ56" s="171"/>
    </row>
    <row r="57" spans="1:36" x14ac:dyDescent="0.2">
      <c r="A57" s="2"/>
      <c r="B57" s="2"/>
      <c r="C57" s="2"/>
      <c r="D57" s="2"/>
      <c r="E57" s="2"/>
      <c r="F57" s="2"/>
      <c r="G57" s="2"/>
      <c r="H57" s="2"/>
      <c r="I57" s="2"/>
      <c r="J57" s="2"/>
      <c r="K57" s="2"/>
      <c r="L57" s="2"/>
      <c r="M57" s="2"/>
      <c r="N57" s="2"/>
      <c r="O57" s="2"/>
      <c r="P57" s="2"/>
      <c r="Q57" s="2"/>
      <c r="R57" s="2"/>
      <c r="S57" s="2"/>
      <c r="T57" s="2"/>
      <c r="U57" s="2"/>
      <c r="V57" s="2"/>
      <c r="W57" s="2"/>
      <c r="X57" s="172"/>
      <c r="Y57" s="172"/>
      <c r="Z57" s="172"/>
      <c r="AA57" s="172"/>
      <c r="AB57" s="172"/>
      <c r="AC57" s="172"/>
      <c r="AD57" s="172"/>
      <c r="AE57" s="171"/>
      <c r="AF57" s="171"/>
      <c r="AG57" s="171"/>
      <c r="AH57" s="171"/>
      <c r="AI57" s="171"/>
      <c r="AJ57" s="171"/>
    </row>
    <row r="58" spans="1:36" x14ac:dyDescent="0.2">
      <c r="A58" s="2"/>
      <c r="B58" s="2"/>
      <c r="C58" s="2"/>
      <c r="D58" s="2"/>
      <c r="E58" s="2"/>
      <c r="F58" s="2"/>
      <c r="G58" s="2"/>
      <c r="H58" s="2"/>
      <c r="I58" s="2"/>
      <c r="J58" s="2"/>
      <c r="K58" s="2"/>
      <c r="L58" s="2"/>
      <c r="M58" s="2"/>
      <c r="N58" s="2"/>
      <c r="O58" s="2"/>
      <c r="P58" s="2"/>
      <c r="Q58" s="2"/>
      <c r="R58" s="2"/>
      <c r="S58" s="2"/>
      <c r="T58" s="2"/>
      <c r="U58" s="2"/>
      <c r="V58" s="2"/>
      <c r="W58" s="2"/>
      <c r="X58" s="172"/>
      <c r="Y58" s="172"/>
      <c r="Z58" s="172"/>
      <c r="AA58" s="172"/>
      <c r="AB58" s="172"/>
      <c r="AC58" s="172"/>
      <c r="AD58" s="172"/>
      <c r="AE58" s="171"/>
      <c r="AF58" s="171"/>
      <c r="AG58" s="171"/>
      <c r="AH58" s="171"/>
      <c r="AI58" s="171"/>
      <c r="AJ58" s="171"/>
    </row>
    <row r="59" spans="1:36" x14ac:dyDescent="0.2">
      <c r="A59" s="2"/>
      <c r="B59" s="2"/>
      <c r="C59" s="2"/>
      <c r="D59" s="2"/>
      <c r="E59" s="2"/>
      <c r="F59" s="2"/>
      <c r="G59" s="2"/>
      <c r="H59" s="2"/>
      <c r="I59" s="2"/>
      <c r="J59" s="2"/>
      <c r="K59" s="2"/>
      <c r="L59" s="2"/>
      <c r="M59" s="2"/>
      <c r="N59" s="2"/>
      <c r="O59" s="2"/>
      <c r="P59" s="2"/>
      <c r="Q59" s="2"/>
      <c r="R59" s="2"/>
      <c r="S59" s="2"/>
      <c r="T59" s="2"/>
      <c r="U59" s="2"/>
      <c r="V59" s="2"/>
      <c r="W59" s="2"/>
      <c r="X59" s="172"/>
      <c r="Y59" s="172"/>
      <c r="Z59" s="172"/>
      <c r="AA59" s="172"/>
      <c r="AB59" s="172"/>
      <c r="AC59" s="172"/>
      <c r="AD59" s="172"/>
      <c r="AE59" s="171"/>
      <c r="AF59" s="171"/>
      <c r="AG59" s="171"/>
      <c r="AH59" s="171"/>
      <c r="AI59" s="171"/>
      <c r="AJ59" s="171"/>
    </row>
    <row r="60" spans="1:36" x14ac:dyDescent="0.2">
      <c r="A60" s="2"/>
      <c r="B60" s="2"/>
      <c r="C60" s="2"/>
      <c r="D60" s="2"/>
      <c r="E60" s="2"/>
      <c r="F60" s="2"/>
      <c r="G60" s="2"/>
      <c r="H60" s="2"/>
      <c r="I60" s="2"/>
      <c r="J60" s="2"/>
      <c r="K60" s="2"/>
      <c r="L60" s="2"/>
      <c r="M60" s="2"/>
      <c r="N60" s="2"/>
      <c r="O60" s="2"/>
      <c r="P60" s="2"/>
      <c r="Q60" s="2"/>
      <c r="R60" s="2"/>
      <c r="S60" s="2"/>
      <c r="T60" s="2"/>
      <c r="U60" s="2"/>
      <c r="V60" s="2"/>
      <c r="W60" s="2"/>
      <c r="X60" s="172"/>
      <c r="Y60" s="172"/>
      <c r="Z60" s="172"/>
      <c r="AA60" s="172"/>
      <c r="AB60" s="172"/>
      <c r="AC60" s="172"/>
      <c r="AD60" s="172"/>
      <c r="AE60" s="171"/>
      <c r="AF60" s="171"/>
      <c r="AG60" s="171"/>
      <c r="AH60" s="171"/>
      <c r="AI60" s="171"/>
      <c r="AJ60" s="171"/>
    </row>
    <row r="61" spans="1:36" x14ac:dyDescent="0.2">
      <c r="A61" s="2"/>
      <c r="B61" s="2"/>
      <c r="C61" s="2"/>
      <c r="D61" s="2"/>
      <c r="E61" s="2"/>
      <c r="F61" s="2"/>
      <c r="G61" s="2"/>
      <c r="H61" s="2"/>
      <c r="I61" s="2"/>
      <c r="J61" s="2"/>
      <c r="K61" s="2"/>
      <c r="L61" s="2"/>
      <c r="M61" s="2"/>
      <c r="N61" s="2"/>
      <c r="O61" s="2"/>
      <c r="P61" s="2"/>
      <c r="Q61" s="2"/>
      <c r="R61" s="2"/>
      <c r="S61" s="2"/>
      <c r="T61" s="2"/>
      <c r="U61" s="2"/>
      <c r="V61" s="2"/>
      <c r="W61" s="2"/>
      <c r="X61" s="172"/>
      <c r="Y61" s="172"/>
      <c r="Z61" s="172"/>
      <c r="AA61" s="172"/>
      <c r="AB61" s="172"/>
      <c r="AC61" s="172"/>
      <c r="AD61" s="172"/>
      <c r="AE61" s="171"/>
      <c r="AF61" s="171"/>
      <c r="AG61" s="171"/>
      <c r="AH61" s="171"/>
      <c r="AI61" s="171"/>
      <c r="AJ61" s="171"/>
    </row>
    <row r="62" spans="1:36" x14ac:dyDescent="0.2">
      <c r="A62" s="2"/>
      <c r="B62" s="2"/>
      <c r="C62" s="2"/>
      <c r="D62" s="2"/>
      <c r="E62" s="2"/>
      <c r="F62" s="2"/>
      <c r="G62" s="2"/>
      <c r="H62" s="2"/>
      <c r="I62" s="2"/>
      <c r="J62" s="2"/>
      <c r="K62" s="2"/>
      <c r="L62" s="2"/>
      <c r="M62" s="2"/>
      <c r="N62" s="2"/>
      <c r="O62" s="2"/>
      <c r="P62" s="2"/>
      <c r="Q62" s="2"/>
      <c r="R62" s="2"/>
      <c r="S62" s="2"/>
      <c r="T62" s="2"/>
      <c r="U62" s="2"/>
      <c r="V62" s="2"/>
      <c r="W62" s="2"/>
      <c r="X62" s="172"/>
      <c r="Y62" s="172"/>
      <c r="Z62" s="172"/>
      <c r="AA62" s="172"/>
      <c r="AB62" s="172"/>
      <c r="AC62" s="172"/>
      <c r="AD62" s="172"/>
      <c r="AE62" s="171"/>
      <c r="AF62" s="171"/>
      <c r="AG62" s="171"/>
      <c r="AH62" s="171"/>
      <c r="AI62" s="171"/>
      <c r="AJ62" s="171"/>
    </row>
    <row r="63" spans="1:36" x14ac:dyDescent="0.2">
      <c r="A63" s="2"/>
      <c r="B63" s="2"/>
      <c r="C63" s="2"/>
      <c r="D63" s="2"/>
      <c r="E63" s="2"/>
      <c r="F63" s="2"/>
      <c r="G63" s="2"/>
      <c r="H63" s="2"/>
      <c r="I63" s="2"/>
      <c r="J63" s="2"/>
      <c r="K63" s="2"/>
      <c r="L63" s="2"/>
      <c r="M63" s="2"/>
      <c r="N63" s="2"/>
      <c r="O63" s="2"/>
      <c r="P63" s="2"/>
      <c r="Q63" s="2"/>
      <c r="R63" s="2"/>
      <c r="S63" s="2"/>
      <c r="T63" s="2"/>
      <c r="U63" s="2"/>
      <c r="V63" s="2"/>
      <c r="W63" s="2"/>
      <c r="X63" s="172"/>
      <c r="Y63" s="172"/>
      <c r="Z63" s="172"/>
      <c r="AA63" s="172"/>
      <c r="AB63" s="172"/>
      <c r="AC63" s="172"/>
      <c r="AD63" s="172"/>
      <c r="AE63" s="171"/>
      <c r="AF63" s="171"/>
      <c r="AG63" s="171"/>
      <c r="AH63" s="171"/>
      <c r="AI63" s="171"/>
      <c r="AJ63" s="171"/>
    </row>
    <row r="64" spans="1:36" x14ac:dyDescent="0.2">
      <c r="A64" s="2"/>
      <c r="B64" s="2"/>
      <c r="C64" s="2"/>
      <c r="D64" s="2"/>
      <c r="E64" s="2"/>
      <c r="F64" s="2"/>
      <c r="G64" s="2"/>
      <c r="H64" s="2"/>
      <c r="I64" s="2"/>
      <c r="J64" s="2"/>
      <c r="K64" s="2"/>
      <c r="L64" s="2"/>
      <c r="M64" s="12"/>
      <c r="N64" s="2"/>
      <c r="O64" s="2"/>
      <c r="P64" s="2"/>
      <c r="Q64" s="12"/>
      <c r="R64" s="2"/>
      <c r="S64" s="2"/>
      <c r="T64" s="2"/>
      <c r="U64" s="12"/>
      <c r="V64" s="2"/>
      <c r="W64" s="2"/>
      <c r="X64" s="172"/>
      <c r="Y64" s="172"/>
      <c r="Z64" s="172"/>
      <c r="AA64" s="172"/>
      <c r="AB64" s="172"/>
      <c r="AC64" s="172"/>
      <c r="AD64" s="172"/>
      <c r="AE64" s="171"/>
      <c r="AF64" s="171"/>
      <c r="AG64" s="171"/>
      <c r="AH64" s="171"/>
      <c r="AI64" s="171"/>
      <c r="AJ64" s="171"/>
    </row>
    <row r="65" spans="1:36" x14ac:dyDescent="0.2">
      <c r="A65" s="2"/>
      <c r="B65" s="2"/>
      <c r="C65" s="2"/>
      <c r="D65" s="2"/>
      <c r="E65" s="2"/>
      <c r="F65" s="2"/>
      <c r="G65" s="2"/>
      <c r="H65" s="2"/>
      <c r="I65" s="2"/>
      <c r="J65" s="2"/>
      <c r="K65" s="2"/>
      <c r="L65" s="2"/>
      <c r="M65" s="2"/>
      <c r="N65" s="2"/>
      <c r="O65" s="2"/>
      <c r="P65" s="2"/>
      <c r="Q65" s="2"/>
      <c r="R65" s="2"/>
      <c r="S65" s="2"/>
      <c r="T65" s="2"/>
      <c r="U65" s="2"/>
      <c r="V65" s="2"/>
      <c r="W65" s="2"/>
      <c r="X65" s="172"/>
      <c r="Y65" s="172"/>
      <c r="Z65" s="172"/>
      <c r="AA65" s="172"/>
      <c r="AB65" s="172"/>
      <c r="AC65" s="172"/>
      <c r="AD65" s="172"/>
      <c r="AE65" s="171"/>
      <c r="AF65" s="171"/>
      <c r="AG65" s="171"/>
      <c r="AH65" s="171"/>
      <c r="AI65" s="171"/>
      <c r="AJ65" s="171"/>
    </row>
    <row r="66" spans="1:36" x14ac:dyDescent="0.2">
      <c r="A66" s="2"/>
      <c r="B66" s="2"/>
      <c r="C66" s="2"/>
      <c r="D66" s="2"/>
      <c r="E66" s="2"/>
      <c r="F66" s="2"/>
      <c r="G66" s="2"/>
      <c r="H66" s="2"/>
      <c r="I66" s="2"/>
      <c r="J66" s="2"/>
      <c r="K66" s="2"/>
      <c r="L66" s="2"/>
      <c r="M66" s="172"/>
      <c r="N66" s="172"/>
      <c r="O66" s="172"/>
      <c r="P66" s="2"/>
      <c r="Q66" s="172"/>
      <c r="R66" s="172"/>
      <c r="S66" s="172"/>
      <c r="T66" s="2"/>
      <c r="U66" s="172"/>
      <c r="V66" s="172"/>
      <c r="W66" s="172"/>
      <c r="X66" s="172"/>
      <c r="Y66" s="172"/>
      <c r="Z66" s="172"/>
      <c r="AA66" s="172"/>
      <c r="AB66" s="172"/>
      <c r="AC66" s="172"/>
      <c r="AD66" s="172"/>
      <c r="AE66" s="171"/>
      <c r="AF66" s="171"/>
      <c r="AG66" s="171"/>
      <c r="AH66" s="171"/>
      <c r="AI66" s="171"/>
      <c r="AJ66" s="171"/>
    </row>
    <row r="67" spans="1:36" x14ac:dyDescent="0.2">
      <c r="A67" s="2"/>
      <c r="B67" s="2"/>
      <c r="C67" s="2"/>
      <c r="D67" s="2"/>
      <c r="E67" s="2"/>
      <c r="F67" s="2"/>
      <c r="G67" s="2"/>
      <c r="H67" s="2"/>
      <c r="I67" s="2"/>
      <c r="J67" s="2"/>
      <c r="K67" s="2"/>
      <c r="L67" s="2"/>
      <c r="M67" s="172"/>
      <c r="N67" s="172"/>
      <c r="O67" s="172"/>
      <c r="P67" s="2"/>
      <c r="Q67" s="172"/>
      <c r="R67" s="172"/>
      <c r="S67" s="172"/>
      <c r="T67" s="2"/>
      <c r="U67" s="172"/>
      <c r="V67" s="172"/>
      <c r="W67" s="172"/>
      <c r="X67" s="172"/>
      <c r="Y67" s="172"/>
      <c r="Z67" s="172"/>
      <c r="AA67" s="172"/>
      <c r="AB67" s="172"/>
      <c r="AC67" s="172"/>
      <c r="AD67" s="172"/>
      <c r="AE67" s="171"/>
      <c r="AF67" s="171"/>
      <c r="AG67" s="171"/>
      <c r="AH67" s="171"/>
      <c r="AI67" s="171"/>
      <c r="AJ67" s="171"/>
    </row>
    <row r="68" spans="1:36" x14ac:dyDescent="0.2">
      <c r="A68" s="2"/>
      <c r="B68" s="2"/>
      <c r="C68" s="2"/>
      <c r="D68" s="2"/>
      <c r="E68" s="2"/>
      <c r="F68" s="2"/>
      <c r="G68" s="2"/>
      <c r="H68" s="2"/>
      <c r="I68" s="2"/>
      <c r="J68" s="2"/>
      <c r="K68" s="2"/>
      <c r="L68" s="2"/>
      <c r="M68" s="172"/>
      <c r="N68" s="172"/>
      <c r="O68" s="172"/>
      <c r="P68" s="2"/>
      <c r="Q68" s="172"/>
      <c r="R68" s="172"/>
      <c r="S68" s="172"/>
      <c r="T68" s="2"/>
      <c r="U68" s="172"/>
      <c r="V68" s="172"/>
      <c r="W68" s="172"/>
      <c r="X68" s="172"/>
      <c r="Y68" s="172"/>
      <c r="Z68" s="172"/>
      <c r="AA68" s="172"/>
      <c r="AB68" s="172"/>
      <c r="AC68" s="172"/>
      <c r="AD68" s="172"/>
      <c r="AE68" s="171"/>
      <c r="AF68" s="171"/>
      <c r="AG68" s="171"/>
      <c r="AH68" s="171"/>
      <c r="AI68" s="171"/>
      <c r="AJ68" s="171"/>
    </row>
    <row r="69" spans="1:36" x14ac:dyDescent="0.2">
      <c r="A69" s="2"/>
      <c r="B69" s="2"/>
      <c r="C69" s="2"/>
      <c r="D69" s="2"/>
      <c r="E69" s="2"/>
      <c r="F69" s="2"/>
      <c r="G69" s="2"/>
      <c r="H69" s="2"/>
      <c r="I69" s="2"/>
      <c r="J69" s="2"/>
      <c r="K69" s="2"/>
      <c r="L69" s="2"/>
      <c r="M69" s="172"/>
      <c r="N69" s="172"/>
      <c r="O69" s="172"/>
      <c r="P69" s="2"/>
      <c r="Q69" s="172"/>
      <c r="R69" s="172"/>
      <c r="S69" s="172"/>
      <c r="T69" s="2"/>
      <c r="U69" s="172"/>
      <c r="V69" s="172"/>
      <c r="W69" s="172"/>
      <c r="X69" s="172"/>
      <c r="Y69" s="172"/>
      <c r="Z69" s="172"/>
      <c r="AA69" s="172"/>
      <c r="AB69" s="172"/>
      <c r="AC69" s="172"/>
      <c r="AD69" s="172"/>
      <c r="AE69" s="171"/>
      <c r="AF69" s="171"/>
      <c r="AG69" s="171"/>
      <c r="AH69" s="171"/>
      <c r="AI69" s="171"/>
      <c r="AJ69" s="171"/>
    </row>
    <row r="70" spans="1:36" x14ac:dyDescent="0.2">
      <c r="A70" s="2"/>
      <c r="B70" s="2"/>
      <c r="C70" s="2"/>
      <c r="D70" s="2"/>
      <c r="E70" s="2"/>
      <c r="F70" s="2"/>
      <c r="G70" s="2"/>
      <c r="H70" s="2"/>
      <c r="I70" s="2"/>
      <c r="J70" s="2"/>
      <c r="K70" s="2"/>
      <c r="L70" s="2"/>
      <c r="M70" s="172"/>
      <c r="N70" s="172"/>
      <c r="O70" s="172"/>
      <c r="P70" s="2"/>
      <c r="Q70" s="172"/>
      <c r="R70" s="172"/>
      <c r="S70" s="172"/>
      <c r="T70" s="2"/>
      <c r="U70" s="172"/>
      <c r="V70" s="172"/>
      <c r="W70" s="172"/>
      <c r="X70" s="172"/>
      <c r="Y70" s="172"/>
      <c r="Z70" s="172"/>
      <c r="AA70" s="172"/>
      <c r="AB70" s="172"/>
      <c r="AC70" s="172"/>
      <c r="AD70" s="172"/>
      <c r="AE70" s="171"/>
      <c r="AF70" s="171"/>
      <c r="AG70" s="171"/>
      <c r="AH70" s="171"/>
      <c r="AI70" s="171"/>
      <c r="AJ70" s="171"/>
    </row>
    <row r="71" spans="1:36" x14ac:dyDescent="0.2">
      <c r="A71" s="2"/>
      <c r="B71" s="2"/>
      <c r="C71" s="2"/>
      <c r="D71" s="2"/>
      <c r="E71" s="2"/>
      <c r="F71" s="2"/>
      <c r="G71" s="2"/>
      <c r="H71" s="2"/>
      <c r="I71" s="2"/>
      <c r="J71" s="2"/>
      <c r="K71" s="2"/>
      <c r="L71" s="2"/>
      <c r="M71" s="172"/>
      <c r="N71" s="172"/>
      <c r="O71" s="172"/>
      <c r="P71" s="2"/>
      <c r="Q71" s="172"/>
      <c r="R71" s="172"/>
      <c r="S71" s="172"/>
      <c r="T71" s="2"/>
      <c r="U71" s="172"/>
      <c r="V71" s="172"/>
      <c r="W71" s="172"/>
      <c r="X71" s="172"/>
      <c r="Y71" s="172"/>
      <c r="Z71" s="172"/>
      <c r="AA71" s="172"/>
      <c r="AB71" s="172"/>
      <c r="AC71" s="172"/>
      <c r="AD71" s="172"/>
      <c r="AE71" s="171"/>
      <c r="AF71" s="171"/>
      <c r="AG71" s="171"/>
      <c r="AH71" s="171"/>
      <c r="AI71" s="171"/>
      <c r="AJ71" s="171"/>
    </row>
    <row r="72" spans="1:36" x14ac:dyDescent="0.2">
      <c r="A72" s="2"/>
      <c r="B72" s="2"/>
      <c r="C72" s="2"/>
      <c r="D72" s="2"/>
      <c r="E72" s="2"/>
      <c r="F72" s="2"/>
      <c r="G72" s="2"/>
      <c r="H72" s="2"/>
      <c r="I72" s="2"/>
      <c r="J72" s="2"/>
      <c r="K72" s="2"/>
      <c r="L72" s="2"/>
      <c r="M72" s="172"/>
      <c r="N72" s="172"/>
      <c r="O72" s="172"/>
      <c r="P72" s="2"/>
      <c r="Q72" s="172"/>
      <c r="R72" s="172"/>
      <c r="S72" s="172"/>
      <c r="T72" s="2"/>
      <c r="U72" s="172"/>
      <c r="V72" s="172"/>
      <c r="W72" s="172"/>
      <c r="X72" s="172"/>
      <c r="Y72" s="172"/>
      <c r="Z72" s="172"/>
      <c r="AA72" s="172"/>
      <c r="AB72" s="172"/>
      <c r="AC72" s="172"/>
      <c r="AD72" s="172"/>
      <c r="AE72" s="171"/>
      <c r="AF72" s="171"/>
      <c r="AG72" s="171"/>
      <c r="AH72" s="171"/>
      <c r="AI72" s="171"/>
      <c r="AJ72" s="171"/>
    </row>
    <row r="73" spans="1:36" x14ac:dyDescent="0.2">
      <c r="A73" s="2"/>
      <c r="B73" s="2"/>
      <c r="C73" s="2"/>
      <c r="D73" s="2"/>
      <c r="E73" s="2"/>
      <c r="F73" s="2"/>
      <c r="G73" s="2"/>
      <c r="H73" s="2"/>
      <c r="I73" s="2"/>
      <c r="J73" s="2"/>
      <c r="K73" s="2"/>
      <c r="L73" s="2"/>
      <c r="M73" s="172"/>
      <c r="N73" s="172"/>
      <c r="O73" s="172"/>
      <c r="P73" s="2"/>
      <c r="Q73" s="172"/>
      <c r="R73" s="172"/>
      <c r="S73" s="172"/>
      <c r="T73" s="2"/>
      <c r="U73" s="172"/>
      <c r="V73" s="172"/>
      <c r="W73" s="172"/>
      <c r="X73" s="172"/>
      <c r="Y73" s="172"/>
      <c r="Z73" s="172"/>
      <c r="AA73" s="172"/>
      <c r="AB73" s="172"/>
      <c r="AC73" s="172"/>
      <c r="AD73" s="172"/>
      <c r="AE73" s="171"/>
      <c r="AF73" s="171"/>
      <c r="AG73" s="171"/>
      <c r="AH73" s="171"/>
      <c r="AI73" s="171"/>
      <c r="AJ73" s="171"/>
    </row>
    <row r="74" spans="1:36" x14ac:dyDescent="0.2">
      <c r="A74" s="2"/>
      <c r="B74" s="2"/>
      <c r="C74" s="2"/>
      <c r="D74" s="2"/>
      <c r="E74" s="2"/>
      <c r="F74" s="2"/>
      <c r="G74" s="2"/>
      <c r="H74" s="2"/>
      <c r="I74" s="2"/>
      <c r="J74" s="2"/>
      <c r="K74" s="2"/>
      <c r="L74" s="2"/>
      <c r="M74" s="172"/>
      <c r="N74" s="172"/>
      <c r="O74" s="172"/>
      <c r="P74" s="2"/>
      <c r="Q74" s="172"/>
      <c r="R74" s="172"/>
      <c r="S74" s="172"/>
      <c r="T74" s="2"/>
      <c r="U74" s="172"/>
      <c r="V74" s="172"/>
      <c r="W74" s="172"/>
      <c r="X74" s="172"/>
      <c r="Y74" s="172"/>
      <c r="Z74" s="172"/>
      <c r="AA74" s="172"/>
      <c r="AB74" s="172"/>
      <c r="AC74" s="172"/>
      <c r="AD74" s="172"/>
      <c r="AE74" s="171"/>
      <c r="AF74" s="171"/>
      <c r="AG74" s="171"/>
      <c r="AH74" s="171"/>
      <c r="AI74" s="171"/>
      <c r="AJ74" s="171"/>
    </row>
    <row r="75" spans="1:36" x14ac:dyDescent="0.2">
      <c r="A75" s="2"/>
      <c r="B75" s="2"/>
      <c r="C75" s="2"/>
      <c r="D75" s="2"/>
      <c r="E75" s="2"/>
      <c r="F75" s="2"/>
      <c r="G75" s="2"/>
      <c r="H75" s="2"/>
      <c r="I75" s="2"/>
      <c r="J75" s="2"/>
      <c r="K75" s="2"/>
      <c r="L75" s="2"/>
      <c r="M75" s="172"/>
      <c r="N75" s="172"/>
      <c r="O75" s="172"/>
      <c r="P75" s="2"/>
      <c r="Q75" s="172"/>
      <c r="R75" s="172"/>
      <c r="S75" s="172"/>
      <c r="T75" s="2"/>
      <c r="U75" s="172"/>
      <c r="V75" s="172"/>
      <c r="W75" s="172"/>
      <c r="X75" s="172"/>
      <c r="Y75" s="172"/>
      <c r="Z75" s="172"/>
      <c r="AA75" s="172"/>
      <c r="AB75" s="172"/>
      <c r="AC75" s="172"/>
      <c r="AD75" s="172"/>
      <c r="AE75" s="171"/>
      <c r="AF75" s="171"/>
      <c r="AG75" s="171"/>
      <c r="AH75" s="171"/>
      <c r="AI75" s="171"/>
      <c r="AJ75" s="171"/>
    </row>
    <row r="76" spans="1:36" x14ac:dyDescent="0.2">
      <c r="A76" s="2"/>
      <c r="B76" s="2"/>
      <c r="C76" s="2"/>
      <c r="D76" s="2"/>
      <c r="E76" s="2"/>
      <c r="F76" s="2"/>
      <c r="G76" s="2"/>
      <c r="H76" s="2"/>
      <c r="I76" s="2"/>
      <c r="J76" s="2"/>
      <c r="K76" s="2"/>
      <c r="L76" s="2"/>
      <c r="M76" s="172"/>
      <c r="N76" s="172"/>
      <c r="O76" s="172"/>
      <c r="P76" s="2"/>
      <c r="Q76" s="172"/>
      <c r="R76" s="172"/>
      <c r="S76" s="172"/>
      <c r="T76" s="2"/>
      <c r="U76" s="172"/>
      <c r="V76" s="172"/>
      <c r="W76" s="172"/>
      <c r="X76" s="172"/>
      <c r="Y76" s="172"/>
      <c r="Z76" s="172"/>
      <c r="AA76" s="172"/>
      <c r="AB76" s="172"/>
      <c r="AC76" s="172"/>
      <c r="AD76" s="172"/>
      <c r="AE76" s="171"/>
      <c r="AF76" s="171"/>
      <c r="AG76" s="171"/>
      <c r="AH76" s="171"/>
      <c r="AI76" s="171"/>
      <c r="AJ76" s="171"/>
    </row>
    <row r="77" spans="1:36" x14ac:dyDescent="0.2">
      <c r="A77" s="2"/>
      <c r="B77" s="2"/>
      <c r="C77" s="2"/>
      <c r="D77" s="2"/>
      <c r="E77" s="2"/>
      <c r="F77" s="2"/>
      <c r="G77" s="2"/>
      <c r="H77" s="2"/>
      <c r="I77" s="2"/>
      <c r="J77" s="2"/>
      <c r="K77" s="2"/>
      <c r="L77" s="2"/>
      <c r="M77" s="172"/>
      <c r="N77" s="172"/>
      <c r="O77" s="172"/>
      <c r="P77" s="2"/>
      <c r="Q77" s="172"/>
      <c r="R77" s="172"/>
      <c r="S77" s="172"/>
      <c r="T77" s="2"/>
      <c r="U77" s="172"/>
      <c r="V77" s="172"/>
      <c r="W77" s="172"/>
      <c r="X77" s="172"/>
      <c r="Y77" s="172"/>
      <c r="Z77" s="172"/>
      <c r="AA77" s="172"/>
      <c r="AB77" s="172"/>
      <c r="AC77" s="172"/>
      <c r="AD77" s="172"/>
      <c r="AE77" s="171"/>
      <c r="AF77" s="171"/>
      <c r="AG77" s="171"/>
      <c r="AH77" s="171"/>
      <c r="AI77" s="171"/>
      <c r="AJ77" s="171"/>
    </row>
    <row r="78" spans="1:36" x14ac:dyDescent="0.2">
      <c r="A78" s="2"/>
      <c r="B78" s="2"/>
      <c r="C78" s="2"/>
      <c r="D78" s="2"/>
      <c r="E78" s="2"/>
      <c r="F78" s="2"/>
      <c r="G78" s="2"/>
      <c r="H78" s="2"/>
      <c r="I78" s="2"/>
      <c r="J78" s="2"/>
      <c r="K78" s="2"/>
      <c r="L78" s="2"/>
      <c r="M78" s="172"/>
      <c r="N78" s="172"/>
      <c r="O78" s="172"/>
      <c r="P78" s="2"/>
      <c r="Q78" s="172"/>
      <c r="R78" s="172"/>
      <c r="S78" s="172"/>
      <c r="T78" s="2"/>
      <c r="U78" s="172"/>
      <c r="V78" s="172"/>
      <c r="W78" s="172"/>
      <c r="X78" s="172"/>
      <c r="Y78" s="172"/>
      <c r="Z78" s="172"/>
      <c r="AA78" s="172"/>
      <c r="AB78" s="172"/>
      <c r="AC78" s="172"/>
      <c r="AD78" s="172"/>
      <c r="AE78" s="171"/>
      <c r="AF78" s="171"/>
      <c r="AG78" s="171"/>
      <c r="AH78" s="171"/>
      <c r="AI78" s="171"/>
      <c r="AJ78" s="171"/>
    </row>
    <row r="79" spans="1:36" x14ac:dyDescent="0.2">
      <c r="A79" s="2"/>
      <c r="B79" s="2"/>
      <c r="C79" s="2"/>
      <c r="D79" s="2"/>
      <c r="E79" s="2"/>
      <c r="F79" s="2"/>
      <c r="G79" s="2"/>
      <c r="H79" s="2"/>
      <c r="I79" s="2"/>
      <c r="J79" s="2"/>
      <c r="K79" s="2"/>
      <c r="L79" s="2"/>
      <c r="M79" s="172"/>
      <c r="N79" s="172"/>
      <c r="O79" s="172"/>
      <c r="P79" s="2"/>
      <c r="Q79" s="172"/>
      <c r="R79" s="172"/>
      <c r="S79" s="172"/>
      <c r="T79" s="2"/>
      <c r="U79" s="172"/>
      <c r="V79" s="172"/>
      <c r="W79" s="172"/>
      <c r="X79" s="172"/>
      <c r="Y79" s="172"/>
      <c r="Z79" s="172"/>
      <c r="AA79" s="172"/>
      <c r="AB79" s="172"/>
      <c r="AC79" s="172"/>
      <c r="AD79" s="172"/>
      <c r="AE79" s="171"/>
      <c r="AF79" s="171"/>
      <c r="AG79" s="171"/>
      <c r="AH79" s="171"/>
      <c r="AI79" s="171"/>
      <c r="AJ79" s="171"/>
    </row>
    <row r="80" spans="1:36" x14ac:dyDescent="0.2">
      <c r="A80" s="2"/>
      <c r="B80" s="2"/>
      <c r="C80" s="2"/>
      <c r="D80" s="2"/>
      <c r="E80" s="2"/>
      <c r="F80" s="2"/>
      <c r="G80" s="2"/>
      <c r="H80" s="2"/>
      <c r="I80" s="2"/>
      <c r="J80" s="2"/>
      <c r="K80" s="2"/>
      <c r="L80" s="2"/>
      <c r="M80" s="172"/>
      <c r="N80" s="172"/>
      <c r="O80" s="172"/>
      <c r="P80" s="2"/>
      <c r="Q80" s="172"/>
      <c r="R80" s="172"/>
      <c r="S80" s="172"/>
      <c r="T80" s="2"/>
      <c r="U80" s="172"/>
      <c r="V80" s="172"/>
      <c r="W80" s="172"/>
      <c r="X80" s="172"/>
      <c r="Y80" s="172"/>
      <c r="Z80" s="172"/>
      <c r="AA80" s="172"/>
      <c r="AB80" s="172"/>
      <c r="AC80" s="172"/>
      <c r="AD80" s="172"/>
      <c r="AE80" s="171"/>
      <c r="AF80" s="171"/>
      <c r="AG80" s="171"/>
      <c r="AH80" s="171"/>
      <c r="AI80" s="171"/>
      <c r="AJ80" s="171"/>
    </row>
    <row r="81" spans="1:36" x14ac:dyDescent="0.2">
      <c r="A81" s="2"/>
      <c r="B81" s="2"/>
      <c r="C81" s="2"/>
      <c r="D81" s="2"/>
      <c r="E81" s="2"/>
      <c r="F81" s="2"/>
      <c r="G81" s="2"/>
      <c r="H81" s="2"/>
      <c r="I81" s="2"/>
      <c r="J81" s="2"/>
      <c r="K81" s="2"/>
      <c r="L81" s="2"/>
      <c r="M81" s="172"/>
      <c r="N81" s="172"/>
      <c r="O81" s="172"/>
      <c r="P81" s="2"/>
      <c r="Q81" s="172"/>
      <c r="R81" s="172"/>
      <c r="S81" s="172"/>
      <c r="T81" s="2"/>
      <c r="U81" s="172"/>
      <c r="V81" s="172"/>
      <c r="W81" s="172"/>
      <c r="X81" s="172"/>
      <c r="Y81" s="172"/>
      <c r="Z81" s="172"/>
      <c r="AA81" s="172"/>
      <c r="AB81" s="172"/>
      <c r="AC81" s="172"/>
      <c r="AD81" s="172"/>
      <c r="AE81" s="171"/>
      <c r="AF81" s="171"/>
      <c r="AG81" s="171"/>
      <c r="AH81" s="171"/>
      <c r="AI81" s="171"/>
      <c r="AJ81" s="171"/>
    </row>
    <row r="82" spans="1:36" x14ac:dyDescent="0.2">
      <c r="A82" s="2"/>
      <c r="B82" s="2"/>
      <c r="C82" s="2"/>
      <c r="D82" s="2"/>
      <c r="E82" s="2"/>
      <c r="F82" s="2"/>
      <c r="G82" s="2"/>
      <c r="H82" s="2"/>
      <c r="I82" s="2"/>
      <c r="J82" s="2"/>
      <c r="K82" s="2"/>
      <c r="L82" s="2"/>
      <c r="M82" s="172"/>
      <c r="N82" s="172"/>
      <c r="O82" s="172"/>
      <c r="P82" s="2"/>
      <c r="Q82" s="172"/>
      <c r="R82" s="172"/>
      <c r="S82" s="172"/>
      <c r="T82" s="2"/>
      <c r="U82" s="172"/>
      <c r="V82" s="172"/>
      <c r="W82" s="172"/>
      <c r="X82" s="172"/>
      <c r="Y82" s="172"/>
      <c r="Z82" s="172"/>
      <c r="AA82" s="172"/>
      <c r="AB82" s="172"/>
      <c r="AC82" s="172"/>
      <c r="AD82" s="172"/>
      <c r="AE82" s="171"/>
      <c r="AF82" s="171"/>
      <c r="AG82" s="171"/>
      <c r="AH82" s="171"/>
      <c r="AI82" s="171"/>
      <c r="AJ82" s="171"/>
    </row>
    <row r="83" spans="1:36" x14ac:dyDescent="0.2">
      <c r="A83" s="2"/>
      <c r="B83" s="2"/>
      <c r="C83" s="2"/>
      <c r="D83" s="2"/>
      <c r="E83" s="2"/>
      <c r="F83" s="2"/>
      <c r="G83" s="2"/>
      <c r="H83" s="2"/>
      <c r="I83" s="2"/>
      <c r="J83" s="2"/>
      <c r="K83" s="2"/>
      <c r="L83" s="2"/>
      <c r="M83" s="172"/>
      <c r="N83" s="172"/>
      <c r="O83" s="172"/>
      <c r="P83" s="2"/>
      <c r="Q83" s="172"/>
      <c r="R83" s="172"/>
      <c r="S83" s="172"/>
      <c r="T83" s="2"/>
      <c r="U83" s="172"/>
      <c r="V83" s="172"/>
      <c r="W83" s="172"/>
      <c r="X83" s="172"/>
      <c r="Y83" s="172"/>
      <c r="Z83" s="172"/>
      <c r="AA83" s="172"/>
      <c r="AB83" s="172"/>
      <c r="AC83" s="172"/>
      <c r="AD83" s="172"/>
      <c r="AE83" s="171"/>
      <c r="AF83" s="171"/>
      <c r="AG83" s="171"/>
      <c r="AH83" s="171"/>
      <c r="AI83" s="171"/>
      <c r="AJ83" s="171"/>
    </row>
    <row r="84" spans="1:36" x14ac:dyDescent="0.2">
      <c r="A84" s="2"/>
      <c r="B84" s="2"/>
      <c r="C84" s="2"/>
      <c r="D84" s="2"/>
      <c r="E84" s="2"/>
      <c r="F84" s="2"/>
      <c r="G84" s="2"/>
      <c r="H84" s="2"/>
      <c r="I84" s="2"/>
      <c r="J84" s="2"/>
      <c r="K84" s="2"/>
      <c r="L84" s="2"/>
      <c r="M84" s="172"/>
      <c r="N84" s="172"/>
      <c r="O84" s="172"/>
      <c r="P84" s="2"/>
      <c r="Q84" s="172"/>
      <c r="R84" s="172"/>
      <c r="S84" s="172"/>
      <c r="T84" s="2"/>
      <c r="U84" s="172"/>
      <c r="V84" s="172"/>
      <c r="W84" s="172"/>
      <c r="X84" s="172"/>
      <c r="Y84" s="172"/>
      <c r="Z84" s="172"/>
      <c r="AA84" s="172"/>
      <c r="AB84" s="172"/>
      <c r="AC84" s="172"/>
      <c r="AD84" s="172"/>
      <c r="AE84" s="171"/>
      <c r="AF84" s="171"/>
      <c r="AG84" s="171"/>
      <c r="AH84" s="171"/>
      <c r="AI84" s="171"/>
      <c r="AJ84" s="171"/>
    </row>
    <row r="85" spans="1:36" x14ac:dyDescent="0.2">
      <c r="A85" s="2"/>
      <c r="B85" s="2"/>
      <c r="C85" s="2"/>
      <c r="D85" s="2"/>
      <c r="E85" s="2"/>
      <c r="F85" s="2"/>
      <c r="G85" s="2"/>
      <c r="H85" s="2"/>
      <c r="I85" s="2"/>
      <c r="J85" s="2"/>
      <c r="K85" s="2"/>
      <c r="L85" s="2"/>
      <c r="M85" s="172"/>
      <c r="N85" s="172"/>
      <c r="O85" s="172"/>
      <c r="P85" s="2"/>
      <c r="Q85" s="172"/>
      <c r="R85" s="172"/>
      <c r="S85" s="172"/>
      <c r="T85" s="2"/>
      <c r="U85" s="172"/>
      <c r="V85" s="172"/>
      <c r="W85" s="172"/>
      <c r="X85" s="172"/>
      <c r="Y85" s="172"/>
      <c r="Z85" s="172"/>
      <c r="AA85" s="172"/>
      <c r="AB85" s="172"/>
      <c r="AC85" s="172"/>
      <c r="AD85" s="172"/>
      <c r="AE85" s="171"/>
      <c r="AF85" s="171"/>
      <c r="AG85" s="171"/>
      <c r="AH85" s="171"/>
      <c r="AI85" s="171"/>
      <c r="AJ85" s="171"/>
    </row>
    <row r="86" spans="1:36" x14ac:dyDescent="0.2">
      <c r="A86" s="2"/>
      <c r="B86" s="2"/>
      <c r="C86" s="2"/>
      <c r="D86" s="2"/>
      <c r="E86" s="2"/>
      <c r="F86" s="2"/>
      <c r="G86" s="2"/>
      <c r="H86" s="2"/>
      <c r="I86" s="2"/>
      <c r="J86" s="2"/>
      <c r="K86" s="2"/>
      <c r="L86" s="2"/>
      <c r="M86" s="172"/>
      <c r="N86" s="172"/>
      <c r="O86" s="172"/>
      <c r="P86" s="2"/>
      <c r="Q86" s="172"/>
      <c r="R86" s="172"/>
      <c r="S86" s="172"/>
      <c r="T86" s="2"/>
      <c r="U86" s="172"/>
      <c r="V86" s="172"/>
      <c r="W86" s="172"/>
      <c r="X86" s="172"/>
      <c r="Y86" s="172"/>
      <c r="Z86" s="172"/>
      <c r="AA86" s="172"/>
      <c r="AB86" s="172"/>
      <c r="AC86" s="172"/>
      <c r="AD86" s="172"/>
      <c r="AE86" s="171"/>
      <c r="AF86" s="171"/>
      <c r="AG86" s="171"/>
      <c r="AH86" s="171"/>
      <c r="AI86" s="171"/>
      <c r="AJ86" s="171"/>
    </row>
    <row r="87" spans="1:36" x14ac:dyDescent="0.2">
      <c r="A87" s="2"/>
      <c r="B87" s="2"/>
      <c r="C87" s="2"/>
      <c r="D87" s="2"/>
      <c r="E87" s="2"/>
      <c r="F87" s="2"/>
      <c r="G87" s="2"/>
      <c r="H87" s="2"/>
      <c r="I87" s="2"/>
      <c r="J87" s="2"/>
      <c r="K87" s="2"/>
      <c r="L87" s="2"/>
      <c r="M87" s="172"/>
      <c r="N87" s="172"/>
      <c r="O87" s="172"/>
      <c r="P87" s="2"/>
      <c r="Q87" s="172"/>
      <c r="R87" s="172"/>
      <c r="S87" s="172"/>
      <c r="T87" s="2"/>
      <c r="U87" s="172"/>
      <c r="V87" s="172"/>
      <c r="W87" s="172"/>
      <c r="X87" s="172"/>
      <c r="Y87" s="172"/>
      <c r="Z87" s="172"/>
      <c r="AA87" s="172"/>
      <c r="AB87" s="172"/>
      <c r="AC87" s="172"/>
      <c r="AD87" s="172"/>
      <c r="AE87" s="171"/>
      <c r="AF87" s="171"/>
      <c r="AG87" s="171"/>
      <c r="AH87" s="171"/>
      <c r="AI87" s="171"/>
      <c r="AJ87" s="171"/>
    </row>
    <row r="88" spans="1:36" x14ac:dyDescent="0.2">
      <c r="A88" s="2"/>
      <c r="B88" s="2"/>
      <c r="C88" s="2"/>
      <c r="D88" s="2"/>
      <c r="E88" s="2"/>
      <c r="F88" s="2"/>
      <c r="G88" s="2"/>
      <c r="H88" s="2"/>
      <c r="I88" s="2"/>
      <c r="J88" s="2"/>
      <c r="K88" s="2"/>
      <c r="L88" s="2"/>
      <c r="M88" s="172"/>
      <c r="N88" s="172"/>
      <c r="O88" s="172"/>
      <c r="P88" s="2"/>
      <c r="Q88" s="172"/>
      <c r="R88" s="172"/>
      <c r="S88" s="172"/>
      <c r="T88" s="2"/>
      <c r="U88" s="172"/>
      <c r="V88" s="172"/>
      <c r="W88" s="172"/>
      <c r="X88" s="172"/>
      <c r="Y88" s="172"/>
      <c r="Z88" s="172"/>
      <c r="AA88" s="172"/>
      <c r="AB88" s="172"/>
      <c r="AC88" s="172"/>
      <c r="AD88" s="172"/>
      <c r="AE88" s="171"/>
      <c r="AF88" s="171"/>
      <c r="AG88" s="171"/>
      <c r="AH88" s="171"/>
      <c r="AI88" s="171"/>
      <c r="AJ88" s="171"/>
    </row>
    <row r="89" spans="1:36" x14ac:dyDescent="0.2">
      <c r="A89" s="2"/>
      <c r="B89" s="2"/>
      <c r="C89" s="2"/>
      <c r="D89" s="2"/>
      <c r="E89" s="2"/>
      <c r="F89" s="2"/>
      <c r="G89" s="2"/>
      <c r="H89" s="2"/>
      <c r="I89" s="2"/>
      <c r="J89" s="2"/>
      <c r="K89" s="2"/>
      <c r="L89" s="2"/>
      <c r="M89" s="172"/>
      <c r="N89" s="172"/>
      <c r="O89" s="172"/>
      <c r="P89" s="2"/>
      <c r="Q89" s="172"/>
      <c r="R89" s="172"/>
      <c r="S89" s="172"/>
      <c r="T89" s="2"/>
      <c r="U89" s="172"/>
      <c r="V89" s="172"/>
      <c r="W89" s="172"/>
      <c r="X89" s="172"/>
      <c r="Y89" s="172"/>
      <c r="Z89" s="172"/>
      <c r="AA89" s="172"/>
      <c r="AB89" s="172"/>
      <c r="AC89" s="172"/>
      <c r="AD89" s="172"/>
      <c r="AE89" s="171"/>
      <c r="AF89" s="171"/>
      <c r="AG89" s="171"/>
      <c r="AH89" s="171"/>
      <c r="AI89" s="171"/>
      <c r="AJ89" s="171"/>
    </row>
    <row r="90" spans="1:36" x14ac:dyDescent="0.2">
      <c r="A90" s="2"/>
      <c r="B90" s="2"/>
      <c r="C90" s="2"/>
      <c r="D90" s="2"/>
      <c r="E90" s="2"/>
      <c r="F90" s="2"/>
      <c r="G90" s="2"/>
      <c r="H90" s="2"/>
      <c r="I90" s="2"/>
      <c r="J90" s="2"/>
      <c r="K90" s="2"/>
      <c r="L90" s="2"/>
      <c r="M90" s="172"/>
      <c r="N90" s="172"/>
      <c r="O90" s="172"/>
      <c r="P90" s="2"/>
      <c r="Q90" s="172"/>
      <c r="R90" s="172"/>
      <c r="S90" s="172"/>
      <c r="T90" s="2"/>
      <c r="U90" s="172"/>
      <c r="V90" s="172"/>
      <c r="W90" s="172"/>
      <c r="X90" s="172"/>
      <c r="Y90" s="172"/>
      <c r="Z90" s="172"/>
      <c r="AA90" s="172"/>
      <c r="AB90" s="172"/>
      <c r="AC90" s="172"/>
      <c r="AD90" s="172"/>
      <c r="AE90" s="171"/>
      <c r="AF90" s="171"/>
      <c r="AG90" s="171"/>
      <c r="AH90" s="171"/>
      <c r="AI90" s="171"/>
      <c r="AJ90" s="171"/>
    </row>
    <row r="91" spans="1:36" x14ac:dyDescent="0.2">
      <c r="A91" s="2"/>
      <c r="B91" s="2"/>
      <c r="C91" s="2"/>
      <c r="D91" s="2"/>
      <c r="E91" s="2"/>
      <c r="F91" s="2"/>
      <c r="G91" s="2"/>
      <c r="H91" s="2"/>
      <c r="I91" s="2"/>
      <c r="J91" s="2"/>
      <c r="K91" s="2"/>
      <c r="L91" s="2"/>
      <c r="M91" s="172"/>
      <c r="N91" s="172"/>
      <c r="O91" s="172"/>
      <c r="P91" s="2"/>
      <c r="Q91" s="172"/>
      <c r="R91" s="172"/>
      <c r="S91" s="172"/>
      <c r="T91" s="2"/>
      <c r="U91" s="172"/>
      <c r="V91" s="172"/>
      <c r="W91" s="172"/>
      <c r="X91" s="172"/>
      <c r="Y91" s="172"/>
      <c r="Z91" s="172"/>
      <c r="AA91" s="172"/>
      <c r="AB91" s="172"/>
      <c r="AC91" s="172"/>
      <c r="AD91" s="172"/>
      <c r="AE91" s="171"/>
      <c r="AF91" s="171"/>
      <c r="AG91" s="171"/>
      <c r="AH91" s="171"/>
      <c r="AI91" s="171"/>
      <c r="AJ91" s="171"/>
    </row>
    <row r="92" spans="1:36" x14ac:dyDescent="0.2">
      <c r="A92" s="2"/>
      <c r="B92" s="2"/>
      <c r="C92" s="2"/>
      <c r="D92" s="2"/>
      <c r="E92" s="2"/>
      <c r="F92" s="2"/>
      <c r="G92" s="2"/>
      <c r="H92" s="2"/>
      <c r="I92" s="2"/>
      <c r="J92" s="2"/>
      <c r="K92" s="2"/>
      <c r="L92" s="2"/>
      <c r="M92" s="172"/>
      <c r="N92" s="172"/>
      <c r="O92" s="172"/>
      <c r="P92" s="2"/>
      <c r="Q92" s="172"/>
      <c r="R92" s="172"/>
      <c r="S92" s="172"/>
      <c r="T92" s="2"/>
      <c r="U92" s="172"/>
      <c r="V92" s="172"/>
      <c r="W92" s="172"/>
      <c r="X92" s="172"/>
      <c r="Y92" s="172"/>
      <c r="Z92" s="172"/>
      <c r="AA92" s="172"/>
      <c r="AB92" s="172"/>
      <c r="AC92" s="172"/>
      <c r="AD92" s="172"/>
      <c r="AE92" s="171"/>
      <c r="AF92" s="171"/>
      <c r="AG92" s="171"/>
      <c r="AH92" s="171"/>
      <c r="AI92" s="171"/>
      <c r="AJ92" s="171"/>
    </row>
    <row r="93" spans="1:36" x14ac:dyDescent="0.2">
      <c r="A93" s="2"/>
      <c r="B93" s="2"/>
      <c r="C93" s="2"/>
      <c r="D93" s="2"/>
      <c r="E93" s="2"/>
      <c r="F93" s="2"/>
      <c r="G93" s="2"/>
      <c r="H93" s="2"/>
      <c r="I93" s="2"/>
      <c r="J93" s="2"/>
      <c r="K93" s="2"/>
      <c r="L93" s="2"/>
      <c r="M93" s="172"/>
      <c r="N93" s="172"/>
      <c r="O93" s="172"/>
      <c r="P93" s="2"/>
      <c r="Q93" s="172"/>
      <c r="R93" s="172"/>
      <c r="S93" s="172"/>
      <c r="T93" s="2"/>
      <c r="U93" s="172"/>
      <c r="V93" s="172"/>
      <c r="W93" s="172"/>
      <c r="X93" s="172"/>
      <c r="Y93" s="172"/>
      <c r="Z93" s="172"/>
      <c r="AA93" s="172"/>
      <c r="AB93" s="172"/>
      <c r="AC93" s="172"/>
      <c r="AD93" s="172"/>
      <c r="AE93" s="171"/>
      <c r="AF93" s="171"/>
      <c r="AG93" s="171"/>
      <c r="AH93" s="171"/>
      <c r="AI93" s="171"/>
      <c r="AJ93" s="171"/>
    </row>
    <row r="94" spans="1:36" x14ac:dyDescent="0.2">
      <c r="A94" s="2"/>
      <c r="B94" s="2"/>
      <c r="C94" s="2"/>
      <c r="D94" s="2"/>
      <c r="E94" s="2"/>
      <c r="F94" s="2"/>
      <c r="G94" s="2"/>
      <c r="H94" s="2"/>
      <c r="I94" s="2"/>
      <c r="J94" s="2"/>
      <c r="K94" s="2"/>
      <c r="L94" s="2"/>
      <c r="M94" s="172"/>
      <c r="N94" s="172"/>
      <c r="O94" s="172"/>
      <c r="P94" s="2"/>
      <c r="Q94" s="172"/>
      <c r="R94" s="172"/>
      <c r="S94" s="172"/>
      <c r="T94" s="2"/>
      <c r="U94" s="172"/>
      <c r="V94" s="172"/>
      <c r="W94" s="172"/>
      <c r="X94" s="172"/>
      <c r="Y94" s="172"/>
      <c r="Z94" s="172"/>
      <c r="AA94" s="172"/>
      <c r="AB94" s="172"/>
      <c r="AC94" s="172"/>
      <c r="AD94" s="172"/>
      <c r="AE94" s="171"/>
      <c r="AF94" s="171"/>
      <c r="AG94" s="171"/>
      <c r="AH94" s="171"/>
      <c r="AI94" s="171"/>
      <c r="AJ94" s="171"/>
    </row>
    <row r="95" spans="1:36" x14ac:dyDescent="0.2">
      <c r="A95" s="2"/>
      <c r="B95" s="2"/>
      <c r="C95" s="2"/>
      <c r="D95" s="2"/>
      <c r="E95" s="2"/>
      <c r="F95" s="2"/>
      <c r="G95" s="2"/>
      <c r="H95" s="2"/>
      <c r="I95" s="2"/>
      <c r="J95" s="2"/>
      <c r="K95" s="2"/>
      <c r="L95" s="2"/>
      <c r="M95" s="172"/>
      <c r="N95" s="172"/>
      <c r="O95" s="172"/>
      <c r="P95" s="2"/>
      <c r="Q95" s="172"/>
      <c r="R95" s="172"/>
      <c r="S95" s="172"/>
      <c r="T95" s="2"/>
      <c r="U95" s="172"/>
      <c r="V95" s="172"/>
      <c r="W95" s="172"/>
      <c r="X95" s="172"/>
      <c r="Y95" s="172"/>
      <c r="Z95" s="172"/>
      <c r="AA95" s="172"/>
      <c r="AB95" s="172"/>
      <c r="AC95" s="172"/>
      <c r="AD95" s="172"/>
      <c r="AE95" s="171"/>
      <c r="AF95" s="171"/>
      <c r="AG95" s="171"/>
      <c r="AH95" s="171"/>
      <c r="AI95" s="171"/>
      <c r="AJ95" s="171"/>
    </row>
    <row r="96" spans="1:36" x14ac:dyDescent="0.2">
      <c r="A96" s="2"/>
      <c r="B96" s="2"/>
      <c r="C96" s="2"/>
      <c r="D96" s="2"/>
      <c r="E96" s="2"/>
      <c r="F96" s="2"/>
      <c r="G96" s="2"/>
      <c r="H96" s="2"/>
      <c r="I96" s="2"/>
      <c r="J96" s="2"/>
      <c r="K96" s="2"/>
      <c r="L96" s="2"/>
      <c r="M96" s="172"/>
      <c r="N96" s="172"/>
      <c r="O96" s="172"/>
      <c r="P96" s="2"/>
      <c r="Q96" s="172"/>
      <c r="R96" s="172"/>
      <c r="S96" s="172"/>
      <c r="T96" s="2"/>
      <c r="U96" s="172"/>
      <c r="V96" s="172"/>
      <c r="W96" s="172"/>
      <c r="X96" s="172"/>
      <c r="Y96" s="172"/>
      <c r="Z96" s="172"/>
      <c r="AA96" s="172"/>
      <c r="AB96" s="172"/>
      <c r="AC96" s="172"/>
      <c r="AD96" s="172"/>
      <c r="AE96" s="171"/>
      <c r="AF96" s="171"/>
      <c r="AG96" s="171"/>
      <c r="AH96" s="171"/>
      <c r="AI96" s="171"/>
      <c r="AJ96" s="171"/>
    </row>
    <row r="97" spans="1:36" x14ac:dyDescent="0.2">
      <c r="A97" s="2"/>
      <c r="B97" s="2"/>
      <c r="C97" s="2"/>
      <c r="D97" s="2"/>
      <c r="E97" s="2"/>
      <c r="F97" s="2"/>
      <c r="G97" s="2"/>
      <c r="H97" s="2"/>
      <c r="I97" s="2"/>
      <c r="J97" s="2"/>
      <c r="K97" s="2"/>
      <c r="L97" s="2"/>
      <c r="M97" s="172"/>
      <c r="N97" s="172"/>
      <c r="O97" s="172"/>
      <c r="P97" s="2"/>
      <c r="Q97" s="172"/>
      <c r="R97" s="172"/>
      <c r="S97" s="172"/>
      <c r="T97" s="2"/>
      <c r="U97" s="172"/>
      <c r="V97" s="172"/>
      <c r="W97" s="172"/>
      <c r="X97" s="172"/>
      <c r="Y97" s="172"/>
      <c r="Z97" s="172"/>
      <c r="AA97" s="172"/>
      <c r="AB97" s="172"/>
      <c r="AC97" s="172"/>
      <c r="AD97" s="172"/>
      <c r="AE97" s="171"/>
      <c r="AF97" s="171"/>
      <c r="AG97" s="171"/>
      <c r="AH97" s="171"/>
      <c r="AI97" s="171"/>
      <c r="AJ97" s="171"/>
    </row>
    <row r="98" spans="1:36" x14ac:dyDescent="0.2">
      <c r="A98" s="2"/>
      <c r="B98" s="2"/>
      <c r="C98" s="2"/>
      <c r="D98" s="2"/>
      <c r="E98" s="2"/>
      <c r="F98" s="2"/>
      <c r="G98" s="2"/>
      <c r="H98" s="2"/>
      <c r="I98" s="2"/>
      <c r="J98" s="2"/>
      <c r="K98" s="2"/>
      <c r="L98" s="2"/>
      <c r="M98" s="172"/>
      <c r="N98" s="172"/>
      <c r="O98" s="172"/>
      <c r="P98" s="2"/>
      <c r="Q98" s="172"/>
      <c r="R98" s="172"/>
      <c r="S98" s="172"/>
      <c r="T98" s="2"/>
      <c r="U98" s="172"/>
      <c r="V98" s="172"/>
      <c r="W98" s="172"/>
      <c r="X98" s="172"/>
      <c r="Y98" s="172"/>
      <c r="Z98" s="172"/>
      <c r="AA98" s="172"/>
      <c r="AB98" s="172"/>
      <c r="AC98" s="172"/>
      <c r="AD98" s="172"/>
      <c r="AE98" s="171"/>
      <c r="AF98" s="171"/>
      <c r="AG98" s="171"/>
      <c r="AH98" s="171"/>
      <c r="AI98" s="171"/>
      <c r="AJ98" s="171"/>
    </row>
    <row r="99" spans="1:36" x14ac:dyDescent="0.2">
      <c r="A99" s="2"/>
      <c r="B99" s="2"/>
      <c r="C99" s="2"/>
      <c r="D99" s="2"/>
      <c r="E99" s="2"/>
      <c r="F99" s="2"/>
      <c r="G99" s="2"/>
      <c r="H99" s="2"/>
      <c r="I99" s="2"/>
      <c r="J99" s="2"/>
      <c r="K99" s="2"/>
      <c r="L99" s="2"/>
      <c r="M99" s="172"/>
      <c r="N99" s="172"/>
      <c r="O99" s="172"/>
      <c r="P99" s="2"/>
      <c r="Q99" s="172"/>
      <c r="R99" s="172"/>
      <c r="S99" s="172"/>
      <c r="T99" s="2"/>
      <c r="U99" s="172"/>
      <c r="V99" s="172"/>
      <c r="W99" s="172"/>
      <c r="X99" s="172"/>
      <c r="Y99" s="172"/>
      <c r="Z99" s="172"/>
      <c r="AA99" s="172"/>
      <c r="AB99" s="172"/>
      <c r="AC99" s="172"/>
      <c r="AD99" s="172"/>
      <c r="AE99" s="171"/>
      <c r="AF99" s="171"/>
      <c r="AG99" s="171"/>
      <c r="AH99" s="171"/>
      <c r="AI99" s="171"/>
      <c r="AJ99" s="171"/>
    </row>
    <row r="100" spans="1:36" x14ac:dyDescent="0.2">
      <c r="A100" s="2"/>
      <c r="B100" s="2"/>
      <c r="C100" s="2"/>
      <c r="D100" s="2"/>
      <c r="E100" s="2"/>
      <c r="F100" s="2"/>
      <c r="G100" s="2"/>
      <c r="H100" s="2"/>
      <c r="I100" s="2"/>
      <c r="J100" s="2"/>
      <c r="K100" s="2"/>
      <c r="L100" s="2"/>
      <c r="M100" s="172"/>
      <c r="N100" s="172"/>
      <c r="O100" s="172"/>
      <c r="P100" s="2"/>
      <c r="Q100" s="172"/>
      <c r="R100" s="172"/>
      <c r="S100" s="172"/>
      <c r="T100" s="2"/>
      <c r="U100" s="172"/>
      <c r="V100" s="172"/>
      <c r="W100" s="172"/>
      <c r="X100" s="172"/>
      <c r="Y100" s="172"/>
      <c r="Z100" s="172"/>
      <c r="AA100" s="172"/>
      <c r="AB100" s="172"/>
      <c r="AC100" s="172"/>
      <c r="AD100" s="172"/>
      <c r="AE100" s="171"/>
      <c r="AF100" s="171"/>
      <c r="AG100" s="171"/>
      <c r="AH100" s="171"/>
      <c r="AI100" s="171"/>
      <c r="AJ100" s="171"/>
    </row>
    <row r="101" spans="1:36" x14ac:dyDescent="0.2">
      <c r="A101" s="2"/>
      <c r="B101" s="2"/>
      <c r="C101" s="2"/>
      <c r="D101" s="2"/>
      <c r="E101" s="2"/>
      <c r="F101" s="2"/>
      <c r="G101" s="2"/>
      <c r="H101" s="2"/>
      <c r="I101" s="2"/>
      <c r="J101" s="2"/>
      <c r="K101" s="2"/>
      <c r="L101" s="2"/>
      <c r="M101" s="172"/>
      <c r="N101" s="172"/>
      <c r="O101" s="172"/>
      <c r="P101" s="2"/>
      <c r="Q101" s="172"/>
      <c r="R101" s="172"/>
      <c r="S101" s="172"/>
      <c r="T101" s="2"/>
      <c r="U101" s="172"/>
      <c r="V101" s="172"/>
      <c r="W101" s="172"/>
      <c r="X101" s="172"/>
      <c r="Y101" s="172"/>
      <c r="Z101" s="172"/>
      <c r="AA101" s="172"/>
      <c r="AB101" s="172"/>
      <c r="AC101" s="172"/>
      <c r="AD101" s="172"/>
      <c r="AE101" s="171"/>
      <c r="AF101" s="171"/>
      <c r="AG101" s="171"/>
      <c r="AH101" s="171"/>
      <c r="AI101" s="171"/>
      <c r="AJ101" s="171"/>
    </row>
    <row r="102" spans="1:36" x14ac:dyDescent="0.2">
      <c r="A102" s="2"/>
      <c r="B102" s="2"/>
      <c r="C102" s="2"/>
      <c r="D102" s="2"/>
      <c r="E102" s="2"/>
      <c r="F102" s="2"/>
      <c r="G102" s="2"/>
      <c r="H102" s="2"/>
      <c r="I102" s="2"/>
      <c r="J102" s="2"/>
      <c r="K102" s="2"/>
      <c r="L102" s="2"/>
      <c r="M102" s="172"/>
      <c r="N102" s="172"/>
      <c r="O102" s="172"/>
      <c r="P102" s="2"/>
      <c r="Q102" s="172"/>
      <c r="R102" s="172"/>
      <c r="S102" s="172"/>
      <c r="T102" s="2"/>
      <c r="U102" s="172"/>
      <c r="V102" s="172"/>
      <c r="W102" s="172"/>
      <c r="X102" s="172"/>
      <c r="Y102" s="172"/>
      <c r="Z102" s="172"/>
      <c r="AA102" s="172"/>
      <c r="AB102" s="172"/>
      <c r="AC102" s="172"/>
      <c r="AD102" s="172"/>
      <c r="AE102" s="171"/>
      <c r="AF102" s="171"/>
      <c r="AG102" s="171"/>
      <c r="AH102" s="171"/>
      <c r="AI102" s="171"/>
      <c r="AJ102" s="171"/>
    </row>
    <row r="103" spans="1:36" x14ac:dyDescent="0.2">
      <c r="A103" s="2"/>
      <c r="B103" s="2"/>
      <c r="C103" s="2"/>
      <c r="D103" s="2"/>
      <c r="E103" s="2"/>
      <c r="F103" s="2"/>
      <c r="G103" s="2"/>
      <c r="H103" s="2"/>
      <c r="I103" s="2"/>
      <c r="J103" s="2"/>
      <c r="K103" s="2"/>
      <c r="L103" s="2"/>
      <c r="M103" s="172"/>
      <c r="N103" s="172"/>
      <c r="O103" s="172"/>
      <c r="P103" s="2"/>
      <c r="Q103" s="172"/>
      <c r="R103" s="172"/>
      <c r="S103" s="172"/>
      <c r="T103" s="2"/>
      <c r="U103" s="172"/>
      <c r="V103" s="172"/>
      <c r="W103" s="172"/>
      <c r="X103" s="172"/>
      <c r="Y103" s="172"/>
      <c r="Z103" s="172"/>
      <c r="AA103" s="172"/>
      <c r="AB103" s="172"/>
      <c r="AC103" s="172"/>
      <c r="AD103" s="172"/>
      <c r="AE103" s="171"/>
      <c r="AF103" s="171"/>
      <c r="AG103" s="171"/>
      <c r="AH103" s="171"/>
      <c r="AI103" s="171"/>
      <c r="AJ103" s="171"/>
    </row>
    <row r="104" spans="1:36" x14ac:dyDescent="0.2">
      <c r="A104" s="2"/>
      <c r="B104" s="2"/>
      <c r="C104" s="2"/>
      <c r="D104" s="2"/>
      <c r="E104" s="2"/>
      <c r="F104" s="2"/>
      <c r="G104" s="2"/>
      <c r="H104" s="2"/>
      <c r="I104" s="2"/>
      <c r="J104" s="2"/>
      <c r="K104" s="2"/>
      <c r="L104" s="2"/>
      <c r="M104" s="172"/>
      <c r="N104" s="172"/>
      <c r="O104" s="172"/>
      <c r="P104" s="2"/>
      <c r="Q104" s="172"/>
      <c r="R104" s="172"/>
      <c r="S104" s="172"/>
      <c r="T104" s="2"/>
      <c r="U104" s="172"/>
      <c r="V104" s="172"/>
      <c r="W104" s="172"/>
      <c r="X104" s="172"/>
      <c r="Y104" s="172"/>
      <c r="Z104" s="172"/>
      <c r="AA104" s="172"/>
      <c r="AB104" s="172"/>
      <c r="AC104" s="172"/>
      <c r="AD104" s="172"/>
      <c r="AE104" s="171"/>
      <c r="AF104" s="171"/>
      <c r="AG104" s="171"/>
      <c r="AH104" s="171"/>
      <c r="AI104" s="171"/>
      <c r="AJ104" s="171"/>
    </row>
    <row r="105" spans="1:36" x14ac:dyDescent="0.2">
      <c r="A105" s="2"/>
      <c r="B105" s="2"/>
      <c r="C105" s="2"/>
      <c r="D105" s="2"/>
      <c r="E105" s="2"/>
      <c r="F105" s="2"/>
      <c r="G105" s="2"/>
      <c r="H105" s="2"/>
      <c r="I105" s="2"/>
      <c r="J105" s="2"/>
      <c r="K105" s="2"/>
      <c r="L105" s="2"/>
      <c r="M105" s="172"/>
      <c r="N105" s="172"/>
      <c r="O105" s="172"/>
      <c r="P105" s="2"/>
      <c r="Q105" s="172"/>
      <c r="R105" s="172"/>
      <c r="S105" s="172"/>
      <c r="T105" s="2"/>
      <c r="U105" s="172"/>
      <c r="V105" s="172"/>
      <c r="W105" s="172"/>
      <c r="X105" s="172"/>
      <c r="Y105" s="172"/>
      <c r="Z105" s="172"/>
      <c r="AA105" s="172"/>
      <c r="AB105" s="172"/>
      <c r="AC105" s="172"/>
      <c r="AD105" s="172"/>
      <c r="AE105" s="171"/>
      <c r="AF105" s="171"/>
      <c r="AG105" s="171"/>
      <c r="AH105" s="171"/>
      <c r="AI105" s="171"/>
      <c r="AJ105" s="171"/>
    </row>
    <row r="106" spans="1:36" x14ac:dyDescent="0.2">
      <c r="A106" s="2"/>
      <c r="B106" s="2"/>
      <c r="C106" s="2"/>
      <c r="D106" s="2"/>
      <c r="E106" s="2"/>
      <c r="F106" s="2"/>
      <c r="G106" s="2"/>
      <c r="H106" s="2"/>
      <c r="I106" s="2"/>
      <c r="J106" s="2"/>
      <c r="K106" s="2"/>
      <c r="L106" s="2"/>
      <c r="M106" s="172"/>
      <c r="N106" s="172"/>
      <c r="O106" s="172"/>
      <c r="P106" s="2"/>
      <c r="Q106" s="172"/>
      <c r="R106" s="172"/>
      <c r="S106" s="172"/>
      <c r="T106" s="2"/>
      <c r="U106" s="172"/>
      <c r="V106" s="172"/>
      <c r="W106" s="172"/>
      <c r="X106" s="172"/>
      <c r="Y106" s="172"/>
      <c r="Z106" s="172"/>
      <c r="AA106" s="172"/>
      <c r="AB106" s="172"/>
      <c r="AC106" s="172"/>
      <c r="AD106" s="172"/>
      <c r="AE106" s="171"/>
      <c r="AF106" s="171"/>
      <c r="AG106" s="171"/>
      <c r="AH106" s="171"/>
      <c r="AI106" s="171"/>
      <c r="AJ106" s="171"/>
    </row>
    <row r="107" spans="1:36" x14ac:dyDescent="0.2">
      <c r="A107" s="2"/>
      <c r="B107" s="2"/>
      <c r="C107" s="2"/>
      <c r="D107" s="2"/>
      <c r="E107" s="2"/>
      <c r="F107" s="2"/>
      <c r="G107" s="2"/>
      <c r="H107" s="2"/>
      <c r="I107" s="2"/>
      <c r="J107" s="2"/>
      <c r="K107" s="2"/>
      <c r="L107" s="2"/>
      <c r="M107" s="172"/>
      <c r="N107" s="172"/>
      <c r="O107" s="172"/>
      <c r="P107" s="2"/>
      <c r="Q107" s="172"/>
      <c r="R107" s="172"/>
      <c r="S107" s="172"/>
      <c r="T107" s="2"/>
      <c r="U107" s="172"/>
      <c r="V107" s="172"/>
      <c r="W107" s="172"/>
      <c r="X107" s="172"/>
      <c r="Y107" s="172"/>
      <c r="Z107" s="172"/>
      <c r="AA107" s="172"/>
      <c r="AB107" s="172"/>
      <c r="AC107" s="172"/>
      <c r="AD107" s="172"/>
      <c r="AE107" s="171"/>
      <c r="AF107" s="171"/>
      <c r="AG107" s="171"/>
      <c r="AH107" s="171"/>
      <c r="AI107" s="171"/>
      <c r="AJ107" s="171"/>
    </row>
    <row r="108" spans="1:36" x14ac:dyDescent="0.2">
      <c r="A108" s="2"/>
      <c r="B108" s="2"/>
      <c r="C108" s="2"/>
      <c r="D108" s="2"/>
      <c r="E108" s="2"/>
      <c r="F108" s="2"/>
      <c r="G108" s="2"/>
      <c r="H108" s="2"/>
      <c r="I108" s="2"/>
      <c r="J108" s="2"/>
      <c r="K108" s="2"/>
      <c r="L108" s="2"/>
      <c r="M108" s="172"/>
      <c r="N108" s="172"/>
      <c r="O108" s="172"/>
      <c r="P108" s="2"/>
      <c r="Q108" s="172"/>
      <c r="R108" s="172"/>
      <c r="S108" s="172"/>
      <c r="T108" s="2"/>
      <c r="U108" s="172"/>
      <c r="V108" s="172"/>
      <c r="W108" s="172"/>
      <c r="X108" s="172"/>
      <c r="Y108" s="172"/>
      <c r="Z108" s="172"/>
      <c r="AA108" s="172"/>
      <c r="AB108" s="172"/>
      <c r="AC108" s="172"/>
      <c r="AD108" s="172"/>
      <c r="AE108" s="171"/>
      <c r="AF108" s="171"/>
      <c r="AG108" s="171"/>
      <c r="AH108" s="171"/>
      <c r="AI108" s="171"/>
      <c r="AJ108" s="171"/>
    </row>
    <row r="109" spans="1:36" x14ac:dyDescent="0.2">
      <c r="A109" s="2"/>
      <c r="B109" s="2"/>
      <c r="C109" s="2"/>
      <c r="D109" s="2"/>
      <c r="E109" s="2"/>
      <c r="F109" s="2"/>
      <c r="G109" s="2"/>
      <c r="H109" s="2"/>
      <c r="I109" s="2"/>
      <c r="J109" s="2"/>
      <c r="K109" s="2"/>
      <c r="L109" s="2"/>
      <c r="M109" s="172"/>
      <c r="N109" s="172"/>
      <c r="O109" s="172"/>
      <c r="P109" s="2"/>
      <c r="Q109" s="172"/>
      <c r="R109" s="172"/>
      <c r="S109" s="172"/>
      <c r="T109" s="2"/>
      <c r="U109" s="172"/>
      <c r="V109" s="172"/>
      <c r="W109" s="172"/>
      <c r="X109" s="172"/>
      <c r="Y109" s="172"/>
      <c r="Z109" s="172"/>
      <c r="AA109" s="172"/>
      <c r="AB109" s="172"/>
      <c r="AC109" s="172"/>
      <c r="AD109" s="172"/>
      <c r="AE109" s="171"/>
      <c r="AF109" s="171"/>
      <c r="AG109" s="171"/>
      <c r="AH109" s="171"/>
      <c r="AI109" s="171"/>
      <c r="AJ109" s="171"/>
    </row>
    <row r="110" spans="1:36" x14ac:dyDescent="0.2">
      <c r="A110" s="2"/>
      <c r="B110" s="2"/>
      <c r="C110" s="2"/>
      <c r="D110" s="2"/>
      <c r="E110" s="2"/>
      <c r="F110" s="2"/>
      <c r="G110" s="2"/>
      <c r="H110" s="2"/>
      <c r="I110" s="2"/>
      <c r="J110" s="2"/>
      <c r="K110" s="2"/>
      <c r="L110" s="2"/>
      <c r="M110" s="172"/>
      <c r="N110" s="172"/>
      <c r="O110" s="172"/>
      <c r="P110" s="2"/>
      <c r="Q110" s="172"/>
      <c r="R110" s="172"/>
      <c r="S110" s="172"/>
      <c r="T110" s="2"/>
      <c r="U110" s="172"/>
      <c r="V110" s="172"/>
      <c r="W110" s="172"/>
      <c r="X110" s="172"/>
      <c r="Y110" s="172"/>
      <c r="Z110" s="172"/>
      <c r="AA110" s="172"/>
      <c r="AB110" s="172"/>
      <c r="AC110" s="172"/>
      <c r="AD110" s="172"/>
      <c r="AE110" s="171"/>
      <c r="AF110" s="171"/>
      <c r="AG110" s="171"/>
      <c r="AH110" s="171"/>
      <c r="AI110" s="171"/>
      <c r="AJ110" s="171"/>
    </row>
    <row r="111" spans="1:36" x14ac:dyDescent="0.2">
      <c r="A111" s="2"/>
      <c r="B111" s="2"/>
      <c r="C111" s="2"/>
      <c r="D111" s="2"/>
      <c r="E111" s="2"/>
      <c r="F111" s="2"/>
      <c r="G111" s="2"/>
      <c r="H111" s="2"/>
      <c r="I111" s="2"/>
      <c r="J111" s="2"/>
      <c r="K111" s="2"/>
      <c r="L111" s="2"/>
      <c r="M111" s="172"/>
      <c r="N111" s="172"/>
      <c r="O111" s="172"/>
      <c r="P111" s="2"/>
      <c r="Q111" s="172"/>
      <c r="R111" s="172"/>
      <c r="S111" s="172"/>
      <c r="T111" s="2"/>
      <c r="U111" s="172"/>
      <c r="V111" s="172"/>
      <c r="W111" s="172"/>
      <c r="X111" s="172"/>
      <c r="Y111" s="172"/>
      <c r="Z111" s="172"/>
      <c r="AA111" s="172"/>
      <c r="AB111" s="172"/>
      <c r="AC111" s="172"/>
      <c r="AD111" s="172"/>
      <c r="AE111" s="171"/>
      <c r="AF111" s="171"/>
      <c r="AG111" s="171"/>
      <c r="AH111" s="171"/>
      <c r="AI111" s="171"/>
      <c r="AJ111" s="171"/>
    </row>
    <row r="112" spans="1:36" x14ac:dyDescent="0.2">
      <c r="A112" s="2"/>
      <c r="B112" s="2"/>
      <c r="C112" s="2"/>
      <c r="D112" s="2"/>
      <c r="E112" s="2"/>
      <c r="F112" s="2"/>
      <c r="G112" s="2"/>
      <c r="H112" s="2"/>
      <c r="I112" s="2"/>
      <c r="J112" s="2"/>
      <c r="K112" s="2"/>
      <c r="L112" s="2"/>
      <c r="M112" s="172"/>
      <c r="N112" s="172"/>
      <c r="O112" s="172"/>
      <c r="P112" s="2"/>
      <c r="Q112" s="172"/>
      <c r="R112" s="172"/>
      <c r="S112" s="172"/>
      <c r="T112" s="2"/>
      <c r="U112" s="172"/>
      <c r="V112" s="172"/>
      <c r="W112" s="172"/>
      <c r="X112" s="172"/>
      <c r="Y112" s="172"/>
      <c r="Z112" s="172"/>
      <c r="AA112" s="172"/>
      <c r="AB112" s="172"/>
      <c r="AC112" s="172"/>
      <c r="AD112" s="172"/>
      <c r="AE112" s="171"/>
      <c r="AF112" s="171"/>
      <c r="AG112" s="171"/>
      <c r="AH112" s="171"/>
      <c r="AI112" s="171"/>
      <c r="AJ112" s="171"/>
    </row>
    <row r="113" spans="1:36" x14ac:dyDescent="0.2">
      <c r="A113" s="2"/>
      <c r="B113" s="2"/>
      <c r="C113" s="2"/>
      <c r="D113" s="2"/>
      <c r="E113" s="2"/>
      <c r="F113" s="2"/>
      <c r="G113" s="2"/>
      <c r="H113" s="2"/>
      <c r="I113" s="2"/>
      <c r="J113" s="2"/>
      <c r="K113" s="2"/>
      <c r="L113" s="2"/>
      <c r="M113" s="172"/>
      <c r="N113" s="172"/>
      <c r="O113" s="172"/>
      <c r="P113" s="2"/>
      <c r="Q113" s="172"/>
      <c r="R113" s="172"/>
      <c r="S113" s="172"/>
      <c r="T113" s="2"/>
      <c r="U113" s="172"/>
      <c r="V113" s="172"/>
      <c r="W113" s="172"/>
      <c r="X113" s="172"/>
      <c r="Y113" s="172"/>
      <c r="Z113" s="172"/>
      <c r="AA113" s="172"/>
      <c r="AB113" s="172"/>
      <c r="AC113" s="172"/>
      <c r="AD113" s="172"/>
      <c r="AE113" s="171"/>
      <c r="AF113" s="171"/>
      <c r="AG113" s="171"/>
      <c r="AH113" s="171"/>
      <c r="AI113" s="171"/>
      <c r="AJ113" s="171"/>
    </row>
    <row r="114" spans="1:36" x14ac:dyDescent="0.2">
      <c r="A114" s="2"/>
      <c r="B114" s="2"/>
      <c r="C114" s="2"/>
      <c r="D114" s="2"/>
      <c r="E114" s="2"/>
      <c r="F114" s="2"/>
      <c r="G114" s="2"/>
      <c r="H114" s="2"/>
      <c r="I114" s="2"/>
      <c r="J114" s="2"/>
      <c r="K114" s="2"/>
      <c r="L114" s="2"/>
      <c r="M114" s="172"/>
      <c r="N114" s="172"/>
      <c r="O114" s="172"/>
      <c r="P114" s="2"/>
      <c r="Q114" s="172"/>
      <c r="R114" s="172"/>
      <c r="S114" s="172"/>
      <c r="T114" s="2"/>
      <c r="U114" s="172"/>
      <c r="V114" s="172"/>
      <c r="W114" s="172"/>
      <c r="X114" s="172"/>
      <c r="Y114" s="172"/>
      <c r="Z114" s="172"/>
      <c r="AA114" s="172"/>
      <c r="AB114" s="172"/>
      <c r="AC114" s="172"/>
      <c r="AD114" s="172"/>
      <c r="AE114" s="171"/>
      <c r="AF114" s="171"/>
      <c r="AG114" s="171"/>
      <c r="AH114" s="171"/>
      <c r="AI114" s="171"/>
      <c r="AJ114" s="171"/>
    </row>
    <row r="115" spans="1:36" x14ac:dyDescent="0.2">
      <c r="A115" s="2"/>
      <c r="B115" s="2"/>
      <c r="C115" s="2"/>
      <c r="D115" s="2"/>
      <c r="E115" s="2"/>
      <c r="F115" s="2"/>
      <c r="G115" s="2"/>
      <c r="H115" s="2"/>
      <c r="I115" s="2"/>
      <c r="J115" s="2"/>
      <c r="K115" s="2"/>
      <c r="L115" s="2"/>
      <c r="M115" s="172"/>
      <c r="N115" s="172"/>
      <c r="O115" s="172"/>
      <c r="P115" s="2"/>
      <c r="Q115" s="172"/>
      <c r="R115" s="172"/>
      <c r="S115" s="172"/>
      <c r="T115" s="2"/>
      <c r="U115" s="172"/>
      <c r="V115" s="172"/>
      <c r="W115" s="172"/>
      <c r="X115" s="172"/>
      <c r="Y115" s="172"/>
      <c r="Z115" s="172"/>
      <c r="AA115" s="172"/>
      <c r="AB115" s="172"/>
      <c r="AC115" s="172"/>
      <c r="AD115" s="172"/>
      <c r="AE115" s="171"/>
      <c r="AF115" s="171"/>
      <c r="AG115" s="171"/>
      <c r="AH115" s="171"/>
      <c r="AI115" s="171"/>
      <c r="AJ115" s="171"/>
    </row>
    <row r="116" spans="1:36" x14ac:dyDescent="0.2">
      <c r="A116" s="2"/>
      <c r="B116" s="2"/>
      <c r="C116" s="2"/>
      <c r="D116" s="2"/>
      <c r="E116" s="2"/>
      <c r="F116" s="2"/>
      <c r="G116" s="2"/>
      <c r="H116" s="2"/>
      <c r="I116" s="2"/>
      <c r="J116" s="2"/>
      <c r="K116" s="2"/>
      <c r="L116" s="2"/>
      <c r="M116" s="172"/>
      <c r="N116" s="172"/>
      <c r="O116" s="172"/>
      <c r="P116" s="2"/>
      <c r="Q116" s="172"/>
      <c r="R116" s="172"/>
      <c r="S116" s="172"/>
      <c r="T116" s="2"/>
      <c r="U116" s="172"/>
      <c r="V116" s="172"/>
      <c r="W116" s="172"/>
      <c r="X116" s="172"/>
      <c r="Y116" s="172"/>
      <c r="Z116" s="172"/>
      <c r="AA116" s="172"/>
      <c r="AB116" s="172"/>
      <c r="AC116" s="172"/>
      <c r="AD116" s="172"/>
      <c r="AE116" s="171"/>
      <c r="AF116" s="171"/>
      <c r="AG116" s="171"/>
      <c r="AH116" s="171"/>
      <c r="AI116" s="171"/>
      <c r="AJ116" s="171"/>
    </row>
    <row r="117" spans="1:36" x14ac:dyDescent="0.2">
      <c r="A117" s="2"/>
      <c r="B117" s="2"/>
      <c r="C117" s="2"/>
      <c r="D117" s="2"/>
      <c r="E117" s="2"/>
      <c r="F117" s="2"/>
      <c r="G117" s="2"/>
      <c r="H117" s="2"/>
      <c r="I117" s="2"/>
      <c r="J117" s="2"/>
      <c r="K117" s="2"/>
      <c r="L117" s="2"/>
      <c r="M117" s="172"/>
      <c r="N117" s="172"/>
      <c r="O117" s="172"/>
      <c r="P117" s="2"/>
      <c r="Q117" s="172"/>
      <c r="R117" s="172"/>
      <c r="S117" s="172"/>
      <c r="T117" s="2"/>
      <c r="U117" s="172"/>
      <c r="V117" s="172"/>
      <c r="W117" s="172"/>
      <c r="X117" s="172"/>
      <c r="Y117" s="172"/>
      <c r="Z117" s="172"/>
      <c r="AA117" s="172"/>
      <c r="AB117" s="172"/>
      <c r="AC117" s="172"/>
      <c r="AD117" s="172"/>
      <c r="AE117" s="171"/>
      <c r="AF117" s="171"/>
      <c r="AG117" s="171"/>
      <c r="AH117" s="171"/>
      <c r="AI117" s="171"/>
      <c r="AJ117" s="171"/>
    </row>
    <row r="118" spans="1:36" x14ac:dyDescent="0.2">
      <c r="A118" s="2"/>
      <c r="B118" s="2"/>
      <c r="C118" s="2"/>
      <c r="D118" s="2"/>
      <c r="E118" s="2"/>
      <c r="F118" s="2"/>
      <c r="G118" s="2"/>
      <c r="H118" s="2"/>
      <c r="I118" s="2"/>
      <c r="J118" s="2"/>
      <c r="K118" s="2"/>
      <c r="L118" s="2"/>
      <c r="M118" s="172"/>
      <c r="N118" s="172"/>
      <c r="O118" s="172"/>
      <c r="P118" s="2"/>
      <c r="Q118" s="172"/>
      <c r="R118" s="172"/>
      <c r="S118" s="172"/>
      <c r="T118" s="2"/>
      <c r="U118" s="172"/>
      <c r="V118" s="172"/>
      <c r="W118" s="172"/>
      <c r="X118" s="172"/>
      <c r="Y118" s="172"/>
      <c r="Z118" s="172"/>
      <c r="AA118" s="172"/>
      <c r="AB118" s="172"/>
      <c r="AC118" s="172"/>
      <c r="AD118" s="172"/>
      <c r="AE118" s="171"/>
      <c r="AF118" s="171"/>
      <c r="AG118" s="171"/>
      <c r="AH118" s="171"/>
      <c r="AI118" s="171"/>
      <c r="AJ118" s="171"/>
    </row>
    <row r="119" spans="1:36" x14ac:dyDescent="0.2">
      <c r="A119" s="2"/>
      <c r="B119" s="2"/>
      <c r="C119" s="2"/>
      <c r="D119" s="2"/>
      <c r="E119" s="2"/>
      <c r="F119" s="2"/>
      <c r="G119" s="2"/>
      <c r="H119" s="2"/>
      <c r="I119" s="2"/>
      <c r="J119" s="2"/>
      <c r="K119" s="2"/>
      <c r="L119" s="2"/>
      <c r="M119" s="172"/>
      <c r="N119" s="172"/>
      <c r="O119" s="172"/>
      <c r="P119" s="2"/>
      <c r="Q119" s="172"/>
      <c r="R119" s="172"/>
      <c r="S119" s="172"/>
      <c r="T119" s="2"/>
      <c r="U119" s="172"/>
      <c r="V119" s="172"/>
      <c r="W119" s="172"/>
      <c r="X119" s="172"/>
      <c r="Y119" s="172"/>
      <c r="Z119" s="172"/>
      <c r="AA119" s="172"/>
      <c r="AB119" s="172"/>
      <c r="AC119" s="172"/>
      <c r="AD119" s="172"/>
      <c r="AE119" s="171"/>
      <c r="AF119" s="171"/>
      <c r="AG119" s="171"/>
      <c r="AH119" s="171"/>
      <c r="AI119" s="171"/>
      <c r="AJ119" s="171"/>
    </row>
    <row r="120" spans="1:36" x14ac:dyDescent="0.2">
      <c r="A120" s="2"/>
      <c r="B120" s="2"/>
      <c r="C120" s="2"/>
      <c r="D120" s="2"/>
      <c r="E120" s="2"/>
      <c r="F120" s="2"/>
      <c r="G120" s="2"/>
      <c r="H120" s="2"/>
      <c r="I120" s="2"/>
      <c r="J120" s="2"/>
      <c r="K120" s="2"/>
      <c r="L120" s="2"/>
      <c r="M120" s="172"/>
      <c r="N120" s="172"/>
      <c r="O120" s="172"/>
      <c r="P120" s="2"/>
      <c r="Q120" s="172"/>
      <c r="R120" s="172"/>
      <c r="S120" s="172"/>
      <c r="T120" s="2"/>
      <c r="U120" s="172"/>
      <c r="V120" s="172"/>
      <c r="W120" s="172"/>
      <c r="X120" s="172"/>
      <c r="Y120" s="172"/>
      <c r="Z120" s="172"/>
      <c r="AA120" s="172"/>
      <c r="AB120" s="172"/>
      <c r="AC120" s="172"/>
      <c r="AD120" s="172"/>
      <c r="AE120" s="171"/>
      <c r="AF120" s="171"/>
      <c r="AG120" s="171"/>
      <c r="AH120" s="171"/>
      <c r="AI120" s="171"/>
      <c r="AJ120" s="171"/>
    </row>
    <row r="121" spans="1:36" x14ac:dyDescent="0.2">
      <c r="A121" s="2"/>
      <c r="B121" s="2"/>
      <c r="C121" s="2"/>
      <c r="D121" s="2"/>
      <c r="E121" s="2"/>
      <c r="F121" s="2"/>
      <c r="G121" s="2"/>
      <c r="H121" s="2"/>
      <c r="I121" s="2"/>
      <c r="J121" s="2"/>
      <c r="K121" s="2"/>
      <c r="L121" s="2"/>
      <c r="M121" s="172"/>
      <c r="N121" s="172"/>
      <c r="O121" s="172"/>
      <c r="P121" s="2"/>
      <c r="Q121" s="172"/>
      <c r="R121" s="172"/>
      <c r="S121" s="172"/>
      <c r="T121" s="2"/>
      <c r="U121" s="172"/>
      <c r="V121" s="172"/>
      <c r="W121" s="172"/>
      <c r="X121" s="172"/>
      <c r="Y121" s="172"/>
      <c r="Z121" s="172"/>
      <c r="AA121" s="172"/>
      <c r="AB121" s="172"/>
      <c r="AC121" s="172"/>
      <c r="AD121" s="172"/>
      <c r="AE121" s="171"/>
      <c r="AF121" s="171"/>
      <c r="AG121" s="171"/>
      <c r="AH121" s="171"/>
      <c r="AI121" s="171"/>
      <c r="AJ121" s="171"/>
    </row>
    <row r="122" spans="1:36" x14ac:dyDescent="0.2">
      <c r="A122" s="2"/>
      <c r="B122" s="2"/>
      <c r="C122" s="2"/>
      <c r="D122" s="2"/>
      <c r="E122" s="2"/>
      <c r="F122" s="2"/>
      <c r="G122" s="2"/>
      <c r="H122" s="2"/>
      <c r="I122" s="2"/>
      <c r="J122" s="2"/>
      <c r="K122" s="2"/>
      <c r="L122" s="2"/>
      <c r="M122" s="172"/>
      <c r="N122" s="172"/>
      <c r="O122" s="172"/>
      <c r="P122" s="2"/>
      <c r="Q122" s="172"/>
      <c r="R122" s="172"/>
      <c r="S122" s="172"/>
      <c r="T122" s="2"/>
      <c r="U122" s="172"/>
      <c r="V122" s="172"/>
      <c r="W122" s="172"/>
      <c r="X122" s="172"/>
      <c r="Y122" s="172"/>
      <c r="Z122" s="172"/>
      <c r="AA122" s="172"/>
      <c r="AB122" s="172"/>
      <c r="AC122" s="172"/>
      <c r="AD122" s="172"/>
      <c r="AE122" s="171"/>
      <c r="AF122" s="171"/>
      <c r="AG122" s="171"/>
      <c r="AH122" s="171"/>
      <c r="AI122" s="171"/>
      <c r="AJ122" s="171"/>
    </row>
    <row r="123" spans="1:36" x14ac:dyDescent="0.2">
      <c r="A123" s="2"/>
      <c r="B123" s="2"/>
      <c r="C123" s="2"/>
      <c r="D123" s="2"/>
      <c r="E123" s="2"/>
      <c r="F123" s="2"/>
      <c r="G123" s="2"/>
      <c r="H123" s="2"/>
      <c r="I123" s="2"/>
      <c r="J123" s="2"/>
      <c r="K123" s="2"/>
      <c r="L123" s="2"/>
      <c r="M123" s="172"/>
      <c r="N123" s="172"/>
      <c r="O123" s="172"/>
      <c r="P123" s="2"/>
      <c r="Q123" s="172"/>
      <c r="R123" s="172"/>
      <c r="S123" s="172"/>
      <c r="T123" s="2"/>
      <c r="U123" s="172"/>
      <c r="V123" s="172"/>
      <c r="W123" s="172"/>
      <c r="X123" s="172"/>
      <c r="Y123" s="172"/>
      <c r="Z123" s="172"/>
      <c r="AA123" s="172"/>
      <c r="AB123" s="172"/>
      <c r="AC123" s="172"/>
      <c r="AD123" s="172"/>
      <c r="AE123" s="171"/>
      <c r="AF123" s="171"/>
      <c r="AG123" s="171"/>
      <c r="AH123" s="171"/>
      <c r="AI123" s="171"/>
      <c r="AJ123" s="171"/>
    </row>
    <row r="124" spans="1:36" x14ac:dyDescent="0.2">
      <c r="A124" s="2"/>
      <c r="B124" s="2"/>
      <c r="C124" s="2"/>
      <c r="D124" s="2"/>
      <c r="E124" s="2"/>
      <c r="F124" s="2"/>
      <c r="G124" s="2"/>
      <c r="H124" s="2"/>
      <c r="I124" s="2"/>
      <c r="J124" s="2"/>
      <c r="K124" s="2"/>
      <c r="L124" s="2"/>
      <c r="M124" s="172"/>
      <c r="N124" s="172"/>
      <c r="O124" s="172"/>
      <c r="P124" s="2"/>
      <c r="Q124" s="172"/>
      <c r="R124" s="172"/>
      <c r="S124" s="172"/>
      <c r="T124" s="2"/>
      <c r="U124" s="172"/>
      <c r="V124" s="172"/>
      <c r="W124" s="172"/>
      <c r="X124" s="172"/>
      <c r="Y124" s="172"/>
      <c r="Z124" s="172"/>
      <c r="AA124" s="172"/>
      <c r="AB124" s="172"/>
      <c r="AC124" s="172"/>
      <c r="AD124" s="172"/>
      <c r="AE124" s="171"/>
      <c r="AF124" s="171"/>
      <c r="AG124" s="171"/>
      <c r="AH124" s="171"/>
      <c r="AI124" s="171"/>
      <c r="AJ124" s="171"/>
    </row>
    <row r="125" spans="1:36" x14ac:dyDescent="0.2">
      <c r="A125" s="2"/>
      <c r="B125" s="2"/>
      <c r="C125" s="2"/>
      <c r="D125" s="2"/>
      <c r="E125" s="2"/>
      <c r="F125" s="2"/>
      <c r="G125" s="2"/>
      <c r="H125" s="2"/>
      <c r="I125" s="2"/>
      <c r="J125" s="2"/>
      <c r="K125" s="2"/>
      <c r="L125" s="2"/>
      <c r="M125" s="172"/>
      <c r="N125" s="172"/>
      <c r="O125" s="172"/>
      <c r="P125" s="2"/>
      <c r="Q125" s="172"/>
      <c r="R125" s="172"/>
      <c r="S125" s="172"/>
      <c r="T125" s="2"/>
      <c r="U125" s="172"/>
      <c r="V125" s="172"/>
      <c r="W125" s="172"/>
      <c r="X125" s="172"/>
      <c r="Y125" s="172"/>
      <c r="Z125" s="172"/>
      <c r="AA125" s="172"/>
      <c r="AB125" s="172"/>
      <c r="AC125" s="172"/>
      <c r="AD125" s="172"/>
      <c r="AE125" s="171"/>
      <c r="AF125" s="171"/>
      <c r="AG125" s="171"/>
      <c r="AH125" s="171"/>
      <c r="AI125" s="171"/>
      <c r="AJ125" s="171"/>
    </row>
    <row r="126" spans="1:36" x14ac:dyDescent="0.2">
      <c r="A126" s="2"/>
      <c r="B126" s="2"/>
      <c r="C126" s="2"/>
      <c r="D126" s="2"/>
      <c r="E126" s="2"/>
      <c r="F126" s="2"/>
      <c r="G126" s="2"/>
      <c r="H126" s="2"/>
      <c r="I126" s="2"/>
      <c r="J126" s="2"/>
      <c r="K126" s="2"/>
      <c r="L126" s="2"/>
      <c r="M126" s="172"/>
      <c r="N126" s="172"/>
      <c r="O126" s="172"/>
      <c r="P126" s="2"/>
      <c r="Q126" s="172"/>
      <c r="R126" s="172"/>
      <c r="S126" s="172"/>
      <c r="T126" s="2"/>
      <c r="U126" s="172"/>
      <c r="V126" s="172"/>
      <c r="W126" s="172"/>
      <c r="X126" s="172"/>
      <c r="Y126" s="172"/>
      <c r="Z126" s="172"/>
      <c r="AA126" s="172"/>
      <c r="AB126" s="172"/>
      <c r="AC126" s="172"/>
      <c r="AD126" s="172"/>
      <c r="AE126" s="171"/>
      <c r="AF126" s="171"/>
      <c r="AG126" s="171"/>
      <c r="AH126" s="171"/>
      <c r="AI126" s="171"/>
      <c r="AJ126" s="171"/>
    </row>
    <row r="127" spans="1:36" x14ac:dyDescent="0.2">
      <c r="A127" s="2"/>
      <c r="B127" s="2"/>
      <c r="C127" s="2"/>
      <c r="D127" s="2"/>
      <c r="E127" s="2"/>
      <c r="F127" s="2"/>
      <c r="G127" s="2"/>
      <c r="H127" s="2"/>
      <c r="I127" s="2"/>
      <c r="J127" s="2"/>
      <c r="K127" s="2"/>
      <c r="L127" s="2"/>
      <c r="M127" s="172"/>
      <c r="N127" s="172"/>
      <c r="O127" s="172"/>
      <c r="P127" s="2"/>
      <c r="Q127" s="172"/>
      <c r="R127" s="172"/>
      <c r="S127" s="172"/>
      <c r="T127" s="2"/>
      <c r="U127" s="172"/>
      <c r="V127" s="172"/>
      <c r="W127" s="172"/>
      <c r="X127" s="172"/>
      <c r="Y127" s="172"/>
      <c r="Z127" s="172"/>
      <c r="AA127" s="172"/>
      <c r="AB127" s="172"/>
      <c r="AC127" s="172"/>
      <c r="AD127" s="172"/>
      <c r="AE127" s="171"/>
      <c r="AF127" s="171"/>
      <c r="AG127" s="171"/>
      <c r="AH127" s="171"/>
      <c r="AI127" s="171"/>
      <c r="AJ127" s="171"/>
    </row>
    <row r="128" spans="1:36" x14ac:dyDescent="0.2">
      <c r="A128" s="2"/>
      <c r="B128" s="2"/>
      <c r="C128" s="2"/>
      <c r="D128" s="2"/>
      <c r="E128" s="2"/>
      <c r="F128" s="2"/>
      <c r="G128" s="2"/>
      <c r="H128" s="2"/>
      <c r="I128" s="2"/>
      <c r="J128" s="2"/>
      <c r="K128" s="2"/>
      <c r="L128" s="2"/>
      <c r="M128" s="172"/>
      <c r="N128" s="172"/>
      <c r="O128" s="172"/>
      <c r="P128" s="2"/>
      <c r="Q128" s="172"/>
      <c r="R128" s="172"/>
      <c r="S128" s="172"/>
      <c r="T128" s="2"/>
      <c r="U128" s="172"/>
      <c r="V128" s="172"/>
      <c r="W128" s="172"/>
      <c r="X128" s="172"/>
      <c r="Y128" s="172"/>
      <c r="Z128" s="172"/>
      <c r="AA128" s="172"/>
      <c r="AB128" s="172"/>
      <c r="AC128" s="172"/>
      <c r="AD128" s="172"/>
      <c r="AE128" s="171"/>
      <c r="AF128" s="171"/>
      <c r="AG128" s="171"/>
      <c r="AH128" s="171"/>
      <c r="AI128" s="171"/>
      <c r="AJ128" s="171"/>
    </row>
    <row r="129" spans="1:36" x14ac:dyDescent="0.2">
      <c r="A129" s="2"/>
      <c r="B129" s="2"/>
      <c r="C129" s="2"/>
      <c r="D129" s="2"/>
      <c r="E129" s="2"/>
      <c r="F129" s="2"/>
      <c r="G129" s="2"/>
      <c r="H129" s="2"/>
      <c r="I129" s="2"/>
      <c r="J129" s="2"/>
      <c r="K129" s="2"/>
      <c r="L129" s="2"/>
      <c r="M129" s="172"/>
      <c r="N129" s="172"/>
      <c r="O129" s="172"/>
      <c r="P129" s="2"/>
      <c r="Q129" s="172"/>
      <c r="R129" s="172"/>
      <c r="S129" s="172"/>
      <c r="T129" s="2"/>
      <c r="U129" s="172"/>
      <c r="V129" s="172"/>
      <c r="W129" s="172"/>
      <c r="X129" s="172"/>
      <c r="Y129" s="172"/>
      <c r="Z129" s="172"/>
      <c r="AA129" s="172"/>
      <c r="AB129" s="172"/>
      <c r="AC129" s="172"/>
      <c r="AD129" s="172"/>
      <c r="AE129" s="171"/>
      <c r="AF129" s="171"/>
      <c r="AG129" s="171"/>
      <c r="AH129" s="171"/>
      <c r="AI129" s="171"/>
      <c r="AJ129" s="171"/>
    </row>
    <row r="130" spans="1:36" x14ac:dyDescent="0.2">
      <c r="A130" s="2"/>
      <c r="B130" s="2"/>
      <c r="C130" s="2"/>
      <c r="D130" s="2"/>
      <c r="E130" s="2"/>
      <c r="F130" s="2"/>
      <c r="G130" s="2"/>
      <c r="H130" s="2"/>
      <c r="I130" s="2"/>
      <c r="J130" s="2"/>
      <c r="K130" s="2"/>
      <c r="L130" s="2"/>
      <c r="M130" s="172"/>
      <c r="N130" s="172"/>
      <c r="O130" s="172"/>
      <c r="P130" s="2"/>
      <c r="Q130" s="172"/>
      <c r="R130" s="172"/>
      <c r="S130" s="172"/>
      <c r="T130" s="2"/>
      <c r="U130" s="172"/>
      <c r="V130" s="172"/>
      <c r="W130" s="172"/>
      <c r="X130" s="172"/>
      <c r="Y130" s="172"/>
      <c r="Z130" s="172"/>
      <c r="AA130" s="172"/>
      <c r="AB130" s="172"/>
      <c r="AC130" s="172"/>
      <c r="AD130" s="172"/>
      <c r="AE130" s="171"/>
      <c r="AF130" s="171"/>
      <c r="AG130" s="171"/>
      <c r="AH130" s="171"/>
      <c r="AI130" s="171"/>
      <c r="AJ130" s="171"/>
    </row>
    <row r="131" spans="1:36" x14ac:dyDescent="0.2">
      <c r="A131" s="2"/>
      <c r="B131" s="2"/>
      <c r="C131" s="2"/>
      <c r="D131" s="2"/>
      <c r="E131" s="2"/>
      <c r="F131" s="2"/>
      <c r="G131" s="2"/>
      <c r="H131" s="2"/>
      <c r="I131" s="2"/>
      <c r="J131" s="2"/>
      <c r="K131" s="2"/>
      <c r="L131" s="2"/>
      <c r="M131" s="172"/>
      <c r="N131" s="172"/>
      <c r="O131" s="172"/>
      <c r="P131" s="2"/>
      <c r="Q131" s="172"/>
      <c r="R131" s="172"/>
      <c r="S131" s="172"/>
      <c r="T131" s="2"/>
      <c r="U131" s="172"/>
      <c r="V131" s="172"/>
      <c r="W131" s="172"/>
      <c r="X131" s="172"/>
      <c r="Y131" s="172"/>
      <c r="Z131" s="172"/>
      <c r="AA131" s="172"/>
      <c r="AB131" s="172"/>
      <c r="AC131" s="172"/>
      <c r="AD131" s="172"/>
      <c r="AE131" s="171"/>
      <c r="AF131" s="171"/>
      <c r="AG131" s="171"/>
      <c r="AH131" s="171"/>
      <c r="AI131" s="171"/>
      <c r="AJ131" s="171"/>
    </row>
    <row r="132" spans="1:36" x14ac:dyDescent="0.2">
      <c r="A132" s="2"/>
      <c r="B132" s="2"/>
      <c r="C132" s="2"/>
      <c r="D132" s="2"/>
      <c r="E132" s="2"/>
      <c r="F132" s="2"/>
      <c r="G132" s="2"/>
      <c r="H132" s="2"/>
      <c r="I132" s="2"/>
      <c r="J132" s="2"/>
      <c r="K132" s="2"/>
      <c r="L132" s="2"/>
      <c r="M132" s="172"/>
      <c r="N132" s="172"/>
      <c r="O132" s="172"/>
      <c r="P132" s="2"/>
      <c r="Q132" s="172"/>
      <c r="R132" s="172"/>
      <c r="S132" s="172"/>
      <c r="T132" s="2"/>
      <c r="U132" s="172"/>
      <c r="V132" s="172"/>
      <c r="W132" s="172"/>
      <c r="X132" s="172"/>
      <c r="Y132" s="172"/>
      <c r="Z132" s="172"/>
      <c r="AA132" s="172"/>
      <c r="AB132" s="172"/>
      <c r="AC132" s="172"/>
      <c r="AD132" s="172"/>
      <c r="AE132" s="171"/>
      <c r="AF132" s="171"/>
      <c r="AG132" s="171"/>
      <c r="AH132" s="171"/>
      <c r="AI132" s="171"/>
      <c r="AJ132" s="171"/>
    </row>
    <row r="133" spans="1:36" x14ac:dyDescent="0.2">
      <c r="A133" s="2"/>
      <c r="B133" s="2"/>
      <c r="C133" s="2"/>
      <c r="D133" s="2"/>
      <c r="E133" s="2"/>
      <c r="F133" s="2"/>
      <c r="G133" s="2"/>
      <c r="H133" s="2"/>
      <c r="I133" s="2"/>
      <c r="J133" s="2"/>
      <c r="K133" s="2"/>
      <c r="L133" s="2"/>
      <c r="M133" s="172"/>
      <c r="N133" s="172"/>
      <c r="O133" s="172"/>
      <c r="P133" s="2"/>
      <c r="Q133" s="172"/>
      <c r="R133" s="172"/>
      <c r="S133" s="172"/>
      <c r="T133" s="2"/>
      <c r="U133" s="172"/>
      <c r="V133" s="172"/>
      <c r="W133" s="172"/>
      <c r="X133" s="172"/>
      <c r="Y133" s="172"/>
      <c r="Z133" s="172"/>
      <c r="AA133" s="172"/>
      <c r="AB133" s="172"/>
      <c r="AC133" s="172"/>
      <c r="AD133" s="172"/>
      <c r="AE133" s="171"/>
      <c r="AF133" s="171"/>
      <c r="AG133" s="171"/>
      <c r="AH133" s="171"/>
      <c r="AI133" s="171"/>
      <c r="AJ133" s="171"/>
    </row>
    <row r="134" spans="1:36" x14ac:dyDescent="0.2">
      <c r="A134" s="2"/>
      <c r="B134" s="2"/>
      <c r="C134" s="2"/>
      <c r="D134" s="2"/>
      <c r="E134" s="2"/>
      <c r="F134" s="2"/>
      <c r="G134" s="2"/>
      <c r="H134" s="2"/>
      <c r="I134" s="2"/>
      <c r="J134" s="2"/>
      <c r="K134" s="2"/>
      <c r="L134" s="2"/>
      <c r="M134" s="172"/>
      <c r="N134" s="172"/>
      <c r="O134" s="172"/>
      <c r="P134" s="2"/>
      <c r="Q134" s="172"/>
      <c r="R134" s="172"/>
      <c r="S134" s="172"/>
      <c r="T134" s="2"/>
      <c r="U134" s="172"/>
      <c r="V134" s="172"/>
      <c r="W134" s="172"/>
      <c r="X134" s="172"/>
      <c r="Y134" s="172"/>
      <c r="Z134" s="172"/>
      <c r="AA134" s="172"/>
      <c r="AB134" s="172"/>
      <c r="AC134" s="172"/>
      <c r="AD134" s="172"/>
      <c r="AE134" s="171"/>
      <c r="AF134" s="171"/>
      <c r="AG134" s="171"/>
      <c r="AH134" s="171"/>
      <c r="AI134" s="171"/>
      <c r="AJ134" s="171"/>
    </row>
    <row r="135" spans="1:36" x14ac:dyDescent="0.2">
      <c r="A135" s="2"/>
      <c r="B135" s="2"/>
      <c r="C135" s="2"/>
      <c r="D135" s="2"/>
      <c r="E135" s="2"/>
      <c r="F135" s="2"/>
      <c r="G135" s="2"/>
      <c r="H135" s="2"/>
      <c r="I135" s="2"/>
      <c r="J135" s="2"/>
      <c r="K135" s="2"/>
      <c r="L135" s="2"/>
      <c r="M135" s="172"/>
      <c r="N135" s="172"/>
      <c r="O135" s="172"/>
      <c r="P135" s="2"/>
      <c r="Q135" s="172"/>
      <c r="R135" s="172"/>
      <c r="S135" s="172"/>
      <c r="T135" s="2"/>
      <c r="U135" s="172"/>
      <c r="V135" s="172"/>
      <c r="W135" s="172"/>
      <c r="X135" s="172"/>
      <c r="Y135" s="172"/>
      <c r="Z135" s="172"/>
      <c r="AA135" s="172"/>
      <c r="AB135" s="172"/>
      <c r="AC135" s="172"/>
      <c r="AD135" s="172"/>
      <c r="AE135" s="171"/>
      <c r="AF135" s="171"/>
      <c r="AG135" s="171"/>
      <c r="AH135" s="171"/>
      <c r="AI135" s="171"/>
      <c r="AJ135" s="171"/>
    </row>
    <row r="136" spans="1:36" x14ac:dyDescent="0.2">
      <c r="A136" s="2"/>
      <c r="B136" s="2"/>
      <c r="C136" s="2"/>
      <c r="D136" s="2"/>
      <c r="E136" s="2"/>
      <c r="F136" s="2"/>
      <c r="G136" s="2"/>
      <c r="H136" s="2"/>
      <c r="I136" s="2"/>
      <c r="J136" s="2"/>
      <c r="K136" s="2"/>
      <c r="L136" s="2"/>
      <c r="M136" s="172"/>
      <c r="N136" s="172"/>
      <c r="O136" s="172"/>
      <c r="P136" s="2"/>
      <c r="Q136" s="172"/>
      <c r="R136" s="172"/>
      <c r="S136" s="172"/>
      <c r="T136" s="2"/>
      <c r="U136" s="172"/>
      <c r="V136" s="172"/>
      <c r="W136" s="172"/>
      <c r="X136" s="172"/>
      <c r="Y136" s="172"/>
      <c r="Z136" s="172"/>
      <c r="AA136" s="172"/>
      <c r="AB136" s="172"/>
      <c r="AC136" s="172"/>
      <c r="AD136" s="172"/>
      <c r="AE136" s="171"/>
      <c r="AF136" s="171"/>
      <c r="AG136" s="171"/>
      <c r="AH136" s="171"/>
      <c r="AI136" s="171"/>
      <c r="AJ136" s="171"/>
    </row>
    <row r="137" spans="1:36" x14ac:dyDescent="0.2">
      <c r="A137"/>
      <c r="B137"/>
      <c r="C137"/>
      <c r="D137"/>
      <c r="E137"/>
      <c r="F137"/>
      <c r="G137"/>
      <c r="H137"/>
      <c r="I137"/>
      <c r="J137"/>
      <c r="K137"/>
      <c r="L137"/>
      <c r="M137" s="172"/>
      <c r="N137" s="172"/>
      <c r="O137" s="172"/>
      <c r="P137"/>
      <c r="Q137" s="172"/>
      <c r="R137" s="172"/>
      <c r="S137" s="172"/>
      <c r="T137" s="2"/>
      <c r="U137" s="172"/>
      <c r="V137" s="172"/>
      <c r="W137" s="172"/>
      <c r="X137" s="172"/>
      <c r="Y137" s="172"/>
      <c r="Z137" s="172"/>
      <c r="AA137" s="172"/>
      <c r="AB137" s="172"/>
      <c r="AC137" s="172"/>
      <c r="AD137" s="172"/>
      <c r="AE137" s="171"/>
      <c r="AF137" s="171"/>
      <c r="AG137" s="171"/>
      <c r="AH137" s="171"/>
      <c r="AI137" s="171"/>
      <c r="AJ137" s="171"/>
    </row>
    <row r="138" spans="1:36" x14ac:dyDescent="0.2">
      <c r="A138"/>
      <c r="B138"/>
      <c r="C138"/>
      <c r="D138"/>
      <c r="E138"/>
      <c r="F138"/>
      <c r="G138"/>
      <c r="H138"/>
      <c r="I138"/>
      <c r="J138"/>
      <c r="K138"/>
      <c r="L138"/>
      <c r="M138" s="172"/>
      <c r="N138" s="172"/>
      <c r="O138" s="172"/>
      <c r="P138"/>
      <c r="Q138" s="172"/>
      <c r="R138" s="172"/>
      <c r="S138" s="172"/>
      <c r="T138" s="2"/>
      <c r="U138" s="172"/>
      <c r="V138" s="172"/>
      <c r="W138" s="172"/>
      <c r="X138" s="172"/>
      <c r="Y138" s="172"/>
      <c r="Z138" s="172"/>
      <c r="AA138" s="172"/>
      <c r="AB138" s="172"/>
      <c r="AC138" s="172"/>
      <c r="AD138" s="172"/>
      <c r="AE138" s="171"/>
      <c r="AF138" s="171"/>
      <c r="AG138" s="171"/>
      <c r="AH138" s="171"/>
      <c r="AI138" s="171"/>
      <c r="AJ138" s="171"/>
    </row>
    <row r="139" spans="1:36" x14ac:dyDescent="0.2">
      <c r="A139"/>
      <c r="B139"/>
      <c r="C139"/>
      <c r="D139"/>
      <c r="E139"/>
      <c r="F139"/>
      <c r="G139"/>
      <c r="H139"/>
      <c r="I139"/>
      <c r="J139"/>
      <c r="K139"/>
      <c r="L139"/>
      <c r="M139" s="172"/>
      <c r="N139" s="172"/>
      <c r="O139" s="172"/>
      <c r="P139"/>
      <c r="Q139" s="172"/>
      <c r="R139" s="172"/>
      <c r="S139" s="172"/>
      <c r="T139" s="2"/>
      <c r="U139" s="172"/>
      <c r="V139" s="172"/>
      <c r="W139" s="172"/>
      <c r="X139" s="172"/>
      <c r="Y139" s="172"/>
      <c r="Z139" s="172"/>
      <c r="AA139" s="172"/>
      <c r="AB139" s="172"/>
      <c r="AC139" s="172"/>
      <c r="AD139" s="172"/>
      <c r="AE139" s="171"/>
      <c r="AF139" s="171"/>
      <c r="AG139" s="171"/>
      <c r="AH139" s="171"/>
      <c r="AI139" s="171"/>
      <c r="AJ139" s="171"/>
    </row>
    <row r="140" spans="1:36" x14ac:dyDescent="0.2">
      <c r="A140"/>
      <c r="B140"/>
      <c r="C140"/>
      <c r="D140"/>
      <c r="E140"/>
      <c r="F140"/>
      <c r="G140"/>
      <c r="H140"/>
      <c r="I140"/>
      <c r="J140"/>
      <c r="K140"/>
      <c r="L140"/>
      <c r="M140" s="172"/>
      <c r="N140" s="172"/>
      <c r="O140" s="172"/>
      <c r="P140"/>
      <c r="Q140" s="172"/>
      <c r="R140" s="172"/>
      <c r="S140" s="172"/>
      <c r="T140" s="2"/>
      <c r="U140" s="172"/>
      <c r="V140" s="172"/>
      <c r="W140" s="172"/>
      <c r="X140" s="172"/>
      <c r="Y140" s="172"/>
      <c r="Z140" s="172"/>
      <c r="AA140" s="172"/>
      <c r="AB140" s="172"/>
      <c r="AC140" s="172"/>
      <c r="AD140" s="172"/>
      <c r="AE140" s="171"/>
      <c r="AF140" s="171"/>
      <c r="AG140" s="171"/>
      <c r="AH140" s="171"/>
      <c r="AI140" s="171"/>
      <c r="AJ140" s="171"/>
    </row>
    <row r="141" spans="1:36" x14ac:dyDescent="0.2">
      <c r="A141"/>
      <c r="B141"/>
      <c r="C141"/>
      <c r="D141"/>
      <c r="E141"/>
      <c r="F141"/>
      <c r="G141"/>
      <c r="H141"/>
      <c r="I141"/>
      <c r="J141"/>
      <c r="K141"/>
      <c r="L141"/>
      <c r="M141" s="172"/>
      <c r="N141" s="172"/>
      <c r="O141" s="172"/>
      <c r="P141"/>
      <c r="Q141" s="172"/>
      <c r="R141" s="172"/>
      <c r="S141" s="172"/>
      <c r="T141" s="2"/>
      <c r="U141" s="172"/>
      <c r="V141" s="172"/>
      <c r="W141" s="172"/>
      <c r="X141" s="172"/>
      <c r="Y141" s="172"/>
      <c r="Z141" s="172"/>
      <c r="AA141" s="172"/>
      <c r="AB141" s="172"/>
      <c r="AC141" s="172"/>
      <c r="AD141" s="172"/>
      <c r="AE141" s="171"/>
      <c r="AF141" s="171"/>
      <c r="AG141" s="171"/>
      <c r="AH141" s="171"/>
      <c r="AI141" s="171"/>
      <c r="AJ141" s="171"/>
    </row>
    <row r="142" spans="1:36" x14ac:dyDescent="0.2">
      <c r="A142"/>
      <c r="B142"/>
      <c r="C142"/>
      <c r="D142"/>
      <c r="E142"/>
      <c r="F142"/>
      <c r="G142"/>
      <c r="H142"/>
      <c r="I142"/>
      <c r="J142"/>
      <c r="K142"/>
      <c r="L142"/>
      <c r="M142" s="172"/>
      <c r="N142" s="172"/>
      <c r="O142" s="172"/>
      <c r="P142"/>
      <c r="Q142" s="172"/>
      <c r="R142" s="172"/>
      <c r="S142" s="172"/>
      <c r="T142" s="2"/>
      <c r="U142" s="172"/>
      <c r="V142" s="172"/>
      <c r="W142" s="172"/>
      <c r="X142" s="172"/>
      <c r="Y142" s="172"/>
      <c r="Z142" s="172"/>
      <c r="AA142" s="172"/>
      <c r="AB142" s="172"/>
      <c r="AC142" s="172"/>
      <c r="AD142" s="172"/>
      <c r="AE142" s="171"/>
      <c r="AF142" s="171"/>
      <c r="AG142" s="171"/>
      <c r="AH142" s="171"/>
      <c r="AI142" s="171"/>
      <c r="AJ142" s="171"/>
    </row>
    <row r="143" spans="1:36" x14ac:dyDescent="0.2">
      <c r="A143"/>
      <c r="B143"/>
      <c r="C143"/>
      <c r="D143"/>
      <c r="E143"/>
      <c r="F143"/>
      <c r="G143"/>
      <c r="H143"/>
      <c r="I143"/>
      <c r="J143"/>
      <c r="K143"/>
      <c r="L143"/>
      <c r="M143" s="172"/>
      <c r="N143" s="172"/>
      <c r="O143" s="172"/>
      <c r="P143"/>
      <c r="Q143" s="172"/>
      <c r="R143" s="172"/>
      <c r="S143" s="172"/>
      <c r="T143" s="2"/>
      <c r="U143" s="172"/>
      <c r="V143" s="172"/>
      <c r="W143" s="172"/>
      <c r="X143" s="172"/>
      <c r="Y143" s="172"/>
      <c r="Z143" s="172"/>
      <c r="AA143" s="172"/>
      <c r="AB143" s="172"/>
      <c r="AC143" s="172"/>
      <c r="AD143" s="172"/>
      <c r="AE143" s="171"/>
      <c r="AF143" s="171"/>
      <c r="AG143" s="171"/>
      <c r="AH143" s="171"/>
      <c r="AI143" s="171"/>
      <c r="AJ143" s="171"/>
    </row>
    <row r="144" spans="1:36" x14ac:dyDescent="0.2">
      <c r="A144"/>
      <c r="B144"/>
      <c r="C144"/>
      <c r="D144"/>
      <c r="E144"/>
      <c r="F144"/>
      <c r="G144"/>
      <c r="H144"/>
      <c r="I144"/>
      <c r="J144"/>
      <c r="K144"/>
      <c r="L144"/>
      <c r="M144" s="172"/>
      <c r="N144" s="172"/>
      <c r="O144" s="172"/>
      <c r="P144"/>
      <c r="Q144" s="172"/>
      <c r="R144" s="172"/>
      <c r="S144" s="172"/>
      <c r="T144" s="2"/>
      <c r="U144" s="172"/>
      <c r="V144" s="172"/>
      <c r="W144" s="172"/>
      <c r="X144" s="172"/>
      <c r="Y144" s="172"/>
      <c r="Z144" s="172"/>
      <c r="AA144" s="172"/>
      <c r="AB144" s="172"/>
      <c r="AC144" s="172"/>
      <c r="AD144" s="172"/>
      <c r="AE144" s="171"/>
      <c r="AF144" s="171"/>
      <c r="AG144" s="171"/>
      <c r="AH144" s="171"/>
      <c r="AI144" s="171"/>
      <c r="AJ144" s="171"/>
    </row>
    <row r="145" spans="1:36" x14ac:dyDescent="0.2">
      <c r="A145"/>
      <c r="B145"/>
      <c r="C145"/>
      <c r="D145"/>
      <c r="E145"/>
      <c r="F145"/>
      <c r="G145"/>
      <c r="H145"/>
      <c r="I145"/>
      <c r="J145"/>
      <c r="K145"/>
      <c r="L145"/>
      <c r="M145" s="172"/>
      <c r="N145" s="172"/>
      <c r="O145" s="172"/>
      <c r="P145"/>
      <c r="Q145" s="172"/>
      <c r="R145" s="172"/>
      <c r="S145" s="172"/>
      <c r="T145" s="2"/>
      <c r="U145" s="172"/>
      <c r="V145" s="172"/>
      <c r="W145" s="172"/>
      <c r="X145" s="172"/>
      <c r="Y145" s="172"/>
      <c r="Z145" s="172"/>
      <c r="AA145" s="172"/>
      <c r="AB145" s="172"/>
      <c r="AC145" s="172"/>
      <c r="AD145" s="172"/>
      <c r="AE145" s="171"/>
      <c r="AF145" s="171"/>
      <c r="AG145" s="171"/>
      <c r="AH145" s="171"/>
      <c r="AI145" s="171"/>
      <c r="AJ145" s="171"/>
    </row>
    <row r="146" spans="1:36" x14ac:dyDescent="0.2">
      <c r="A146"/>
      <c r="B146"/>
      <c r="C146"/>
      <c r="D146"/>
      <c r="E146"/>
      <c r="F146"/>
      <c r="G146"/>
      <c r="H146"/>
      <c r="I146"/>
      <c r="J146"/>
      <c r="K146"/>
      <c r="L146"/>
      <c r="M146" s="172"/>
      <c r="N146" s="172"/>
      <c r="O146" s="172"/>
      <c r="P146"/>
      <c r="Q146" s="172"/>
      <c r="R146" s="172"/>
      <c r="S146" s="172"/>
      <c r="T146" s="2"/>
      <c r="U146" s="172"/>
      <c r="V146" s="172"/>
      <c r="W146" s="172"/>
      <c r="X146" s="172"/>
      <c r="Y146" s="172"/>
      <c r="Z146" s="172"/>
      <c r="AA146" s="172"/>
      <c r="AB146" s="172"/>
      <c r="AC146" s="172"/>
      <c r="AD146" s="172"/>
      <c r="AE146" s="171"/>
      <c r="AF146" s="171"/>
      <c r="AG146" s="171"/>
      <c r="AH146" s="171"/>
      <c r="AI146" s="171"/>
      <c r="AJ146" s="171"/>
    </row>
    <row r="147" spans="1:36" x14ac:dyDescent="0.2">
      <c r="A147"/>
      <c r="B147"/>
      <c r="C147"/>
      <c r="D147"/>
      <c r="E147"/>
      <c r="F147"/>
      <c r="G147"/>
      <c r="H147"/>
      <c r="I147"/>
      <c r="J147"/>
      <c r="K147"/>
      <c r="L147"/>
      <c r="M147" s="172"/>
      <c r="N147" s="172"/>
      <c r="O147" s="172"/>
      <c r="P147"/>
      <c r="Q147" s="172"/>
      <c r="R147" s="172"/>
      <c r="S147" s="172"/>
      <c r="T147" s="2"/>
      <c r="U147" s="172"/>
      <c r="V147" s="172"/>
      <c r="W147" s="172"/>
      <c r="X147" s="172"/>
      <c r="Y147" s="172"/>
      <c r="Z147" s="172"/>
      <c r="AA147" s="172"/>
      <c r="AB147" s="172"/>
      <c r="AC147" s="172"/>
      <c r="AD147" s="172"/>
      <c r="AE147" s="171"/>
      <c r="AF147" s="171"/>
      <c r="AG147" s="171"/>
      <c r="AH147" s="171"/>
      <c r="AI147" s="171"/>
      <c r="AJ147" s="171"/>
    </row>
    <row r="148" spans="1:36" x14ac:dyDescent="0.2">
      <c r="A148"/>
      <c r="B148"/>
      <c r="C148"/>
      <c r="D148"/>
      <c r="E148"/>
      <c r="F148"/>
      <c r="G148"/>
      <c r="H148"/>
      <c r="I148"/>
      <c r="J148"/>
      <c r="K148"/>
      <c r="L148"/>
      <c r="M148" s="172"/>
      <c r="N148" s="172"/>
      <c r="O148" s="172"/>
      <c r="P148"/>
      <c r="Q148" s="172"/>
      <c r="R148" s="172"/>
      <c r="S148" s="172"/>
      <c r="T148" s="2"/>
      <c r="U148" s="172"/>
      <c r="V148" s="172"/>
      <c r="W148" s="172"/>
      <c r="X148" s="172"/>
      <c r="Y148" s="172"/>
      <c r="Z148" s="172"/>
      <c r="AA148" s="172"/>
      <c r="AB148" s="172"/>
      <c r="AC148" s="172"/>
      <c r="AD148" s="172"/>
      <c r="AE148" s="171"/>
      <c r="AF148" s="171"/>
      <c r="AG148" s="171"/>
      <c r="AH148" s="171"/>
      <c r="AI148" s="171"/>
      <c r="AJ148" s="171"/>
    </row>
    <row r="149" spans="1:36" x14ac:dyDescent="0.2">
      <c r="A149"/>
      <c r="B149"/>
      <c r="C149"/>
      <c r="D149"/>
      <c r="E149"/>
      <c r="F149"/>
      <c r="G149"/>
      <c r="H149"/>
      <c r="I149"/>
      <c r="J149"/>
      <c r="K149"/>
      <c r="L149"/>
      <c r="M149" s="172"/>
      <c r="N149" s="172"/>
      <c r="O149" s="172"/>
      <c r="P149"/>
      <c r="Q149" s="172"/>
      <c r="R149" s="172"/>
      <c r="S149" s="172"/>
      <c r="T149" s="2"/>
      <c r="U149" s="172"/>
      <c r="V149" s="172"/>
      <c r="W149" s="172"/>
      <c r="X149" s="172"/>
      <c r="Y149" s="172"/>
      <c r="Z149" s="172"/>
      <c r="AA149" s="172"/>
      <c r="AB149" s="172"/>
      <c r="AC149" s="172"/>
      <c r="AD149" s="172"/>
      <c r="AE149" s="171"/>
      <c r="AF149" s="171"/>
      <c r="AG149" s="171"/>
      <c r="AH149" s="171"/>
      <c r="AI149" s="171"/>
      <c r="AJ149" s="171"/>
    </row>
    <row r="150" spans="1:36" x14ac:dyDescent="0.2">
      <c r="A150"/>
      <c r="B150"/>
      <c r="C150"/>
      <c r="D150"/>
      <c r="E150"/>
      <c r="F150"/>
      <c r="G150"/>
      <c r="H150"/>
      <c r="I150"/>
      <c r="J150"/>
      <c r="K150"/>
      <c r="L150"/>
      <c r="M150" s="172"/>
      <c r="N150" s="172"/>
      <c r="O150" s="172"/>
      <c r="P150"/>
      <c r="Q150" s="172"/>
      <c r="R150" s="172"/>
      <c r="S150" s="172"/>
      <c r="T150" s="2"/>
      <c r="U150" s="172"/>
      <c r="V150" s="172"/>
      <c r="W150" s="172"/>
      <c r="X150" s="172"/>
      <c r="Y150" s="172"/>
      <c r="Z150" s="172"/>
      <c r="AA150" s="172"/>
      <c r="AB150" s="172"/>
      <c r="AC150" s="172"/>
      <c r="AD150" s="172"/>
      <c r="AE150" s="171"/>
      <c r="AF150" s="171"/>
      <c r="AG150" s="171"/>
      <c r="AH150" s="171"/>
      <c r="AI150" s="171"/>
      <c r="AJ150" s="171"/>
    </row>
    <row r="151" spans="1:36" x14ac:dyDescent="0.2">
      <c r="A151"/>
      <c r="B151"/>
      <c r="C151"/>
      <c r="D151"/>
      <c r="E151"/>
      <c r="F151"/>
      <c r="G151"/>
      <c r="H151"/>
      <c r="I151"/>
      <c r="J151"/>
      <c r="K151"/>
      <c r="L151"/>
      <c r="M151" s="172"/>
      <c r="N151" s="172"/>
      <c r="O151" s="172"/>
      <c r="P151"/>
      <c r="Q151" s="172"/>
      <c r="R151" s="172"/>
      <c r="S151" s="172"/>
      <c r="T151" s="2"/>
      <c r="U151" s="172"/>
      <c r="V151" s="172"/>
      <c r="W151" s="172"/>
      <c r="X151" s="172"/>
      <c r="Y151" s="172"/>
      <c r="Z151" s="172"/>
      <c r="AA151" s="172"/>
      <c r="AB151" s="172"/>
      <c r="AC151" s="172"/>
      <c r="AD151" s="172"/>
      <c r="AE151" s="171"/>
      <c r="AF151" s="171"/>
      <c r="AG151" s="171"/>
      <c r="AH151" s="171"/>
      <c r="AI151" s="171"/>
      <c r="AJ151" s="171"/>
    </row>
    <row r="152" spans="1:36" x14ac:dyDescent="0.2">
      <c r="A152"/>
      <c r="B152"/>
      <c r="C152"/>
      <c r="D152"/>
      <c r="E152"/>
      <c r="F152"/>
      <c r="G152"/>
      <c r="H152"/>
      <c r="I152"/>
      <c r="J152"/>
      <c r="K152"/>
      <c r="L152"/>
      <c r="M152" s="172"/>
      <c r="N152" s="172"/>
      <c r="O152" s="172"/>
      <c r="P152"/>
      <c r="Q152" s="172"/>
      <c r="R152" s="172"/>
      <c r="S152" s="172"/>
      <c r="T152" s="2"/>
      <c r="U152" s="172"/>
      <c r="V152" s="172"/>
      <c r="W152" s="172"/>
      <c r="X152" s="172"/>
      <c r="Y152" s="172"/>
      <c r="Z152" s="172"/>
      <c r="AA152" s="172"/>
      <c r="AB152" s="172"/>
      <c r="AC152" s="172"/>
      <c r="AD152" s="172"/>
      <c r="AE152" s="171"/>
      <c r="AF152" s="171"/>
      <c r="AG152" s="171"/>
      <c r="AH152" s="171"/>
      <c r="AI152" s="171"/>
      <c r="AJ152" s="171"/>
    </row>
    <row r="153" spans="1:36" x14ac:dyDescent="0.2">
      <c r="A153"/>
      <c r="B153"/>
      <c r="C153"/>
      <c r="D153"/>
      <c r="E153"/>
      <c r="F153"/>
      <c r="G153"/>
      <c r="H153"/>
      <c r="I153"/>
      <c r="J153"/>
      <c r="K153"/>
      <c r="L153"/>
      <c r="M153" s="172"/>
      <c r="N153" s="172"/>
      <c r="O153" s="172"/>
      <c r="P153"/>
      <c r="Q153" s="172"/>
      <c r="R153" s="172"/>
      <c r="S153" s="172"/>
      <c r="T153" s="2"/>
      <c r="U153" s="172"/>
      <c r="V153" s="172"/>
      <c r="W153" s="172"/>
      <c r="X153" s="172"/>
      <c r="Y153" s="172"/>
      <c r="Z153" s="172"/>
      <c r="AA153" s="172"/>
      <c r="AB153" s="172"/>
      <c r="AC153" s="172"/>
      <c r="AD153" s="172"/>
      <c r="AE153" s="171"/>
      <c r="AF153" s="171"/>
      <c r="AG153" s="171"/>
      <c r="AH153" s="171"/>
      <c r="AI153" s="171"/>
      <c r="AJ153" s="171"/>
    </row>
    <row r="154" spans="1:36" x14ac:dyDescent="0.2">
      <c r="A154"/>
      <c r="B154"/>
      <c r="C154"/>
      <c r="D154"/>
      <c r="E154"/>
      <c r="F154"/>
      <c r="G154"/>
      <c r="H154"/>
      <c r="I154"/>
      <c r="J154"/>
      <c r="K154"/>
      <c r="L154"/>
      <c r="M154" s="172"/>
      <c r="N154" s="172"/>
      <c r="O154" s="172"/>
      <c r="P154"/>
      <c r="Q154" s="172"/>
      <c r="R154" s="172"/>
      <c r="S154" s="172"/>
      <c r="T154" s="2"/>
      <c r="U154" s="172"/>
      <c r="V154" s="172"/>
      <c r="W154" s="172"/>
      <c r="X154" s="172"/>
      <c r="Y154" s="172"/>
      <c r="Z154" s="172"/>
      <c r="AA154" s="172"/>
      <c r="AB154" s="172"/>
      <c r="AC154" s="172"/>
      <c r="AD154" s="172"/>
      <c r="AE154" s="171"/>
      <c r="AF154" s="171"/>
      <c r="AG154" s="171"/>
      <c r="AH154" s="171"/>
      <c r="AI154" s="171"/>
      <c r="AJ154" s="171"/>
    </row>
    <row r="155" spans="1:36" x14ac:dyDescent="0.2">
      <c r="A155"/>
      <c r="B155"/>
      <c r="C155"/>
      <c r="D155"/>
      <c r="E155"/>
      <c r="F155"/>
      <c r="G155"/>
      <c r="H155"/>
      <c r="I155"/>
      <c r="J155"/>
      <c r="K155"/>
      <c r="L155"/>
      <c r="M155" s="172"/>
      <c r="N155" s="172"/>
      <c r="O155" s="172"/>
      <c r="P155"/>
      <c r="Q155" s="172"/>
      <c r="R155" s="172"/>
      <c r="S155" s="172"/>
      <c r="T155" s="2"/>
      <c r="U155" s="172"/>
      <c r="V155" s="172"/>
      <c r="W155" s="172"/>
      <c r="X155" s="172"/>
      <c r="Y155" s="172"/>
      <c r="Z155" s="172"/>
      <c r="AA155" s="172"/>
      <c r="AB155" s="172"/>
      <c r="AC155" s="172"/>
      <c r="AD155" s="172"/>
      <c r="AE155" s="171"/>
      <c r="AF155" s="171"/>
      <c r="AG155" s="171"/>
      <c r="AH155" s="171"/>
      <c r="AI155" s="171"/>
      <c r="AJ155" s="171"/>
    </row>
    <row r="156" spans="1:36" x14ac:dyDescent="0.2">
      <c r="A156"/>
      <c r="B156"/>
      <c r="C156"/>
      <c r="D156"/>
      <c r="E156"/>
      <c r="F156"/>
      <c r="G156"/>
      <c r="H156"/>
      <c r="I156"/>
      <c r="J156"/>
      <c r="K156"/>
      <c r="L156"/>
      <c r="M156" s="172"/>
      <c r="N156" s="172"/>
      <c r="O156" s="172"/>
      <c r="P156"/>
      <c r="Q156" s="172"/>
      <c r="R156" s="172"/>
      <c r="S156" s="172"/>
      <c r="T156" s="2"/>
      <c r="U156" s="172"/>
      <c r="V156" s="172"/>
      <c r="W156" s="172"/>
      <c r="X156" s="172"/>
      <c r="Y156" s="172"/>
      <c r="Z156" s="172"/>
      <c r="AA156" s="172"/>
      <c r="AB156" s="172"/>
      <c r="AC156" s="172"/>
      <c r="AD156" s="172"/>
      <c r="AE156" s="171"/>
      <c r="AF156" s="171"/>
      <c r="AG156" s="171"/>
      <c r="AH156" s="171"/>
      <c r="AI156" s="171"/>
      <c r="AJ156" s="171"/>
    </row>
    <row r="157" spans="1:36" x14ac:dyDescent="0.2">
      <c r="A157"/>
      <c r="B157"/>
      <c r="C157"/>
      <c r="D157"/>
      <c r="E157"/>
      <c r="F157"/>
      <c r="G157"/>
      <c r="H157"/>
      <c r="I157"/>
      <c r="J157"/>
      <c r="K157"/>
      <c r="L157"/>
      <c r="M157" s="172"/>
      <c r="N157" s="172"/>
      <c r="O157" s="172"/>
      <c r="P157"/>
      <c r="Q157" s="172"/>
      <c r="R157" s="172"/>
      <c r="S157" s="172"/>
      <c r="T157" s="2"/>
      <c r="U157" s="172"/>
      <c r="V157" s="172"/>
      <c r="W157" s="172"/>
      <c r="X157" s="172"/>
      <c r="Y157" s="172"/>
      <c r="Z157" s="172"/>
      <c r="AA157" s="172"/>
      <c r="AB157" s="172"/>
      <c r="AC157" s="172"/>
      <c r="AD157" s="172"/>
      <c r="AE157" s="171"/>
      <c r="AF157" s="171"/>
      <c r="AG157" s="171"/>
      <c r="AH157" s="171"/>
      <c r="AI157" s="171"/>
      <c r="AJ157" s="171"/>
    </row>
    <row r="158" spans="1:36" x14ac:dyDescent="0.2">
      <c r="A158"/>
      <c r="B158"/>
      <c r="C158"/>
      <c r="D158"/>
      <c r="E158"/>
      <c r="F158"/>
      <c r="G158"/>
      <c r="H158"/>
      <c r="I158"/>
      <c r="J158"/>
      <c r="K158"/>
      <c r="L158"/>
      <c r="M158" s="172"/>
      <c r="N158" s="172"/>
      <c r="O158" s="172"/>
      <c r="P158"/>
      <c r="Q158" s="172"/>
      <c r="R158" s="172"/>
      <c r="S158" s="172"/>
      <c r="T158" s="2"/>
      <c r="U158" s="172"/>
      <c r="V158" s="172"/>
      <c r="W158" s="172"/>
      <c r="X158" s="172"/>
      <c r="Y158" s="172"/>
      <c r="Z158" s="172"/>
      <c r="AA158" s="172"/>
      <c r="AB158" s="172"/>
      <c r="AC158" s="172"/>
      <c r="AD158" s="172"/>
      <c r="AE158" s="171"/>
      <c r="AF158" s="171"/>
      <c r="AG158" s="171"/>
      <c r="AH158" s="171"/>
      <c r="AI158" s="171"/>
      <c r="AJ158" s="171"/>
    </row>
    <row r="159" spans="1:36" x14ac:dyDescent="0.2">
      <c r="A159"/>
      <c r="B159"/>
      <c r="C159"/>
      <c r="D159"/>
      <c r="E159"/>
      <c r="F159"/>
      <c r="G159"/>
      <c r="H159"/>
      <c r="I159"/>
      <c r="J159"/>
      <c r="K159"/>
      <c r="L159"/>
      <c r="M159" s="172"/>
      <c r="N159" s="172"/>
      <c r="O159" s="172"/>
      <c r="P159"/>
      <c r="Q159" s="172"/>
      <c r="R159" s="172"/>
      <c r="S159" s="172"/>
      <c r="T159" s="2"/>
      <c r="U159" s="172"/>
      <c r="V159" s="172"/>
      <c r="W159" s="172"/>
      <c r="X159" s="172"/>
      <c r="Y159" s="172"/>
      <c r="Z159" s="172"/>
      <c r="AA159" s="172"/>
      <c r="AB159" s="172"/>
      <c r="AC159" s="172"/>
      <c r="AD159" s="172"/>
      <c r="AE159" s="171"/>
      <c r="AF159" s="171"/>
      <c r="AG159" s="171"/>
      <c r="AH159" s="171"/>
      <c r="AI159" s="171"/>
      <c r="AJ159" s="171"/>
    </row>
    <row r="160" spans="1:36" x14ac:dyDescent="0.2">
      <c r="A160"/>
      <c r="B160"/>
      <c r="C160"/>
      <c r="D160"/>
      <c r="E160"/>
      <c r="F160"/>
      <c r="G160"/>
      <c r="H160"/>
      <c r="I160"/>
      <c r="J160"/>
      <c r="K160"/>
      <c r="L160"/>
      <c r="M160" s="172"/>
      <c r="N160" s="172"/>
      <c r="O160" s="172"/>
      <c r="P160"/>
      <c r="Q160" s="172"/>
      <c r="R160" s="172"/>
      <c r="S160" s="172"/>
      <c r="T160" s="2"/>
      <c r="U160" s="172"/>
      <c r="V160" s="172"/>
      <c r="W160" s="172"/>
      <c r="X160" s="172"/>
      <c r="Y160" s="172"/>
      <c r="Z160" s="172"/>
      <c r="AA160" s="172"/>
      <c r="AB160" s="172"/>
      <c r="AC160" s="172"/>
      <c r="AD160" s="172"/>
      <c r="AE160" s="171"/>
      <c r="AF160" s="171"/>
      <c r="AG160" s="171"/>
      <c r="AH160" s="171"/>
      <c r="AI160" s="171"/>
      <c r="AJ160" s="171"/>
    </row>
    <row r="161" spans="1:36" x14ac:dyDescent="0.2">
      <c r="A161"/>
      <c r="B161"/>
      <c r="C161"/>
      <c r="D161"/>
      <c r="E161"/>
      <c r="F161"/>
      <c r="G161"/>
      <c r="H161"/>
      <c r="I161"/>
      <c r="J161"/>
      <c r="K161"/>
      <c r="L161"/>
      <c r="M161" s="172"/>
      <c r="N161" s="172"/>
      <c r="O161" s="172"/>
      <c r="P161"/>
      <c r="Q161" s="172"/>
      <c r="R161" s="172"/>
      <c r="S161" s="172"/>
      <c r="T161" s="2"/>
      <c r="U161" s="172"/>
      <c r="V161" s="172"/>
      <c r="W161" s="172"/>
      <c r="X161" s="172"/>
      <c r="Y161" s="172"/>
      <c r="Z161" s="172"/>
      <c r="AA161" s="172"/>
      <c r="AB161" s="172"/>
      <c r="AC161" s="172"/>
      <c r="AD161" s="172"/>
      <c r="AE161" s="171"/>
      <c r="AF161" s="171"/>
      <c r="AG161" s="171"/>
      <c r="AH161" s="171"/>
      <c r="AI161" s="171"/>
      <c r="AJ161" s="171"/>
    </row>
    <row r="162" spans="1:36" x14ac:dyDescent="0.2">
      <c r="A162"/>
      <c r="B162"/>
      <c r="C162"/>
      <c r="D162"/>
      <c r="E162"/>
      <c r="F162"/>
      <c r="G162"/>
      <c r="H162"/>
      <c r="I162"/>
      <c r="J162"/>
      <c r="K162"/>
      <c r="L162"/>
      <c r="M162" s="172"/>
      <c r="N162" s="172"/>
      <c r="O162" s="172"/>
      <c r="P162"/>
      <c r="Q162" s="172"/>
      <c r="R162" s="172"/>
      <c r="S162" s="172"/>
      <c r="T162" s="2"/>
      <c r="U162" s="172"/>
      <c r="V162" s="172"/>
      <c r="W162" s="172"/>
      <c r="X162" s="172"/>
      <c r="Y162" s="172"/>
      <c r="Z162" s="172"/>
      <c r="AA162" s="172"/>
      <c r="AB162" s="172"/>
      <c r="AC162" s="172"/>
      <c r="AD162" s="172"/>
      <c r="AE162" s="171"/>
      <c r="AF162" s="171"/>
      <c r="AG162" s="171"/>
      <c r="AH162" s="171"/>
      <c r="AI162" s="171"/>
      <c r="AJ162" s="171"/>
    </row>
    <row r="163" spans="1:36" x14ac:dyDescent="0.2">
      <c r="A163"/>
      <c r="B163"/>
      <c r="C163"/>
      <c r="D163"/>
      <c r="E163"/>
      <c r="F163"/>
      <c r="G163"/>
      <c r="H163"/>
      <c r="I163"/>
      <c r="J163"/>
      <c r="K163"/>
      <c r="L163"/>
      <c r="M163" s="172"/>
      <c r="N163" s="172"/>
      <c r="O163" s="172"/>
      <c r="P163"/>
      <c r="Q163" s="172"/>
      <c r="R163" s="172"/>
      <c r="S163" s="172"/>
      <c r="T163" s="2"/>
      <c r="U163" s="172"/>
      <c r="V163" s="172"/>
      <c r="W163" s="172"/>
      <c r="X163" s="172"/>
      <c r="Y163" s="172"/>
      <c r="Z163" s="172"/>
      <c r="AA163" s="172"/>
      <c r="AB163" s="172"/>
      <c r="AC163" s="172"/>
      <c r="AD163" s="172"/>
      <c r="AE163" s="171"/>
      <c r="AF163" s="171"/>
      <c r="AG163" s="171"/>
      <c r="AH163" s="171"/>
      <c r="AI163" s="171"/>
      <c r="AJ163" s="171"/>
    </row>
    <row r="164" spans="1:36" x14ac:dyDescent="0.2">
      <c r="A164"/>
      <c r="B164"/>
      <c r="C164"/>
      <c r="D164"/>
      <c r="E164"/>
      <c r="F164"/>
      <c r="G164"/>
      <c r="H164"/>
      <c r="I164"/>
      <c r="J164"/>
      <c r="K164"/>
      <c r="L164"/>
      <c r="M164" s="172"/>
      <c r="N164" s="172"/>
      <c r="O164" s="172"/>
      <c r="P164"/>
      <c r="Q164" s="172"/>
      <c r="R164" s="172"/>
      <c r="S164" s="172"/>
      <c r="T164" s="2"/>
      <c r="U164" s="172"/>
      <c r="V164" s="172"/>
      <c r="W164" s="172"/>
      <c r="X164" s="172"/>
      <c r="Y164" s="172"/>
      <c r="Z164" s="172"/>
      <c r="AA164" s="172"/>
      <c r="AB164" s="172"/>
      <c r="AC164" s="172"/>
      <c r="AD164" s="172"/>
      <c r="AE164" s="171"/>
      <c r="AF164" s="171"/>
      <c r="AG164" s="171"/>
      <c r="AH164" s="171"/>
      <c r="AI164" s="171"/>
      <c r="AJ164" s="171"/>
    </row>
    <row r="165" spans="1:36" x14ac:dyDescent="0.2">
      <c r="A165"/>
      <c r="B165"/>
      <c r="C165"/>
      <c r="D165"/>
      <c r="E165"/>
      <c r="F165"/>
      <c r="G165"/>
      <c r="H165"/>
      <c r="I165"/>
      <c r="J165"/>
      <c r="K165"/>
      <c r="L165"/>
      <c r="M165" s="172"/>
      <c r="N165" s="172"/>
      <c r="O165" s="172"/>
      <c r="P165"/>
      <c r="Q165" s="172"/>
      <c r="R165" s="172"/>
      <c r="S165" s="172"/>
      <c r="T165" s="2"/>
      <c r="U165" s="172"/>
      <c r="V165" s="172"/>
      <c r="W165" s="172"/>
      <c r="X165" s="172"/>
      <c r="Y165" s="172"/>
      <c r="Z165" s="172"/>
      <c r="AA165" s="172"/>
      <c r="AB165" s="172"/>
      <c r="AC165" s="172"/>
      <c r="AD165" s="172"/>
      <c r="AE165" s="171"/>
      <c r="AF165" s="171"/>
      <c r="AG165" s="171"/>
      <c r="AH165" s="171"/>
      <c r="AI165" s="171"/>
      <c r="AJ165" s="171"/>
    </row>
    <row r="166" spans="1:36" x14ac:dyDescent="0.2">
      <c r="A166"/>
      <c r="B166"/>
      <c r="C166"/>
      <c r="D166"/>
      <c r="E166"/>
      <c r="F166"/>
      <c r="G166"/>
      <c r="H166"/>
      <c r="I166"/>
      <c r="J166"/>
      <c r="K166"/>
      <c r="L166"/>
      <c r="M166" s="172"/>
      <c r="N166" s="172"/>
      <c r="O166" s="172"/>
      <c r="P166"/>
      <c r="Q166" s="172"/>
      <c r="R166" s="172"/>
      <c r="S166" s="172"/>
      <c r="T166" s="2"/>
      <c r="U166" s="172"/>
      <c r="V166" s="172"/>
      <c r="W166" s="172"/>
      <c r="X166" s="172"/>
      <c r="Y166" s="172"/>
      <c r="Z166" s="172"/>
      <c r="AA166" s="172"/>
      <c r="AB166" s="172"/>
      <c r="AC166" s="172"/>
      <c r="AD166" s="172"/>
      <c r="AE166" s="171"/>
      <c r="AF166" s="171"/>
      <c r="AG166" s="171"/>
      <c r="AH166" s="171"/>
      <c r="AI166" s="171"/>
      <c r="AJ166" s="171"/>
    </row>
    <row r="167" spans="1:36" x14ac:dyDescent="0.2">
      <c r="A167"/>
      <c r="B167"/>
      <c r="C167"/>
      <c r="D167"/>
      <c r="E167"/>
      <c r="F167"/>
      <c r="G167"/>
      <c r="H167"/>
      <c r="I167"/>
      <c r="J167"/>
      <c r="K167"/>
      <c r="L167"/>
      <c r="M167" s="172"/>
      <c r="N167" s="172"/>
      <c r="O167" s="172"/>
      <c r="P167"/>
      <c r="Q167" s="172"/>
      <c r="R167" s="172"/>
      <c r="S167" s="172"/>
      <c r="T167" s="2"/>
      <c r="U167" s="172"/>
      <c r="V167" s="172"/>
      <c r="W167" s="172"/>
      <c r="X167" s="172"/>
      <c r="Y167" s="172"/>
      <c r="Z167" s="172"/>
      <c r="AA167" s="172"/>
      <c r="AB167" s="172"/>
      <c r="AC167" s="172"/>
      <c r="AD167" s="172"/>
      <c r="AE167" s="171"/>
      <c r="AF167" s="171"/>
      <c r="AG167" s="171"/>
      <c r="AH167" s="171"/>
      <c r="AI167" s="171"/>
      <c r="AJ167" s="171"/>
    </row>
    <row r="168" spans="1:36" x14ac:dyDescent="0.2">
      <c r="A168"/>
      <c r="B168"/>
      <c r="C168"/>
      <c r="D168"/>
      <c r="E168"/>
      <c r="F168"/>
      <c r="G168"/>
      <c r="H168"/>
      <c r="I168"/>
      <c r="J168"/>
      <c r="K168"/>
      <c r="L168"/>
      <c r="M168" s="172"/>
      <c r="N168" s="172"/>
      <c r="O168" s="172"/>
      <c r="P168"/>
      <c r="Q168" s="172"/>
      <c r="R168" s="172"/>
      <c r="S168" s="172"/>
      <c r="T168" s="2"/>
      <c r="U168" s="172"/>
      <c r="V168" s="172"/>
      <c r="W168" s="172"/>
      <c r="X168" s="172"/>
      <c r="Y168" s="172"/>
      <c r="Z168" s="172"/>
      <c r="AA168" s="172"/>
      <c r="AB168" s="172"/>
      <c r="AC168" s="172"/>
      <c r="AD168" s="172"/>
      <c r="AE168" s="171"/>
      <c r="AF168" s="171"/>
      <c r="AG168" s="171"/>
      <c r="AH168" s="171"/>
      <c r="AI168" s="171"/>
      <c r="AJ168" s="171"/>
    </row>
    <row r="169" spans="1:36" x14ac:dyDescent="0.2">
      <c r="A169"/>
      <c r="B169"/>
      <c r="C169"/>
      <c r="D169"/>
      <c r="E169"/>
      <c r="F169"/>
      <c r="G169"/>
      <c r="H169"/>
      <c r="I169"/>
      <c r="J169"/>
      <c r="K169"/>
      <c r="L169"/>
      <c r="M169" s="172"/>
      <c r="N169" s="172"/>
      <c r="O169" s="172"/>
      <c r="P169"/>
      <c r="Q169" s="172"/>
      <c r="R169" s="172"/>
      <c r="S169" s="172"/>
      <c r="T169" s="2"/>
      <c r="U169" s="172"/>
      <c r="V169" s="172"/>
      <c r="W169" s="172"/>
      <c r="X169" s="172"/>
      <c r="Y169" s="172"/>
      <c r="Z169" s="172"/>
      <c r="AA169" s="172"/>
      <c r="AB169" s="172"/>
      <c r="AC169" s="172"/>
      <c r="AD169" s="172"/>
      <c r="AE169" s="171"/>
      <c r="AF169" s="171"/>
      <c r="AG169" s="171"/>
      <c r="AH169" s="171"/>
      <c r="AI169" s="171"/>
      <c r="AJ169" s="171"/>
    </row>
    <row r="170" spans="1:36" x14ac:dyDescent="0.2">
      <c r="A170"/>
      <c r="B170"/>
      <c r="C170"/>
      <c r="D170"/>
      <c r="E170"/>
      <c r="F170"/>
      <c r="G170"/>
      <c r="H170"/>
      <c r="I170"/>
      <c r="J170"/>
      <c r="K170"/>
      <c r="L170"/>
      <c r="M170" s="172"/>
      <c r="N170" s="172"/>
      <c r="O170" s="172"/>
      <c r="P170"/>
      <c r="Q170" s="172"/>
      <c r="R170" s="172"/>
      <c r="S170" s="172"/>
      <c r="T170" s="2"/>
      <c r="U170" s="172"/>
      <c r="V170" s="172"/>
      <c r="W170" s="172"/>
      <c r="X170" s="172"/>
      <c r="Y170" s="172"/>
      <c r="Z170" s="172"/>
      <c r="AA170" s="172"/>
      <c r="AB170" s="172"/>
      <c r="AC170" s="172"/>
      <c r="AD170" s="172"/>
      <c r="AE170" s="171"/>
      <c r="AF170" s="171"/>
      <c r="AG170" s="171"/>
      <c r="AH170" s="171"/>
      <c r="AI170" s="171"/>
      <c r="AJ170" s="171"/>
    </row>
    <row r="171" spans="1:36" x14ac:dyDescent="0.2">
      <c r="A171"/>
      <c r="B171"/>
      <c r="C171"/>
      <c r="D171"/>
      <c r="E171"/>
      <c r="F171"/>
      <c r="G171"/>
      <c r="H171"/>
      <c r="I171"/>
      <c r="J171"/>
      <c r="K171"/>
      <c r="L171"/>
      <c r="M171" s="172"/>
      <c r="N171" s="172"/>
      <c r="O171" s="172"/>
      <c r="P171"/>
      <c r="Q171" s="172"/>
      <c r="R171" s="172"/>
      <c r="S171" s="172"/>
      <c r="T171" s="2"/>
      <c r="U171" s="172"/>
      <c r="V171" s="172"/>
      <c r="W171" s="172"/>
      <c r="X171" s="172"/>
      <c r="Y171" s="172"/>
      <c r="Z171" s="172"/>
      <c r="AA171" s="172"/>
      <c r="AB171" s="172"/>
      <c r="AC171" s="172"/>
      <c r="AD171" s="172"/>
      <c r="AE171" s="171"/>
      <c r="AF171" s="171"/>
      <c r="AG171" s="171"/>
      <c r="AH171" s="171"/>
      <c r="AI171" s="171"/>
      <c r="AJ171" s="171"/>
    </row>
    <row r="172" spans="1:36" x14ac:dyDescent="0.2">
      <c r="A172"/>
      <c r="B172"/>
      <c r="C172"/>
      <c r="D172"/>
      <c r="E172"/>
      <c r="F172"/>
      <c r="G172"/>
      <c r="H172"/>
      <c r="I172"/>
      <c r="J172"/>
      <c r="K172"/>
      <c r="L172"/>
      <c r="M172" s="172"/>
      <c r="N172" s="172"/>
      <c r="O172" s="172"/>
      <c r="P172"/>
      <c r="Q172" s="172"/>
      <c r="R172" s="172"/>
      <c r="S172" s="172"/>
      <c r="T172" s="2"/>
      <c r="U172" s="172"/>
      <c r="V172" s="172"/>
      <c r="W172" s="172"/>
      <c r="X172" s="172"/>
      <c r="Y172" s="172"/>
      <c r="Z172" s="172"/>
      <c r="AA172" s="172"/>
      <c r="AB172" s="172"/>
      <c r="AC172" s="172"/>
      <c r="AD172" s="172"/>
      <c r="AE172" s="171"/>
      <c r="AF172" s="171"/>
      <c r="AG172" s="171"/>
      <c r="AH172" s="171"/>
      <c r="AI172" s="171"/>
      <c r="AJ172" s="171"/>
    </row>
    <row r="173" spans="1:36" x14ac:dyDescent="0.2">
      <c r="A173"/>
      <c r="B173"/>
      <c r="C173"/>
      <c r="D173"/>
      <c r="E173"/>
      <c r="F173"/>
      <c r="G173"/>
      <c r="H173"/>
      <c r="I173"/>
      <c r="J173"/>
      <c r="K173"/>
      <c r="L173"/>
      <c r="M173" s="172"/>
      <c r="N173" s="172"/>
      <c r="O173" s="172"/>
      <c r="P173"/>
      <c r="Q173" s="172"/>
      <c r="R173" s="172"/>
      <c r="S173" s="172"/>
      <c r="T173" s="2"/>
      <c r="U173" s="172"/>
      <c r="V173" s="172"/>
      <c r="W173" s="172"/>
      <c r="X173" s="172"/>
      <c r="Y173" s="172"/>
      <c r="Z173" s="172"/>
      <c r="AA173" s="172"/>
      <c r="AB173" s="172"/>
      <c r="AC173" s="172"/>
      <c r="AD173" s="172"/>
      <c r="AE173" s="171"/>
      <c r="AF173" s="171"/>
      <c r="AG173" s="171"/>
      <c r="AH173" s="171"/>
      <c r="AI173" s="171"/>
      <c r="AJ173" s="171"/>
    </row>
    <row r="174" spans="1:36" x14ac:dyDescent="0.2">
      <c r="A174"/>
      <c r="B174"/>
      <c r="C174"/>
      <c r="D174"/>
      <c r="E174"/>
      <c r="F174"/>
      <c r="G174"/>
      <c r="H174"/>
      <c r="I174"/>
      <c r="J174"/>
      <c r="K174"/>
      <c r="L174"/>
      <c r="M174" s="172"/>
      <c r="N174" s="172"/>
      <c r="O174" s="172"/>
      <c r="P174"/>
      <c r="Q174" s="172"/>
      <c r="R174" s="172"/>
      <c r="S174" s="172"/>
      <c r="T174" s="2"/>
      <c r="U174" s="172"/>
      <c r="V174" s="172"/>
      <c r="W174" s="172"/>
      <c r="X174" s="172"/>
      <c r="Y174" s="172"/>
      <c r="Z174" s="172"/>
      <c r="AA174" s="172"/>
      <c r="AB174" s="172"/>
      <c r="AC174" s="172"/>
      <c r="AD174" s="172"/>
      <c r="AE174" s="171"/>
      <c r="AF174" s="171"/>
      <c r="AG174" s="171"/>
      <c r="AH174" s="171"/>
      <c r="AI174" s="171"/>
      <c r="AJ174" s="171"/>
    </row>
    <row r="175" spans="1:36" x14ac:dyDescent="0.2">
      <c r="A175"/>
      <c r="B175"/>
      <c r="C175"/>
      <c r="D175"/>
      <c r="E175"/>
      <c r="F175"/>
      <c r="G175"/>
      <c r="H175"/>
      <c r="I175"/>
      <c r="J175"/>
      <c r="K175"/>
      <c r="L175"/>
      <c r="M175" s="172"/>
      <c r="N175" s="172"/>
      <c r="O175" s="172"/>
      <c r="P175"/>
      <c r="Q175" s="172"/>
      <c r="R175" s="172"/>
      <c r="S175" s="172"/>
      <c r="T175" s="2"/>
      <c r="U175" s="172"/>
      <c r="V175" s="172"/>
      <c r="W175" s="172"/>
      <c r="X175" s="172"/>
      <c r="Y175" s="172"/>
      <c r="Z175" s="172"/>
      <c r="AA175" s="172"/>
      <c r="AB175" s="172"/>
      <c r="AC175" s="172"/>
      <c r="AD175" s="172"/>
      <c r="AE175" s="171"/>
      <c r="AF175" s="171"/>
      <c r="AG175" s="171"/>
      <c r="AH175" s="171"/>
      <c r="AI175" s="171"/>
      <c r="AJ175" s="171"/>
    </row>
    <row r="176" spans="1:36" x14ac:dyDescent="0.2">
      <c r="A176"/>
      <c r="B176"/>
      <c r="C176"/>
      <c r="D176"/>
      <c r="E176"/>
      <c r="F176"/>
      <c r="G176"/>
      <c r="H176"/>
      <c r="I176"/>
      <c r="J176"/>
      <c r="K176"/>
      <c r="L176"/>
      <c r="M176" s="172"/>
      <c r="N176" s="172"/>
      <c r="O176" s="172"/>
      <c r="P176"/>
      <c r="Q176" s="172"/>
      <c r="R176" s="172"/>
      <c r="S176" s="172"/>
      <c r="T176" s="2"/>
      <c r="U176" s="172"/>
      <c r="V176" s="172"/>
      <c r="W176" s="172"/>
      <c r="X176" s="172"/>
      <c r="Y176" s="172"/>
      <c r="Z176" s="172"/>
      <c r="AA176" s="172"/>
      <c r="AB176" s="172"/>
      <c r="AC176" s="172"/>
      <c r="AD176" s="172"/>
      <c r="AE176" s="171"/>
      <c r="AF176" s="171"/>
      <c r="AG176" s="171"/>
      <c r="AH176" s="171"/>
      <c r="AI176" s="171"/>
      <c r="AJ176" s="171"/>
    </row>
    <row r="177" spans="1:36" x14ac:dyDescent="0.2">
      <c r="A177"/>
      <c r="B177"/>
      <c r="C177"/>
      <c r="D177"/>
      <c r="E177"/>
      <c r="F177"/>
      <c r="G177"/>
      <c r="H177"/>
      <c r="I177"/>
      <c r="J177"/>
      <c r="K177"/>
      <c r="L177"/>
      <c r="M177" s="172"/>
      <c r="N177" s="172"/>
      <c r="O177" s="172"/>
      <c r="P177"/>
      <c r="Q177" s="172"/>
      <c r="R177" s="172"/>
      <c r="S177" s="172"/>
      <c r="T177" s="2"/>
      <c r="U177" s="172"/>
      <c r="V177" s="172"/>
      <c r="W177" s="172"/>
      <c r="X177" s="172"/>
      <c r="Y177" s="172"/>
      <c r="Z177" s="172"/>
      <c r="AA177" s="172"/>
      <c r="AB177" s="172"/>
      <c r="AC177" s="172"/>
      <c r="AD177" s="172"/>
      <c r="AE177" s="171"/>
      <c r="AF177" s="171"/>
      <c r="AG177" s="171"/>
      <c r="AH177" s="171"/>
      <c r="AI177" s="171"/>
      <c r="AJ177" s="171"/>
    </row>
    <row r="178" spans="1:36" x14ac:dyDescent="0.2">
      <c r="A178"/>
      <c r="B178"/>
      <c r="C178"/>
      <c r="D178"/>
      <c r="E178"/>
      <c r="F178"/>
      <c r="G178"/>
      <c r="H178"/>
      <c r="I178"/>
      <c r="J178"/>
      <c r="K178"/>
      <c r="L178"/>
      <c r="M178" s="172"/>
      <c r="N178" s="172"/>
      <c r="O178" s="172"/>
      <c r="P178"/>
      <c r="Q178" s="172"/>
      <c r="R178" s="172"/>
      <c r="S178" s="172"/>
      <c r="T178" s="2"/>
      <c r="U178" s="172"/>
      <c r="V178" s="172"/>
      <c r="W178" s="172"/>
      <c r="X178" s="172"/>
      <c r="Y178" s="172"/>
      <c r="Z178" s="172"/>
      <c r="AA178" s="172"/>
      <c r="AB178" s="172"/>
      <c r="AC178" s="172"/>
      <c r="AD178" s="172"/>
      <c r="AE178" s="171"/>
      <c r="AF178" s="171"/>
      <c r="AG178" s="171"/>
      <c r="AH178" s="171"/>
      <c r="AI178" s="171"/>
      <c r="AJ178" s="171"/>
    </row>
    <row r="179" spans="1:36" x14ac:dyDescent="0.2">
      <c r="A179"/>
      <c r="B179"/>
      <c r="C179"/>
      <c r="D179"/>
      <c r="E179"/>
      <c r="F179"/>
      <c r="G179"/>
      <c r="H179"/>
      <c r="I179"/>
      <c r="J179"/>
      <c r="K179"/>
      <c r="L179"/>
      <c r="M179" s="172"/>
      <c r="N179" s="172"/>
      <c r="O179" s="172"/>
      <c r="P179"/>
      <c r="Q179" s="172"/>
      <c r="R179" s="172"/>
      <c r="S179" s="172"/>
      <c r="T179" s="2"/>
      <c r="U179" s="172"/>
      <c r="V179" s="172"/>
      <c r="W179" s="172"/>
      <c r="X179" s="172"/>
      <c r="Y179" s="172"/>
      <c r="Z179" s="172"/>
      <c r="AA179" s="172"/>
      <c r="AB179" s="172"/>
      <c r="AC179" s="172"/>
      <c r="AD179" s="172"/>
      <c r="AE179" s="171"/>
      <c r="AF179" s="171"/>
      <c r="AG179" s="171"/>
      <c r="AH179" s="171"/>
      <c r="AI179" s="171"/>
      <c r="AJ179" s="171"/>
    </row>
    <row r="180" spans="1:36" x14ac:dyDescent="0.2">
      <c r="A180"/>
      <c r="B180"/>
      <c r="C180"/>
      <c r="D180"/>
      <c r="E180"/>
      <c r="F180"/>
      <c r="G180"/>
      <c r="H180"/>
      <c r="I180"/>
      <c r="J180"/>
      <c r="K180"/>
      <c r="L180"/>
      <c r="M180" s="172"/>
      <c r="N180" s="172"/>
      <c r="O180" s="172"/>
      <c r="P180"/>
      <c r="Q180" s="172"/>
      <c r="R180" s="172"/>
      <c r="S180" s="172"/>
      <c r="T180" s="2"/>
      <c r="U180" s="172"/>
      <c r="V180" s="172"/>
      <c r="W180" s="172"/>
      <c r="X180" s="172"/>
      <c r="Y180" s="172"/>
      <c r="Z180" s="172"/>
      <c r="AA180" s="172"/>
      <c r="AB180" s="172"/>
      <c r="AC180" s="172"/>
      <c r="AD180" s="172"/>
      <c r="AE180" s="171"/>
      <c r="AF180" s="171"/>
      <c r="AG180" s="171"/>
      <c r="AH180" s="171"/>
      <c r="AI180" s="171"/>
      <c r="AJ180" s="171"/>
    </row>
    <row r="181" spans="1:36" x14ac:dyDescent="0.2">
      <c r="A181"/>
      <c r="B181"/>
      <c r="C181"/>
      <c r="D181"/>
      <c r="E181"/>
      <c r="F181"/>
      <c r="G181"/>
      <c r="H181"/>
      <c r="I181"/>
      <c r="J181"/>
      <c r="K181"/>
      <c r="L181"/>
      <c r="M181" s="172"/>
      <c r="N181" s="172"/>
      <c r="O181" s="172"/>
      <c r="P181"/>
      <c r="Q181" s="172"/>
      <c r="R181" s="172"/>
      <c r="S181" s="172"/>
      <c r="T181" s="2"/>
      <c r="U181" s="172"/>
      <c r="V181" s="172"/>
      <c r="W181" s="172"/>
      <c r="X181" s="172"/>
      <c r="Y181" s="172"/>
      <c r="Z181" s="172"/>
      <c r="AA181" s="172"/>
      <c r="AB181" s="172"/>
      <c r="AC181" s="172"/>
      <c r="AD181" s="172"/>
      <c r="AE181" s="171"/>
      <c r="AF181" s="171"/>
      <c r="AG181" s="171"/>
      <c r="AH181" s="171"/>
      <c r="AI181" s="171"/>
      <c r="AJ181" s="171"/>
    </row>
    <row r="182" spans="1:36" x14ac:dyDescent="0.2">
      <c r="A182"/>
      <c r="B182"/>
      <c r="C182"/>
      <c r="D182"/>
      <c r="E182"/>
      <c r="F182"/>
      <c r="G182"/>
      <c r="H182"/>
      <c r="I182"/>
      <c r="J182"/>
      <c r="K182"/>
      <c r="L182"/>
      <c r="M182" s="172"/>
      <c r="N182" s="172"/>
      <c r="O182" s="172"/>
      <c r="P182"/>
      <c r="Q182" s="172"/>
      <c r="R182" s="172"/>
      <c r="S182" s="172"/>
      <c r="T182" s="2"/>
      <c r="U182" s="172"/>
      <c r="V182" s="172"/>
      <c r="W182" s="172"/>
      <c r="X182" s="172"/>
      <c r="Y182" s="172"/>
      <c r="Z182" s="172"/>
      <c r="AA182" s="172"/>
      <c r="AB182" s="172"/>
      <c r="AC182" s="172"/>
      <c r="AD182" s="172"/>
      <c r="AE182" s="171"/>
      <c r="AF182" s="171"/>
      <c r="AG182" s="171"/>
      <c r="AH182" s="171"/>
      <c r="AI182" s="171"/>
      <c r="AJ182" s="171"/>
    </row>
    <row r="183" spans="1:36" x14ac:dyDescent="0.2">
      <c r="A183"/>
      <c r="B183"/>
      <c r="C183"/>
      <c r="D183"/>
      <c r="E183"/>
      <c r="F183"/>
      <c r="G183"/>
      <c r="H183"/>
      <c r="I183"/>
      <c r="J183"/>
      <c r="K183"/>
      <c r="L183"/>
      <c r="M183" s="172"/>
      <c r="N183" s="172"/>
      <c r="O183" s="172"/>
      <c r="P183"/>
      <c r="Q183" s="172"/>
      <c r="R183" s="172"/>
      <c r="S183" s="172"/>
      <c r="T183" s="2"/>
      <c r="U183" s="172"/>
      <c r="V183" s="172"/>
      <c r="W183" s="172"/>
      <c r="X183" s="172"/>
      <c r="Y183" s="172"/>
      <c r="Z183" s="172"/>
      <c r="AA183" s="172"/>
      <c r="AB183" s="172"/>
      <c r="AC183" s="172"/>
      <c r="AD183" s="172"/>
      <c r="AE183" s="171"/>
      <c r="AF183" s="171"/>
      <c r="AG183" s="171"/>
      <c r="AH183" s="171"/>
      <c r="AI183" s="171"/>
      <c r="AJ183" s="171"/>
    </row>
    <row r="184" spans="1:36" x14ac:dyDescent="0.2">
      <c r="A184"/>
      <c r="B184"/>
      <c r="C184"/>
      <c r="D184"/>
      <c r="E184"/>
      <c r="F184"/>
      <c r="G184"/>
      <c r="H184"/>
      <c r="I184"/>
      <c r="J184"/>
      <c r="K184"/>
      <c r="L184"/>
      <c r="M184" s="172"/>
      <c r="N184" s="172"/>
      <c r="O184" s="172"/>
      <c r="P184"/>
      <c r="Q184" s="172"/>
      <c r="R184" s="172"/>
      <c r="S184" s="172"/>
      <c r="T184" s="2"/>
      <c r="U184" s="172"/>
      <c r="V184" s="172"/>
      <c r="W184" s="172"/>
      <c r="X184" s="172"/>
      <c r="Y184" s="172"/>
      <c r="Z184" s="172"/>
      <c r="AA184" s="172"/>
      <c r="AB184" s="172"/>
      <c r="AC184" s="172"/>
      <c r="AD184" s="172"/>
      <c r="AE184" s="171"/>
      <c r="AF184" s="171"/>
      <c r="AG184" s="171"/>
      <c r="AH184" s="171"/>
      <c r="AI184" s="171"/>
      <c r="AJ184" s="171"/>
    </row>
    <row r="185" spans="1:36" x14ac:dyDescent="0.2">
      <c r="A185"/>
      <c r="B185"/>
      <c r="C185"/>
      <c r="D185"/>
      <c r="E185"/>
      <c r="F185"/>
      <c r="G185"/>
      <c r="H185"/>
      <c r="I185"/>
      <c r="J185"/>
      <c r="K185"/>
      <c r="L185"/>
      <c r="M185" s="172"/>
      <c r="N185" s="172"/>
      <c r="O185" s="172"/>
      <c r="P185"/>
      <c r="Q185" s="172"/>
      <c r="R185" s="172"/>
      <c r="S185" s="172"/>
      <c r="T185" s="2"/>
      <c r="U185" s="172"/>
      <c r="V185" s="172"/>
      <c r="W185" s="172"/>
      <c r="X185" s="172"/>
      <c r="Y185" s="172"/>
      <c r="Z185" s="172"/>
      <c r="AA185" s="172"/>
      <c r="AB185" s="172"/>
      <c r="AC185" s="172"/>
      <c r="AD185" s="172"/>
      <c r="AE185" s="171"/>
      <c r="AF185" s="171"/>
      <c r="AG185" s="171"/>
      <c r="AH185" s="171"/>
      <c r="AI185" s="171"/>
      <c r="AJ185" s="171"/>
    </row>
    <row r="186" spans="1:36" x14ac:dyDescent="0.2">
      <c r="A186"/>
      <c r="B186"/>
      <c r="C186"/>
      <c r="D186"/>
      <c r="E186"/>
      <c r="F186"/>
      <c r="G186"/>
      <c r="H186"/>
      <c r="I186"/>
      <c r="J186"/>
      <c r="K186"/>
      <c r="L186"/>
      <c r="M186" s="172"/>
      <c r="N186" s="172"/>
      <c r="O186" s="172"/>
      <c r="P186"/>
      <c r="Q186" s="172"/>
      <c r="R186" s="172"/>
      <c r="S186" s="172"/>
      <c r="T186" s="2"/>
      <c r="U186" s="172"/>
      <c r="V186" s="172"/>
      <c r="W186" s="172"/>
      <c r="X186" s="172"/>
      <c r="Y186" s="172"/>
      <c r="Z186" s="172"/>
      <c r="AA186" s="172"/>
      <c r="AB186" s="172"/>
      <c r="AC186" s="172"/>
      <c r="AD186" s="172"/>
      <c r="AE186" s="171"/>
      <c r="AF186" s="171"/>
      <c r="AG186" s="171"/>
      <c r="AH186" s="171"/>
      <c r="AI186" s="171"/>
      <c r="AJ186" s="171"/>
    </row>
    <row r="187" spans="1:36" x14ac:dyDescent="0.2">
      <c r="A187"/>
      <c r="B187"/>
      <c r="C187"/>
      <c r="D187"/>
      <c r="E187"/>
      <c r="F187"/>
      <c r="G187"/>
      <c r="H187"/>
      <c r="I187"/>
      <c r="J187"/>
      <c r="K187"/>
      <c r="L187"/>
      <c r="M187" s="172"/>
      <c r="N187" s="172"/>
      <c r="O187" s="172"/>
      <c r="P187"/>
      <c r="Q187" s="172"/>
      <c r="R187" s="172"/>
      <c r="S187" s="172"/>
      <c r="T187" s="2"/>
      <c r="U187" s="172"/>
      <c r="V187" s="172"/>
      <c r="W187" s="172"/>
      <c r="X187" s="172"/>
      <c r="Y187" s="172"/>
      <c r="Z187" s="172"/>
      <c r="AA187" s="172"/>
      <c r="AB187" s="172"/>
      <c r="AC187" s="172"/>
      <c r="AD187" s="172"/>
      <c r="AE187" s="171"/>
      <c r="AF187" s="171"/>
      <c r="AG187" s="171"/>
      <c r="AH187" s="171"/>
      <c r="AI187" s="171"/>
      <c r="AJ187" s="171"/>
    </row>
    <row r="188" spans="1:36" x14ac:dyDescent="0.2">
      <c r="A188"/>
      <c r="B188"/>
      <c r="C188"/>
      <c r="D188"/>
      <c r="E188"/>
      <c r="F188"/>
      <c r="G188"/>
      <c r="H188"/>
      <c r="I188"/>
      <c r="J188"/>
      <c r="K188"/>
      <c r="L188"/>
      <c r="M188" s="172"/>
      <c r="N188" s="172"/>
      <c r="O188" s="172"/>
      <c r="P188"/>
      <c r="Q188" s="172"/>
      <c r="R188" s="172"/>
      <c r="S188" s="172"/>
      <c r="T188" s="2"/>
      <c r="U188" s="172"/>
      <c r="V188" s="172"/>
      <c r="W188" s="172"/>
      <c r="X188" s="172"/>
      <c r="Y188" s="172"/>
      <c r="Z188" s="172"/>
      <c r="AA188" s="172"/>
      <c r="AB188" s="172"/>
      <c r="AC188" s="172"/>
      <c r="AD188" s="172"/>
      <c r="AE188" s="171"/>
      <c r="AF188" s="171"/>
      <c r="AG188" s="171"/>
      <c r="AH188" s="171"/>
      <c r="AI188" s="171"/>
      <c r="AJ188" s="171"/>
    </row>
    <row r="189" spans="1:36" x14ac:dyDescent="0.2">
      <c r="A189"/>
      <c r="B189"/>
      <c r="C189"/>
      <c r="D189"/>
      <c r="E189"/>
      <c r="F189"/>
      <c r="G189"/>
      <c r="H189"/>
      <c r="I189"/>
      <c r="J189"/>
      <c r="K189"/>
      <c r="L189"/>
      <c r="M189" s="172"/>
      <c r="N189" s="172"/>
      <c r="O189" s="172"/>
      <c r="P189"/>
      <c r="Q189" s="172"/>
      <c r="R189" s="172"/>
      <c r="S189" s="172"/>
      <c r="T189" s="2"/>
      <c r="U189" s="172"/>
      <c r="V189" s="172"/>
      <c r="W189" s="172"/>
      <c r="X189" s="172"/>
      <c r="Y189" s="172"/>
      <c r="Z189" s="172"/>
      <c r="AA189" s="172"/>
      <c r="AB189" s="172"/>
      <c r="AC189" s="172"/>
      <c r="AD189" s="172"/>
      <c r="AE189" s="171"/>
      <c r="AF189" s="171"/>
      <c r="AG189" s="171"/>
      <c r="AH189" s="171"/>
      <c r="AI189" s="171"/>
      <c r="AJ189" s="171"/>
    </row>
    <row r="190" spans="1:36" x14ac:dyDescent="0.2">
      <c r="A190"/>
      <c r="B190"/>
      <c r="C190"/>
      <c r="D190"/>
      <c r="E190"/>
      <c r="F190"/>
      <c r="G190"/>
      <c r="H190"/>
      <c r="I190"/>
      <c r="J190"/>
      <c r="K190"/>
      <c r="L190"/>
      <c r="M190" s="172"/>
      <c r="N190" s="172"/>
      <c r="O190" s="172"/>
      <c r="P190"/>
      <c r="Q190" s="172"/>
      <c r="R190" s="172"/>
      <c r="S190" s="172"/>
      <c r="T190" s="2"/>
      <c r="U190" s="172"/>
      <c r="V190" s="172"/>
      <c r="W190" s="172"/>
      <c r="X190" s="172"/>
      <c r="Y190" s="172"/>
      <c r="Z190" s="172"/>
      <c r="AA190" s="172"/>
      <c r="AB190" s="172"/>
      <c r="AC190" s="172"/>
      <c r="AD190" s="172"/>
      <c r="AE190" s="171"/>
      <c r="AF190" s="171"/>
      <c r="AG190" s="171"/>
      <c r="AH190" s="171"/>
      <c r="AI190" s="171"/>
      <c r="AJ190" s="171"/>
    </row>
    <row r="191" spans="1:36" x14ac:dyDescent="0.2">
      <c r="A191"/>
      <c r="B191"/>
      <c r="C191"/>
      <c r="D191"/>
      <c r="E191"/>
      <c r="F191"/>
      <c r="G191"/>
      <c r="H191"/>
      <c r="I191"/>
      <c r="J191"/>
      <c r="K191"/>
      <c r="L191"/>
      <c r="M191" s="172"/>
      <c r="N191" s="172"/>
      <c r="O191" s="172"/>
      <c r="P191"/>
      <c r="Q191" s="172"/>
      <c r="R191" s="172"/>
      <c r="S191" s="172"/>
      <c r="T191" s="2"/>
      <c r="U191" s="172"/>
      <c r="V191" s="172"/>
      <c r="W191" s="172"/>
      <c r="X191" s="172"/>
      <c r="Y191" s="172"/>
      <c r="Z191" s="172"/>
      <c r="AA191" s="172"/>
      <c r="AB191" s="172"/>
      <c r="AC191" s="172"/>
      <c r="AD191" s="172"/>
      <c r="AE191" s="171"/>
      <c r="AF191" s="171"/>
      <c r="AG191" s="171"/>
      <c r="AH191" s="171"/>
      <c r="AI191" s="171"/>
      <c r="AJ191" s="171"/>
    </row>
    <row r="192" spans="1:36" x14ac:dyDescent="0.2">
      <c r="A192"/>
      <c r="B192"/>
      <c r="C192"/>
      <c r="D192"/>
      <c r="E192"/>
      <c r="F192"/>
      <c r="G192"/>
      <c r="H192"/>
      <c r="I192"/>
      <c r="J192"/>
      <c r="K192"/>
      <c r="L192"/>
      <c r="M192" s="172"/>
      <c r="N192" s="172"/>
      <c r="O192" s="172"/>
      <c r="P192"/>
      <c r="Q192" s="172"/>
      <c r="R192" s="172"/>
      <c r="S192" s="172"/>
      <c r="T192" s="2"/>
      <c r="U192" s="172"/>
      <c r="V192" s="172"/>
      <c r="W192" s="172"/>
      <c r="X192" s="172"/>
      <c r="Y192" s="172"/>
      <c r="Z192" s="172"/>
      <c r="AA192" s="172"/>
      <c r="AB192" s="172"/>
      <c r="AC192" s="172"/>
      <c r="AD192" s="172"/>
      <c r="AE192" s="171"/>
      <c r="AF192" s="171"/>
      <c r="AG192" s="171"/>
      <c r="AH192" s="171"/>
      <c r="AI192" s="171"/>
      <c r="AJ192" s="171"/>
    </row>
    <row r="193" spans="1:36" x14ac:dyDescent="0.2">
      <c r="A193"/>
      <c r="B193"/>
      <c r="C193"/>
      <c r="D193"/>
      <c r="E193"/>
      <c r="F193"/>
      <c r="G193"/>
      <c r="H193"/>
      <c r="I193"/>
      <c r="J193"/>
      <c r="K193"/>
      <c r="L193"/>
      <c r="M193" s="172"/>
      <c r="N193" s="172"/>
      <c r="O193" s="172"/>
      <c r="P193"/>
      <c r="Q193" s="172"/>
      <c r="R193" s="172"/>
      <c r="S193" s="172"/>
      <c r="T193" s="2"/>
      <c r="U193" s="172"/>
      <c r="V193" s="172"/>
      <c r="W193" s="172"/>
      <c r="X193" s="172"/>
      <c r="Y193" s="172"/>
      <c r="Z193" s="172"/>
      <c r="AA193" s="172"/>
      <c r="AB193" s="172"/>
      <c r="AC193" s="172"/>
      <c r="AD193" s="172"/>
      <c r="AE193" s="171"/>
      <c r="AF193" s="171"/>
      <c r="AG193" s="171"/>
      <c r="AH193" s="171"/>
      <c r="AI193" s="171"/>
      <c r="AJ193" s="171"/>
    </row>
    <row r="194" spans="1:36" x14ac:dyDescent="0.2">
      <c r="A194"/>
      <c r="B194"/>
      <c r="C194"/>
      <c r="D194"/>
      <c r="E194"/>
      <c r="F194"/>
      <c r="G194"/>
      <c r="H194"/>
      <c r="I194"/>
      <c r="J194"/>
      <c r="K194"/>
      <c r="L194"/>
      <c r="M194" s="172"/>
      <c r="N194" s="172"/>
      <c r="O194" s="172"/>
      <c r="P194"/>
      <c r="Q194" s="172"/>
      <c r="R194" s="172"/>
      <c r="S194" s="172"/>
      <c r="T194" s="2"/>
      <c r="U194" s="172"/>
      <c r="V194" s="172"/>
      <c r="W194" s="172"/>
      <c r="X194" s="172"/>
      <c r="Y194" s="172"/>
      <c r="Z194" s="172"/>
      <c r="AA194" s="172"/>
      <c r="AB194" s="172"/>
      <c r="AC194" s="172"/>
      <c r="AD194" s="172"/>
      <c r="AE194" s="171"/>
      <c r="AF194" s="171"/>
      <c r="AG194" s="171"/>
      <c r="AH194" s="171"/>
      <c r="AI194" s="171"/>
      <c r="AJ194" s="171"/>
    </row>
    <row r="195" spans="1:36" x14ac:dyDescent="0.2">
      <c r="A195"/>
      <c r="B195"/>
      <c r="C195"/>
      <c r="D195"/>
      <c r="E195"/>
      <c r="F195"/>
      <c r="G195"/>
      <c r="H195"/>
      <c r="I195"/>
      <c r="J195"/>
      <c r="K195"/>
      <c r="L195"/>
      <c r="M195" s="172"/>
      <c r="N195" s="172"/>
      <c r="O195" s="172"/>
      <c r="P195"/>
      <c r="Q195" s="172"/>
      <c r="R195" s="172"/>
      <c r="S195" s="172"/>
      <c r="T195" s="2"/>
      <c r="U195" s="172"/>
      <c r="V195" s="172"/>
      <c r="W195" s="172"/>
      <c r="X195" s="172"/>
      <c r="Y195" s="172"/>
      <c r="Z195" s="172"/>
      <c r="AA195" s="172"/>
      <c r="AB195" s="172"/>
      <c r="AC195" s="172"/>
      <c r="AD195" s="172"/>
      <c r="AE195" s="171"/>
      <c r="AF195" s="171"/>
      <c r="AG195" s="171"/>
      <c r="AH195" s="171"/>
      <c r="AI195" s="171"/>
      <c r="AJ195" s="171"/>
    </row>
    <row r="196" spans="1:36" x14ac:dyDescent="0.2">
      <c r="A196"/>
      <c r="B196"/>
      <c r="C196"/>
      <c r="D196"/>
      <c r="E196"/>
      <c r="F196"/>
      <c r="G196"/>
      <c r="H196"/>
      <c r="I196"/>
      <c r="J196"/>
      <c r="K196"/>
      <c r="L196"/>
      <c r="M196" s="172"/>
      <c r="N196" s="172"/>
      <c r="O196" s="172"/>
      <c r="P196"/>
      <c r="Q196" s="172"/>
      <c r="R196" s="172"/>
      <c r="S196" s="172"/>
      <c r="T196" s="2"/>
      <c r="U196" s="172"/>
      <c r="V196" s="172"/>
      <c r="W196" s="172"/>
      <c r="X196" s="172"/>
      <c r="Y196" s="172"/>
      <c r="Z196" s="172"/>
      <c r="AA196" s="172"/>
      <c r="AB196" s="172"/>
      <c r="AC196" s="172"/>
      <c r="AD196" s="172"/>
      <c r="AE196" s="171"/>
      <c r="AF196" s="171"/>
      <c r="AG196" s="171"/>
      <c r="AH196" s="171"/>
      <c r="AI196" s="171"/>
      <c r="AJ196" s="171"/>
    </row>
    <row r="197" spans="1:36" x14ac:dyDescent="0.2">
      <c r="A197"/>
      <c r="B197"/>
      <c r="C197"/>
      <c r="D197"/>
      <c r="E197"/>
      <c r="F197"/>
      <c r="G197"/>
      <c r="H197"/>
      <c r="I197"/>
      <c r="J197"/>
      <c r="K197"/>
      <c r="L197"/>
      <c r="M197" s="172"/>
      <c r="N197" s="172"/>
      <c r="O197" s="172"/>
      <c r="P197"/>
      <c r="Q197" s="172"/>
      <c r="R197" s="172"/>
      <c r="S197" s="172"/>
      <c r="T197" s="2"/>
      <c r="U197" s="172"/>
      <c r="V197" s="172"/>
      <c r="W197" s="172"/>
      <c r="X197" s="172"/>
      <c r="Y197" s="172"/>
      <c r="Z197" s="172"/>
      <c r="AA197" s="172"/>
      <c r="AB197" s="172"/>
      <c r="AC197" s="172"/>
      <c r="AD197" s="172"/>
      <c r="AE197" s="171"/>
      <c r="AF197" s="171"/>
      <c r="AG197" s="171"/>
      <c r="AH197" s="171"/>
      <c r="AI197" s="171"/>
      <c r="AJ197" s="171"/>
    </row>
    <row r="198" spans="1:36" x14ac:dyDescent="0.2">
      <c r="A198"/>
      <c r="B198"/>
      <c r="C198"/>
      <c r="D198"/>
      <c r="E198"/>
      <c r="F198"/>
      <c r="G198"/>
      <c r="H198"/>
      <c r="I198"/>
      <c r="J198"/>
      <c r="K198"/>
      <c r="L198"/>
      <c r="M198" s="172"/>
      <c r="N198" s="172"/>
      <c r="O198" s="172"/>
      <c r="P198"/>
      <c r="Q198" s="172"/>
      <c r="R198" s="172"/>
      <c r="S198" s="172"/>
      <c r="T198" s="2"/>
      <c r="U198" s="172"/>
      <c r="V198" s="172"/>
      <c r="W198" s="172"/>
      <c r="X198" s="172"/>
      <c r="Y198" s="172"/>
      <c r="Z198" s="172"/>
      <c r="AA198" s="172"/>
      <c r="AB198" s="172"/>
      <c r="AC198" s="172"/>
      <c r="AD198" s="172"/>
      <c r="AE198" s="171"/>
      <c r="AF198" s="171"/>
      <c r="AG198" s="171"/>
      <c r="AH198" s="171"/>
      <c r="AI198" s="171"/>
      <c r="AJ198" s="171"/>
    </row>
    <row r="199" spans="1:36" x14ac:dyDescent="0.2">
      <c r="M199" s="172"/>
      <c r="N199" s="172"/>
      <c r="O199" s="172"/>
      <c r="Q199" s="172"/>
      <c r="R199" s="172"/>
      <c r="S199" s="172"/>
      <c r="U199" s="172"/>
      <c r="V199" s="172"/>
      <c r="W199" s="172"/>
      <c r="X199" s="172"/>
      <c r="Y199" s="172"/>
      <c r="Z199" s="172"/>
      <c r="AA199" s="172"/>
      <c r="AB199" s="172"/>
      <c r="AC199" s="172"/>
      <c r="AD199" s="172"/>
      <c r="AE199" s="171"/>
      <c r="AF199" s="171"/>
      <c r="AG199" s="171"/>
      <c r="AH199" s="171"/>
      <c r="AI199" s="171"/>
      <c r="AJ199" s="171"/>
    </row>
    <row r="200" spans="1:36" x14ac:dyDescent="0.2">
      <c r="M200" s="172"/>
      <c r="N200" s="172"/>
      <c r="O200" s="172"/>
      <c r="Q200" s="172"/>
      <c r="R200" s="172"/>
      <c r="S200" s="172"/>
      <c r="U200" s="172"/>
      <c r="V200" s="172"/>
      <c r="W200" s="172"/>
      <c r="X200" s="172"/>
      <c r="Y200" s="172"/>
      <c r="Z200" s="172"/>
      <c r="AA200" s="172"/>
      <c r="AB200" s="172"/>
      <c r="AC200" s="172"/>
      <c r="AD200" s="172"/>
      <c r="AE200" s="171"/>
      <c r="AF200" s="171"/>
      <c r="AG200" s="171"/>
      <c r="AH200" s="171"/>
      <c r="AI200" s="171"/>
      <c r="AJ200" s="171"/>
    </row>
    <row r="201" spans="1:36" x14ac:dyDescent="0.2">
      <c r="M201" s="172"/>
      <c r="N201" s="172"/>
      <c r="O201" s="172"/>
      <c r="Q201" s="172"/>
      <c r="R201" s="172"/>
      <c r="S201" s="172"/>
      <c r="U201" s="172"/>
      <c r="V201" s="172"/>
      <c r="W201" s="172"/>
      <c r="X201" s="172"/>
      <c r="Y201" s="172"/>
      <c r="Z201" s="172"/>
      <c r="AA201" s="172"/>
      <c r="AB201" s="172"/>
      <c r="AC201" s="172"/>
      <c r="AD201" s="172"/>
      <c r="AE201" s="171"/>
      <c r="AF201" s="171"/>
      <c r="AG201" s="171"/>
      <c r="AH201" s="171"/>
      <c r="AI201" s="171"/>
      <c r="AJ201" s="171"/>
    </row>
    <row r="202" spans="1:36" x14ac:dyDescent="0.2">
      <c r="M202" s="172"/>
      <c r="N202" s="172"/>
      <c r="O202" s="172"/>
      <c r="Q202" s="172"/>
      <c r="R202" s="172"/>
      <c r="S202" s="172"/>
      <c r="U202" s="172"/>
      <c r="V202" s="172"/>
      <c r="W202" s="172"/>
      <c r="X202" s="172"/>
      <c r="Y202" s="172"/>
      <c r="Z202" s="172"/>
      <c r="AA202" s="172"/>
      <c r="AB202" s="172"/>
      <c r="AC202" s="172"/>
      <c r="AD202" s="172"/>
      <c r="AE202" s="171"/>
      <c r="AF202" s="171"/>
      <c r="AG202" s="171"/>
      <c r="AH202" s="171"/>
      <c r="AI202" s="171"/>
      <c r="AJ202" s="171"/>
    </row>
    <row r="203" spans="1:36" x14ac:dyDescent="0.2">
      <c r="M203" s="172"/>
      <c r="N203" s="172"/>
      <c r="O203" s="172"/>
      <c r="Q203" s="172"/>
      <c r="R203" s="172"/>
      <c r="S203" s="172"/>
      <c r="U203" s="172"/>
      <c r="V203" s="172"/>
      <c r="W203" s="172"/>
      <c r="X203" s="172"/>
      <c r="Y203" s="172"/>
      <c r="Z203" s="172"/>
      <c r="AA203" s="172"/>
      <c r="AB203" s="172"/>
      <c r="AC203" s="172"/>
      <c r="AD203" s="172"/>
      <c r="AE203" s="171"/>
      <c r="AF203" s="171"/>
      <c r="AG203" s="171"/>
      <c r="AH203" s="171"/>
      <c r="AI203" s="171"/>
      <c r="AJ203" s="171"/>
    </row>
    <row r="204" spans="1:36" x14ac:dyDescent="0.2">
      <c r="M204" s="172"/>
      <c r="N204" s="172"/>
      <c r="O204" s="172"/>
      <c r="Q204" s="172"/>
      <c r="R204" s="172"/>
      <c r="S204" s="172"/>
      <c r="U204" s="172"/>
      <c r="V204" s="172"/>
      <c r="W204" s="172"/>
      <c r="X204" s="172"/>
      <c r="Y204" s="172"/>
      <c r="Z204" s="172"/>
      <c r="AA204" s="172"/>
      <c r="AB204" s="172"/>
      <c r="AC204" s="172"/>
      <c r="AD204" s="172"/>
      <c r="AE204" s="171"/>
      <c r="AF204" s="171"/>
      <c r="AG204" s="171"/>
      <c r="AH204" s="171"/>
      <c r="AI204" s="171"/>
      <c r="AJ204" s="171"/>
    </row>
    <row r="205" spans="1:36" x14ac:dyDescent="0.2">
      <c r="M205" s="172"/>
      <c r="N205" s="172"/>
      <c r="O205" s="172"/>
      <c r="Q205" s="172"/>
      <c r="R205" s="172"/>
      <c r="S205" s="172"/>
      <c r="U205" s="172"/>
      <c r="V205" s="172"/>
      <c r="W205" s="172"/>
      <c r="X205" s="172"/>
      <c r="Y205" s="172"/>
      <c r="Z205" s="172"/>
      <c r="AA205" s="172"/>
      <c r="AB205" s="172"/>
      <c r="AC205" s="172"/>
      <c r="AD205" s="172"/>
      <c r="AE205" s="171"/>
      <c r="AF205" s="171"/>
      <c r="AG205" s="171"/>
      <c r="AH205" s="171"/>
      <c r="AI205" s="171"/>
      <c r="AJ205" s="171"/>
    </row>
    <row r="206" spans="1:36" x14ac:dyDescent="0.2">
      <c r="M206" s="172"/>
      <c r="N206" s="172"/>
      <c r="O206" s="172"/>
      <c r="Q206" s="172"/>
      <c r="R206" s="172"/>
      <c r="S206" s="172"/>
      <c r="U206" s="172"/>
      <c r="V206" s="172"/>
      <c r="W206" s="172"/>
      <c r="X206" s="172"/>
      <c r="Y206" s="172"/>
      <c r="Z206" s="172"/>
      <c r="AA206" s="172"/>
      <c r="AB206" s="172"/>
      <c r="AC206" s="172"/>
      <c r="AD206" s="172"/>
      <c r="AE206" s="171"/>
      <c r="AF206" s="171"/>
      <c r="AG206" s="171"/>
      <c r="AH206" s="171"/>
      <c r="AI206" s="171"/>
      <c r="AJ206" s="171"/>
    </row>
    <row r="207" spans="1:36" x14ac:dyDescent="0.2">
      <c r="M207" s="172"/>
      <c r="N207" s="172"/>
      <c r="O207" s="172"/>
      <c r="Q207" s="172"/>
      <c r="R207" s="172"/>
      <c r="S207" s="172"/>
      <c r="U207" s="172"/>
      <c r="V207" s="172"/>
      <c r="W207" s="172"/>
      <c r="X207" s="172"/>
      <c r="Y207" s="172"/>
      <c r="Z207" s="172"/>
      <c r="AA207" s="172"/>
      <c r="AB207" s="172"/>
      <c r="AC207" s="172"/>
      <c r="AD207" s="172"/>
      <c r="AE207" s="171"/>
      <c r="AF207" s="171"/>
      <c r="AG207" s="171"/>
      <c r="AH207" s="171"/>
      <c r="AI207" s="171"/>
      <c r="AJ207" s="171"/>
    </row>
    <row r="208" spans="1:36" x14ac:dyDescent="0.2">
      <c r="M208" s="172"/>
      <c r="N208" s="172"/>
      <c r="O208" s="172"/>
      <c r="Q208" s="172"/>
      <c r="R208" s="172"/>
      <c r="S208" s="172"/>
      <c r="U208" s="172"/>
      <c r="V208" s="172"/>
      <c r="W208" s="172"/>
      <c r="X208" s="172"/>
      <c r="Y208" s="172"/>
      <c r="Z208" s="172"/>
      <c r="AA208" s="172"/>
      <c r="AB208" s="172"/>
      <c r="AC208" s="172"/>
      <c r="AD208" s="172"/>
      <c r="AE208" s="171"/>
      <c r="AF208" s="171"/>
      <c r="AG208" s="171"/>
      <c r="AH208" s="171"/>
      <c r="AI208" s="171"/>
      <c r="AJ208" s="171"/>
    </row>
    <row r="209" spans="13:36" x14ac:dyDescent="0.2">
      <c r="M209" s="172"/>
      <c r="N209" s="172"/>
      <c r="O209" s="172"/>
      <c r="Q209" s="172"/>
      <c r="R209" s="172"/>
      <c r="S209" s="172"/>
      <c r="U209" s="172"/>
      <c r="V209" s="172"/>
      <c r="W209" s="172"/>
      <c r="X209" s="172"/>
      <c r="Y209" s="172"/>
      <c r="Z209" s="172"/>
      <c r="AA209" s="172"/>
      <c r="AB209" s="172"/>
      <c r="AC209" s="172"/>
      <c r="AD209" s="172"/>
      <c r="AE209" s="171"/>
      <c r="AF209" s="171"/>
      <c r="AG209" s="171"/>
      <c r="AH209" s="171"/>
      <c r="AI209" s="171"/>
      <c r="AJ209" s="171"/>
    </row>
    <row r="210" spans="13:36" x14ac:dyDescent="0.2">
      <c r="M210" s="172"/>
      <c r="N210" s="172"/>
      <c r="O210" s="172"/>
      <c r="Q210" s="172"/>
      <c r="R210" s="172"/>
      <c r="S210" s="172"/>
      <c r="U210" s="172"/>
      <c r="V210" s="172"/>
      <c r="W210" s="172"/>
      <c r="X210" s="172"/>
      <c r="Y210" s="172"/>
      <c r="Z210" s="172"/>
      <c r="AA210" s="172"/>
      <c r="AB210" s="172"/>
      <c r="AC210" s="172"/>
      <c r="AD210" s="172"/>
      <c r="AE210" s="171"/>
      <c r="AF210" s="171"/>
      <c r="AG210" s="171"/>
      <c r="AH210" s="171"/>
      <c r="AI210" s="171"/>
      <c r="AJ210" s="171"/>
    </row>
    <row r="211" spans="13:36" x14ac:dyDescent="0.2">
      <c r="M211" s="172"/>
      <c r="N211" s="172"/>
      <c r="O211" s="172"/>
      <c r="Q211" s="172"/>
      <c r="R211" s="172"/>
      <c r="S211" s="172"/>
      <c r="U211" s="172"/>
      <c r="V211" s="172"/>
      <c r="W211" s="172"/>
      <c r="X211" s="172"/>
      <c r="Y211" s="172"/>
      <c r="Z211" s="172"/>
      <c r="AA211" s="172"/>
      <c r="AB211" s="172"/>
      <c r="AC211" s="172"/>
      <c r="AD211" s="172"/>
      <c r="AE211" s="171"/>
      <c r="AF211" s="171"/>
      <c r="AG211" s="171"/>
      <c r="AH211" s="171"/>
      <c r="AI211" s="171"/>
      <c r="AJ211" s="171"/>
    </row>
    <row r="212" spans="13:36" x14ac:dyDescent="0.2">
      <c r="M212" s="172"/>
      <c r="N212" s="172"/>
      <c r="O212" s="172"/>
      <c r="Q212" s="172"/>
      <c r="R212" s="172"/>
      <c r="S212" s="172"/>
      <c r="U212" s="172"/>
      <c r="V212" s="172"/>
      <c r="W212" s="172"/>
      <c r="X212" s="172"/>
      <c r="Y212" s="172"/>
      <c r="Z212" s="172"/>
      <c r="AA212" s="172"/>
      <c r="AB212" s="172"/>
      <c r="AC212" s="172"/>
      <c r="AD212" s="172"/>
      <c r="AE212" s="171"/>
      <c r="AF212" s="171"/>
      <c r="AG212" s="171"/>
      <c r="AH212" s="171"/>
      <c r="AI212" s="171"/>
      <c r="AJ212" s="171"/>
    </row>
    <row r="213" spans="13:36" x14ac:dyDescent="0.2">
      <c r="M213" s="172"/>
      <c r="N213" s="172"/>
      <c r="O213" s="172"/>
      <c r="Q213" s="172"/>
      <c r="R213" s="172"/>
      <c r="S213" s="172"/>
      <c r="U213" s="172"/>
      <c r="V213" s="172"/>
      <c r="W213" s="172"/>
      <c r="X213" s="172"/>
      <c r="Y213" s="172"/>
      <c r="Z213" s="172"/>
      <c r="AA213" s="172"/>
      <c r="AB213" s="172"/>
      <c r="AC213" s="172"/>
      <c r="AD213" s="172"/>
      <c r="AE213" s="171"/>
      <c r="AF213" s="171"/>
      <c r="AG213" s="171"/>
      <c r="AH213" s="171"/>
      <c r="AI213" s="171"/>
      <c r="AJ213" s="171"/>
    </row>
    <row r="214" spans="13:36" x14ac:dyDescent="0.2">
      <c r="M214" s="172"/>
      <c r="N214" s="172"/>
      <c r="O214" s="172"/>
      <c r="Q214" s="172"/>
      <c r="R214" s="172"/>
      <c r="S214" s="172"/>
      <c r="U214" s="172"/>
      <c r="V214" s="172"/>
      <c r="W214" s="172"/>
      <c r="X214" s="172"/>
      <c r="Y214" s="172"/>
      <c r="Z214" s="172"/>
      <c r="AA214" s="172"/>
      <c r="AB214" s="172"/>
      <c r="AC214" s="172"/>
      <c r="AD214" s="172"/>
      <c r="AE214" s="171"/>
      <c r="AF214" s="171"/>
      <c r="AG214" s="171"/>
      <c r="AH214" s="171"/>
      <c r="AI214" s="171"/>
      <c r="AJ214" s="171"/>
    </row>
    <row r="215" spans="13:36" x14ac:dyDescent="0.2">
      <c r="M215" s="172"/>
      <c r="N215" s="172"/>
      <c r="O215" s="172"/>
      <c r="Q215" s="172"/>
      <c r="R215" s="172"/>
      <c r="S215" s="172"/>
      <c r="U215" s="172"/>
      <c r="V215" s="172"/>
      <c r="W215" s="172"/>
      <c r="X215" s="172"/>
      <c r="Y215" s="172"/>
      <c r="Z215" s="172"/>
      <c r="AA215" s="172"/>
      <c r="AB215" s="172"/>
      <c r="AC215" s="172"/>
      <c r="AD215" s="172"/>
      <c r="AE215" s="171"/>
      <c r="AF215" s="171"/>
      <c r="AG215" s="171"/>
      <c r="AH215" s="171"/>
      <c r="AI215" s="171"/>
      <c r="AJ215" s="171"/>
    </row>
    <row r="216" spans="13:36" x14ac:dyDescent="0.2">
      <c r="M216" s="172"/>
      <c r="N216" s="172"/>
      <c r="O216" s="172"/>
      <c r="Q216" s="172"/>
      <c r="R216" s="172"/>
      <c r="S216" s="172"/>
      <c r="U216" s="172"/>
      <c r="V216" s="172"/>
      <c r="W216" s="172"/>
      <c r="X216" s="172"/>
      <c r="Y216" s="172"/>
      <c r="Z216" s="172"/>
      <c r="AA216" s="172"/>
      <c r="AB216" s="172"/>
      <c r="AC216" s="172"/>
      <c r="AD216" s="172"/>
      <c r="AE216" s="171"/>
      <c r="AF216" s="171"/>
      <c r="AG216" s="171"/>
      <c r="AH216" s="171"/>
      <c r="AI216" s="171"/>
      <c r="AJ216" s="171"/>
    </row>
    <row r="217" spans="13:36" x14ac:dyDescent="0.2">
      <c r="M217" s="172"/>
      <c r="N217" s="172"/>
      <c r="O217" s="172"/>
      <c r="Q217" s="172"/>
      <c r="R217" s="172"/>
      <c r="S217" s="172"/>
      <c r="U217" s="172"/>
      <c r="V217" s="172"/>
      <c r="W217" s="172"/>
      <c r="X217" s="172"/>
      <c r="Y217" s="172"/>
      <c r="Z217" s="172"/>
      <c r="AA217" s="172"/>
      <c r="AB217" s="172"/>
      <c r="AC217" s="172"/>
      <c r="AD217" s="172"/>
      <c r="AE217" s="171"/>
      <c r="AF217" s="171"/>
      <c r="AG217" s="171"/>
      <c r="AH217" s="171"/>
      <c r="AI217" s="171"/>
      <c r="AJ217" s="171"/>
    </row>
    <row r="218" spans="13:36" x14ac:dyDescent="0.2">
      <c r="M218" s="172"/>
      <c r="N218" s="172"/>
      <c r="O218" s="172"/>
      <c r="Q218" s="172"/>
      <c r="R218" s="172"/>
      <c r="S218" s="172"/>
      <c r="U218" s="172"/>
      <c r="V218" s="172"/>
      <c r="W218" s="172"/>
      <c r="X218" s="172"/>
      <c r="Y218" s="172"/>
      <c r="Z218" s="172"/>
      <c r="AA218" s="172"/>
      <c r="AB218" s="172"/>
      <c r="AC218" s="172"/>
      <c r="AD218" s="172"/>
      <c r="AE218" s="171"/>
      <c r="AF218" s="171"/>
      <c r="AG218" s="171"/>
      <c r="AH218" s="171"/>
      <c r="AI218" s="171"/>
      <c r="AJ218" s="171"/>
    </row>
    <row r="219" spans="13:36" x14ac:dyDescent="0.2">
      <c r="M219" s="172"/>
      <c r="N219" s="172"/>
      <c r="O219" s="172"/>
      <c r="Q219" s="172"/>
      <c r="R219" s="172"/>
      <c r="S219" s="172"/>
      <c r="U219" s="172"/>
      <c r="V219" s="172"/>
      <c r="W219" s="172"/>
      <c r="X219" s="172"/>
      <c r="Y219" s="172"/>
      <c r="Z219" s="172"/>
      <c r="AA219" s="172"/>
      <c r="AB219" s="172"/>
      <c r="AC219" s="172"/>
      <c r="AD219" s="172"/>
      <c r="AE219" s="171"/>
      <c r="AF219" s="171"/>
      <c r="AG219" s="171"/>
      <c r="AH219" s="171"/>
      <c r="AI219" s="171"/>
      <c r="AJ219" s="171"/>
    </row>
    <row r="220" spans="13:36" x14ac:dyDescent="0.2">
      <c r="M220" s="172"/>
      <c r="N220" s="172"/>
      <c r="O220" s="172"/>
      <c r="Q220" s="172"/>
      <c r="R220" s="172"/>
      <c r="S220" s="172"/>
      <c r="U220" s="172"/>
      <c r="V220" s="172"/>
      <c r="W220" s="172"/>
      <c r="X220" s="172"/>
      <c r="Y220" s="172"/>
      <c r="Z220" s="172"/>
      <c r="AA220" s="172"/>
      <c r="AB220" s="172"/>
      <c r="AC220" s="172"/>
      <c r="AD220" s="172"/>
      <c r="AE220" s="171"/>
      <c r="AF220" s="171"/>
      <c r="AG220" s="171"/>
      <c r="AH220" s="171"/>
      <c r="AI220" s="171"/>
      <c r="AJ220" s="171"/>
    </row>
    <row r="221" spans="13:36" x14ac:dyDescent="0.2">
      <c r="M221" s="172"/>
      <c r="N221" s="172"/>
      <c r="O221" s="172"/>
      <c r="Q221" s="172"/>
      <c r="R221" s="172"/>
      <c r="S221" s="172"/>
      <c r="U221" s="172"/>
      <c r="V221" s="172"/>
      <c r="W221" s="172"/>
      <c r="X221" s="172"/>
      <c r="Y221" s="172"/>
      <c r="Z221" s="172"/>
      <c r="AA221" s="172"/>
      <c r="AB221" s="172"/>
      <c r="AC221" s="172"/>
      <c r="AD221" s="172"/>
      <c r="AE221" s="171"/>
      <c r="AF221" s="171"/>
      <c r="AG221" s="171"/>
      <c r="AH221" s="171"/>
      <c r="AI221" s="171"/>
      <c r="AJ221" s="171"/>
    </row>
    <row r="222" spans="13:36" x14ac:dyDescent="0.2">
      <c r="M222" s="172"/>
      <c r="N222" s="172"/>
      <c r="O222" s="172"/>
      <c r="Q222" s="172"/>
      <c r="R222" s="172"/>
      <c r="S222" s="172"/>
      <c r="U222" s="172"/>
      <c r="V222" s="172"/>
      <c r="W222" s="172"/>
      <c r="X222" s="172"/>
      <c r="Y222" s="172"/>
      <c r="Z222" s="172"/>
      <c r="AA222" s="172"/>
      <c r="AB222" s="172"/>
      <c r="AC222" s="172"/>
      <c r="AD222" s="172"/>
      <c r="AE222" s="171"/>
      <c r="AF222" s="171"/>
      <c r="AG222" s="171"/>
      <c r="AH222" s="171"/>
      <c r="AI222" s="171"/>
      <c r="AJ222" s="171"/>
    </row>
    <row r="223" spans="13:36" x14ac:dyDescent="0.2">
      <c r="M223" s="172"/>
      <c r="N223" s="172"/>
      <c r="O223" s="172"/>
      <c r="Q223" s="172"/>
      <c r="R223" s="172"/>
      <c r="S223" s="172"/>
      <c r="U223" s="172"/>
      <c r="V223" s="172"/>
      <c r="W223" s="172"/>
      <c r="X223" s="172"/>
      <c r="Y223" s="172"/>
      <c r="Z223" s="172"/>
      <c r="AA223" s="172"/>
      <c r="AB223" s="172"/>
      <c r="AC223" s="172"/>
      <c r="AD223" s="172"/>
      <c r="AE223" s="171"/>
      <c r="AF223" s="171"/>
      <c r="AG223" s="171"/>
      <c r="AH223" s="171"/>
      <c r="AI223" s="171"/>
      <c r="AJ223" s="171"/>
    </row>
    <row r="224" spans="13:36" x14ac:dyDescent="0.2">
      <c r="M224" s="172"/>
      <c r="N224" s="172"/>
      <c r="O224" s="172"/>
      <c r="Q224" s="172"/>
      <c r="R224" s="172"/>
      <c r="S224" s="172"/>
      <c r="U224" s="172"/>
      <c r="V224" s="172"/>
      <c r="W224" s="172"/>
      <c r="X224" s="172"/>
      <c r="Y224" s="172"/>
      <c r="Z224" s="172"/>
      <c r="AA224" s="172"/>
      <c r="AB224" s="172"/>
      <c r="AC224" s="172"/>
      <c r="AD224" s="172"/>
      <c r="AE224" s="171"/>
      <c r="AF224" s="171"/>
      <c r="AG224" s="171"/>
      <c r="AH224" s="171"/>
      <c r="AI224" s="171"/>
      <c r="AJ224" s="171"/>
    </row>
    <row r="225" spans="13:36" x14ac:dyDescent="0.2">
      <c r="M225" s="172"/>
      <c r="N225" s="172"/>
      <c r="O225" s="172"/>
      <c r="Q225" s="172"/>
      <c r="R225" s="172"/>
      <c r="S225" s="172"/>
      <c r="U225" s="172"/>
      <c r="V225" s="172"/>
      <c r="W225" s="172"/>
      <c r="X225" s="172"/>
      <c r="Y225" s="172"/>
      <c r="Z225" s="172"/>
      <c r="AA225" s="172"/>
      <c r="AB225" s="172"/>
      <c r="AC225" s="172"/>
      <c r="AD225" s="172"/>
      <c r="AE225" s="171"/>
      <c r="AF225" s="171"/>
      <c r="AG225" s="171"/>
      <c r="AH225" s="171"/>
      <c r="AI225" s="171"/>
      <c r="AJ225" s="171"/>
    </row>
    <row r="226" spans="13:36" x14ac:dyDescent="0.2">
      <c r="M226" s="172"/>
      <c r="N226" s="172"/>
      <c r="O226" s="172"/>
      <c r="Q226" s="172"/>
      <c r="R226" s="172"/>
      <c r="S226" s="172"/>
      <c r="U226" s="172"/>
      <c r="V226" s="172"/>
      <c r="W226" s="172"/>
      <c r="X226" s="172"/>
      <c r="Y226" s="172"/>
      <c r="Z226" s="172"/>
      <c r="AA226" s="172"/>
      <c r="AB226" s="172"/>
      <c r="AC226" s="172"/>
      <c r="AD226" s="172"/>
      <c r="AE226" s="171"/>
      <c r="AF226" s="171"/>
      <c r="AG226" s="171"/>
      <c r="AH226" s="171"/>
      <c r="AI226" s="171"/>
      <c r="AJ226" s="171"/>
    </row>
    <row r="227" spans="13:36" x14ac:dyDescent="0.2">
      <c r="M227" s="172"/>
      <c r="N227" s="172"/>
      <c r="O227" s="172"/>
      <c r="Q227" s="172"/>
      <c r="R227" s="172"/>
      <c r="S227" s="172"/>
      <c r="U227" s="172"/>
      <c r="V227" s="172"/>
      <c r="W227" s="172"/>
      <c r="X227" s="172"/>
      <c r="Y227" s="172"/>
      <c r="Z227" s="172"/>
      <c r="AA227" s="172"/>
      <c r="AB227" s="172"/>
      <c r="AC227" s="172"/>
      <c r="AD227" s="172"/>
      <c r="AE227" s="171"/>
      <c r="AF227" s="171"/>
      <c r="AG227" s="171"/>
      <c r="AH227" s="171"/>
      <c r="AI227" s="171"/>
      <c r="AJ227" s="171"/>
    </row>
    <row r="228" spans="13:36" x14ac:dyDescent="0.2">
      <c r="M228" s="172"/>
      <c r="N228" s="172"/>
      <c r="O228" s="172"/>
      <c r="Q228" s="172"/>
      <c r="R228" s="172"/>
      <c r="S228" s="172"/>
      <c r="U228" s="172"/>
      <c r="V228" s="172"/>
      <c r="W228" s="172"/>
      <c r="X228" s="172"/>
      <c r="Y228" s="172"/>
      <c r="Z228" s="172"/>
      <c r="AA228" s="172"/>
      <c r="AB228" s="172"/>
      <c r="AC228" s="172"/>
      <c r="AD228" s="172"/>
      <c r="AE228" s="171"/>
      <c r="AF228" s="171"/>
      <c r="AG228" s="171"/>
      <c r="AH228" s="171"/>
      <c r="AI228" s="171"/>
      <c r="AJ228" s="171"/>
    </row>
    <row r="229" spans="13:36" x14ac:dyDescent="0.2">
      <c r="M229" s="172"/>
      <c r="N229" s="172"/>
      <c r="O229" s="172"/>
      <c r="Q229" s="172"/>
      <c r="R229" s="172"/>
      <c r="S229" s="172"/>
      <c r="U229" s="172"/>
      <c r="V229" s="172"/>
      <c r="W229" s="172"/>
      <c r="X229" s="172"/>
      <c r="Y229" s="172"/>
      <c r="Z229" s="172"/>
      <c r="AA229" s="172"/>
      <c r="AB229" s="172"/>
      <c r="AC229" s="172"/>
      <c r="AD229" s="172"/>
      <c r="AE229" s="171"/>
      <c r="AF229" s="171"/>
      <c r="AG229" s="171"/>
      <c r="AH229" s="171"/>
      <c r="AI229" s="171"/>
      <c r="AJ229" s="171"/>
    </row>
    <row r="230" spans="13:36" x14ac:dyDescent="0.2">
      <c r="M230" s="172"/>
      <c r="N230" s="172"/>
      <c r="O230" s="172"/>
      <c r="Q230" s="172"/>
      <c r="R230" s="172"/>
      <c r="S230" s="172"/>
      <c r="U230" s="172"/>
      <c r="V230" s="172"/>
      <c r="W230" s="172"/>
      <c r="X230" s="172"/>
      <c r="Y230" s="172"/>
      <c r="Z230" s="172"/>
      <c r="AA230" s="172"/>
      <c r="AB230" s="172"/>
      <c r="AC230" s="172"/>
      <c r="AD230" s="172"/>
      <c r="AE230" s="171"/>
      <c r="AF230" s="171"/>
      <c r="AG230" s="171"/>
      <c r="AH230" s="171"/>
      <c r="AI230" s="171"/>
      <c r="AJ230" s="171"/>
    </row>
    <row r="231" spans="13:36" x14ac:dyDescent="0.2">
      <c r="M231" s="172"/>
      <c r="N231" s="172"/>
      <c r="O231" s="172"/>
      <c r="Q231" s="172"/>
      <c r="R231" s="172"/>
      <c r="S231" s="172"/>
      <c r="U231" s="172"/>
      <c r="V231" s="172"/>
      <c r="W231" s="172"/>
      <c r="X231" s="172"/>
      <c r="Y231" s="172"/>
      <c r="Z231" s="172"/>
      <c r="AA231" s="172"/>
      <c r="AB231" s="172"/>
      <c r="AC231" s="172"/>
      <c r="AD231" s="172"/>
      <c r="AE231" s="171"/>
      <c r="AF231" s="171"/>
      <c r="AG231" s="171"/>
      <c r="AH231" s="171"/>
      <c r="AI231" s="171"/>
      <c r="AJ231" s="171"/>
    </row>
    <row r="232" spans="13:36" x14ac:dyDescent="0.2">
      <c r="M232" s="172"/>
      <c r="N232" s="172"/>
      <c r="O232" s="172"/>
      <c r="Q232" s="172"/>
      <c r="R232" s="172"/>
      <c r="S232" s="172"/>
      <c r="U232" s="172"/>
      <c r="V232" s="172"/>
      <c r="W232" s="172"/>
      <c r="X232" s="172"/>
      <c r="Y232" s="172"/>
      <c r="Z232" s="172"/>
      <c r="AA232" s="172"/>
      <c r="AB232" s="172"/>
      <c r="AC232" s="172"/>
      <c r="AD232" s="172"/>
      <c r="AE232" s="171"/>
      <c r="AF232" s="171"/>
      <c r="AG232" s="171"/>
      <c r="AH232" s="171"/>
      <c r="AI232" s="171"/>
      <c r="AJ232" s="171"/>
    </row>
    <row r="233" spans="13:36" x14ac:dyDescent="0.2">
      <c r="M233" s="172"/>
      <c r="N233" s="172"/>
      <c r="O233" s="172"/>
      <c r="Q233" s="172"/>
      <c r="R233" s="172"/>
      <c r="S233" s="172"/>
      <c r="U233" s="172"/>
      <c r="V233" s="172"/>
      <c r="W233" s="172"/>
      <c r="X233" s="172"/>
      <c r="Y233" s="172"/>
      <c r="Z233" s="172"/>
      <c r="AA233" s="172"/>
      <c r="AB233" s="172"/>
      <c r="AC233" s="172"/>
      <c r="AD233" s="172"/>
      <c r="AE233" s="171"/>
      <c r="AF233" s="171"/>
      <c r="AG233" s="171"/>
      <c r="AH233" s="171"/>
      <c r="AI233" s="171"/>
      <c r="AJ233" s="171"/>
    </row>
    <row r="234" spans="13:36" x14ac:dyDescent="0.2">
      <c r="M234" s="172"/>
      <c r="N234" s="172"/>
      <c r="O234" s="172"/>
      <c r="Q234" s="172"/>
      <c r="R234" s="172"/>
      <c r="S234" s="172"/>
      <c r="U234" s="172"/>
      <c r="V234" s="172"/>
      <c r="W234" s="172"/>
      <c r="X234" s="172"/>
      <c r="Y234" s="172"/>
      <c r="Z234" s="172"/>
      <c r="AA234" s="172"/>
      <c r="AB234" s="172"/>
      <c r="AC234" s="172"/>
      <c r="AD234" s="172"/>
      <c r="AE234" s="171"/>
      <c r="AF234" s="171"/>
      <c r="AG234" s="171"/>
      <c r="AH234" s="171"/>
      <c r="AI234" s="171"/>
      <c r="AJ234" s="171"/>
    </row>
    <row r="235" spans="13:36" x14ac:dyDescent="0.2">
      <c r="M235" s="172"/>
      <c r="N235" s="172"/>
      <c r="O235" s="172"/>
      <c r="Q235" s="172"/>
      <c r="R235" s="172"/>
      <c r="S235" s="172"/>
      <c r="U235" s="172"/>
      <c r="V235" s="172"/>
      <c r="W235" s="172"/>
      <c r="X235" s="172"/>
      <c r="Y235" s="172"/>
      <c r="Z235" s="172"/>
      <c r="AA235" s="172"/>
      <c r="AB235" s="172"/>
      <c r="AC235" s="172"/>
      <c r="AD235" s="172"/>
      <c r="AE235" s="171"/>
      <c r="AF235" s="171"/>
      <c r="AG235" s="171"/>
      <c r="AH235" s="171"/>
      <c r="AI235" s="171"/>
      <c r="AJ235" s="171"/>
    </row>
    <row r="236" spans="13:36" x14ac:dyDescent="0.2">
      <c r="M236" s="172"/>
      <c r="N236" s="172"/>
      <c r="O236" s="172"/>
      <c r="Q236" s="172"/>
      <c r="R236" s="172"/>
      <c r="S236" s="172"/>
      <c r="U236" s="172"/>
      <c r="V236" s="172"/>
      <c r="W236" s="172"/>
      <c r="X236" s="172"/>
      <c r="Y236" s="172"/>
      <c r="Z236" s="172"/>
      <c r="AA236" s="172"/>
      <c r="AB236" s="172"/>
      <c r="AC236" s="172"/>
      <c r="AD236" s="172"/>
      <c r="AE236" s="171"/>
      <c r="AF236" s="171"/>
      <c r="AG236" s="171"/>
      <c r="AH236" s="171"/>
      <c r="AI236" s="171"/>
      <c r="AJ236" s="171"/>
    </row>
    <row r="237" spans="13:36" x14ac:dyDescent="0.2">
      <c r="M237" s="172"/>
      <c r="N237" s="172"/>
      <c r="O237" s="172"/>
      <c r="Q237" s="172"/>
      <c r="R237" s="172"/>
      <c r="S237" s="172"/>
      <c r="U237" s="172"/>
      <c r="V237" s="172"/>
      <c r="W237" s="172"/>
      <c r="X237" s="172"/>
      <c r="Y237" s="172"/>
      <c r="Z237" s="172"/>
      <c r="AA237" s="172"/>
      <c r="AB237" s="172"/>
      <c r="AC237" s="172"/>
      <c r="AD237" s="172"/>
      <c r="AE237" s="171"/>
      <c r="AF237" s="171"/>
      <c r="AG237" s="171"/>
      <c r="AH237" s="171"/>
      <c r="AI237" s="171"/>
      <c r="AJ237" s="171"/>
    </row>
    <row r="238" spans="13:36" x14ac:dyDescent="0.2">
      <c r="M238" s="172"/>
      <c r="N238" s="172"/>
      <c r="O238" s="172"/>
      <c r="Q238" s="172"/>
      <c r="R238" s="172"/>
      <c r="S238" s="172"/>
      <c r="U238" s="172"/>
      <c r="V238" s="172"/>
      <c r="W238" s="172"/>
      <c r="X238" s="172"/>
      <c r="Y238" s="172"/>
      <c r="Z238" s="172"/>
      <c r="AA238" s="172"/>
      <c r="AB238" s="172"/>
      <c r="AC238" s="172"/>
      <c r="AD238" s="172"/>
      <c r="AE238" s="171"/>
      <c r="AF238" s="171"/>
      <c r="AG238" s="171"/>
      <c r="AH238" s="171"/>
      <c r="AI238" s="171"/>
      <c r="AJ238" s="171"/>
    </row>
    <row r="239" spans="13:36" x14ac:dyDescent="0.2">
      <c r="M239" s="172"/>
      <c r="N239" s="172"/>
      <c r="O239" s="172"/>
      <c r="Q239" s="172"/>
      <c r="R239" s="172"/>
      <c r="S239" s="172"/>
      <c r="U239" s="172"/>
      <c r="V239" s="172"/>
      <c r="W239" s="172"/>
      <c r="X239" s="172"/>
      <c r="Y239" s="172"/>
      <c r="Z239" s="172"/>
      <c r="AA239" s="172"/>
      <c r="AB239" s="172"/>
      <c r="AC239" s="172"/>
      <c r="AD239" s="172"/>
      <c r="AE239" s="171"/>
      <c r="AF239" s="171"/>
      <c r="AG239" s="171"/>
      <c r="AH239" s="171"/>
      <c r="AI239" s="171"/>
      <c r="AJ239" s="171"/>
    </row>
    <row r="240" spans="13:36" x14ac:dyDescent="0.2">
      <c r="M240" s="172"/>
      <c r="N240" s="172"/>
      <c r="O240" s="172"/>
      <c r="Q240" s="172"/>
      <c r="R240" s="172"/>
      <c r="S240" s="172"/>
      <c r="U240" s="172"/>
      <c r="V240" s="172"/>
      <c r="W240" s="172"/>
      <c r="X240" s="172"/>
      <c r="Y240" s="172"/>
      <c r="Z240" s="172"/>
      <c r="AA240" s="172"/>
      <c r="AB240" s="172"/>
      <c r="AC240" s="172"/>
      <c r="AD240" s="172"/>
      <c r="AE240" s="171"/>
      <c r="AF240" s="171"/>
      <c r="AG240" s="171"/>
      <c r="AH240" s="171"/>
      <c r="AI240" s="171"/>
      <c r="AJ240" s="171"/>
    </row>
    <row r="241" spans="13:36" x14ac:dyDescent="0.2">
      <c r="M241" s="172"/>
      <c r="N241" s="172"/>
      <c r="O241" s="172"/>
      <c r="Q241" s="172"/>
      <c r="R241" s="172"/>
      <c r="S241" s="172"/>
      <c r="U241" s="172"/>
      <c r="V241" s="172"/>
      <c r="W241" s="172"/>
      <c r="X241" s="172"/>
      <c r="Y241" s="172"/>
      <c r="Z241" s="172"/>
      <c r="AA241" s="172"/>
      <c r="AB241" s="172"/>
      <c r="AC241" s="172"/>
      <c r="AD241" s="172"/>
      <c r="AE241" s="171"/>
      <c r="AF241" s="171"/>
      <c r="AG241" s="171"/>
      <c r="AH241" s="171"/>
      <c r="AI241" s="171"/>
      <c r="AJ241" s="171"/>
    </row>
    <row r="242" spans="13:36" x14ac:dyDescent="0.2">
      <c r="M242" s="172"/>
      <c r="N242" s="172"/>
      <c r="O242" s="172"/>
      <c r="Q242" s="172"/>
      <c r="R242" s="172"/>
      <c r="S242" s="172"/>
      <c r="U242" s="172"/>
      <c r="V242" s="172"/>
      <c r="W242" s="172"/>
      <c r="X242" s="172"/>
      <c r="Y242" s="172"/>
      <c r="Z242" s="172"/>
      <c r="AA242" s="172"/>
      <c r="AB242" s="172"/>
      <c r="AC242" s="172"/>
      <c r="AD242" s="172"/>
      <c r="AE242" s="171"/>
      <c r="AF242" s="171"/>
      <c r="AG242" s="171"/>
      <c r="AH242" s="171"/>
      <c r="AI242" s="171"/>
      <c r="AJ242" s="171"/>
    </row>
    <row r="243" spans="13:36" x14ac:dyDescent="0.2">
      <c r="M243" s="172"/>
      <c r="N243" s="172"/>
      <c r="O243" s="172"/>
      <c r="Q243" s="172"/>
      <c r="R243" s="172"/>
      <c r="S243" s="172"/>
      <c r="U243" s="172"/>
      <c r="V243" s="172"/>
      <c r="W243" s="172"/>
      <c r="X243" s="172"/>
      <c r="Y243" s="172"/>
      <c r="Z243" s="172"/>
      <c r="AA243" s="172"/>
      <c r="AB243" s="172"/>
      <c r="AC243" s="172"/>
      <c r="AD243" s="172"/>
      <c r="AE243" s="171"/>
      <c r="AF243" s="171"/>
      <c r="AG243" s="171"/>
      <c r="AH243" s="171"/>
      <c r="AI243" s="171"/>
      <c r="AJ243" s="171"/>
    </row>
    <row r="244" spans="13:36" x14ac:dyDescent="0.2">
      <c r="M244" s="172"/>
      <c r="N244" s="172"/>
      <c r="O244" s="172"/>
      <c r="Q244" s="172"/>
      <c r="R244" s="172"/>
      <c r="S244" s="172"/>
      <c r="U244" s="172"/>
      <c r="V244" s="172"/>
      <c r="W244" s="172"/>
      <c r="X244" s="172"/>
      <c r="Y244" s="172"/>
      <c r="Z244" s="172"/>
      <c r="AA244" s="172"/>
      <c r="AB244" s="172"/>
      <c r="AC244" s="172"/>
      <c r="AD244" s="172"/>
      <c r="AE244" s="171"/>
      <c r="AF244" s="171"/>
      <c r="AG244" s="171"/>
      <c r="AH244" s="171"/>
      <c r="AI244" s="171"/>
      <c r="AJ244" s="171"/>
    </row>
    <row r="245" spans="13:36" x14ac:dyDescent="0.2">
      <c r="M245" s="172"/>
      <c r="N245" s="172"/>
      <c r="O245" s="172"/>
      <c r="Q245" s="172"/>
      <c r="R245" s="172"/>
      <c r="S245" s="172"/>
      <c r="U245" s="172"/>
      <c r="V245" s="172"/>
      <c r="W245" s="172"/>
      <c r="X245" s="172"/>
      <c r="Y245" s="172"/>
      <c r="Z245" s="172"/>
      <c r="AA245" s="172"/>
      <c r="AB245" s="172"/>
      <c r="AC245" s="172"/>
      <c r="AD245" s="172"/>
      <c r="AE245" s="171"/>
      <c r="AF245" s="171"/>
      <c r="AG245" s="171"/>
      <c r="AH245" s="171"/>
      <c r="AI245" s="171"/>
      <c r="AJ245" s="171"/>
    </row>
    <row r="246" spans="13:36" x14ac:dyDescent="0.2">
      <c r="M246" s="172"/>
      <c r="N246" s="172"/>
      <c r="O246" s="172"/>
      <c r="Q246" s="172"/>
      <c r="R246" s="172"/>
      <c r="S246" s="172"/>
      <c r="U246" s="172"/>
      <c r="V246" s="172"/>
      <c r="W246" s="172"/>
      <c r="X246" s="172"/>
      <c r="Y246" s="172"/>
      <c r="Z246" s="172"/>
      <c r="AA246" s="172"/>
      <c r="AB246" s="172"/>
      <c r="AC246" s="172"/>
      <c r="AD246" s="172"/>
      <c r="AE246" s="171"/>
      <c r="AF246" s="171"/>
      <c r="AG246" s="171"/>
      <c r="AH246" s="171"/>
      <c r="AI246" s="171"/>
      <c r="AJ246" s="171"/>
    </row>
    <row r="247" spans="13:36" x14ac:dyDescent="0.2">
      <c r="M247" s="172"/>
      <c r="N247" s="172"/>
      <c r="O247" s="172"/>
      <c r="Q247" s="172"/>
      <c r="R247" s="172"/>
      <c r="S247" s="172"/>
      <c r="U247" s="172"/>
      <c r="V247" s="172"/>
      <c r="W247" s="172"/>
      <c r="X247" s="172"/>
      <c r="Y247" s="172"/>
      <c r="Z247" s="172"/>
      <c r="AA247" s="172"/>
      <c r="AB247" s="172"/>
      <c r="AC247" s="172"/>
      <c r="AD247" s="172"/>
      <c r="AE247" s="171"/>
      <c r="AF247" s="171"/>
      <c r="AG247" s="171"/>
      <c r="AH247" s="171"/>
      <c r="AI247" s="171"/>
      <c r="AJ247" s="171"/>
    </row>
    <row r="248" spans="13:36" x14ac:dyDescent="0.2">
      <c r="M248" s="172"/>
      <c r="N248" s="172"/>
      <c r="O248" s="172"/>
      <c r="Q248" s="172"/>
      <c r="R248" s="172"/>
      <c r="S248" s="172"/>
      <c r="U248" s="172"/>
      <c r="V248" s="172"/>
      <c r="W248" s="172"/>
      <c r="X248" s="172"/>
      <c r="Y248" s="172"/>
      <c r="Z248" s="172"/>
      <c r="AA248" s="172"/>
      <c r="AB248" s="172"/>
      <c r="AC248" s="172"/>
      <c r="AD248" s="172"/>
      <c r="AE248" s="171"/>
      <c r="AF248" s="171"/>
      <c r="AG248" s="171"/>
      <c r="AH248" s="171"/>
      <c r="AI248" s="171"/>
      <c r="AJ248" s="171"/>
    </row>
    <row r="249" spans="13:36" x14ac:dyDescent="0.2">
      <c r="M249" s="172"/>
      <c r="N249" s="172"/>
      <c r="O249" s="172"/>
      <c r="Q249" s="172"/>
      <c r="R249" s="172"/>
      <c r="S249" s="172"/>
      <c r="U249" s="172"/>
      <c r="V249" s="172"/>
      <c r="W249" s="172"/>
      <c r="X249" s="172"/>
      <c r="Y249" s="172"/>
      <c r="Z249" s="172"/>
      <c r="AA249" s="172"/>
      <c r="AB249" s="172"/>
      <c r="AC249" s="172"/>
      <c r="AD249" s="172"/>
      <c r="AE249" s="171"/>
      <c r="AF249" s="171"/>
      <c r="AG249" s="171"/>
      <c r="AH249" s="171"/>
      <c r="AI249" s="171"/>
      <c r="AJ249" s="171"/>
    </row>
    <row r="250" spans="13:36" x14ac:dyDescent="0.2">
      <c r="M250" s="172"/>
      <c r="N250" s="172"/>
      <c r="O250" s="172"/>
      <c r="Q250" s="172"/>
      <c r="R250" s="172"/>
      <c r="S250" s="172"/>
      <c r="U250" s="172"/>
      <c r="V250" s="172"/>
      <c r="W250" s="172"/>
      <c r="X250" s="172"/>
      <c r="Y250" s="172"/>
      <c r="Z250" s="172"/>
      <c r="AA250" s="172"/>
      <c r="AB250" s="172"/>
      <c r="AC250" s="172"/>
      <c r="AD250" s="172"/>
      <c r="AE250" s="171"/>
      <c r="AF250" s="171"/>
      <c r="AG250" s="171"/>
      <c r="AH250" s="171"/>
      <c r="AI250" s="171"/>
      <c r="AJ250" s="171"/>
    </row>
    <row r="251" spans="13:36" x14ac:dyDescent="0.2">
      <c r="M251" s="172"/>
      <c r="N251" s="172"/>
      <c r="O251" s="172"/>
      <c r="Q251" s="172"/>
      <c r="R251" s="172"/>
      <c r="S251" s="172"/>
      <c r="U251" s="172"/>
      <c r="V251" s="172"/>
      <c r="W251" s="172"/>
      <c r="X251" s="172"/>
      <c r="Y251" s="172"/>
      <c r="Z251" s="172"/>
      <c r="AA251" s="172"/>
      <c r="AB251" s="172"/>
      <c r="AC251" s="172"/>
      <c r="AD251" s="172"/>
      <c r="AE251" s="171"/>
      <c r="AF251" s="171"/>
      <c r="AG251" s="171"/>
      <c r="AH251" s="171"/>
      <c r="AI251" s="171"/>
      <c r="AJ251" s="171"/>
    </row>
    <row r="252" spans="13:36" x14ac:dyDescent="0.2">
      <c r="M252" s="172"/>
      <c r="N252" s="172"/>
      <c r="O252" s="172"/>
      <c r="Q252" s="172"/>
      <c r="R252" s="172"/>
      <c r="S252" s="172"/>
      <c r="U252" s="172"/>
      <c r="V252" s="172"/>
      <c r="W252" s="172"/>
      <c r="X252" s="172"/>
      <c r="Y252" s="172"/>
      <c r="Z252" s="172"/>
      <c r="AA252" s="172"/>
      <c r="AB252" s="172"/>
      <c r="AC252" s="172"/>
      <c r="AD252" s="172"/>
      <c r="AE252" s="171"/>
      <c r="AF252" s="171"/>
      <c r="AG252" s="171"/>
      <c r="AH252" s="171"/>
      <c r="AI252" s="171"/>
      <c r="AJ252" s="171"/>
    </row>
    <row r="253" spans="13:36" x14ac:dyDescent="0.2">
      <c r="M253" s="172"/>
      <c r="N253" s="172"/>
      <c r="O253" s="172"/>
      <c r="Q253" s="172"/>
      <c r="R253" s="172"/>
      <c r="S253" s="172"/>
      <c r="U253" s="172"/>
      <c r="V253" s="172"/>
      <c r="W253" s="172"/>
      <c r="X253" s="172"/>
      <c r="Y253" s="172"/>
      <c r="Z253" s="172"/>
      <c r="AA253" s="172"/>
      <c r="AB253" s="172"/>
      <c r="AC253" s="172"/>
      <c r="AD253" s="172"/>
      <c r="AE253" s="171"/>
      <c r="AF253" s="171"/>
      <c r="AG253" s="171"/>
      <c r="AH253" s="171"/>
      <c r="AI253" s="171"/>
      <c r="AJ253" s="171"/>
    </row>
    <row r="254" spans="13:36" x14ac:dyDescent="0.2">
      <c r="M254" s="172"/>
      <c r="N254" s="172"/>
      <c r="O254" s="172"/>
      <c r="Q254" s="172"/>
      <c r="R254" s="172"/>
      <c r="S254" s="172"/>
      <c r="U254" s="172"/>
      <c r="V254" s="172"/>
      <c r="W254" s="172"/>
      <c r="X254" s="172"/>
      <c r="Y254" s="172"/>
      <c r="Z254" s="172"/>
      <c r="AA254" s="172"/>
      <c r="AB254" s="172"/>
      <c r="AC254" s="172"/>
      <c r="AD254" s="172"/>
      <c r="AE254" s="171"/>
      <c r="AF254" s="171"/>
      <c r="AG254" s="171"/>
      <c r="AH254" s="171"/>
      <c r="AI254" s="171"/>
      <c r="AJ254" s="171"/>
    </row>
    <row r="255" spans="13:36" x14ac:dyDescent="0.2">
      <c r="M255" s="172"/>
      <c r="N255" s="172"/>
      <c r="O255" s="172"/>
      <c r="Q255" s="172"/>
      <c r="R255" s="172"/>
      <c r="S255" s="172"/>
      <c r="U255" s="172"/>
      <c r="V255" s="172"/>
      <c r="W255" s="172"/>
      <c r="X255" s="172"/>
      <c r="Y255" s="172"/>
      <c r="Z255" s="172"/>
      <c r="AA255" s="172"/>
      <c r="AB255" s="172"/>
      <c r="AC255" s="172"/>
      <c r="AD255" s="172"/>
      <c r="AE255" s="171"/>
      <c r="AF255" s="171"/>
      <c r="AG255" s="171"/>
      <c r="AH255" s="171"/>
      <c r="AI255" s="171"/>
      <c r="AJ255" s="171"/>
    </row>
    <row r="256" spans="13:36" x14ac:dyDescent="0.2">
      <c r="M256" s="172"/>
      <c r="N256" s="172"/>
      <c r="O256" s="172"/>
      <c r="Q256" s="172"/>
      <c r="R256" s="172"/>
      <c r="S256" s="172"/>
      <c r="U256" s="172"/>
      <c r="V256" s="172"/>
      <c r="W256" s="172"/>
      <c r="X256" s="172"/>
      <c r="Y256" s="172"/>
      <c r="Z256" s="172"/>
      <c r="AA256" s="172"/>
      <c r="AB256" s="172"/>
      <c r="AC256" s="172"/>
      <c r="AD256" s="172"/>
      <c r="AE256" s="171"/>
      <c r="AF256" s="171"/>
      <c r="AG256" s="171"/>
      <c r="AH256" s="171"/>
      <c r="AI256" s="171"/>
      <c r="AJ256" s="171"/>
    </row>
    <row r="257" spans="13:36" x14ac:dyDescent="0.2">
      <c r="M257" s="172"/>
      <c r="N257" s="172"/>
      <c r="O257" s="172"/>
      <c r="Q257" s="172"/>
      <c r="R257" s="172"/>
      <c r="S257" s="172"/>
      <c r="U257" s="172"/>
      <c r="V257" s="172"/>
      <c r="W257" s="172"/>
      <c r="X257" s="172"/>
      <c r="Y257" s="172"/>
      <c r="Z257" s="172"/>
      <c r="AA257" s="172"/>
      <c r="AB257" s="172"/>
      <c r="AC257" s="172"/>
      <c r="AD257" s="172"/>
      <c r="AE257" s="171"/>
      <c r="AF257" s="171"/>
      <c r="AG257" s="171"/>
      <c r="AH257" s="171"/>
      <c r="AI257" s="171"/>
      <c r="AJ257" s="171"/>
    </row>
    <row r="258" spans="13:36" x14ac:dyDescent="0.2">
      <c r="M258" s="172"/>
      <c r="N258" s="172"/>
      <c r="O258" s="172"/>
      <c r="Q258" s="172"/>
      <c r="R258" s="172"/>
      <c r="S258" s="172"/>
      <c r="U258" s="172"/>
      <c r="V258" s="172"/>
      <c r="W258" s="172"/>
      <c r="X258" s="172"/>
      <c r="Y258" s="172"/>
      <c r="Z258" s="172"/>
      <c r="AA258" s="172"/>
      <c r="AB258" s="172"/>
      <c r="AC258" s="172"/>
      <c r="AD258" s="172"/>
      <c r="AE258" s="171"/>
      <c r="AF258" s="171"/>
      <c r="AG258" s="171"/>
      <c r="AH258" s="171"/>
      <c r="AI258" s="171"/>
      <c r="AJ258" s="171"/>
    </row>
    <row r="259" spans="13:36" x14ac:dyDescent="0.2">
      <c r="M259" s="172"/>
      <c r="N259" s="172"/>
      <c r="O259" s="172"/>
      <c r="Q259" s="172"/>
      <c r="R259" s="172"/>
      <c r="S259" s="172"/>
      <c r="U259" s="172"/>
      <c r="V259" s="172"/>
      <c r="W259" s="172"/>
      <c r="X259" s="172"/>
      <c r="Y259" s="172"/>
      <c r="Z259" s="172"/>
      <c r="AA259" s="172"/>
      <c r="AB259" s="172"/>
      <c r="AC259" s="172"/>
      <c r="AD259" s="172"/>
      <c r="AE259" s="171"/>
      <c r="AF259" s="171"/>
      <c r="AG259" s="171"/>
      <c r="AH259" s="171"/>
      <c r="AI259" s="171"/>
      <c r="AJ259" s="171"/>
    </row>
    <row r="260" spans="13:36" x14ac:dyDescent="0.2">
      <c r="M260" s="172"/>
      <c r="N260" s="172"/>
      <c r="O260" s="172"/>
      <c r="Q260" s="172"/>
      <c r="R260" s="172"/>
      <c r="S260" s="172"/>
      <c r="U260" s="172"/>
      <c r="V260" s="172"/>
      <c r="W260" s="172"/>
      <c r="X260" s="172"/>
      <c r="Y260" s="172"/>
      <c r="Z260" s="172"/>
      <c r="AA260" s="172"/>
      <c r="AB260" s="172"/>
      <c r="AC260" s="172"/>
      <c r="AD260" s="172"/>
      <c r="AE260" s="171"/>
      <c r="AF260" s="171"/>
      <c r="AG260" s="171"/>
      <c r="AH260" s="171"/>
      <c r="AI260" s="171"/>
      <c r="AJ260" s="171"/>
    </row>
    <row r="261" spans="13:36" x14ac:dyDescent="0.2">
      <c r="M261" s="172"/>
      <c r="N261" s="172"/>
      <c r="O261" s="172"/>
      <c r="Q261" s="172"/>
      <c r="R261" s="172"/>
      <c r="S261" s="172"/>
      <c r="U261" s="172"/>
      <c r="V261" s="172"/>
      <c r="W261" s="172"/>
      <c r="X261" s="172"/>
      <c r="Y261" s="172"/>
      <c r="Z261" s="172"/>
      <c r="AA261" s="172"/>
      <c r="AB261" s="172"/>
      <c r="AC261" s="172"/>
      <c r="AD261" s="172"/>
      <c r="AE261" s="171"/>
      <c r="AF261" s="171"/>
      <c r="AG261" s="171"/>
      <c r="AH261" s="171"/>
      <c r="AI261" s="171"/>
      <c r="AJ261" s="171"/>
    </row>
    <row r="262" spans="13:36" x14ac:dyDescent="0.2">
      <c r="M262" s="172"/>
      <c r="N262" s="172"/>
      <c r="O262" s="172"/>
      <c r="Q262" s="172"/>
      <c r="R262" s="172"/>
      <c r="S262" s="172"/>
      <c r="U262" s="172"/>
      <c r="V262" s="172"/>
      <c r="W262" s="172"/>
      <c r="X262" s="172"/>
      <c r="Y262" s="172"/>
      <c r="Z262" s="172"/>
      <c r="AA262" s="172"/>
      <c r="AB262" s="172"/>
      <c r="AC262" s="172"/>
      <c r="AD262" s="172"/>
      <c r="AE262" s="171"/>
      <c r="AF262" s="171"/>
      <c r="AG262" s="171"/>
      <c r="AH262" s="171"/>
      <c r="AI262" s="171"/>
      <c r="AJ262" s="171"/>
    </row>
    <row r="263" spans="13:36" x14ac:dyDescent="0.2">
      <c r="M263" s="172"/>
      <c r="N263" s="172"/>
      <c r="O263" s="172"/>
      <c r="Q263" s="172"/>
      <c r="R263" s="172"/>
      <c r="S263" s="172"/>
      <c r="U263" s="172"/>
      <c r="V263" s="172"/>
      <c r="W263" s="172"/>
      <c r="X263" s="172"/>
      <c r="Y263" s="172"/>
      <c r="Z263" s="172"/>
      <c r="AA263" s="172"/>
      <c r="AB263" s="172"/>
      <c r="AC263" s="172"/>
      <c r="AD263" s="172"/>
      <c r="AE263" s="171"/>
      <c r="AF263" s="171"/>
      <c r="AG263" s="171"/>
      <c r="AH263" s="171"/>
      <c r="AI263" s="171"/>
      <c r="AJ263" s="171"/>
    </row>
    <row r="264" spans="13:36" x14ac:dyDescent="0.2">
      <c r="M264" s="172"/>
      <c r="N264" s="172"/>
      <c r="O264" s="172"/>
      <c r="Q264" s="172"/>
      <c r="R264" s="172"/>
      <c r="S264" s="172"/>
      <c r="U264" s="172"/>
      <c r="V264" s="172"/>
      <c r="W264" s="172"/>
      <c r="X264" s="172"/>
      <c r="Y264" s="172"/>
      <c r="Z264" s="172"/>
      <c r="AA264" s="172"/>
      <c r="AB264" s="172"/>
      <c r="AC264" s="172"/>
      <c r="AD264" s="172"/>
      <c r="AE264" s="171"/>
      <c r="AF264" s="171"/>
      <c r="AG264" s="171"/>
      <c r="AH264" s="171"/>
      <c r="AI264" s="171"/>
      <c r="AJ264" s="171"/>
    </row>
    <row r="265" spans="13:36" x14ac:dyDescent="0.2">
      <c r="M265" s="172"/>
      <c r="N265" s="172"/>
      <c r="O265" s="172"/>
      <c r="Q265" s="172"/>
      <c r="R265" s="172"/>
      <c r="S265" s="172"/>
      <c r="U265" s="172"/>
      <c r="V265" s="172"/>
      <c r="W265" s="172"/>
      <c r="X265" s="172"/>
      <c r="Y265" s="172"/>
      <c r="Z265" s="172"/>
      <c r="AA265" s="172"/>
      <c r="AB265" s="172"/>
      <c r="AC265" s="172"/>
      <c r="AD265" s="172"/>
      <c r="AE265" s="171"/>
      <c r="AF265" s="171"/>
      <c r="AG265" s="171"/>
      <c r="AH265" s="171"/>
      <c r="AI265" s="171"/>
      <c r="AJ265" s="171"/>
    </row>
    <row r="266" spans="13:36" x14ac:dyDescent="0.2">
      <c r="M266" s="172"/>
      <c r="N266" s="172"/>
      <c r="O266" s="172"/>
      <c r="Q266" s="172"/>
      <c r="R266" s="172"/>
      <c r="S266" s="172"/>
      <c r="U266" s="172"/>
      <c r="V266" s="172"/>
      <c r="W266" s="172"/>
      <c r="X266" s="172"/>
      <c r="Y266" s="172"/>
      <c r="Z266" s="172"/>
      <c r="AA266" s="172"/>
      <c r="AB266" s="172"/>
      <c r="AC266" s="172"/>
      <c r="AD266" s="172"/>
      <c r="AE266" s="171"/>
      <c r="AF266" s="171"/>
      <c r="AG266" s="171"/>
      <c r="AH266" s="171"/>
      <c r="AI266" s="171"/>
      <c r="AJ266" s="171"/>
    </row>
    <row r="267" spans="13:36" x14ac:dyDescent="0.2">
      <c r="M267" s="172"/>
      <c r="N267" s="172"/>
      <c r="O267" s="172"/>
      <c r="Q267" s="172"/>
      <c r="R267" s="172"/>
      <c r="S267" s="172"/>
      <c r="U267" s="172"/>
      <c r="V267" s="172"/>
      <c r="W267" s="172"/>
      <c r="X267" s="172"/>
      <c r="Y267" s="172"/>
      <c r="Z267" s="172"/>
      <c r="AA267" s="172"/>
      <c r="AB267" s="172"/>
      <c r="AC267" s="172"/>
      <c r="AD267" s="172"/>
      <c r="AE267" s="171"/>
      <c r="AF267" s="171"/>
      <c r="AG267" s="171"/>
      <c r="AH267" s="171"/>
      <c r="AI267" s="171"/>
      <c r="AJ267" s="171"/>
    </row>
    <row r="268" spans="13:36" x14ac:dyDescent="0.2">
      <c r="M268" s="172"/>
      <c r="N268" s="172"/>
      <c r="O268" s="172"/>
      <c r="Q268" s="172"/>
      <c r="R268" s="172"/>
      <c r="S268" s="172"/>
      <c r="U268" s="172"/>
      <c r="V268" s="172"/>
      <c r="W268" s="172"/>
      <c r="X268" s="172"/>
      <c r="Y268" s="172"/>
      <c r="Z268" s="172"/>
      <c r="AA268" s="172"/>
      <c r="AB268" s="172"/>
      <c r="AC268" s="172"/>
      <c r="AD268" s="172"/>
      <c r="AE268" s="171"/>
      <c r="AF268" s="171"/>
      <c r="AG268" s="171"/>
      <c r="AH268" s="171"/>
      <c r="AI268" s="171"/>
      <c r="AJ268" s="171"/>
    </row>
    <row r="269" spans="13:36" x14ac:dyDescent="0.2">
      <c r="M269" s="172"/>
      <c r="N269" s="172"/>
      <c r="O269" s="172"/>
      <c r="Q269" s="172"/>
      <c r="R269" s="172"/>
      <c r="S269" s="172"/>
      <c r="U269" s="172"/>
      <c r="V269" s="172"/>
      <c r="W269" s="172"/>
      <c r="X269" s="172"/>
      <c r="Y269" s="172"/>
      <c r="Z269" s="172"/>
      <c r="AA269" s="172"/>
      <c r="AB269" s="172"/>
      <c r="AC269" s="172"/>
      <c r="AD269" s="172"/>
      <c r="AE269" s="171"/>
      <c r="AF269" s="171"/>
      <c r="AG269" s="171"/>
      <c r="AH269" s="171"/>
      <c r="AI269" s="171"/>
      <c r="AJ269" s="171"/>
    </row>
    <row r="270" spans="13:36" x14ac:dyDescent="0.2">
      <c r="M270" s="172"/>
      <c r="N270" s="172"/>
      <c r="O270" s="172"/>
      <c r="Q270" s="172"/>
      <c r="R270" s="172"/>
      <c r="S270" s="172"/>
      <c r="U270" s="172"/>
      <c r="V270" s="172"/>
      <c r="W270" s="172"/>
      <c r="X270" s="172"/>
      <c r="Y270" s="172"/>
      <c r="Z270" s="172"/>
      <c r="AA270" s="172"/>
      <c r="AB270" s="172"/>
      <c r="AC270" s="172"/>
      <c r="AD270" s="172"/>
      <c r="AE270" s="171"/>
      <c r="AF270" s="171"/>
      <c r="AG270" s="171"/>
      <c r="AH270" s="171"/>
      <c r="AI270" s="171"/>
      <c r="AJ270" s="171"/>
    </row>
    <row r="271" spans="13:36" x14ac:dyDescent="0.2">
      <c r="M271" s="172"/>
      <c r="N271" s="172"/>
      <c r="O271" s="172"/>
      <c r="Q271" s="172"/>
      <c r="R271" s="172"/>
      <c r="S271" s="172"/>
      <c r="U271" s="172"/>
      <c r="V271" s="172"/>
      <c r="W271" s="172"/>
      <c r="X271" s="172"/>
      <c r="Y271" s="172"/>
      <c r="Z271" s="172"/>
      <c r="AA271" s="172"/>
      <c r="AB271" s="172"/>
      <c r="AC271" s="172"/>
      <c r="AD271" s="172"/>
      <c r="AE271" s="171"/>
      <c r="AF271" s="171"/>
      <c r="AG271" s="171"/>
      <c r="AH271" s="171"/>
      <c r="AI271" s="171"/>
      <c r="AJ271" s="171"/>
    </row>
    <row r="272" spans="13:36" x14ac:dyDescent="0.2">
      <c r="M272" s="172"/>
      <c r="N272" s="172"/>
      <c r="O272" s="172"/>
      <c r="Q272" s="172"/>
      <c r="R272" s="172"/>
      <c r="S272" s="172"/>
      <c r="U272" s="172"/>
      <c r="V272" s="172"/>
      <c r="W272" s="172"/>
      <c r="X272" s="172"/>
      <c r="Y272" s="172"/>
      <c r="Z272" s="172"/>
      <c r="AA272" s="172"/>
      <c r="AB272" s="172"/>
      <c r="AC272" s="172"/>
      <c r="AD272" s="172"/>
      <c r="AE272" s="171"/>
      <c r="AF272" s="171"/>
      <c r="AG272" s="171"/>
      <c r="AH272" s="171"/>
      <c r="AI272" s="171"/>
      <c r="AJ272" s="171"/>
    </row>
    <row r="273" spans="13:36" x14ac:dyDescent="0.2">
      <c r="M273" s="172"/>
      <c r="N273" s="172"/>
      <c r="O273" s="172"/>
      <c r="Q273" s="172"/>
      <c r="R273" s="172"/>
      <c r="S273" s="172"/>
      <c r="U273" s="172"/>
      <c r="V273" s="172"/>
      <c r="W273" s="172"/>
      <c r="X273" s="172"/>
      <c r="Y273" s="172"/>
      <c r="Z273" s="172"/>
      <c r="AA273" s="172"/>
      <c r="AB273" s="172"/>
      <c r="AC273" s="172"/>
      <c r="AD273" s="172"/>
      <c r="AE273" s="171"/>
      <c r="AF273" s="171"/>
      <c r="AG273" s="171"/>
      <c r="AH273" s="171"/>
      <c r="AI273" s="171"/>
      <c r="AJ273" s="171"/>
    </row>
    <row r="274" spans="13:36" x14ac:dyDescent="0.2">
      <c r="M274" s="172"/>
      <c r="N274" s="172"/>
      <c r="O274" s="172"/>
      <c r="Q274" s="172"/>
      <c r="R274" s="172"/>
      <c r="S274" s="172"/>
      <c r="U274" s="172"/>
      <c r="V274" s="172"/>
      <c r="W274" s="172"/>
      <c r="X274" s="172"/>
      <c r="Y274" s="172"/>
      <c r="Z274" s="172"/>
      <c r="AA274" s="172"/>
      <c r="AB274" s="172"/>
      <c r="AC274" s="172"/>
      <c r="AD274" s="172"/>
      <c r="AE274" s="171"/>
      <c r="AF274" s="171"/>
      <c r="AG274" s="171"/>
      <c r="AH274" s="171"/>
      <c r="AI274" s="171"/>
      <c r="AJ274" s="171"/>
    </row>
    <row r="275" spans="13:36" x14ac:dyDescent="0.2">
      <c r="M275" s="172"/>
      <c r="N275" s="172"/>
      <c r="O275" s="172"/>
      <c r="Q275" s="172"/>
      <c r="R275" s="172"/>
      <c r="S275" s="172"/>
      <c r="U275" s="172"/>
      <c r="V275" s="172"/>
      <c r="W275" s="172"/>
      <c r="X275" s="172"/>
      <c r="Y275" s="172"/>
      <c r="Z275" s="172"/>
      <c r="AA275" s="172"/>
      <c r="AB275" s="172"/>
      <c r="AC275" s="172"/>
      <c r="AD275" s="172"/>
      <c r="AE275" s="171"/>
      <c r="AF275" s="171"/>
      <c r="AG275" s="171"/>
      <c r="AH275" s="171"/>
      <c r="AI275" s="171"/>
      <c r="AJ275" s="171"/>
    </row>
    <row r="276" spans="13:36" x14ac:dyDescent="0.2">
      <c r="M276" s="172"/>
      <c r="N276" s="172"/>
      <c r="O276" s="172"/>
      <c r="Q276" s="172"/>
      <c r="R276" s="172"/>
      <c r="S276" s="172"/>
      <c r="U276" s="172"/>
      <c r="V276" s="172"/>
      <c r="W276" s="172"/>
      <c r="X276" s="172"/>
      <c r="Y276" s="172"/>
      <c r="Z276" s="172"/>
      <c r="AA276" s="172"/>
      <c r="AB276" s="172"/>
      <c r="AC276" s="172"/>
      <c r="AD276" s="172"/>
      <c r="AE276" s="171"/>
      <c r="AF276" s="171"/>
      <c r="AG276" s="171"/>
      <c r="AH276" s="171"/>
      <c r="AI276" s="171"/>
      <c r="AJ276" s="171"/>
    </row>
    <row r="277" spans="13:36" x14ac:dyDescent="0.2">
      <c r="M277" s="172"/>
      <c r="N277" s="172"/>
      <c r="O277" s="172"/>
      <c r="Q277" s="172"/>
      <c r="R277" s="172"/>
      <c r="S277" s="172"/>
      <c r="U277" s="172"/>
      <c r="V277" s="172"/>
      <c r="W277" s="172"/>
      <c r="X277" s="172"/>
      <c r="Y277" s="172"/>
      <c r="Z277" s="172"/>
      <c r="AA277" s="172"/>
      <c r="AB277" s="172"/>
      <c r="AC277" s="172"/>
      <c r="AD277" s="172"/>
      <c r="AE277" s="171"/>
      <c r="AF277" s="171"/>
      <c r="AG277" s="171"/>
      <c r="AH277" s="171"/>
      <c r="AI277" s="171"/>
      <c r="AJ277" s="171"/>
    </row>
    <row r="278" spans="13:36" x14ac:dyDescent="0.2">
      <c r="M278" s="172"/>
      <c r="N278" s="172"/>
      <c r="O278" s="172"/>
      <c r="Q278" s="172"/>
      <c r="R278" s="172"/>
      <c r="S278" s="172"/>
      <c r="U278" s="172"/>
      <c r="V278" s="172"/>
      <c r="W278" s="172"/>
      <c r="X278" s="172"/>
      <c r="Y278" s="172"/>
      <c r="Z278" s="172"/>
      <c r="AA278" s="172"/>
      <c r="AB278" s="172"/>
      <c r="AC278" s="172"/>
      <c r="AD278" s="172"/>
      <c r="AE278" s="171"/>
      <c r="AF278" s="171"/>
      <c r="AG278" s="171"/>
      <c r="AH278" s="171"/>
      <c r="AI278" s="171"/>
      <c r="AJ278" s="171"/>
    </row>
    <row r="279" spans="13:36" x14ac:dyDescent="0.2">
      <c r="M279" s="172"/>
      <c r="N279" s="172"/>
      <c r="O279" s="172"/>
      <c r="Q279" s="172"/>
      <c r="R279" s="172"/>
      <c r="S279" s="172"/>
      <c r="U279" s="172"/>
      <c r="V279" s="172"/>
      <c r="W279" s="172"/>
      <c r="X279" s="172"/>
      <c r="Y279" s="172"/>
      <c r="Z279" s="172"/>
      <c r="AA279" s="172"/>
      <c r="AB279" s="172"/>
      <c r="AC279" s="172"/>
      <c r="AD279" s="172"/>
      <c r="AE279" s="171"/>
      <c r="AF279" s="171"/>
      <c r="AG279" s="171"/>
      <c r="AH279" s="171"/>
      <c r="AI279" s="171"/>
      <c r="AJ279" s="171"/>
    </row>
    <row r="280" spans="13:36" x14ac:dyDescent="0.2">
      <c r="M280" s="172"/>
      <c r="N280" s="172"/>
      <c r="O280" s="172"/>
      <c r="Q280" s="172"/>
      <c r="R280" s="172"/>
      <c r="S280" s="172"/>
      <c r="U280" s="172"/>
      <c r="V280" s="172"/>
      <c r="W280" s="172"/>
      <c r="X280" s="172"/>
      <c r="Y280" s="172"/>
      <c r="Z280" s="172"/>
      <c r="AA280" s="172"/>
      <c r="AB280" s="172"/>
      <c r="AC280" s="172"/>
      <c r="AD280" s="172"/>
      <c r="AE280" s="171"/>
      <c r="AF280" s="171"/>
      <c r="AG280" s="171"/>
      <c r="AH280" s="171"/>
      <c r="AI280" s="171"/>
      <c r="AJ280" s="171"/>
    </row>
    <row r="281" spans="13:36" x14ac:dyDescent="0.2">
      <c r="M281" s="172"/>
      <c r="N281" s="172"/>
      <c r="O281" s="172"/>
      <c r="Q281" s="172"/>
      <c r="R281" s="172"/>
      <c r="S281" s="172"/>
      <c r="U281" s="172"/>
      <c r="V281" s="172"/>
      <c r="W281" s="172"/>
      <c r="X281" s="172"/>
      <c r="Y281" s="172"/>
      <c r="Z281" s="172"/>
      <c r="AA281" s="172"/>
      <c r="AB281" s="172"/>
      <c r="AC281" s="172"/>
      <c r="AD281" s="172"/>
      <c r="AE281" s="171"/>
      <c r="AF281" s="171"/>
      <c r="AG281" s="171"/>
      <c r="AH281" s="171"/>
      <c r="AI281" s="171"/>
      <c r="AJ281" s="171"/>
    </row>
    <row r="282" spans="13:36" x14ac:dyDescent="0.2">
      <c r="M282" s="172"/>
      <c r="N282" s="172"/>
      <c r="O282" s="172"/>
      <c r="Q282" s="172"/>
      <c r="R282" s="172"/>
      <c r="S282" s="172"/>
      <c r="U282" s="172"/>
      <c r="V282" s="172"/>
      <c r="W282" s="172"/>
      <c r="X282" s="172"/>
      <c r="Y282" s="172"/>
      <c r="Z282" s="172"/>
      <c r="AA282" s="172"/>
      <c r="AB282" s="172"/>
      <c r="AC282" s="172"/>
      <c r="AD282" s="172"/>
      <c r="AE282" s="171"/>
      <c r="AF282" s="171"/>
      <c r="AG282" s="171"/>
      <c r="AH282" s="171"/>
      <c r="AI282" s="171"/>
      <c r="AJ282" s="171"/>
    </row>
    <row r="283" spans="13:36" x14ac:dyDescent="0.2">
      <c r="M283" s="172"/>
      <c r="N283" s="172"/>
      <c r="O283" s="172"/>
      <c r="Q283" s="172"/>
      <c r="R283" s="172"/>
      <c r="S283" s="172"/>
      <c r="U283" s="172"/>
      <c r="V283" s="172"/>
      <c r="W283" s="172"/>
      <c r="X283" s="172"/>
      <c r="Y283" s="172"/>
      <c r="Z283" s="172"/>
      <c r="AA283" s="172"/>
      <c r="AB283" s="172"/>
      <c r="AC283" s="172"/>
      <c r="AD283" s="172"/>
      <c r="AE283" s="171"/>
      <c r="AF283" s="171"/>
      <c r="AG283" s="171"/>
      <c r="AH283" s="171"/>
      <c r="AI283" s="171"/>
      <c r="AJ283" s="171"/>
    </row>
    <row r="284" spans="13:36" x14ac:dyDescent="0.2">
      <c r="M284" s="172"/>
      <c r="N284" s="172"/>
      <c r="O284" s="172"/>
      <c r="Q284" s="172"/>
      <c r="R284" s="172"/>
      <c r="S284" s="172"/>
      <c r="U284" s="172"/>
      <c r="V284" s="172"/>
      <c r="W284" s="172"/>
      <c r="X284" s="172"/>
      <c r="Y284" s="172"/>
      <c r="Z284" s="172"/>
      <c r="AA284" s="172"/>
      <c r="AB284" s="172"/>
      <c r="AC284" s="172"/>
      <c r="AD284" s="172"/>
      <c r="AE284" s="171"/>
      <c r="AF284" s="171"/>
      <c r="AG284" s="171"/>
      <c r="AH284" s="171"/>
      <c r="AI284" s="171"/>
      <c r="AJ284" s="171"/>
    </row>
    <row r="285" spans="13:36" x14ac:dyDescent="0.2">
      <c r="M285" s="172"/>
      <c r="N285" s="172"/>
      <c r="O285" s="172"/>
      <c r="Q285" s="172"/>
      <c r="R285" s="172"/>
      <c r="S285" s="172"/>
      <c r="U285" s="172"/>
      <c r="V285" s="172"/>
      <c r="W285" s="172"/>
      <c r="X285" s="172"/>
      <c r="Y285" s="172"/>
      <c r="Z285" s="172"/>
      <c r="AA285" s="172"/>
      <c r="AB285" s="172"/>
      <c r="AC285" s="172"/>
      <c r="AD285" s="172"/>
      <c r="AE285" s="171"/>
      <c r="AF285" s="171"/>
      <c r="AG285" s="171"/>
      <c r="AH285" s="171"/>
      <c r="AI285" s="171"/>
      <c r="AJ285" s="171"/>
    </row>
    <row r="286" spans="13:36" x14ac:dyDescent="0.2">
      <c r="M286" s="172"/>
      <c r="N286" s="172"/>
      <c r="O286" s="172"/>
      <c r="Q286" s="172"/>
      <c r="R286" s="172"/>
      <c r="S286" s="172"/>
      <c r="U286" s="172"/>
      <c r="V286" s="172"/>
      <c r="W286" s="172"/>
      <c r="X286" s="172"/>
      <c r="Y286" s="172"/>
      <c r="Z286" s="172"/>
      <c r="AA286" s="172"/>
      <c r="AB286" s="172"/>
      <c r="AC286" s="172"/>
      <c r="AD286" s="172"/>
      <c r="AE286" s="171"/>
      <c r="AF286" s="171"/>
      <c r="AG286" s="171"/>
      <c r="AH286" s="171"/>
      <c r="AI286" s="171"/>
      <c r="AJ286" s="171"/>
    </row>
    <row r="287" spans="13:36" x14ac:dyDescent="0.2">
      <c r="M287" s="172"/>
      <c r="N287" s="172"/>
      <c r="O287" s="172"/>
      <c r="Q287" s="172"/>
      <c r="R287" s="172"/>
      <c r="S287" s="172"/>
      <c r="U287" s="172"/>
      <c r="V287" s="172"/>
      <c r="W287" s="172"/>
      <c r="X287" s="172"/>
      <c r="Y287" s="172"/>
      <c r="Z287" s="172"/>
      <c r="AA287" s="172"/>
      <c r="AB287" s="172"/>
      <c r="AC287" s="172"/>
      <c r="AD287" s="172"/>
      <c r="AE287" s="171"/>
      <c r="AF287" s="171"/>
      <c r="AG287" s="171"/>
      <c r="AH287" s="171"/>
      <c r="AI287" s="171"/>
      <c r="AJ287" s="171"/>
    </row>
    <row r="288" spans="13:36" x14ac:dyDescent="0.2">
      <c r="M288" s="172"/>
      <c r="N288" s="172"/>
      <c r="O288" s="172"/>
      <c r="Q288" s="172"/>
      <c r="R288" s="172"/>
      <c r="S288" s="172"/>
      <c r="U288" s="172"/>
      <c r="V288" s="172"/>
      <c r="W288" s="172"/>
      <c r="X288" s="172"/>
      <c r="Y288" s="172"/>
      <c r="Z288" s="172"/>
      <c r="AA288" s="172"/>
      <c r="AB288" s="172"/>
      <c r="AC288" s="172"/>
      <c r="AD288" s="172"/>
      <c r="AE288" s="171"/>
      <c r="AF288" s="171"/>
      <c r="AG288" s="171"/>
      <c r="AH288" s="171"/>
      <c r="AI288" s="171"/>
      <c r="AJ288" s="171"/>
    </row>
    <row r="289" spans="13:36" x14ac:dyDescent="0.2">
      <c r="M289" s="172"/>
      <c r="N289" s="172"/>
      <c r="O289" s="172"/>
      <c r="Q289" s="172"/>
      <c r="R289" s="172"/>
      <c r="S289" s="172"/>
      <c r="U289" s="172"/>
      <c r="V289" s="172"/>
      <c r="W289" s="172"/>
      <c r="X289" s="172"/>
      <c r="Y289" s="172"/>
      <c r="Z289" s="172"/>
      <c r="AA289" s="172"/>
      <c r="AB289" s="172"/>
      <c r="AC289" s="172"/>
      <c r="AD289" s="172"/>
      <c r="AE289" s="171"/>
      <c r="AF289" s="171"/>
      <c r="AG289" s="171"/>
      <c r="AH289" s="171"/>
      <c r="AI289" s="171"/>
      <c r="AJ289" s="171"/>
    </row>
    <row r="290" spans="13:36" x14ac:dyDescent="0.2">
      <c r="M290" s="172"/>
      <c r="N290" s="172"/>
      <c r="O290" s="172"/>
      <c r="Q290" s="172"/>
      <c r="R290" s="172"/>
      <c r="S290" s="172"/>
      <c r="U290" s="172"/>
      <c r="V290" s="172"/>
      <c r="W290" s="172"/>
      <c r="X290" s="172"/>
      <c r="Y290" s="172"/>
      <c r="Z290" s="172"/>
      <c r="AA290" s="172"/>
      <c r="AB290" s="172"/>
      <c r="AC290" s="172"/>
      <c r="AD290" s="172"/>
      <c r="AE290" s="171"/>
      <c r="AF290" s="171"/>
      <c r="AG290" s="171"/>
      <c r="AH290" s="171"/>
      <c r="AI290" s="171"/>
      <c r="AJ290" s="171"/>
    </row>
    <row r="291" spans="13:36" x14ac:dyDescent="0.2">
      <c r="M291" s="172"/>
      <c r="N291" s="172"/>
      <c r="O291" s="172"/>
      <c r="Q291" s="172"/>
      <c r="R291" s="172"/>
      <c r="S291" s="172"/>
      <c r="U291" s="172"/>
      <c r="V291" s="172"/>
      <c r="W291" s="172"/>
      <c r="X291" s="172"/>
      <c r="Y291" s="172"/>
      <c r="Z291" s="172"/>
      <c r="AA291" s="172"/>
      <c r="AB291" s="172"/>
      <c r="AC291" s="172"/>
      <c r="AD291" s="172"/>
      <c r="AE291" s="171"/>
      <c r="AF291" s="171"/>
      <c r="AG291" s="171"/>
      <c r="AH291" s="171"/>
      <c r="AI291" s="171"/>
      <c r="AJ291" s="171"/>
    </row>
    <row r="292" spans="13:36" x14ac:dyDescent="0.2">
      <c r="M292" s="172"/>
      <c r="N292" s="172"/>
      <c r="O292" s="172"/>
      <c r="Q292" s="172"/>
      <c r="R292" s="172"/>
      <c r="S292" s="172"/>
      <c r="U292" s="172"/>
      <c r="V292" s="172"/>
      <c r="W292" s="172"/>
      <c r="X292" s="172"/>
      <c r="Y292" s="172"/>
      <c r="Z292" s="172"/>
      <c r="AA292" s="172"/>
      <c r="AB292" s="172"/>
      <c r="AC292" s="172"/>
      <c r="AD292" s="172"/>
      <c r="AE292" s="171"/>
      <c r="AF292" s="171"/>
      <c r="AG292" s="171"/>
      <c r="AH292" s="171"/>
      <c r="AI292" s="171"/>
      <c r="AJ292" s="171"/>
    </row>
    <row r="293" spans="13:36" x14ac:dyDescent="0.2">
      <c r="M293" s="172"/>
      <c r="N293" s="172"/>
      <c r="O293" s="172"/>
      <c r="Q293" s="172"/>
      <c r="R293" s="172"/>
      <c r="S293" s="172"/>
      <c r="U293" s="172"/>
      <c r="V293" s="172"/>
      <c r="W293" s="172"/>
      <c r="X293" s="172"/>
      <c r="Y293" s="172"/>
      <c r="Z293" s="172"/>
      <c r="AA293" s="172"/>
      <c r="AB293" s="172"/>
      <c r="AC293" s="172"/>
      <c r="AD293" s="172"/>
      <c r="AE293" s="171"/>
      <c r="AF293" s="171"/>
      <c r="AG293" s="171"/>
      <c r="AH293" s="171"/>
      <c r="AI293" s="171"/>
      <c r="AJ293" s="171"/>
    </row>
    <row r="294" spans="13:36" x14ac:dyDescent="0.2">
      <c r="M294" s="172"/>
      <c r="N294" s="172"/>
      <c r="O294" s="172"/>
      <c r="Q294" s="172"/>
      <c r="R294" s="172"/>
      <c r="S294" s="172"/>
      <c r="U294" s="172"/>
      <c r="V294" s="172"/>
      <c r="W294" s="172"/>
      <c r="X294" s="172"/>
      <c r="Y294" s="172"/>
      <c r="Z294" s="172"/>
      <c r="AA294" s="172"/>
      <c r="AB294" s="172"/>
      <c r="AC294" s="172"/>
      <c r="AD294" s="172"/>
      <c r="AE294" s="171"/>
      <c r="AF294" s="171"/>
      <c r="AG294" s="171"/>
      <c r="AH294" s="171"/>
      <c r="AI294" s="171"/>
      <c r="AJ294" s="171"/>
    </row>
    <row r="295" spans="13:36" x14ac:dyDescent="0.2">
      <c r="M295" s="172"/>
      <c r="N295" s="172"/>
      <c r="O295" s="172"/>
      <c r="Q295" s="172"/>
      <c r="R295" s="172"/>
      <c r="S295" s="172"/>
      <c r="U295" s="172"/>
      <c r="V295" s="172"/>
      <c r="W295" s="172"/>
      <c r="X295" s="172"/>
      <c r="Y295" s="172"/>
      <c r="Z295" s="172"/>
      <c r="AA295" s="172"/>
      <c r="AB295" s="172"/>
      <c r="AC295" s="172"/>
      <c r="AD295" s="172"/>
      <c r="AE295" s="171"/>
      <c r="AF295" s="171"/>
      <c r="AG295" s="171"/>
      <c r="AH295" s="171"/>
      <c r="AI295" s="171"/>
      <c r="AJ295" s="171"/>
    </row>
    <row r="296" spans="13:36" x14ac:dyDescent="0.2">
      <c r="M296" s="172"/>
      <c r="N296" s="172"/>
      <c r="O296" s="172"/>
      <c r="Q296" s="172"/>
      <c r="R296" s="172"/>
      <c r="S296" s="172"/>
      <c r="U296" s="172"/>
      <c r="V296" s="172"/>
      <c r="W296" s="172"/>
      <c r="X296" s="172"/>
      <c r="Y296" s="172"/>
      <c r="Z296" s="172"/>
      <c r="AA296" s="172"/>
      <c r="AB296" s="172"/>
      <c r="AC296" s="172"/>
      <c r="AD296" s="172"/>
      <c r="AE296" s="171"/>
      <c r="AF296" s="171"/>
      <c r="AG296" s="171"/>
      <c r="AH296" s="171"/>
      <c r="AI296" s="171"/>
      <c r="AJ296" s="171"/>
    </row>
    <row r="297" spans="13:36" x14ac:dyDescent="0.2">
      <c r="M297" s="172"/>
      <c r="N297" s="172"/>
      <c r="O297" s="172"/>
      <c r="Q297" s="172"/>
      <c r="R297" s="172"/>
      <c r="S297" s="172"/>
      <c r="U297" s="172"/>
      <c r="V297" s="172"/>
      <c r="W297" s="172"/>
      <c r="X297" s="172"/>
      <c r="Y297" s="172"/>
      <c r="Z297" s="172"/>
      <c r="AA297" s="172"/>
      <c r="AB297" s="172"/>
      <c r="AC297" s="172"/>
      <c r="AD297" s="172"/>
      <c r="AE297" s="171"/>
      <c r="AF297" s="171"/>
      <c r="AG297" s="171"/>
      <c r="AH297" s="171"/>
      <c r="AI297" s="171"/>
      <c r="AJ297" s="171"/>
    </row>
    <row r="298" spans="13:36" x14ac:dyDescent="0.2">
      <c r="M298" s="172"/>
      <c r="N298" s="172"/>
      <c r="O298" s="172"/>
      <c r="Q298" s="172"/>
      <c r="R298" s="172"/>
      <c r="S298" s="172"/>
      <c r="U298" s="172"/>
      <c r="V298" s="172"/>
      <c r="W298" s="172"/>
      <c r="X298" s="172"/>
      <c r="Y298" s="172"/>
      <c r="Z298" s="172"/>
      <c r="AA298" s="172"/>
      <c r="AB298" s="172"/>
      <c r="AC298" s="172"/>
      <c r="AD298" s="172"/>
      <c r="AE298" s="171"/>
      <c r="AF298" s="171"/>
      <c r="AG298" s="171"/>
      <c r="AH298" s="171"/>
      <c r="AI298" s="171"/>
      <c r="AJ298" s="171"/>
    </row>
    <row r="299" spans="13:36" x14ac:dyDescent="0.2">
      <c r="M299" s="172"/>
      <c r="N299" s="172"/>
      <c r="O299" s="172"/>
      <c r="Q299" s="172"/>
      <c r="R299" s="172"/>
      <c r="S299" s="172"/>
      <c r="U299" s="172"/>
      <c r="V299" s="172"/>
      <c r="W299" s="172"/>
      <c r="X299" s="172"/>
      <c r="Y299" s="172"/>
      <c r="Z299" s="172"/>
      <c r="AA299" s="172"/>
      <c r="AB299" s="172"/>
      <c r="AC299" s="172"/>
      <c r="AD299" s="172"/>
      <c r="AE299" s="171"/>
      <c r="AF299" s="171"/>
      <c r="AG299" s="171"/>
      <c r="AH299" s="171"/>
      <c r="AI299" s="171"/>
      <c r="AJ299" s="171"/>
    </row>
    <row r="300" spans="13:36" x14ac:dyDescent="0.2">
      <c r="M300" s="172"/>
      <c r="N300" s="172"/>
      <c r="O300" s="172"/>
      <c r="Q300" s="172"/>
      <c r="R300" s="172"/>
      <c r="S300" s="172"/>
      <c r="U300" s="172"/>
      <c r="V300" s="172"/>
      <c r="W300" s="172"/>
      <c r="X300" s="172"/>
      <c r="Y300" s="172"/>
      <c r="Z300" s="172"/>
      <c r="AA300" s="172"/>
      <c r="AB300" s="172"/>
      <c r="AC300" s="172"/>
      <c r="AD300" s="172"/>
      <c r="AE300" s="171"/>
      <c r="AF300" s="171"/>
      <c r="AG300" s="171"/>
      <c r="AH300" s="171"/>
      <c r="AI300" s="171"/>
      <c r="AJ300" s="171"/>
    </row>
    <row r="301" spans="13:36" x14ac:dyDescent="0.2">
      <c r="M301" s="172"/>
      <c r="N301" s="172"/>
      <c r="O301" s="172"/>
      <c r="Q301" s="172"/>
      <c r="R301" s="172"/>
      <c r="S301" s="172"/>
      <c r="U301" s="172"/>
      <c r="V301" s="172"/>
      <c r="W301" s="172"/>
      <c r="X301" s="172"/>
      <c r="Y301" s="172"/>
      <c r="Z301" s="172"/>
      <c r="AA301" s="172"/>
      <c r="AB301" s="172"/>
      <c r="AC301" s="172"/>
      <c r="AD301" s="172"/>
      <c r="AE301" s="171"/>
      <c r="AF301" s="171"/>
      <c r="AG301" s="171"/>
      <c r="AH301" s="171"/>
      <c r="AI301" s="171"/>
      <c r="AJ301" s="171"/>
    </row>
    <row r="302" spans="13:36" x14ac:dyDescent="0.2">
      <c r="M302" s="172"/>
      <c r="N302" s="172"/>
      <c r="O302" s="172"/>
      <c r="Q302" s="172"/>
      <c r="R302" s="172"/>
      <c r="S302" s="172"/>
      <c r="U302" s="172"/>
      <c r="V302" s="172"/>
      <c r="W302" s="172"/>
      <c r="X302" s="172"/>
      <c r="Y302" s="172"/>
      <c r="Z302" s="172"/>
      <c r="AA302" s="172"/>
      <c r="AB302" s="172"/>
      <c r="AC302" s="172"/>
      <c r="AD302" s="172"/>
      <c r="AE302" s="171"/>
      <c r="AF302" s="171"/>
      <c r="AG302" s="171"/>
      <c r="AH302" s="171"/>
      <c r="AI302" s="171"/>
      <c r="AJ302" s="171"/>
    </row>
    <row r="303" spans="13:36" x14ac:dyDescent="0.2">
      <c r="M303" s="172"/>
      <c r="N303" s="172"/>
      <c r="O303" s="172"/>
      <c r="Q303" s="172"/>
      <c r="R303" s="172"/>
      <c r="S303" s="172"/>
      <c r="U303" s="172"/>
      <c r="V303" s="172"/>
      <c r="W303" s="172"/>
      <c r="X303" s="172"/>
      <c r="Y303" s="172"/>
      <c r="Z303" s="172"/>
      <c r="AA303" s="172"/>
      <c r="AB303" s="172"/>
      <c r="AC303" s="172"/>
      <c r="AD303" s="172"/>
      <c r="AE303" s="171"/>
      <c r="AF303" s="171"/>
      <c r="AG303" s="171"/>
      <c r="AH303" s="171"/>
      <c r="AI303" s="171"/>
      <c r="AJ303" s="171"/>
    </row>
    <row r="304" spans="13:36" x14ac:dyDescent="0.2">
      <c r="M304" s="172"/>
      <c r="N304" s="172"/>
      <c r="O304" s="172"/>
      <c r="Q304" s="172"/>
      <c r="R304" s="172"/>
      <c r="S304" s="172"/>
      <c r="U304" s="172"/>
      <c r="V304" s="172"/>
      <c r="W304" s="172"/>
      <c r="X304" s="172"/>
      <c r="Y304" s="172"/>
      <c r="Z304" s="172"/>
      <c r="AA304" s="172"/>
      <c r="AB304" s="172"/>
      <c r="AC304" s="172"/>
      <c r="AD304" s="172"/>
      <c r="AE304" s="171"/>
      <c r="AF304" s="171"/>
      <c r="AG304" s="171"/>
      <c r="AH304" s="171"/>
      <c r="AI304" s="171"/>
      <c r="AJ304" s="171"/>
    </row>
    <row r="305" spans="13:36" x14ac:dyDescent="0.2">
      <c r="M305" s="172"/>
      <c r="N305" s="172"/>
      <c r="O305" s="172"/>
      <c r="Q305" s="172"/>
      <c r="R305" s="172"/>
      <c r="S305" s="172"/>
      <c r="U305" s="172"/>
      <c r="V305" s="172"/>
      <c r="W305" s="172"/>
      <c r="X305" s="172"/>
      <c r="Y305" s="172"/>
      <c r="Z305" s="172"/>
      <c r="AA305" s="172"/>
      <c r="AB305" s="172"/>
      <c r="AC305" s="172"/>
      <c r="AD305" s="172"/>
      <c r="AE305" s="171"/>
      <c r="AF305" s="171"/>
      <c r="AG305" s="171"/>
      <c r="AH305" s="171"/>
      <c r="AI305" s="171"/>
      <c r="AJ305" s="171"/>
    </row>
    <row r="306" spans="13:36" x14ac:dyDescent="0.2">
      <c r="M306" s="172"/>
      <c r="N306" s="172"/>
      <c r="O306" s="172"/>
      <c r="Q306" s="172"/>
      <c r="R306" s="172"/>
      <c r="S306" s="172"/>
      <c r="U306" s="172"/>
      <c r="V306" s="172"/>
      <c r="W306" s="172"/>
      <c r="X306" s="172"/>
      <c r="Y306" s="172"/>
      <c r="Z306" s="172"/>
      <c r="AA306" s="172"/>
      <c r="AB306" s="172"/>
      <c r="AC306" s="172"/>
      <c r="AD306" s="172"/>
      <c r="AE306" s="171"/>
      <c r="AF306" s="171"/>
      <c r="AG306" s="171"/>
      <c r="AH306" s="171"/>
      <c r="AI306" s="171"/>
      <c r="AJ306" s="171"/>
    </row>
    <row r="307" spans="13:36" x14ac:dyDescent="0.2">
      <c r="M307" s="172"/>
      <c r="N307" s="172"/>
      <c r="O307" s="172"/>
      <c r="Q307" s="172"/>
      <c r="R307" s="172"/>
      <c r="S307" s="172"/>
      <c r="U307" s="172"/>
      <c r="V307" s="172"/>
      <c r="W307" s="172"/>
      <c r="X307" s="172"/>
      <c r="Y307" s="172"/>
      <c r="Z307" s="172"/>
      <c r="AA307" s="172"/>
      <c r="AB307" s="172"/>
      <c r="AC307" s="172"/>
      <c r="AD307" s="172"/>
      <c r="AE307" s="171"/>
      <c r="AF307" s="171"/>
      <c r="AG307" s="171"/>
      <c r="AH307" s="171"/>
      <c r="AI307" s="171"/>
      <c r="AJ307" s="171"/>
    </row>
    <row r="308" spans="13:36" x14ac:dyDescent="0.2">
      <c r="M308" s="172"/>
      <c r="N308" s="172"/>
      <c r="O308" s="172"/>
      <c r="Q308" s="172"/>
      <c r="R308" s="172"/>
      <c r="S308" s="172"/>
      <c r="U308" s="172"/>
      <c r="V308" s="172"/>
      <c r="W308" s="172"/>
      <c r="X308" s="172"/>
      <c r="Y308" s="172"/>
      <c r="Z308" s="172"/>
      <c r="AA308" s="172"/>
      <c r="AB308" s="172"/>
      <c r="AC308" s="172"/>
      <c r="AD308" s="172"/>
      <c r="AE308" s="171"/>
      <c r="AF308" s="171"/>
      <c r="AG308" s="171"/>
      <c r="AH308" s="171"/>
      <c r="AI308" s="171"/>
      <c r="AJ308" s="171"/>
    </row>
    <row r="309" spans="13:36" x14ac:dyDescent="0.2">
      <c r="M309" s="172"/>
      <c r="N309" s="172"/>
      <c r="O309" s="172"/>
      <c r="Q309" s="172"/>
      <c r="R309" s="172"/>
      <c r="S309" s="172"/>
      <c r="U309" s="172"/>
      <c r="V309" s="172"/>
      <c r="W309" s="172"/>
      <c r="X309" s="172"/>
      <c r="Y309" s="172"/>
      <c r="Z309" s="172"/>
      <c r="AA309" s="172"/>
      <c r="AB309" s="172"/>
      <c r="AC309" s="172"/>
      <c r="AD309" s="172"/>
      <c r="AE309" s="171"/>
      <c r="AF309" s="171"/>
      <c r="AG309" s="171"/>
      <c r="AH309" s="171"/>
      <c r="AI309" s="171"/>
      <c r="AJ309" s="171"/>
    </row>
    <row r="310" spans="13:36" x14ac:dyDescent="0.2">
      <c r="M310" s="172"/>
      <c r="N310" s="172"/>
      <c r="O310" s="172"/>
      <c r="Q310" s="172"/>
      <c r="R310" s="172"/>
      <c r="S310" s="172"/>
      <c r="U310" s="172"/>
      <c r="V310" s="172"/>
      <c r="W310" s="172"/>
      <c r="X310" s="172"/>
      <c r="Y310" s="172"/>
      <c r="Z310" s="172"/>
      <c r="AA310" s="172"/>
      <c r="AB310" s="172"/>
      <c r="AC310" s="172"/>
      <c r="AD310" s="172"/>
      <c r="AE310" s="171"/>
      <c r="AF310" s="171"/>
      <c r="AG310" s="171"/>
      <c r="AH310" s="171"/>
      <c r="AI310" s="171"/>
      <c r="AJ310" s="171"/>
    </row>
    <row r="311" spans="13:36" x14ac:dyDescent="0.2">
      <c r="M311" s="172"/>
      <c r="N311" s="172"/>
      <c r="O311" s="172"/>
      <c r="Q311" s="172"/>
      <c r="R311" s="172"/>
      <c r="S311" s="172"/>
      <c r="U311" s="172"/>
      <c r="V311" s="172"/>
      <c r="W311" s="172"/>
      <c r="X311" s="172"/>
      <c r="Y311" s="172"/>
      <c r="Z311" s="172"/>
      <c r="AA311" s="172"/>
      <c r="AB311" s="172"/>
      <c r="AC311" s="172"/>
      <c r="AD311" s="172"/>
      <c r="AE311" s="171"/>
      <c r="AF311" s="171"/>
      <c r="AG311" s="171"/>
      <c r="AH311" s="171"/>
      <c r="AI311" s="171"/>
      <c r="AJ311" s="171"/>
    </row>
    <row r="312" spans="13:36" x14ac:dyDescent="0.2">
      <c r="M312" s="172"/>
      <c r="N312" s="172"/>
      <c r="O312" s="172"/>
      <c r="Q312" s="172"/>
      <c r="R312" s="172"/>
      <c r="S312" s="172"/>
      <c r="U312" s="172"/>
      <c r="V312" s="172"/>
      <c r="W312" s="172"/>
      <c r="X312" s="172"/>
      <c r="Y312" s="172"/>
      <c r="Z312" s="172"/>
      <c r="AA312" s="172"/>
      <c r="AB312" s="172"/>
      <c r="AC312" s="172"/>
      <c r="AD312" s="172"/>
      <c r="AE312" s="171"/>
      <c r="AF312" s="171"/>
      <c r="AG312" s="171"/>
      <c r="AH312" s="171"/>
      <c r="AI312" s="171"/>
      <c r="AJ312" s="171"/>
    </row>
    <row r="313" spans="13:36" x14ac:dyDescent="0.2">
      <c r="M313" s="172"/>
      <c r="N313" s="172"/>
      <c r="O313" s="172"/>
      <c r="Q313" s="172"/>
      <c r="R313" s="172"/>
      <c r="S313" s="172"/>
      <c r="U313" s="172"/>
      <c r="V313" s="172"/>
      <c r="W313" s="172"/>
      <c r="X313" s="172"/>
      <c r="Y313" s="172"/>
      <c r="Z313" s="172"/>
      <c r="AA313" s="172"/>
      <c r="AB313" s="172"/>
      <c r="AC313" s="172"/>
      <c r="AD313" s="172"/>
      <c r="AE313" s="171"/>
      <c r="AF313" s="171"/>
      <c r="AG313" s="171"/>
      <c r="AH313" s="171"/>
      <c r="AI313" s="171"/>
      <c r="AJ313" s="171"/>
    </row>
    <row r="314" spans="13:36" x14ac:dyDescent="0.2">
      <c r="M314" s="172"/>
      <c r="N314" s="172"/>
      <c r="O314" s="172"/>
      <c r="Q314" s="172"/>
      <c r="R314" s="172"/>
      <c r="S314" s="172"/>
      <c r="U314" s="172"/>
      <c r="V314" s="172"/>
      <c r="W314" s="172"/>
      <c r="X314" s="172"/>
      <c r="Y314" s="172"/>
      <c r="Z314" s="172"/>
      <c r="AA314" s="172"/>
      <c r="AB314" s="172"/>
      <c r="AC314" s="172"/>
      <c r="AD314" s="172"/>
      <c r="AE314" s="171"/>
      <c r="AF314" s="171"/>
      <c r="AG314" s="171"/>
      <c r="AH314" s="171"/>
      <c r="AI314" s="171"/>
      <c r="AJ314" s="171"/>
    </row>
    <row r="315" spans="13:36" x14ac:dyDescent="0.2">
      <c r="M315" s="172"/>
      <c r="N315" s="172"/>
      <c r="O315" s="172"/>
      <c r="Q315" s="172"/>
      <c r="R315" s="172"/>
      <c r="S315" s="172"/>
      <c r="U315" s="172"/>
      <c r="V315" s="172"/>
      <c r="W315" s="172"/>
      <c r="X315" s="172"/>
      <c r="Y315" s="172"/>
      <c r="Z315" s="172"/>
      <c r="AA315" s="172"/>
      <c r="AB315" s="172"/>
      <c r="AC315" s="172"/>
      <c r="AD315" s="172"/>
      <c r="AE315" s="171"/>
      <c r="AF315" s="171"/>
      <c r="AG315" s="171"/>
      <c r="AH315" s="171"/>
      <c r="AI315" s="171"/>
      <c r="AJ315" s="171"/>
    </row>
    <row r="316" spans="13:36" x14ac:dyDescent="0.2">
      <c r="M316" s="172"/>
      <c r="N316" s="172"/>
      <c r="O316" s="172"/>
      <c r="Q316" s="172"/>
      <c r="R316" s="172"/>
      <c r="S316" s="172"/>
      <c r="U316" s="172"/>
      <c r="V316" s="172"/>
      <c r="W316" s="172"/>
      <c r="X316" s="172"/>
      <c r="Y316" s="172"/>
      <c r="Z316" s="172"/>
      <c r="AA316" s="172"/>
      <c r="AB316" s="172"/>
      <c r="AC316" s="172"/>
      <c r="AD316" s="172"/>
      <c r="AE316" s="171"/>
      <c r="AF316" s="171"/>
      <c r="AG316" s="171"/>
      <c r="AH316" s="171"/>
      <c r="AI316" s="171"/>
      <c r="AJ316" s="171"/>
    </row>
    <row r="317" spans="13:36" x14ac:dyDescent="0.2">
      <c r="M317" s="172"/>
      <c r="N317" s="172"/>
      <c r="O317" s="172"/>
      <c r="Q317" s="172"/>
      <c r="R317" s="172"/>
      <c r="S317" s="172"/>
      <c r="U317" s="172"/>
      <c r="V317" s="172"/>
      <c r="W317" s="172"/>
      <c r="X317" s="172"/>
      <c r="Y317" s="172"/>
      <c r="Z317" s="172"/>
      <c r="AA317" s="172"/>
      <c r="AB317" s="172"/>
      <c r="AC317" s="172"/>
      <c r="AD317" s="172"/>
      <c r="AE317" s="171"/>
      <c r="AF317" s="171"/>
      <c r="AG317" s="171"/>
      <c r="AH317" s="171"/>
      <c r="AI317" s="171"/>
      <c r="AJ317" s="171"/>
    </row>
    <row r="318" spans="13:36" x14ac:dyDescent="0.2">
      <c r="M318" s="172"/>
      <c r="N318" s="172"/>
      <c r="O318" s="172"/>
      <c r="Q318" s="172"/>
      <c r="R318" s="172"/>
      <c r="S318" s="172"/>
      <c r="U318" s="172"/>
      <c r="V318" s="172"/>
      <c r="W318" s="172"/>
      <c r="X318" s="172"/>
      <c r="Y318" s="172"/>
      <c r="Z318" s="172"/>
      <c r="AA318" s="172"/>
      <c r="AB318" s="172"/>
      <c r="AC318" s="172"/>
      <c r="AD318" s="172"/>
      <c r="AE318" s="171"/>
      <c r="AF318" s="171"/>
      <c r="AG318" s="171"/>
      <c r="AH318" s="171"/>
      <c r="AI318" s="171"/>
      <c r="AJ318" s="171"/>
    </row>
    <row r="319" spans="13:36" x14ac:dyDescent="0.2">
      <c r="M319" s="172"/>
      <c r="N319" s="172"/>
      <c r="O319" s="172"/>
      <c r="Q319" s="172"/>
      <c r="R319" s="172"/>
      <c r="S319" s="172"/>
      <c r="U319" s="172"/>
      <c r="V319" s="172"/>
      <c r="W319" s="172"/>
      <c r="X319" s="172"/>
      <c r="Y319" s="172"/>
      <c r="Z319" s="172"/>
      <c r="AA319" s="172"/>
      <c r="AB319" s="172"/>
      <c r="AC319" s="172"/>
      <c r="AD319" s="172"/>
      <c r="AE319" s="171"/>
      <c r="AF319" s="171"/>
      <c r="AG319" s="171"/>
      <c r="AH319" s="171"/>
      <c r="AI319" s="171"/>
      <c r="AJ319" s="171"/>
    </row>
    <row r="320" spans="13:36" x14ac:dyDescent="0.2">
      <c r="M320" s="172"/>
      <c r="N320" s="172"/>
      <c r="O320" s="172"/>
      <c r="Q320" s="172"/>
      <c r="R320" s="172"/>
      <c r="S320" s="172"/>
      <c r="U320" s="172"/>
      <c r="V320" s="172"/>
      <c r="W320" s="172"/>
      <c r="X320" s="172"/>
      <c r="Y320" s="172"/>
      <c r="Z320" s="172"/>
      <c r="AA320" s="172"/>
      <c r="AB320" s="172"/>
      <c r="AC320" s="172"/>
      <c r="AD320" s="172"/>
      <c r="AE320" s="171"/>
      <c r="AF320" s="171"/>
      <c r="AG320" s="171"/>
      <c r="AH320" s="171"/>
      <c r="AI320" s="171"/>
      <c r="AJ320" s="171"/>
    </row>
    <row r="321" spans="13:36" x14ac:dyDescent="0.2">
      <c r="M321" s="172"/>
      <c r="N321" s="172"/>
      <c r="O321" s="172"/>
      <c r="Q321" s="172"/>
      <c r="R321" s="172"/>
      <c r="S321" s="172"/>
      <c r="U321" s="172"/>
      <c r="V321" s="172"/>
      <c r="W321" s="172"/>
      <c r="X321" s="172"/>
      <c r="Y321" s="172"/>
      <c r="Z321" s="172"/>
      <c r="AA321" s="172"/>
      <c r="AB321" s="172"/>
      <c r="AC321" s="172"/>
      <c r="AD321" s="172"/>
      <c r="AE321" s="171"/>
      <c r="AF321" s="171"/>
      <c r="AG321" s="171"/>
      <c r="AH321" s="171"/>
      <c r="AI321" s="171"/>
      <c r="AJ321" s="171"/>
    </row>
    <row r="322" spans="13:36" x14ac:dyDescent="0.2">
      <c r="M322" s="172"/>
      <c r="N322" s="172"/>
      <c r="O322" s="172"/>
      <c r="Q322" s="172"/>
      <c r="R322" s="172"/>
      <c r="S322" s="172"/>
      <c r="U322" s="172"/>
      <c r="V322" s="172"/>
      <c r="W322" s="172"/>
      <c r="X322" s="172"/>
      <c r="Y322" s="172"/>
      <c r="Z322" s="172"/>
      <c r="AA322" s="172"/>
      <c r="AB322" s="172"/>
      <c r="AC322" s="172"/>
      <c r="AD322" s="172"/>
      <c r="AE322" s="171"/>
      <c r="AF322" s="171"/>
      <c r="AG322" s="171"/>
      <c r="AH322" s="171"/>
      <c r="AI322" s="171"/>
      <c r="AJ322" s="171"/>
    </row>
    <row r="323" spans="13:36" x14ac:dyDescent="0.2">
      <c r="M323" s="172"/>
      <c r="N323" s="172"/>
      <c r="O323" s="172"/>
      <c r="Q323" s="172"/>
      <c r="R323" s="172"/>
      <c r="S323" s="172"/>
      <c r="U323" s="172"/>
      <c r="V323" s="172"/>
      <c r="W323" s="172"/>
      <c r="X323" s="172"/>
      <c r="Y323" s="172"/>
      <c r="Z323" s="172"/>
      <c r="AA323" s="172"/>
      <c r="AB323" s="172"/>
      <c r="AC323" s="172"/>
      <c r="AD323" s="172"/>
      <c r="AE323" s="171"/>
      <c r="AF323" s="171"/>
      <c r="AG323" s="171"/>
      <c r="AH323" s="171"/>
      <c r="AI323" s="171"/>
      <c r="AJ323" s="171"/>
    </row>
    <row r="324" spans="13:36" x14ac:dyDescent="0.2">
      <c r="M324" s="172"/>
      <c r="N324" s="172"/>
      <c r="O324" s="172"/>
      <c r="Q324" s="172"/>
      <c r="R324" s="172"/>
      <c r="S324" s="172"/>
      <c r="U324" s="172"/>
      <c r="V324" s="172"/>
      <c r="W324" s="172"/>
      <c r="X324" s="172"/>
      <c r="Y324" s="172"/>
      <c r="Z324" s="172"/>
      <c r="AA324" s="172"/>
      <c r="AB324" s="172"/>
      <c r="AC324" s="172"/>
      <c r="AD324" s="172"/>
      <c r="AE324" s="171"/>
      <c r="AF324" s="171"/>
      <c r="AG324" s="171"/>
      <c r="AH324" s="171"/>
      <c r="AI324" s="171"/>
      <c r="AJ324" s="171"/>
    </row>
    <row r="325" spans="13:36" x14ac:dyDescent="0.2">
      <c r="M325" s="172"/>
      <c r="N325" s="172"/>
      <c r="O325" s="172"/>
      <c r="Q325" s="172"/>
      <c r="R325" s="172"/>
      <c r="S325" s="172"/>
      <c r="U325" s="172"/>
      <c r="V325" s="172"/>
      <c r="W325" s="172"/>
      <c r="X325" s="172"/>
      <c r="Y325" s="172"/>
      <c r="Z325" s="172"/>
      <c r="AA325" s="172"/>
      <c r="AB325" s="172"/>
      <c r="AC325" s="172"/>
      <c r="AD325" s="172"/>
      <c r="AE325" s="171"/>
      <c r="AF325" s="171"/>
      <c r="AG325" s="171"/>
      <c r="AH325" s="171"/>
      <c r="AI325" s="171"/>
      <c r="AJ325" s="171"/>
    </row>
    <row r="326" spans="13:36" x14ac:dyDescent="0.2">
      <c r="M326" s="172"/>
      <c r="N326" s="172"/>
      <c r="O326" s="172"/>
      <c r="Q326" s="172"/>
      <c r="R326" s="172"/>
      <c r="S326" s="172"/>
      <c r="U326" s="172"/>
      <c r="V326" s="172"/>
      <c r="W326" s="172"/>
      <c r="X326" s="172"/>
      <c r="Y326" s="172"/>
      <c r="Z326" s="172"/>
      <c r="AA326" s="172"/>
      <c r="AB326" s="172"/>
      <c r="AC326" s="172"/>
      <c r="AD326" s="172"/>
      <c r="AE326" s="171"/>
      <c r="AF326" s="171"/>
      <c r="AG326" s="171"/>
      <c r="AH326" s="171"/>
      <c r="AI326" s="171"/>
      <c r="AJ326" s="171"/>
    </row>
    <row r="327" spans="13:36" x14ac:dyDescent="0.2">
      <c r="M327" s="172"/>
      <c r="N327" s="172"/>
      <c r="O327" s="172"/>
      <c r="Q327" s="172"/>
      <c r="R327" s="172"/>
      <c r="S327" s="172"/>
      <c r="U327" s="172"/>
      <c r="V327" s="172"/>
      <c r="W327" s="172"/>
      <c r="X327" s="172"/>
      <c r="Y327" s="172"/>
      <c r="Z327" s="172"/>
      <c r="AA327" s="172"/>
      <c r="AB327" s="172"/>
      <c r="AC327" s="172"/>
      <c r="AD327" s="172"/>
      <c r="AE327" s="171"/>
      <c r="AF327" s="171"/>
      <c r="AG327" s="171"/>
      <c r="AH327" s="171"/>
      <c r="AI327" s="171"/>
      <c r="AJ327" s="171"/>
    </row>
    <row r="328" spans="13:36" x14ac:dyDescent="0.2">
      <c r="M328" s="172"/>
      <c r="N328" s="172"/>
      <c r="O328" s="172"/>
      <c r="Q328" s="172"/>
      <c r="R328" s="172"/>
      <c r="S328" s="172"/>
      <c r="U328" s="172"/>
      <c r="V328" s="172"/>
      <c r="W328" s="172"/>
      <c r="X328" s="172"/>
      <c r="Y328" s="172"/>
      <c r="Z328" s="172"/>
      <c r="AA328" s="172"/>
      <c r="AB328" s="172"/>
      <c r="AC328" s="172"/>
      <c r="AD328" s="172"/>
      <c r="AE328" s="171"/>
      <c r="AF328" s="171"/>
      <c r="AG328" s="171"/>
      <c r="AH328" s="171"/>
      <c r="AI328" s="171"/>
      <c r="AJ328" s="171"/>
    </row>
    <row r="329" spans="13:36" x14ac:dyDescent="0.2">
      <c r="M329" s="172"/>
      <c r="N329" s="172"/>
      <c r="O329" s="172"/>
      <c r="Q329" s="172"/>
      <c r="R329" s="172"/>
      <c r="S329" s="172"/>
      <c r="U329" s="172"/>
      <c r="V329" s="172"/>
      <c r="W329" s="172"/>
      <c r="X329" s="172"/>
      <c r="Y329" s="172"/>
      <c r="Z329" s="172"/>
      <c r="AA329" s="172"/>
      <c r="AB329" s="172"/>
      <c r="AC329" s="172"/>
      <c r="AD329" s="172"/>
      <c r="AE329" s="171"/>
      <c r="AF329" s="171"/>
      <c r="AG329" s="171"/>
      <c r="AH329" s="171"/>
      <c r="AI329" s="171"/>
      <c r="AJ329" s="171"/>
    </row>
    <row r="330" spans="13:36" x14ac:dyDescent="0.2">
      <c r="M330" s="172"/>
      <c r="N330" s="172"/>
      <c r="O330" s="172"/>
      <c r="Q330" s="172"/>
      <c r="R330" s="172"/>
      <c r="S330" s="172"/>
      <c r="U330" s="172"/>
      <c r="V330" s="172"/>
      <c r="W330" s="172"/>
      <c r="X330" s="172"/>
      <c r="Y330" s="172"/>
      <c r="Z330" s="172"/>
      <c r="AA330" s="172"/>
      <c r="AB330" s="172"/>
      <c r="AC330" s="172"/>
      <c r="AD330" s="172"/>
      <c r="AE330" s="171"/>
      <c r="AF330" s="171"/>
      <c r="AG330" s="171"/>
      <c r="AH330" s="171"/>
      <c r="AI330" s="171"/>
      <c r="AJ330" s="171"/>
    </row>
    <row r="331" spans="13:36" x14ac:dyDescent="0.2">
      <c r="M331" s="172"/>
      <c r="N331" s="172"/>
      <c r="O331" s="172"/>
      <c r="Q331" s="172"/>
      <c r="R331" s="172"/>
      <c r="S331" s="172"/>
      <c r="U331" s="172"/>
      <c r="V331" s="172"/>
      <c r="W331" s="172"/>
      <c r="X331" s="172"/>
      <c r="Y331" s="172"/>
      <c r="Z331" s="172"/>
      <c r="AA331" s="172"/>
      <c r="AB331" s="172"/>
      <c r="AC331" s="172"/>
      <c r="AD331" s="172"/>
      <c r="AE331" s="171"/>
      <c r="AF331" s="171"/>
      <c r="AG331" s="171"/>
      <c r="AH331" s="171"/>
      <c r="AI331" s="171"/>
      <c r="AJ331" s="171"/>
    </row>
    <row r="332" spans="13:36" x14ac:dyDescent="0.2">
      <c r="M332" s="172"/>
      <c r="N332" s="172"/>
      <c r="O332" s="172"/>
      <c r="Q332" s="172"/>
      <c r="R332" s="172"/>
      <c r="S332" s="172"/>
      <c r="U332" s="172"/>
      <c r="V332" s="172"/>
      <c r="W332" s="172"/>
      <c r="X332" s="172"/>
      <c r="Y332" s="172"/>
      <c r="Z332" s="172"/>
      <c r="AA332" s="172"/>
      <c r="AB332" s="172"/>
      <c r="AC332" s="172"/>
      <c r="AD332" s="172"/>
      <c r="AE332" s="171"/>
      <c r="AF332" s="171"/>
      <c r="AG332" s="171"/>
      <c r="AH332" s="171"/>
      <c r="AI332" s="171"/>
      <c r="AJ332" s="171"/>
    </row>
    <row r="333" spans="13:36" x14ac:dyDescent="0.2">
      <c r="M333" s="172"/>
      <c r="N333" s="172"/>
      <c r="O333" s="172"/>
      <c r="Q333" s="172"/>
      <c r="R333" s="172"/>
      <c r="S333" s="172"/>
      <c r="U333" s="172"/>
      <c r="V333" s="172"/>
      <c r="W333" s="172"/>
      <c r="X333" s="172"/>
      <c r="Y333" s="172"/>
      <c r="Z333" s="172"/>
      <c r="AA333" s="172"/>
      <c r="AB333" s="172"/>
      <c r="AC333" s="172"/>
      <c r="AD333" s="172"/>
      <c r="AE333" s="171"/>
      <c r="AF333" s="171"/>
      <c r="AG333" s="171"/>
      <c r="AH333" s="171"/>
      <c r="AI333" s="171"/>
      <c r="AJ333" s="171"/>
    </row>
    <row r="334" spans="13:36" x14ac:dyDescent="0.2">
      <c r="M334" s="172"/>
      <c r="N334" s="172"/>
      <c r="O334" s="172"/>
      <c r="Q334" s="172"/>
      <c r="R334" s="172"/>
      <c r="S334" s="172"/>
      <c r="U334" s="172"/>
      <c r="V334" s="172"/>
      <c r="W334" s="172"/>
      <c r="X334" s="172"/>
      <c r="Y334" s="172"/>
      <c r="Z334" s="172"/>
      <c r="AA334" s="172"/>
      <c r="AB334" s="172"/>
      <c r="AC334" s="172"/>
      <c r="AD334" s="172"/>
      <c r="AE334" s="171"/>
      <c r="AF334" s="171"/>
      <c r="AG334" s="171"/>
      <c r="AH334" s="171"/>
      <c r="AI334" s="171"/>
      <c r="AJ334" s="171"/>
    </row>
    <row r="335" spans="13:36" x14ac:dyDescent="0.2">
      <c r="M335" s="172"/>
      <c r="N335" s="172"/>
      <c r="O335" s="172"/>
      <c r="Q335" s="172"/>
      <c r="R335" s="172"/>
      <c r="S335" s="172"/>
      <c r="U335" s="172"/>
      <c r="V335" s="172"/>
      <c r="W335" s="172"/>
      <c r="X335" s="172"/>
      <c r="Y335" s="172"/>
      <c r="Z335" s="172"/>
      <c r="AA335" s="172"/>
      <c r="AB335" s="172"/>
      <c r="AC335" s="172"/>
      <c r="AD335" s="172"/>
      <c r="AE335" s="171"/>
      <c r="AF335" s="171"/>
      <c r="AG335" s="171"/>
      <c r="AH335" s="171"/>
      <c r="AI335" s="171"/>
      <c r="AJ335" s="171"/>
    </row>
    <row r="336" spans="13:36" x14ac:dyDescent="0.2">
      <c r="M336" s="172"/>
      <c r="N336" s="172"/>
      <c r="O336" s="172"/>
      <c r="Q336" s="172"/>
      <c r="R336" s="172"/>
      <c r="S336" s="172"/>
      <c r="U336" s="172"/>
      <c r="V336" s="172"/>
      <c r="W336" s="172"/>
      <c r="X336" s="172"/>
      <c r="Y336" s="172"/>
      <c r="Z336" s="172"/>
      <c r="AA336" s="172"/>
      <c r="AB336" s="172"/>
      <c r="AC336" s="172"/>
      <c r="AD336" s="172"/>
      <c r="AE336" s="171"/>
      <c r="AF336" s="171"/>
      <c r="AG336" s="171"/>
      <c r="AH336" s="171"/>
      <c r="AI336" s="171"/>
      <c r="AJ336" s="171"/>
    </row>
    <row r="337" spans="13:36" x14ac:dyDescent="0.2">
      <c r="M337" s="172"/>
      <c r="N337" s="172"/>
      <c r="O337" s="172"/>
      <c r="Q337" s="172"/>
      <c r="R337" s="172"/>
      <c r="S337" s="172"/>
      <c r="U337" s="172"/>
      <c r="V337" s="172"/>
      <c r="W337" s="172"/>
      <c r="X337" s="172"/>
      <c r="Y337" s="172"/>
      <c r="Z337" s="172"/>
      <c r="AA337" s="172"/>
      <c r="AB337" s="172"/>
      <c r="AC337" s="172"/>
      <c r="AD337" s="172"/>
      <c r="AE337" s="171"/>
      <c r="AF337" s="171"/>
      <c r="AG337" s="171"/>
      <c r="AH337" s="171"/>
      <c r="AI337" s="171"/>
      <c r="AJ337" s="171"/>
    </row>
    <row r="338" spans="13:36" x14ac:dyDescent="0.2">
      <c r="M338" s="172"/>
      <c r="N338" s="172"/>
      <c r="O338" s="172"/>
      <c r="Q338" s="172"/>
      <c r="R338" s="172"/>
      <c r="S338" s="172"/>
      <c r="U338" s="172"/>
      <c r="V338" s="172"/>
      <c r="W338" s="172"/>
      <c r="X338" s="172"/>
      <c r="Y338" s="172"/>
      <c r="Z338" s="172"/>
      <c r="AA338" s="172"/>
      <c r="AB338" s="172"/>
      <c r="AC338" s="172"/>
      <c r="AD338" s="172"/>
      <c r="AE338" s="171"/>
      <c r="AF338" s="171"/>
      <c r="AG338" s="171"/>
      <c r="AH338" s="171"/>
      <c r="AI338" s="171"/>
      <c r="AJ338" s="171"/>
    </row>
    <row r="339" spans="13:36" x14ac:dyDescent="0.2">
      <c r="M339" s="172"/>
      <c r="N339" s="172"/>
      <c r="O339" s="172"/>
      <c r="Q339" s="172"/>
      <c r="R339" s="172"/>
      <c r="S339" s="172"/>
      <c r="U339" s="172"/>
      <c r="V339" s="172"/>
      <c r="W339" s="172"/>
      <c r="X339" s="172"/>
      <c r="Y339" s="172"/>
      <c r="Z339" s="172"/>
      <c r="AA339" s="172"/>
      <c r="AB339" s="172"/>
      <c r="AC339" s="172"/>
      <c r="AD339" s="172"/>
      <c r="AE339" s="171"/>
      <c r="AF339" s="171"/>
      <c r="AG339" s="171"/>
      <c r="AH339" s="171"/>
      <c r="AI339" s="171"/>
      <c r="AJ339" s="171"/>
    </row>
    <row r="340" spans="13:36" x14ac:dyDescent="0.2">
      <c r="M340" s="172"/>
      <c r="N340" s="172"/>
      <c r="O340" s="172"/>
      <c r="Q340" s="172"/>
      <c r="R340" s="172"/>
      <c r="S340" s="172"/>
      <c r="U340" s="172"/>
      <c r="V340" s="172"/>
      <c r="W340" s="172"/>
      <c r="X340" s="172"/>
      <c r="Y340" s="172"/>
      <c r="Z340" s="172"/>
      <c r="AA340" s="172"/>
      <c r="AB340" s="172"/>
      <c r="AC340" s="172"/>
      <c r="AD340" s="172"/>
      <c r="AE340" s="171"/>
      <c r="AF340" s="171"/>
      <c r="AG340" s="171"/>
      <c r="AH340" s="171"/>
      <c r="AI340" s="171"/>
      <c r="AJ340" s="171"/>
    </row>
    <row r="341" spans="13:36" x14ac:dyDescent="0.2">
      <c r="M341" s="172"/>
      <c r="N341" s="172"/>
      <c r="O341" s="172"/>
      <c r="Q341" s="172"/>
      <c r="R341" s="172"/>
      <c r="S341" s="172"/>
      <c r="U341" s="172"/>
      <c r="V341" s="172"/>
      <c r="W341" s="172"/>
      <c r="X341" s="172"/>
      <c r="Y341" s="172"/>
      <c r="Z341" s="172"/>
      <c r="AA341" s="172"/>
      <c r="AB341" s="172"/>
      <c r="AC341" s="172"/>
      <c r="AD341" s="172"/>
      <c r="AE341" s="171"/>
      <c r="AF341" s="171"/>
      <c r="AG341" s="171"/>
      <c r="AH341" s="171"/>
      <c r="AI341" s="171"/>
      <c r="AJ341" s="171"/>
    </row>
    <row r="342" spans="13:36" x14ac:dyDescent="0.2">
      <c r="M342" s="172"/>
      <c r="N342" s="172"/>
      <c r="O342" s="172"/>
      <c r="Q342" s="172"/>
      <c r="R342" s="172"/>
      <c r="S342" s="172"/>
      <c r="U342" s="172"/>
      <c r="V342" s="172"/>
      <c r="W342" s="172"/>
      <c r="X342" s="172"/>
      <c r="Y342" s="172"/>
      <c r="Z342" s="172"/>
      <c r="AA342" s="172"/>
      <c r="AB342" s="172"/>
      <c r="AC342" s="172"/>
      <c r="AD342" s="172"/>
      <c r="AE342" s="171"/>
      <c r="AF342" s="171"/>
      <c r="AG342" s="171"/>
      <c r="AH342" s="171"/>
      <c r="AI342" s="171"/>
      <c r="AJ342" s="171"/>
    </row>
    <row r="343" spans="13:36" x14ac:dyDescent="0.2">
      <c r="M343" s="172"/>
      <c r="N343" s="172"/>
      <c r="O343" s="172"/>
      <c r="Q343" s="172"/>
      <c r="R343" s="172"/>
      <c r="S343" s="172"/>
      <c r="U343" s="172"/>
      <c r="V343" s="172"/>
      <c r="W343" s="172"/>
      <c r="X343" s="172"/>
      <c r="Y343" s="172"/>
      <c r="Z343" s="172"/>
      <c r="AA343" s="172"/>
      <c r="AB343" s="172"/>
      <c r="AC343" s="172"/>
      <c r="AD343" s="172"/>
      <c r="AE343" s="171"/>
      <c r="AF343" s="171"/>
      <c r="AG343" s="171"/>
      <c r="AH343" s="171"/>
      <c r="AI343" s="171"/>
      <c r="AJ343" s="171"/>
    </row>
    <row r="344" spans="13:36" x14ac:dyDescent="0.2">
      <c r="M344" s="172"/>
      <c r="N344" s="172"/>
      <c r="O344" s="172"/>
      <c r="Q344" s="172"/>
      <c r="R344" s="172"/>
      <c r="S344" s="172"/>
      <c r="U344" s="172"/>
      <c r="V344" s="172"/>
      <c r="W344" s="172"/>
      <c r="X344" s="172"/>
      <c r="Y344" s="172"/>
      <c r="Z344" s="172"/>
      <c r="AA344" s="172"/>
      <c r="AB344" s="172"/>
      <c r="AC344" s="172"/>
      <c r="AD344" s="172"/>
      <c r="AE344" s="171"/>
      <c r="AF344" s="171"/>
      <c r="AG344" s="171"/>
      <c r="AH344" s="171"/>
      <c r="AI344" s="171"/>
      <c r="AJ344" s="171"/>
    </row>
    <row r="345" spans="13:36" x14ac:dyDescent="0.2">
      <c r="M345" s="172"/>
      <c r="N345" s="172"/>
      <c r="O345" s="172"/>
      <c r="Q345" s="172"/>
      <c r="R345" s="172"/>
      <c r="S345" s="172"/>
      <c r="U345" s="172"/>
      <c r="V345" s="172"/>
      <c r="W345" s="172"/>
      <c r="X345" s="172"/>
      <c r="Y345" s="172"/>
      <c r="Z345" s="172"/>
      <c r="AA345" s="172"/>
      <c r="AB345" s="172"/>
      <c r="AC345" s="172"/>
      <c r="AD345" s="172"/>
      <c r="AE345" s="171"/>
      <c r="AF345" s="171"/>
      <c r="AG345" s="171"/>
      <c r="AH345" s="171"/>
      <c r="AI345" s="171"/>
      <c r="AJ345" s="171"/>
    </row>
    <row r="346" spans="13:36" x14ac:dyDescent="0.2">
      <c r="M346" s="172"/>
      <c r="N346" s="172"/>
      <c r="O346" s="172"/>
      <c r="Q346" s="172"/>
      <c r="R346" s="172"/>
      <c r="S346" s="172"/>
      <c r="U346" s="172"/>
      <c r="V346" s="172"/>
      <c r="W346" s="172"/>
      <c r="X346" s="172"/>
      <c r="Y346" s="172"/>
      <c r="Z346" s="172"/>
      <c r="AA346" s="172"/>
      <c r="AB346" s="172"/>
      <c r="AC346" s="172"/>
      <c r="AD346" s="172"/>
      <c r="AE346" s="171"/>
      <c r="AF346" s="171"/>
      <c r="AG346" s="171"/>
      <c r="AH346" s="171"/>
      <c r="AI346" s="171"/>
      <c r="AJ346" s="171"/>
    </row>
    <row r="347" spans="13:36" x14ac:dyDescent="0.2">
      <c r="M347" s="172"/>
      <c r="N347" s="172"/>
      <c r="O347" s="172"/>
      <c r="Q347" s="172"/>
      <c r="R347" s="172"/>
      <c r="S347" s="172"/>
      <c r="U347" s="172"/>
      <c r="V347" s="172"/>
      <c r="W347" s="172"/>
      <c r="X347" s="172"/>
      <c r="Y347" s="172"/>
      <c r="Z347" s="172"/>
      <c r="AA347" s="172"/>
      <c r="AB347" s="172"/>
      <c r="AC347" s="172"/>
      <c r="AD347" s="172"/>
      <c r="AE347" s="171"/>
      <c r="AF347" s="171"/>
      <c r="AG347" s="171"/>
      <c r="AH347" s="171"/>
      <c r="AI347" s="171"/>
      <c r="AJ347" s="171"/>
    </row>
    <row r="348" spans="13:36" x14ac:dyDescent="0.2">
      <c r="M348" s="172"/>
      <c r="N348" s="172"/>
      <c r="O348" s="172"/>
      <c r="Q348" s="172"/>
      <c r="R348" s="172"/>
      <c r="S348" s="172"/>
      <c r="U348" s="172"/>
      <c r="V348" s="172"/>
      <c r="W348" s="172"/>
      <c r="X348" s="172"/>
      <c r="Y348" s="172"/>
      <c r="Z348" s="172"/>
      <c r="AA348" s="172"/>
      <c r="AB348" s="172"/>
      <c r="AC348" s="172"/>
      <c r="AD348" s="172"/>
      <c r="AE348" s="171"/>
      <c r="AF348" s="171"/>
      <c r="AG348" s="171"/>
      <c r="AH348" s="171"/>
      <c r="AI348" s="171"/>
      <c r="AJ348" s="171"/>
    </row>
    <row r="349" spans="13:36" x14ac:dyDescent="0.2">
      <c r="M349" s="172"/>
      <c r="N349" s="172"/>
      <c r="O349" s="172"/>
      <c r="Q349" s="172"/>
      <c r="R349" s="172"/>
      <c r="S349" s="172"/>
      <c r="U349" s="172"/>
      <c r="V349" s="172"/>
      <c r="W349" s="172"/>
      <c r="X349" s="172"/>
      <c r="Y349" s="172"/>
      <c r="Z349" s="172"/>
      <c r="AA349" s="172"/>
      <c r="AB349" s="172"/>
      <c r="AC349" s="172"/>
      <c r="AD349" s="172"/>
      <c r="AE349" s="171"/>
      <c r="AF349" s="171"/>
      <c r="AG349" s="171"/>
      <c r="AH349" s="171"/>
      <c r="AI349" s="171"/>
      <c r="AJ349" s="171"/>
    </row>
    <row r="350" spans="13:36" x14ac:dyDescent="0.2">
      <c r="M350" s="172"/>
      <c r="N350" s="172"/>
      <c r="O350" s="172"/>
      <c r="Q350" s="172"/>
      <c r="R350" s="172"/>
      <c r="S350" s="172"/>
      <c r="U350" s="172"/>
      <c r="V350" s="172"/>
      <c r="W350" s="172"/>
      <c r="X350" s="172"/>
      <c r="Y350" s="172"/>
      <c r="Z350" s="172"/>
      <c r="AA350" s="172"/>
      <c r="AB350" s="172"/>
      <c r="AC350" s="172"/>
      <c r="AD350" s="172"/>
      <c r="AE350" s="171"/>
      <c r="AF350" s="171"/>
      <c r="AG350" s="171"/>
      <c r="AH350" s="171"/>
      <c r="AI350" s="171"/>
      <c r="AJ350" s="171"/>
    </row>
    <row r="351" spans="13:36" x14ac:dyDescent="0.2">
      <c r="M351" s="172"/>
      <c r="N351" s="172"/>
      <c r="O351" s="172"/>
      <c r="Q351" s="172"/>
      <c r="R351" s="172"/>
      <c r="S351" s="172"/>
      <c r="U351" s="172"/>
      <c r="V351" s="172"/>
      <c r="W351" s="172"/>
      <c r="X351" s="172"/>
      <c r="Y351" s="172"/>
      <c r="Z351" s="172"/>
      <c r="AA351" s="172"/>
      <c r="AB351" s="172"/>
      <c r="AC351" s="172"/>
      <c r="AD351" s="172"/>
      <c r="AE351" s="171"/>
      <c r="AF351" s="171"/>
      <c r="AG351" s="171"/>
      <c r="AH351" s="171"/>
      <c r="AI351" s="171"/>
      <c r="AJ351" s="171"/>
    </row>
    <row r="352" spans="13:36" x14ac:dyDescent="0.2">
      <c r="M352" s="172"/>
      <c r="N352" s="172"/>
      <c r="O352" s="172"/>
      <c r="Q352" s="172"/>
      <c r="R352" s="172"/>
      <c r="S352" s="172"/>
      <c r="U352" s="172"/>
      <c r="V352" s="172"/>
      <c r="W352" s="172"/>
      <c r="X352" s="172"/>
      <c r="Y352" s="172"/>
      <c r="Z352" s="172"/>
      <c r="AA352" s="172"/>
      <c r="AB352" s="172"/>
      <c r="AC352" s="172"/>
      <c r="AD352" s="172"/>
      <c r="AE352" s="171"/>
      <c r="AF352" s="171"/>
      <c r="AG352" s="171"/>
      <c r="AH352" s="171"/>
      <c r="AI352" s="171"/>
      <c r="AJ352" s="171"/>
    </row>
    <row r="353" spans="13:36" x14ac:dyDescent="0.2">
      <c r="M353" s="172"/>
      <c r="N353" s="172"/>
      <c r="O353" s="172"/>
      <c r="Q353" s="172"/>
      <c r="R353" s="172"/>
      <c r="S353" s="172"/>
      <c r="U353" s="172"/>
      <c r="V353" s="172"/>
      <c r="W353" s="172"/>
      <c r="X353" s="172"/>
      <c r="Y353" s="172"/>
      <c r="Z353" s="172"/>
      <c r="AA353" s="172"/>
      <c r="AB353" s="172"/>
      <c r="AC353" s="172"/>
      <c r="AD353" s="172"/>
      <c r="AE353" s="171"/>
      <c r="AF353" s="171"/>
      <c r="AG353" s="171"/>
      <c r="AH353" s="171"/>
      <c r="AI353" s="171"/>
      <c r="AJ353" s="171"/>
    </row>
    <row r="354" spans="13:36" x14ac:dyDescent="0.2">
      <c r="M354" s="172"/>
      <c r="N354" s="172"/>
      <c r="O354" s="172"/>
      <c r="Q354" s="172"/>
      <c r="R354" s="172"/>
      <c r="S354" s="172"/>
      <c r="U354" s="172"/>
      <c r="V354" s="172"/>
      <c r="W354" s="172"/>
      <c r="X354" s="172"/>
      <c r="Y354" s="172"/>
      <c r="Z354" s="172"/>
      <c r="AA354" s="172"/>
      <c r="AB354" s="172"/>
      <c r="AC354" s="172"/>
      <c r="AD354" s="172"/>
      <c r="AE354" s="171"/>
      <c r="AF354" s="171"/>
      <c r="AG354" s="171"/>
      <c r="AH354" s="171"/>
      <c r="AI354" s="171"/>
      <c r="AJ354" s="171"/>
    </row>
    <row r="355" spans="13:36" x14ac:dyDescent="0.2">
      <c r="M355" s="172"/>
      <c r="N355" s="172"/>
      <c r="O355" s="172"/>
      <c r="Q355" s="172"/>
      <c r="R355" s="172"/>
      <c r="S355" s="172"/>
      <c r="U355" s="172"/>
      <c r="V355" s="172"/>
      <c r="W355" s="172"/>
      <c r="X355" s="172"/>
      <c r="Y355" s="172"/>
      <c r="Z355" s="172"/>
      <c r="AA355" s="172"/>
      <c r="AB355" s="172"/>
      <c r="AC355" s="172"/>
      <c r="AD355" s="172"/>
      <c r="AE355" s="171"/>
      <c r="AF355" s="171"/>
      <c r="AG355" s="171"/>
      <c r="AH355" s="171"/>
      <c r="AI355" s="171"/>
      <c r="AJ355" s="171"/>
    </row>
    <row r="356" spans="13:36" x14ac:dyDescent="0.2">
      <c r="M356" s="172"/>
      <c r="N356" s="172"/>
      <c r="O356" s="172"/>
      <c r="Q356" s="172"/>
      <c r="R356" s="172"/>
      <c r="S356" s="172"/>
      <c r="U356" s="172"/>
      <c r="V356" s="172"/>
      <c r="W356" s="172"/>
      <c r="X356" s="172"/>
      <c r="Y356" s="172"/>
      <c r="Z356" s="172"/>
      <c r="AA356" s="172"/>
      <c r="AB356" s="172"/>
      <c r="AC356" s="172"/>
      <c r="AD356" s="172"/>
      <c r="AE356" s="171"/>
      <c r="AF356" s="171"/>
      <c r="AG356" s="171"/>
      <c r="AH356" s="171"/>
      <c r="AI356" s="171"/>
      <c r="AJ356" s="171"/>
    </row>
    <row r="357" spans="13:36" x14ac:dyDescent="0.2">
      <c r="M357" s="172"/>
      <c r="N357" s="172"/>
      <c r="O357" s="172"/>
      <c r="Q357" s="172"/>
      <c r="R357" s="172"/>
      <c r="S357" s="172"/>
      <c r="U357" s="172"/>
      <c r="V357" s="172"/>
      <c r="W357" s="172"/>
      <c r="X357" s="172"/>
      <c r="Y357" s="172"/>
      <c r="Z357" s="172"/>
      <c r="AA357" s="172"/>
      <c r="AB357" s="172"/>
      <c r="AC357" s="172"/>
      <c r="AD357" s="172"/>
      <c r="AE357" s="171"/>
      <c r="AF357" s="171"/>
      <c r="AG357" s="171"/>
      <c r="AH357" s="171"/>
      <c r="AI357" s="171"/>
      <c r="AJ357" s="171"/>
    </row>
    <row r="358" spans="13:36" x14ac:dyDescent="0.2">
      <c r="M358" s="172"/>
      <c r="N358" s="172"/>
      <c r="O358" s="172"/>
      <c r="Q358" s="172"/>
      <c r="R358" s="172"/>
      <c r="S358" s="172"/>
      <c r="U358" s="172"/>
      <c r="V358" s="172"/>
      <c r="W358" s="172"/>
      <c r="X358" s="172"/>
      <c r="Y358" s="172"/>
      <c r="Z358" s="172"/>
      <c r="AA358" s="172"/>
      <c r="AB358" s="172"/>
      <c r="AC358" s="172"/>
      <c r="AD358" s="172"/>
      <c r="AE358" s="171"/>
      <c r="AF358" s="171"/>
      <c r="AG358" s="171"/>
      <c r="AH358" s="171"/>
      <c r="AI358" s="171"/>
      <c r="AJ358" s="171"/>
    </row>
    <row r="359" spans="13:36" x14ac:dyDescent="0.2">
      <c r="M359" s="172"/>
      <c r="N359" s="172"/>
      <c r="O359" s="172"/>
      <c r="Q359" s="172"/>
      <c r="R359" s="172"/>
      <c r="S359" s="172"/>
      <c r="U359" s="172"/>
      <c r="V359" s="172"/>
      <c r="W359" s="172"/>
      <c r="X359" s="172"/>
      <c r="Y359" s="172"/>
      <c r="Z359" s="172"/>
      <c r="AA359" s="172"/>
      <c r="AB359" s="172"/>
      <c r="AC359" s="172"/>
      <c r="AD359" s="172"/>
      <c r="AE359" s="171"/>
      <c r="AF359" s="171"/>
      <c r="AG359" s="171"/>
      <c r="AH359" s="171"/>
      <c r="AI359" s="171"/>
      <c r="AJ359" s="171"/>
    </row>
    <row r="360" spans="13:36" x14ac:dyDescent="0.2">
      <c r="M360" s="172"/>
      <c r="N360" s="172"/>
      <c r="O360" s="172"/>
      <c r="Q360" s="172"/>
      <c r="R360" s="172"/>
      <c r="S360" s="172"/>
      <c r="U360" s="172"/>
      <c r="V360" s="172"/>
      <c r="W360" s="172"/>
      <c r="X360" s="172"/>
      <c r="Y360" s="172"/>
      <c r="Z360" s="172"/>
      <c r="AA360" s="172"/>
      <c r="AB360" s="172"/>
      <c r="AC360" s="172"/>
      <c r="AD360" s="172"/>
      <c r="AE360" s="171"/>
      <c r="AF360" s="171"/>
      <c r="AG360" s="171"/>
      <c r="AH360" s="171"/>
      <c r="AI360" s="171"/>
      <c r="AJ360" s="171"/>
    </row>
    <row r="361" spans="13:36" x14ac:dyDescent="0.2">
      <c r="M361" s="172"/>
      <c r="N361" s="172"/>
      <c r="O361" s="172"/>
      <c r="Q361" s="172"/>
      <c r="R361" s="172"/>
      <c r="S361" s="172"/>
      <c r="U361" s="172"/>
      <c r="V361" s="172"/>
      <c r="W361" s="172"/>
      <c r="X361" s="172"/>
      <c r="Y361" s="172"/>
      <c r="Z361" s="172"/>
      <c r="AA361" s="172"/>
      <c r="AB361" s="172"/>
      <c r="AC361" s="172"/>
      <c r="AD361" s="172"/>
      <c r="AE361" s="171"/>
      <c r="AF361" s="171"/>
      <c r="AG361" s="171"/>
      <c r="AH361" s="171"/>
      <c r="AI361" s="171"/>
      <c r="AJ361" s="171"/>
    </row>
    <row r="362" spans="13:36" x14ac:dyDescent="0.2">
      <c r="M362" s="172"/>
      <c r="N362" s="172"/>
      <c r="O362" s="172"/>
      <c r="Q362" s="172"/>
      <c r="R362" s="172"/>
      <c r="S362" s="172"/>
      <c r="U362" s="172"/>
      <c r="V362" s="172"/>
      <c r="W362" s="172"/>
      <c r="X362" s="172"/>
      <c r="Y362" s="172"/>
      <c r="Z362" s="172"/>
      <c r="AA362" s="172"/>
      <c r="AB362" s="172"/>
      <c r="AC362" s="172"/>
      <c r="AD362" s="172"/>
      <c r="AE362" s="171"/>
      <c r="AF362" s="171"/>
      <c r="AG362" s="171"/>
      <c r="AH362" s="171"/>
      <c r="AI362" s="171"/>
      <c r="AJ362" s="171"/>
    </row>
    <row r="363" spans="13:36" x14ac:dyDescent="0.2">
      <c r="M363" s="172"/>
      <c r="N363" s="172"/>
      <c r="O363" s="172"/>
      <c r="Q363" s="172"/>
      <c r="R363" s="172"/>
      <c r="S363" s="172"/>
      <c r="U363" s="172"/>
      <c r="V363" s="172"/>
      <c r="W363" s="172"/>
      <c r="X363" s="172"/>
      <c r="Y363" s="172"/>
      <c r="Z363" s="172"/>
      <c r="AA363" s="172"/>
      <c r="AB363" s="172"/>
      <c r="AC363" s="172"/>
      <c r="AD363" s="172"/>
      <c r="AE363" s="171"/>
      <c r="AF363" s="171"/>
      <c r="AG363" s="171"/>
      <c r="AH363" s="171"/>
      <c r="AI363" s="171"/>
      <c r="AJ363" s="171"/>
    </row>
    <row r="364" spans="13:36" x14ac:dyDescent="0.2">
      <c r="M364" s="172"/>
      <c r="N364" s="172"/>
      <c r="O364" s="172"/>
      <c r="Q364" s="172"/>
      <c r="R364" s="172"/>
      <c r="S364" s="172"/>
      <c r="U364" s="172"/>
      <c r="V364" s="172"/>
      <c r="W364" s="172"/>
      <c r="X364" s="172"/>
      <c r="Y364" s="172"/>
      <c r="Z364" s="172"/>
      <c r="AA364" s="172"/>
      <c r="AB364" s="172"/>
      <c r="AC364" s="172"/>
      <c r="AD364" s="172"/>
      <c r="AE364" s="171"/>
      <c r="AF364" s="171"/>
      <c r="AG364" s="171"/>
      <c r="AH364" s="171"/>
      <c r="AI364" s="171"/>
      <c r="AJ364" s="171"/>
    </row>
    <row r="365" spans="13:36" x14ac:dyDescent="0.2">
      <c r="M365" s="172"/>
      <c r="N365" s="172"/>
      <c r="O365" s="172"/>
      <c r="Q365" s="172"/>
      <c r="R365" s="172"/>
      <c r="S365" s="172"/>
      <c r="U365" s="172"/>
      <c r="V365" s="172"/>
      <c r="W365" s="172"/>
      <c r="X365" s="172"/>
      <c r="Y365" s="172"/>
      <c r="Z365" s="172"/>
      <c r="AA365" s="172"/>
      <c r="AB365" s="172"/>
      <c r="AC365" s="172"/>
      <c r="AD365" s="172"/>
      <c r="AE365" s="171"/>
      <c r="AF365" s="171"/>
      <c r="AG365" s="171"/>
      <c r="AH365" s="171"/>
      <c r="AI365" s="171"/>
      <c r="AJ365" s="171"/>
    </row>
    <row r="366" spans="13:36" x14ac:dyDescent="0.2">
      <c r="M366" s="172"/>
      <c r="N366" s="172"/>
      <c r="O366" s="172"/>
      <c r="Q366" s="172"/>
      <c r="R366" s="172"/>
      <c r="S366" s="172"/>
      <c r="U366" s="172"/>
      <c r="V366" s="172"/>
      <c r="W366" s="172"/>
      <c r="X366" s="172"/>
      <c r="Y366" s="172"/>
      <c r="Z366" s="172"/>
      <c r="AA366" s="172"/>
      <c r="AB366" s="172"/>
      <c r="AC366" s="172"/>
      <c r="AD366" s="172"/>
      <c r="AE366" s="171"/>
      <c r="AF366" s="171"/>
      <c r="AG366" s="171"/>
      <c r="AH366" s="171"/>
      <c r="AI366" s="171"/>
      <c r="AJ366" s="171"/>
    </row>
    <row r="367" spans="13:36" x14ac:dyDescent="0.2">
      <c r="M367" s="172"/>
      <c r="N367" s="172"/>
      <c r="O367" s="172"/>
      <c r="Q367" s="172"/>
      <c r="R367" s="172"/>
      <c r="S367" s="172"/>
      <c r="U367" s="172"/>
      <c r="V367" s="172"/>
      <c r="W367" s="172"/>
      <c r="X367" s="172"/>
      <c r="Y367" s="172"/>
      <c r="Z367" s="172"/>
      <c r="AA367" s="172"/>
      <c r="AB367" s="172"/>
      <c r="AC367" s="172"/>
      <c r="AD367" s="172"/>
      <c r="AE367" s="171"/>
      <c r="AF367" s="171"/>
      <c r="AG367" s="171"/>
      <c r="AH367" s="171"/>
      <c r="AI367" s="171"/>
      <c r="AJ367" s="171"/>
    </row>
    <row r="368" spans="13:36" x14ac:dyDescent="0.2">
      <c r="M368" s="172"/>
      <c r="N368" s="172"/>
      <c r="O368" s="172"/>
      <c r="Q368" s="172"/>
      <c r="R368" s="172"/>
      <c r="S368" s="172"/>
      <c r="U368" s="172"/>
      <c r="V368" s="172"/>
      <c r="W368" s="172"/>
      <c r="X368" s="172"/>
      <c r="Y368" s="172"/>
      <c r="Z368" s="172"/>
      <c r="AA368" s="172"/>
      <c r="AB368" s="172"/>
      <c r="AC368" s="172"/>
      <c r="AD368" s="172"/>
      <c r="AE368" s="171"/>
      <c r="AF368" s="171"/>
      <c r="AG368" s="171"/>
      <c r="AH368" s="171"/>
      <c r="AI368" s="171"/>
      <c r="AJ368" s="171"/>
    </row>
    <row r="369" spans="13:36" x14ac:dyDescent="0.2">
      <c r="M369" s="172"/>
      <c r="N369" s="172"/>
      <c r="O369" s="172"/>
      <c r="Q369" s="172"/>
      <c r="R369" s="172"/>
      <c r="S369" s="172"/>
      <c r="U369" s="172"/>
      <c r="V369" s="172"/>
      <c r="W369" s="172"/>
      <c r="X369" s="172"/>
      <c r="Y369" s="172"/>
      <c r="Z369" s="172"/>
      <c r="AA369" s="172"/>
      <c r="AB369" s="172"/>
      <c r="AC369" s="172"/>
      <c r="AD369" s="172"/>
      <c r="AE369" s="171"/>
      <c r="AF369" s="171"/>
      <c r="AG369" s="171"/>
      <c r="AH369" s="171"/>
      <c r="AI369" s="171"/>
      <c r="AJ369" s="171"/>
    </row>
    <row r="370" spans="13:36" x14ac:dyDescent="0.2">
      <c r="M370" s="172"/>
      <c r="N370" s="172"/>
      <c r="O370" s="172"/>
      <c r="Q370" s="172"/>
      <c r="R370" s="172"/>
      <c r="S370" s="172"/>
      <c r="U370" s="172"/>
      <c r="V370" s="172"/>
      <c r="W370" s="172"/>
      <c r="X370" s="172"/>
      <c r="Y370" s="172"/>
      <c r="Z370" s="172"/>
      <c r="AA370" s="172"/>
      <c r="AB370" s="172"/>
      <c r="AC370" s="172"/>
      <c r="AD370" s="172"/>
      <c r="AE370" s="171"/>
      <c r="AF370" s="171"/>
      <c r="AG370" s="171"/>
      <c r="AH370" s="171"/>
      <c r="AI370" s="171"/>
      <c r="AJ370" s="171"/>
    </row>
    <row r="371" spans="13:36" x14ac:dyDescent="0.2">
      <c r="M371" s="172"/>
      <c r="N371" s="172"/>
      <c r="O371" s="172"/>
      <c r="Q371" s="172"/>
      <c r="R371" s="172"/>
      <c r="S371" s="172"/>
      <c r="U371" s="172"/>
      <c r="V371" s="172"/>
      <c r="W371" s="172"/>
      <c r="X371" s="172"/>
      <c r="Y371" s="172"/>
      <c r="Z371" s="172"/>
      <c r="AA371" s="172"/>
      <c r="AB371" s="172"/>
      <c r="AC371" s="172"/>
      <c r="AD371" s="172"/>
      <c r="AE371" s="171"/>
      <c r="AF371" s="171"/>
      <c r="AG371" s="171"/>
      <c r="AH371" s="171"/>
      <c r="AI371" s="171"/>
      <c r="AJ371" s="171"/>
    </row>
    <row r="372" spans="13:36" x14ac:dyDescent="0.2">
      <c r="M372" s="172"/>
      <c r="N372" s="172"/>
      <c r="O372" s="172"/>
      <c r="Q372" s="172"/>
      <c r="R372" s="172"/>
      <c r="S372" s="172"/>
      <c r="U372" s="172"/>
      <c r="V372" s="172"/>
      <c r="W372" s="172"/>
      <c r="X372" s="172"/>
      <c r="Y372" s="172"/>
      <c r="Z372" s="172"/>
      <c r="AA372" s="172"/>
      <c r="AB372" s="172"/>
      <c r="AC372" s="172"/>
      <c r="AD372" s="172"/>
      <c r="AE372" s="171"/>
      <c r="AF372" s="171"/>
      <c r="AG372" s="171"/>
      <c r="AH372" s="171"/>
      <c r="AI372" s="171"/>
      <c r="AJ372" s="171"/>
    </row>
    <row r="373" spans="13:36" x14ac:dyDescent="0.2">
      <c r="M373" s="172"/>
      <c r="N373" s="172"/>
      <c r="O373" s="172"/>
      <c r="Q373" s="172"/>
      <c r="R373" s="172"/>
      <c r="S373" s="172"/>
      <c r="U373" s="172"/>
      <c r="V373" s="172"/>
      <c r="W373" s="172"/>
      <c r="X373" s="172"/>
      <c r="Y373" s="172"/>
      <c r="Z373" s="172"/>
      <c r="AA373" s="172"/>
      <c r="AB373" s="172"/>
      <c r="AC373" s="172"/>
      <c r="AD373" s="172"/>
      <c r="AE373" s="171"/>
      <c r="AF373" s="171"/>
      <c r="AG373" s="171"/>
      <c r="AH373" s="171"/>
      <c r="AI373" s="171"/>
      <c r="AJ373" s="171"/>
    </row>
    <row r="374" spans="13:36" x14ac:dyDescent="0.2">
      <c r="M374" s="172"/>
      <c r="N374" s="172"/>
      <c r="O374" s="172"/>
      <c r="Q374" s="172"/>
      <c r="R374" s="172"/>
      <c r="S374" s="172"/>
      <c r="U374" s="172"/>
      <c r="V374" s="172"/>
      <c r="W374" s="172"/>
      <c r="X374" s="172"/>
      <c r="Y374" s="172"/>
      <c r="Z374" s="172"/>
      <c r="AA374" s="172"/>
      <c r="AB374" s="172"/>
      <c r="AC374" s="172"/>
      <c r="AD374" s="172"/>
      <c r="AE374" s="171"/>
      <c r="AF374" s="171"/>
      <c r="AG374" s="171"/>
      <c r="AH374" s="171"/>
      <c r="AI374" s="171"/>
      <c r="AJ374" s="171"/>
    </row>
    <row r="375" spans="13:36" x14ac:dyDescent="0.2">
      <c r="M375" s="172"/>
      <c r="N375" s="172"/>
      <c r="O375" s="172"/>
      <c r="Q375" s="172"/>
      <c r="R375" s="172"/>
      <c r="S375" s="172"/>
      <c r="U375" s="172"/>
      <c r="V375" s="172"/>
      <c r="W375" s="172"/>
      <c r="X375" s="172"/>
      <c r="Y375" s="172"/>
      <c r="Z375" s="172"/>
      <c r="AA375" s="172"/>
      <c r="AB375" s="172"/>
      <c r="AC375" s="172"/>
      <c r="AD375" s="172"/>
      <c r="AE375" s="171"/>
      <c r="AF375" s="171"/>
      <c r="AG375" s="171"/>
      <c r="AH375" s="171"/>
      <c r="AI375" s="171"/>
      <c r="AJ375" s="171"/>
    </row>
    <row r="376" spans="13:36" x14ac:dyDescent="0.2">
      <c r="M376" s="172"/>
      <c r="N376" s="172"/>
      <c r="O376" s="172"/>
      <c r="Q376" s="172"/>
      <c r="R376" s="172"/>
      <c r="S376" s="172"/>
      <c r="U376" s="172"/>
      <c r="V376" s="172"/>
      <c r="W376" s="172"/>
      <c r="X376" s="172"/>
      <c r="Y376" s="172"/>
      <c r="Z376" s="172"/>
      <c r="AA376" s="172"/>
      <c r="AB376" s="172"/>
      <c r="AC376" s="172"/>
      <c r="AD376" s="172"/>
      <c r="AE376" s="171"/>
      <c r="AF376" s="171"/>
      <c r="AG376" s="171"/>
      <c r="AH376" s="171"/>
      <c r="AI376" s="171"/>
      <c r="AJ376" s="171"/>
    </row>
    <row r="377" spans="13:36" x14ac:dyDescent="0.2">
      <c r="M377" s="172"/>
      <c r="N377" s="172"/>
      <c r="O377" s="172"/>
      <c r="Q377" s="172"/>
      <c r="R377" s="172"/>
      <c r="S377" s="172"/>
      <c r="U377" s="172"/>
      <c r="V377" s="172"/>
      <c r="W377" s="172"/>
      <c r="X377" s="172"/>
      <c r="Y377" s="172"/>
      <c r="Z377" s="172"/>
      <c r="AA377" s="172"/>
      <c r="AB377" s="172"/>
      <c r="AC377" s="172"/>
      <c r="AD377" s="172"/>
      <c r="AE377" s="171"/>
      <c r="AF377" s="171"/>
      <c r="AG377" s="171"/>
      <c r="AH377" s="171"/>
      <c r="AI377" s="171"/>
      <c r="AJ377" s="171"/>
    </row>
    <row r="378" spans="13:36" x14ac:dyDescent="0.2">
      <c r="M378" s="172"/>
      <c r="N378" s="172"/>
      <c r="O378" s="172"/>
      <c r="Q378" s="172"/>
      <c r="R378" s="172"/>
      <c r="S378" s="172"/>
      <c r="U378" s="172"/>
      <c r="V378" s="172"/>
      <c r="W378" s="172"/>
      <c r="X378" s="172"/>
      <c r="Y378" s="172"/>
      <c r="Z378" s="172"/>
      <c r="AA378" s="172"/>
      <c r="AB378" s="172"/>
      <c r="AC378" s="172"/>
      <c r="AD378" s="172"/>
      <c r="AE378" s="171"/>
      <c r="AF378" s="171"/>
      <c r="AG378" s="171"/>
      <c r="AH378" s="171"/>
      <c r="AI378" s="171"/>
      <c r="AJ378" s="171"/>
    </row>
    <row r="379" spans="13:36" x14ac:dyDescent="0.2">
      <c r="M379" s="172"/>
      <c r="N379" s="172"/>
      <c r="O379" s="172"/>
      <c r="Q379" s="172"/>
      <c r="R379" s="172"/>
      <c r="S379" s="172"/>
      <c r="U379" s="172"/>
      <c r="V379" s="172"/>
      <c r="W379" s="172"/>
      <c r="X379" s="172"/>
      <c r="Y379" s="172"/>
      <c r="Z379" s="172"/>
      <c r="AA379" s="172"/>
      <c r="AB379" s="172"/>
      <c r="AC379" s="172"/>
      <c r="AD379" s="172"/>
      <c r="AE379" s="171"/>
      <c r="AF379" s="171"/>
      <c r="AG379" s="171"/>
      <c r="AH379" s="171"/>
      <c r="AI379" s="171"/>
      <c r="AJ379" s="171"/>
    </row>
    <row r="380" spans="13:36" x14ac:dyDescent="0.2">
      <c r="M380" s="172"/>
      <c r="N380" s="172"/>
      <c r="O380" s="172"/>
      <c r="Q380" s="172"/>
      <c r="R380" s="172"/>
      <c r="S380" s="172"/>
      <c r="U380" s="172"/>
      <c r="V380" s="172"/>
      <c r="W380" s="172"/>
      <c r="X380" s="172"/>
      <c r="Y380" s="172"/>
      <c r="Z380" s="172"/>
      <c r="AA380" s="172"/>
      <c r="AB380" s="172"/>
      <c r="AC380" s="172"/>
      <c r="AD380" s="172"/>
      <c r="AE380" s="171"/>
      <c r="AF380" s="171"/>
      <c r="AG380" s="171"/>
      <c r="AH380" s="171"/>
      <c r="AI380" s="171"/>
      <c r="AJ380" s="171"/>
    </row>
    <row r="381" spans="13:36" x14ac:dyDescent="0.2">
      <c r="M381" s="172"/>
      <c r="N381" s="172"/>
      <c r="O381" s="172"/>
      <c r="Q381" s="172"/>
      <c r="R381" s="172"/>
      <c r="S381" s="172"/>
      <c r="U381" s="172"/>
      <c r="V381" s="172"/>
      <c r="W381" s="172"/>
      <c r="X381" s="172"/>
      <c r="Y381" s="172"/>
      <c r="Z381" s="172"/>
      <c r="AA381" s="172"/>
      <c r="AB381" s="172"/>
      <c r="AC381" s="172"/>
      <c r="AD381" s="172"/>
      <c r="AE381" s="171"/>
      <c r="AF381" s="171"/>
      <c r="AG381" s="171"/>
      <c r="AH381" s="171"/>
      <c r="AI381" s="171"/>
      <c r="AJ381" s="171"/>
    </row>
    <row r="382" spans="13:36" x14ac:dyDescent="0.2">
      <c r="M382" s="172"/>
      <c r="N382" s="172"/>
      <c r="O382" s="172"/>
      <c r="Q382" s="172"/>
      <c r="R382" s="172"/>
      <c r="S382" s="172"/>
      <c r="U382" s="172"/>
      <c r="V382" s="172"/>
      <c r="W382" s="172"/>
      <c r="X382" s="172"/>
      <c r="Y382" s="172"/>
      <c r="Z382" s="172"/>
      <c r="AA382" s="172"/>
      <c r="AB382" s="172"/>
      <c r="AC382" s="172"/>
      <c r="AD382" s="172"/>
      <c r="AE382" s="171"/>
      <c r="AF382" s="171"/>
      <c r="AG382" s="171"/>
      <c r="AH382" s="171"/>
      <c r="AI382" s="171"/>
      <c r="AJ382" s="171"/>
    </row>
    <row r="383" spans="13:36" x14ac:dyDescent="0.2">
      <c r="M383" s="172"/>
      <c r="N383" s="172"/>
      <c r="O383" s="172"/>
      <c r="Q383" s="172"/>
      <c r="R383" s="172"/>
      <c r="S383" s="172"/>
      <c r="U383" s="172"/>
      <c r="V383" s="172"/>
      <c r="W383" s="172"/>
      <c r="X383" s="172"/>
      <c r="Y383" s="172"/>
      <c r="Z383" s="172"/>
      <c r="AA383" s="172"/>
      <c r="AB383" s="172"/>
      <c r="AC383" s="172"/>
      <c r="AD383" s="172"/>
      <c r="AE383" s="171"/>
      <c r="AF383" s="171"/>
      <c r="AG383" s="171"/>
      <c r="AH383" s="171"/>
      <c r="AI383" s="171"/>
      <c r="AJ383" s="171"/>
    </row>
    <row r="384" spans="13:36" x14ac:dyDescent="0.2">
      <c r="M384" s="172"/>
      <c r="N384" s="172"/>
      <c r="O384" s="172"/>
      <c r="Q384" s="172"/>
      <c r="R384" s="172"/>
      <c r="S384" s="172"/>
      <c r="U384" s="172"/>
      <c r="V384" s="172"/>
      <c r="W384" s="172"/>
      <c r="X384" s="172"/>
      <c r="Y384" s="172"/>
      <c r="Z384" s="172"/>
      <c r="AA384" s="172"/>
      <c r="AB384" s="172"/>
      <c r="AC384" s="172"/>
      <c r="AD384" s="172"/>
      <c r="AE384" s="171"/>
      <c r="AF384" s="171"/>
      <c r="AG384" s="171"/>
      <c r="AH384" s="171"/>
      <c r="AI384" s="171"/>
      <c r="AJ384" s="171"/>
    </row>
    <row r="385" spans="13:36" x14ac:dyDescent="0.2">
      <c r="M385" s="172"/>
      <c r="N385" s="172"/>
      <c r="O385" s="172"/>
      <c r="Q385" s="172"/>
      <c r="R385" s="172"/>
      <c r="S385" s="172"/>
      <c r="U385" s="172"/>
      <c r="V385" s="172"/>
      <c r="W385" s="172"/>
      <c r="X385" s="172"/>
      <c r="Y385" s="172"/>
      <c r="Z385" s="172"/>
      <c r="AA385" s="172"/>
      <c r="AB385" s="172"/>
      <c r="AC385" s="172"/>
      <c r="AD385" s="172"/>
      <c r="AE385" s="171"/>
      <c r="AF385" s="171"/>
      <c r="AG385" s="171"/>
      <c r="AH385" s="171"/>
      <c r="AI385" s="171"/>
      <c r="AJ385" s="171"/>
    </row>
    <row r="386" spans="13:36" x14ac:dyDescent="0.2">
      <c r="M386" s="172"/>
      <c r="N386" s="172"/>
      <c r="O386" s="172"/>
      <c r="Q386" s="172"/>
      <c r="R386" s="172"/>
      <c r="S386" s="172"/>
      <c r="U386" s="172"/>
      <c r="V386" s="172"/>
      <c r="W386" s="172"/>
      <c r="X386" s="172"/>
      <c r="Y386" s="172"/>
      <c r="Z386" s="172"/>
      <c r="AA386" s="172"/>
      <c r="AB386" s="172"/>
      <c r="AC386" s="172"/>
      <c r="AD386" s="172"/>
      <c r="AE386" s="171"/>
      <c r="AF386" s="171"/>
      <c r="AG386" s="171"/>
      <c r="AH386" s="171"/>
      <c r="AI386" s="171"/>
      <c r="AJ386" s="171"/>
    </row>
    <row r="387" spans="13:36" x14ac:dyDescent="0.2">
      <c r="M387" s="172"/>
      <c r="N387" s="172"/>
      <c r="O387" s="172"/>
      <c r="Q387" s="172"/>
      <c r="R387" s="172"/>
      <c r="S387" s="172"/>
      <c r="U387" s="172"/>
      <c r="V387" s="172"/>
      <c r="W387" s="172"/>
      <c r="X387" s="172"/>
      <c r="Y387" s="172"/>
      <c r="Z387" s="172"/>
      <c r="AA387" s="172"/>
      <c r="AB387" s="172"/>
      <c r="AC387" s="172"/>
      <c r="AD387" s="172"/>
      <c r="AE387" s="171"/>
      <c r="AF387" s="171"/>
      <c r="AG387" s="171"/>
      <c r="AH387" s="171"/>
      <c r="AI387" s="171"/>
      <c r="AJ387" s="171"/>
    </row>
    <row r="388" spans="13:36" x14ac:dyDescent="0.2">
      <c r="M388" s="172"/>
      <c r="N388" s="172"/>
      <c r="O388" s="172"/>
      <c r="Q388" s="172"/>
      <c r="R388" s="172"/>
      <c r="S388" s="172"/>
      <c r="U388" s="172"/>
      <c r="V388" s="172"/>
      <c r="W388" s="172"/>
      <c r="X388" s="172"/>
      <c r="Y388" s="172"/>
      <c r="Z388" s="172"/>
      <c r="AA388" s="172"/>
      <c r="AB388" s="172"/>
      <c r="AC388" s="172"/>
      <c r="AD388" s="172"/>
      <c r="AE388" s="171"/>
      <c r="AF388" s="171"/>
      <c r="AG388" s="171"/>
      <c r="AH388" s="171"/>
      <c r="AI388" s="171"/>
      <c r="AJ388" s="171"/>
    </row>
    <row r="389" spans="13:36" x14ac:dyDescent="0.2">
      <c r="M389" s="172"/>
      <c r="N389" s="172"/>
      <c r="O389" s="172"/>
      <c r="Q389" s="172"/>
      <c r="R389" s="172"/>
      <c r="S389" s="172"/>
      <c r="U389" s="172"/>
      <c r="V389" s="172"/>
      <c r="W389" s="172"/>
      <c r="X389" s="172"/>
      <c r="Y389" s="172"/>
      <c r="Z389" s="172"/>
      <c r="AA389" s="172"/>
      <c r="AB389" s="172"/>
      <c r="AC389" s="172"/>
      <c r="AD389" s="172"/>
      <c r="AE389" s="171"/>
      <c r="AF389" s="171"/>
      <c r="AG389" s="171"/>
      <c r="AH389" s="171"/>
      <c r="AI389" s="171"/>
      <c r="AJ389" s="171"/>
    </row>
    <row r="390" spans="13:36" x14ac:dyDescent="0.2">
      <c r="M390" s="172"/>
      <c r="N390" s="172"/>
      <c r="O390" s="172"/>
      <c r="Q390" s="172"/>
      <c r="R390" s="172"/>
      <c r="S390" s="172"/>
      <c r="U390" s="172"/>
      <c r="V390" s="172"/>
      <c r="W390" s="172"/>
      <c r="X390" s="172"/>
      <c r="Y390" s="172"/>
      <c r="Z390" s="172"/>
      <c r="AA390" s="172"/>
      <c r="AB390" s="172"/>
      <c r="AC390" s="172"/>
      <c r="AD390" s="172"/>
      <c r="AE390" s="171"/>
      <c r="AF390" s="171"/>
      <c r="AG390" s="171"/>
      <c r="AH390" s="171"/>
      <c r="AI390" s="171"/>
      <c r="AJ390" s="171"/>
    </row>
    <row r="391" spans="13:36" x14ac:dyDescent="0.2">
      <c r="M391" s="172"/>
      <c r="N391" s="172"/>
      <c r="O391" s="172"/>
      <c r="Q391" s="172"/>
      <c r="R391" s="172"/>
      <c r="S391" s="172"/>
      <c r="U391" s="172"/>
      <c r="V391" s="172"/>
      <c r="W391" s="172"/>
      <c r="X391" s="172"/>
      <c r="Y391" s="172"/>
      <c r="Z391" s="172"/>
      <c r="AA391" s="172"/>
      <c r="AB391" s="172"/>
      <c r="AC391" s="172"/>
      <c r="AD391" s="172"/>
      <c r="AE391" s="171"/>
      <c r="AF391" s="171"/>
      <c r="AG391" s="171"/>
      <c r="AH391" s="171"/>
      <c r="AI391" s="171"/>
      <c r="AJ391" s="171"/>
    </row>
    <row r="392" spans="13:36" x14ac:dyDescent="0.2">
      <c r="M392" s="172"/>
      <c r="N392" s="172"/>
      <c r="O392" s="172"/>
      <c r="Q392" s="172"/>
      <c r="R392" s="172"/>
      <c r="S392" s="172"/>
      <c r="U392" s="172"/>
      <c r="V392" s="172"/>
      <c r="W392" s="172"/>
      <c r="X392" s="172"/>
      <c r="Y392" s="172"/>
      <c r="Z392" s="172"/>
      <c r="AA392" s="172"/>
      <c r="AB392" s="172"/>
      <c r="AC392" s="172"/>
      <c r="AD392" s="172"/>
      <c r="AE392" s="171"/>
      <c r="AF392" s="171"/>
      <c r="AG392" s="171"/>
      <c r="AH392" s="171"/>
      <c r="AI392" s="171"/>
      <c r="AJ392" s="171"/>
    </row>
    <row r="393" spans="13:36" x14ac:dyDescent="0.2">
      <c r="M393" s="172"/>
      <c r="N393" s="172"/>
      <c r="O393" s="172"/>
      <c r="Q393" s="172"/>
      <c r="R393" s="172"/>
      <c r="S393" s="172"/>
      <c r="U393" s="172"/>
      <c r="V393" s="172"/>
      <c r="W393" s="172"/>
      <c r="X393" s="172"/>
      <c r="Y393" s="172"/>
      <c r="Z393" s="172"/>
      <c r="AA393" s="172"/>
      <c r="AB393" s="172"/>
      <c r="AC393" s="172"/>
      <c r="AD393" s="172"/>
      <c r="AE393" s="171"/>
      <c r="AF393" s="171"/>
      <c r="AG393" s="171"/>
      <c r="AH393" s="171"/>
      <c r="AI393" s="171"/>
      <c r="AJ393" s="171"/>
    </row>
    <row r="394" spans="13:36" x14ac:dyDescent="0.2">
      <c r="M394" s="172"/>
      <c r="N394" s="172"/>
      <c r="O394" s="172"/>
      <c r="Q394" s="172"/>
      <c r="R394" s="172"/>
      <c r="S394" s="172"/>
      <c r="U394" s="172"/>
      <c r="V394" s="172"/>
      <c r="W394" s="172"/>
      <c r="X394" s="172"/>
      <c r="Y394" s="172"/>
      <c r="Z394" s="172"/>
      <c r="AA394" s="172"/>
      <c r="AB394" s="172"/>
      <c r="AC394" s="172"/>
      <c r="AD394" s="172"/>
      <c r="AE394" s="171"/>
      <c r="AF394" s="171"/>
      <c r="AG394" s="171"/>
      <c r="AH394" s="171"/>
      <c r="AI394" s="171"/>
      <c r="AJ394" s="171"/>
    </row>
    <row r="395" spans="13:36" x14ac:dyDescent="0.2">
      <c r="M395" s="172"/>
      <c r="N395" s="172"/>
      <c r="O395" s="172"/>
      <c r="Q395" s="172"/>
      <c r="R395" s="172"/>
      <c r="S395" s="172"/>
      <c r="U395" s="172"/>
      <c r="V395" s="172"/>
      <c r="W395" s="172"/>
      <c r="X395" s="172"/>
      <c r="Y395" s="172"/>
      <c r="Z395" s="172"/>
      <c r="AA395" s="172"/>
      <c r="AB395" s="172"/>
      <c r="AC395" s="172"/>
      <c r="AD395" s="172"/>
      <c r="AE395" s="171"/>
      <c r="AF395" s="171"/>
      <c r="AG395" s="171"/>
      <c r="AH395" s="171"/>
      <c r="AI395" s="171"/>
      <c r="AJ395" s="171"/>
    </row>
    <row r="396" spans="13:36" x14ac:dyDescent="0.2">
      <c r="M396" s="172"/>
      <c r="N396" s="172"/>
      <c r="O396" s="172"/>
      <c r="Q396" s="172"/>
      <c r="R396" s="172"/>
      <c r="S396" s="172"/>
      <c r="U396" s="172"/>
      <c r="V396" s="172"/>
      <c r="W396" s="172"/>
      <c r="X396" s="172"/>
      <c r="Y396" s="172"/>
      <c r="Z396" s="172"/>
      <c r="AA396" s="172"/>
      <c r="AB396" s="172"/>
      <c r="AC396" s="172"/>
      <c r="AD396" s="172"/>
      <c r="AE396" s="171"/>
      <c r="AF396" s="171"/>
      <c r="AG396" s="171"/>
      <c r="AH396" s="171"/>
      <c r="AI396" s="171"/>
      <c r="AJ396" s="171"/>
    </row>
    <row r="397" spans="13:36" x14ac:dyDescent="0.2">
      <c r="M397" s="172"/>
      <c r="N397" s="172"/>
      <c r="O397" s="172"/>
      <c r="Q397" s="172"/>
      <c r="R397" s="172"/>
      <c r="S397" s="172"/>
      <c r="U397" s="172"/>
      <c r="V397" s="172"/>
      <c r="W397" s="172"/>
      <c r="X397" s="172"/>
      <c r="Y397" s="172"/>
      <c r="Z397" s="172"/>
      <c r="AA397" s="172"/>
      <c r="AB397" s="172"/>
      <c r="AC397" s="172"/>
      <c r="AD397" s="172"/>
      <c r="AE397" s="171"/>
      <c r="AF397" s="171"/>
      <c r="AG397" s="171"/>
      <c r="AH397" s="171"/>
      <c r="AI397" s="171"/>
      <c r="AJ397" s="171"/>
    </row>
    <row r="398" spans="13:36" x14ac:dyDescent="0.2">
      <c r="M398" s="172"/>
      <c r="N398" s="172"/>
      <c r="O398" s="172"/>
      <c r="Q398" s="172"/>
      <c r="R398" s="172"/>
      <c r="S398" s="172"/>
      <c r="U398" s="172"/>
      <c r="V398" s="172"/>
      <c r="W398" s="172"/>
      <c r="X398" s="172"/>
      <c r="Y398" s="172"/>
      <c r="Z398" s="172"/>
      <c r="AA398" s="172"/>
      <c r="AB398" s="172"/>
      <c r="AC398" s="172"/>
      <c r="AD398" s="172"/>
      <c r="AE398" s="171"/>
      <c r="AF398" s="171"/>
      <c r="AG398" s="171"/>
      <c r="AH398" s="171"/>
      <c r="AI398" s="171"/>
      <c r="AJ398" s="171"/>
    </row>
    <row r="399" spans="13:36" x14ac:dyDescent="0.2">
      <c r="M399" s="172"/>
      <c r="N399" s="172"/>
      <c r="O399" s="172"/>
      <c r="Q399" s="172"/>
      <c r="R399" s="172"/>
      <c r="S399" s="172"/>
      <c r="U399" s="172"/>
      <c r="V399" s="172"/>
      <c r="W399" s="172"/>
      <c r="X399" s="172"/>
      <c r="Y399" s="172"/>
      <c r="Z399" s="172"/>
      <c r="AA399" s="172"/>
      <c r="AB399" s="172"/>
      <c r="AC399" s="172"/>
      <c r="AD399" s="172"/>
      <c r="AE399" s="171"/>
      <c r="AF399" s="171"/>
      <c r="AG399" s="171"/>
      <c r="AH399" s="171"/>
      <c r="AI399" s="171"/>
      <c r="AJ399" s="171"/>
    </row>
    <row r="400" spans="13:36" x14ac:dyDescent="0.2">
      <c r="M400" s="172"/>
      <c r="N400" s="172"/>
      <c r="O400" s="172"/>
      <c r="Q400" s="172"/>
      <c r="R400" s="172"/>
      <c r="S400" s="172"/>
      <c r="U400" s="172"/>
      <c r="V400" s="172"/>
      <c r="W400" s="172"/>
      <c r="X400" s="172"/>
      <c r="Y400" s="172"/>
      <c r="Z400" s="172"/>
      <c r="AA400" s="172"/>
      <c r="AB400" s="172"/>
      <c r="AC400" s="172"/>
      <c r="AD400" s="172"/>
      <c r="AE400" s="171"/>
      <c r="AF400" s="171"/>
      <c r="AG400" s="171"/>
      <c r="AH400" s="171"/>
      <c r="AI400" s="171"/>
      <c r="AJ400" s="171"/>
    </row>
    <row r="401" spans="13:36" x14ac:dyDescent="0.2">
      <c r="M401" s="172"/>
      <c r="N401" s="172"/>
      <c r="O401" s="172"/>
      <c r="Q401" s="172"/>
      <c r="R401" s="172"/>
      <c r="S401" s="172"/>
      <c r="U401" s="172"/>
      <c r="V401" s="172"/>
      <c r="W401" s="172"/>
      <c r="X401" s="172"/>
      <c r="Y401" s="172"/>
      <c r="Z401" s="172"/>
      <c r="AA401" s="172"/>
      <c r="AB401" s="172"/>
      <c r="AC401" s="172"/>
      <c r="AD401" s="172"/>
      <c r="AE401" s="171"/>
      <c r="AF401" s="171"/>
      <c r="AG401" s="171"/>
      <c r="AH401" s="171"/>
      <c r="AI401" s="171"/>
      <c r="AJ401" s="171"/>
    </row>
    <row r="402" spans="13:36" x14ac:dyDescent="0.2">
      <c r="M402" s="172"/>
      <c r="N402" s="172"/>
      <c r="O402" s="172"/>
      <c r="Q402" s="172"/>
      <c r="R402" s="172"/>
      <c r="S402" s="172"/>
      <c r="U402" s="172"/>
      <c r="V402" s="172"/>
      <c r="W402" s="172"/>
      <c r="X402" s="172"/>
      <c r="Y402" s="172"/>
      <c r="Z402" s="172"/>
      <c r="AA402" s="172"/>
      <c r="AB402" s="172"/>
      <c r="AC402" s="172"/>
      <c r="AD402" s="172"/>
      <c r="AE402" s="171"/>
      <c r="AF402" s="171"/>
      <c r="AG402" s="171"/>
      <c r="AH402" s="171"/>
      <c r="AI402" s="171"/>
      <c r="AJ402" s="171"/>
    </row>
    <row r="403" spans="13:36" x14ac:dyDescent="0.2">
      <c r="M403" s="172"/>
      <c r="N403" s="172"/>
      <c r="O403" s="172"/>
      <c r="Q403" s="172"/>
      <c r="R403" s="172"/>
      <c r="S403" s="172"/>
      <c r="U403" s="172"/>
      <c r="V403" s="172"/>
      <c r="W403" s="172"/>
      <c r="X403" s="172"/>
      <c r="Y403" s="172"/>
      <c r="Z403" s="172"/>
      <c r="AA403" s="172"/>
      <c r="AB403" s="172"/>
      <c r="AC403" s="172"/>
      <c r="AD403" s="172"/>
      <c r="AE403" s="171"/>
      <c r="AF403" s="171"/>
      <c r="AG403" s="171"/>
      <c r="AH403" s="171"/>
      <c r="AI403" s="171"/>
      <c r="AJ403" s="171"/>
    </row>
    <row r="404" spans="13:36" x14ac:dyDescent="0.2">
      <c r="M404" s="172"/>
      <c r="N404" s="172"/>
      <c r="O404" s="172"/>
      <c r="Q404" s="172"/>
      <c r="R404" s="172"/>
      <c r="S404" s="172"/>
      <c r="U404" s="172"/>
      <c r="V404" s="172"/>
      <c r="W404" s="172"/>
      <c r="X404" s="172"/>
      <c r="Y404" s="172"/>
      <c r="Z404" s="172"/>
      <c r="AA404" s="172"/>
      <c r="AB404" s="172"/>
      <c r="AC404" s="172"/>
      <c r="AD404" s="172"/>
      <c r="AE404" s="171"/>
      <c r="AF404" s="171"/>
      <c r="AG404" s="171"/>
      <c r="AH404" s="171"/>
      <c r="AI404" s="171"/>
      <c r="AJ404" s="171"/>
    </row>
    <row r="405" spans="13:36" x14ac:dyDescent="0.2">
      <c r="M405" s="172"/>
      <c r="N405" s="172"/>
      <c r="O405" s="172"/>
      <c r="Q405" s="172"/>
      <c r="R405" s="172"/>
      <c r="S405" s="172"/>
      <c r="U405" s="172"/>
      <c r="V405" s="172"/>
      <c r="W405" s="172"/>
      <c r="X405" s="172"/>
      <c r="Y405" s="172"/>
      <c r="Z405" s="172"/>
      <c r="AA405" s="172"/>
      <c r="AB405" s="172"/>
      <c r="AC405" s="172"/>
      <c r="AD405" s="172"/>
      <c r="AE405" s="171"/>
      <c r="AF405" s="171"/>
      <c r="AG405" s="171"/>
      <c r="AH405" s="171"/>
      <c r="AI405" s="171"/>
      <c r="AJ405" s="171"/>
    </row>
    <row r="406" spans="13:36" x14ac:dyDescent="0.2">
      <c r="M406" s="172"/>
      <c r="N406" s="172"/>
      <c r="O406" s="172"/>
      <c r="Q406" s="172"/>
      <c r="R406" s="172"/>
      <c r="S406" s="172"/>
      <c r="U406" s="172"/>
      <c r="V406" s="172"/>
      <c r="W406" s="172"/>
      <c r="X406" s="172"/>
      <c r="Y406" s="172"/>
      <c r="Z406" s="172"/>
      <c r="AA406" s="172"/>
      <c r="AB406" s="172"/>
      <c r="AC406" s="172"/>
      <c r="AD406" s="172"/>
      <c r="AE406" s="171"/>
      <c r="AF406" s="171"/>
      <c r="AG406" s="171"/>
      <c r="AH406" s="171"/>
      <c r="AI406" s="171"/>
      <c r="AJ406" s="171"/>
    </row>
    <row r="407" spans="13:36" x14ac:dyDescent="0.2">
      <c r="M407" s="172"/>
      <c r="N407" s="172"/>
      <c r="O407" s="172"/>
      <c r="Q407" s="172"/>
      <c r="R407" s="172"/>
      <c r="S407" s="172"/>
      <c r="U407" s="172"/>
      <c r="V407" s="172"/>
      <c r="W407" s="172"/>
      <c r="X407" s="172"/>
      <c r="Y407" s="172"/>
      <c r="Z407" s="172"/>
      <c r="AA407" s="172"/>
      <c r="AB407" s="172"/>
      <c r="AC407" s="172"/>
      <c r="AD407" s="172"/>
      <c r="AE407" s="171"/>
      <c r="AF407" s="171"/>
      <c r="AG407" s="171"/>
      <c r="AH407" s="171"/>
      <c r="AI407" s="171"/>
      <c r="AJ407" s="171"/>
    </row>
    <row r="408" spans="13:36" x14ac:dyDescent="0.2">
      <c r="M408" s="172"/>
      <c r="N408" s="172"/>
      <c r="O408" s="172"/>
      <c r="Q408" s="172"/>
      <c r="R408" s="172"/>
      <c r="S408" s="172"/>
      <c r="U408" s="172"/>
      <c r="V408" s="172"/>
      <c r="W408" s="172"/>
      <c r="X408" s="172"/>
      <c r="Y408" s="172"/>
      <c r="Z408" s="172"/>
      <c r="AA408" s="172"/>
      <c r="AB408" s="172"/>
      <c r="AC408" s="172"/>
      <c r="AD408" s="172"/>
      <c r="AE408" s="171"/>
      <c r="AF408" s="171"/>
      <c r="AG408" s="171"/>
      <c r="AH408" s="171"/>
      <c r="AI408" s="171"/>
      <c r="AJ408" s="171"/>
    </row>
    <row r="409" spans="13:36" x14ac:dyDescent="0.2">
      <c r="M409" s="172"/>
      <c r="N409" s="172"/>
      <c r="O409" s="172"/>
      <c r="Q409" s="172"/>
      <c r="R409" s="172"/>
      <c r="S409" s="172"/>
      <c r="U409" s="172"/>
      <c r="V409" s="172"/>
      <c r="W409" s="172"/>
      <c r="X409" s="172"/>
      <c r="Y409" s="172"/>
      <c r="Z409" s="172"/>
      <c r="AA409" s="172"/>
      <c r="AB409" s="172"/>
      <c r="AC409" s="172"/>
      <c r="AD409" s="172"/>
      <c r="AE409" s="171"/>
      <c r="AF409" s="171"/>
      <c r="AG409" s="171"/>
      <c r="AH409" s="171"/>
      <c r="AI409" s="171"/>
      <c r="AJ409" s="171"/>
    </row>
    <row r="410" spans="13:36" x14ac:dyDescent="0.2">
      <c r="M410" s="172"/>
      <c r="N410" s="172"/>
      <c r="O410" s="172"/>
      <c r="Q410" s="172"/>
      <c r="R410" s="172"/>
      <c r="S410" s="172"/>
      <c r="U410" s="172"/>
      <c r="V410" s="172"/>
      <c r="W410" s="172"/>
      <c r="X410" s="172"/>
      <c r="Y410" s="172"/>
      <c r="Z410" s="172"/>
      <c r="AA410" s="172"/>
      <c r="AB410" s="172"/>
      <c r="AC410" s="172"/>
      <c r="AD410" s="172"/>
      <c r="AE410" s="171"/>
      <c r="AF410" s="171"/>
      <c r="AG410" s="171"/>
      <c r="AH410" s="171"/>
      <c r="AI410" s="171"/>
      <c r="AJ410" s="171"/>
    </row>
    <row r="411" spans="13:36" x14ac:dyDescent="0.2">
      <c r="M411" s="172"/>
      <c r="N411" s="172"/>
      <c r="O411" s="172"/>
      <c r="Q411" s="172"/>
      <c r="R411" s="172"/>
      <c r="S411" s="172"/>
      <c r="U411" s="172"/>
      <c r="V411" s="172"/>
      <c r="W411" s="172"/>
      <c r="X411" s="172"/>
      <c r="Y411" s="172"/>
      <c r="Z411" s="172"/>
      <c r="AA411" s="172"/>
      <c r="AB411" s="172"/>
      <c r="AC411" s="172"/>
      <c r="AD411" s="172"/>
      <c r="AE411" s="171"/>
      <c r="AF411" s="171"/>
      <c r="AG411" s="171"/>
      <c r="AH411" s="171"/>
      <c r="AI411" s="171"/>
      <c r="AJ411" s="171"/>
    </row>
    <row r="412" spans="13:36" x14ac:dyDescent="0.2">
      <c r="M412" s="172"/>
      <c r="N412" s="172"/>
      <c r="O412" s="172"/>
      <c r="Q412" s="172"/>
      <c r="R412" s="172"/>
      <c r="S412" s="172"/>
      <c r="U412" s="172"/>
      <c r="V412" s="172"/>
      <c r="W412" s="172"/>
      <c r="X412" s="172"/>
      <c r="Y412" s="172"/>
      <c r="Z412" s="172"/>
      <c r="AA412" s="172"/>
      <c r="AB412" s="172"/>
      <c r="AC412" s="172"/>
      <c r="AD412" s="172"/>
      <c r="AE412" s="171"/>
      <c r="AF412" s="171"/>
      <c r="AG412" s="171"/>
      <c r="AH412" s="171"/>
      <c r="AI412" s="171"/>
      <c r="AJ412" s="171"/>
    </row>
    <row r="413" spans="13:36" x14ac:dyDescent="0.2">
      <c r="M413" s="172"/>
      <c r="N413" s="172"/>
      <c r="O413" s="172"/>
      <c r="Q413" s="172"/>
      <c r="R413" s="172"/>
      <c r="S413" s="172"/>
      <c r="U413" s="172"/>
      <c r="V413" s="172"/>
      <c r="W413" s="172"/>
      <c r="X413" s="172"/>
      <c r="Y413" s="172"/>
      <c r="Z413" s="172"/>
      <c r="AA413" s="172"/>
      <c r="AB413" s="172"/>
      <c r="AC413" s="172"/>
      <c r="AD413" s="172"/>
      <c r="AE413" s="171"/>
      <c r="AF413" s="171"/>
      <c r="AG413" s="171"/>
      <c r="AH413" s="171"/>
      <c r="AI413" s="171"/>
      <c r="AJ413" s="171"/>
    </row>
    <row r="414" spans="13:36" x14ac:dyDescent="0.2">
      <c r="M414" s="172"/>
      <c r="N414" s="172"/>
      <c r="O414" s="172"/>
      <c r="Q414" s="172"/>
      <c r="R414" s="172"/>
      <c r="S414" s="172"/>
      <c r="U414" s="172"/>
      <c r="V414" s="172"/>
      <c r="W414" s="172"/>
      <c r="X414" s="172"/>
      <c r="Y414" s="172"/>
      <c r="Z414" s="172"/>
      <c r="AA414" s="172"/>
      <c r="AB414" s="172"/>
      <c r="AC414" s="172"/>
      <c r="AD414" s="172"/>
      <c r="AE414" s="171"/>
      <c r="AF414" s="171"/>
      <c r="AG414" s="171"/>
      <c r="AH414" s="171"/>
      <c r="AI414" s="171"/>
      <c r="AJ414" s="171"/>
    </row>
    <row r="415" spans="13:36" x14ac:dyDescent="0.2">
      <c r="M415" s="172"/>
      <c r="N415" s="172"/>
      <c r="O415" s="172"/>
      <c r="Q415" s="172"/>
      <c r="R415" s="172"/>
      <c r="S415" s="172"/>
      <c r="U415" s="172"/>
      <c r="V415" s="172"/>
      <c r="W415" s="172"/>
      <c r="X415" s="172"/>
      <c r="Y415" s="172"/>
      <c r="Z415" s="172"/>
      <c r="AA415" s="172"/>
      <c r="AB415" s="172"/>
      <c r="AC415" s="172"/>
      <c r="AD415" s="172"/>
      <c r="AE415" s="171"/>
      <c r="AF415" s="171"/>
      <c r="AG415" s="171"/>
      <c r="AH415" s="171"/>
      <c r="AI415" s="171"/>
      <c r="AJ415" s="171"/>
    </row>
    <row r="416" spans="13:36" x14ac:dyDescent="0.2">
      <c r="M416" s="172"/>
      <c r="N416" s="172"/>
      <c r="O416" s="172"/>
      <c r="Q416" s="172"/>
      <c r="R416" s="172"/>
      <c r="S416" s="172"/>
      <c r="U416" s="172"/>
      <c r="V416" s="172"/>
      <c r="W416" s="172"/>
      <c r="X416" s="172"/>
      <c r="Y416" s="172"/>
      <c r="Z416" s="172"/>
      <c r="AA416" s="172"/>
      <c r="AB416" s="172"/>
      <c r="AC416" s="172"/>
      <c r="AD416" s="172"/>
      <c r="AE416" s="171"/>
      <c r="AF416" s="171"/>
      <c r="AG416" s="171"/>
      <c r="AH416" s="171"/>
      <c r="AI416" s="171"/>
      <c r="AJ416" s="171"/>
    </row>
    <row r="417" spans="13:36" x14ac:dyDescent="0.2">
      <c r="M417" s="172"/>
      <c r="N417" s="172"/>
      <c r="O417" s="172"/>
      <c r="Q417" s="172"/>
      <c r="R417" s="172"/>
      <c r="S417" s="172"/>
      <c r="U417" s="172"/>
      <c r="V417" s="172"/>
      <c r="W417" s="172"/>
      <c r="X417" s="172"/>
      <c r="Y417" s="172"/>
      <c r="Z417" s="172"/>
      <c r="AA417" s="172"/>
      <c r="AB417" s="172"/>
      <c r="AC417" s="172"/>
      <c r="AD417" s="172"/>
      <c r="AE417" s="171"/>
      <c r="AF417" s="171"/>
      <c r="AG417" s="171"/>
      <c r="AH417" s="171"/>
      <c r="AI417" s="171"/>
      <c r="AJ417" s="171"/>
    </row>
    <row r="418" spans="13:36" x14ac:dyDescent="0.2">
      <c r="M418" s="172"/>
      <c r="N418" s="172"/>
      <c r="O418" s="172"/>
      <c r="Q418" s="172"/>
      <c r="R418" s="172"/>
      <c r="S418" s="172"/>
      <c r="U418" s="172"/>
      <c r="V418" s="172"/>
      <c r="W418" s="172"/>
      <c r="X418" s="172"/>
      <c r="Y418" s="172"/>
      <c r="Z418" s="172"/>
      <c r="AA418" s="172"/>
      <c r="AB418" s="172"/>
      <c r="AC418" s="172"/>
      <c r="AD418" s="172"/>
      <c r="AE418" s="171"/>
      <c r="AF418" s="171"/>
      <c r="AG418" s="171"/>
      <c r="AH418" s="171"/>
      <c r="AI418" s="171"/>
      <c r="AJ418" s="171"/>
    </row>
    <row r="419" spans="13:36" x14ac:dyDescent="0.2">
      <c r="M419" s="172"/>
      <c r="N419" s="172"/>
      <c r="O419" s="172"/>
      <c r="Q419" s="172"/>
      <c r="R419" s="172"/>
      <c r="S419" s="172"/>
      <c r="U419" s="172"/>
      <c r="V419" s="172"/>
      <c r="W419" s="172"/>
      <c r="X419" s="172"/>
      <c r="Y419" s="172"/>
      <c r="Z419" s="172"/>
      <c r="AA419" s="172"/>
      <c r="AB419" s="172"/>
      <c r="AC419" s="172"/>
      <c r="AD419" s="172"/>
      <c r="AE419" s="171"/>
      <c r="AF419" s="171"/>
      <c r="AG419" s="171"/>
      <c r="AH419" s="171"/>
      <c r="AI419" s="171"/>
      <c r="AJ419" s="171"/>
    </row>
    <row r="420" spans="13:36" x14ac:dyDescent="0.2">
      <c r="M420" s="172"/>
      <c r="N420" s="172"/>
      <c r="O420" s="172"/>
      <c r="Q420" s="172"/>
      <c r="R420" s="172"/>
      <c r="S420" s="172"/>
      <c r="U420" s="172"/>
      <c r="V420" s="172"/>
      <c r="W420" s="172"/>
      <c r="X420" s="172"/>
      <c r="Y420" s="172"/>
      <c r="Z420" s="172"/>
      <c r="AA420" s="172"/>
      <c r="AB420" s="172"/>
      <c r="AC420" s="172"/>
      <c r="AD420" s="172"/>
      <c r="AE420" s="171"/>
      <c r="AF420" s="171"/>
      <c r="AG420" s="171"/>
      <c r="AH420" s="171"/>
      <c r="AI420" s="171"/>
      <c r="AJ420" s="171"/>
    </row>
    <row r="421" spans="13:36" x14ac:dyDescent="0.2">
      <c r="M421" s="172"/>
      <c r="N421" s="172"/>
      <c r="O421" s="172"/>
      <c r="Q421" s="172"/>
      <c r="R421" s="172"/>
      <c r="S421" s="172"/>
      <c r="U421" s="172"/>
      <c r="V421" s="172"/>
      <c r="W421" s="172"/>
      <c r="X421" s="172"/>
      <c r="Y421" s="172"/>
      <c r="Z421" s="172"/>
      <c r="AA421" s="172"/>
      <c r="AB421" s="172"/>
      <c r="AC421" s="172"/>
      <c r="AD421" s="172"/>
      <c r="AE421" s="171"/>
      <c r="AF421" s="171"/>
      <c r="AG421" s="171"/>
      <c r="AH421" s="171"/>
      <c r="AI421" s="171"/>
      <c r="AJ421" s="171"/>
    </row>
    <row r="422" spans="13:36" x14ac:dyDescent="0.2">
      <c r="M422" s="172"/>
      <c r="N422" s="172"/>
      <c r="O422" s="172"/>
      <c r="Q422" s="172"/>
      <c r="R422" s="172"/>
      <c r="S422" s="172"/>
      <c r="U422" s="172"/>
      <c r="V422" s="172"/>
      <c r="W422" s="172"/>
      <c r="X422" s="172"/>
      <c r="Y422" s="172"/>
      <c r="Z422" s="172"/>
      <c r="AA422" s="172"/>
      <c r="AB422" s="172"/>
      <c r="AC422" s="172"/>
      <c r="AD422" s="172"/>
      <c r="AE422" s="171"/>
      <c r="AF422" s="171"/>
      <c r="AG422" s="171"/>
      <c r="AH422" s="171"/>
      <c r="AI422" s="171"/>
      <c r="AJ422" s="171"/>
    </row>
    <row r="423" spans="13:36" x14ac:dyDescent="0.2">
      <c r="M423" s="172"/>
      <c r="N423" s="172"/>
      <c r="O423" s="172"/>
      <c r="Q423" s="172"/>
      <c r="R423" s="172"/>
      <c r="S423" s="172"/>
      <c r="U423" s="172"/>
      <c r="V423" s="172"/>
      <c r="W423" s="172"/>
      <c r="X423" s="172"/>
      <c r="Y423" s="172"/>
      <c r="Z423" s="172"/>
      <c r="AA423" s="172"/>
      <c r="AB423" s="172"/>
      <c r="AC423" s="172"/>
      <c r="AD423" s="172"/>
      <c r="AE423" s="171"/>
      <c r="AF423" s="171"/>
      <c r="AG423" s="171"/>
      <c r="AH423" s="171"/>
      <c r="AI423" s="171"/>
      <c r="AJ423" s="171"/>
    </row>
    <row r="424" spans="13:36" x14ac:dyDescent="0.2">
      <c r="M424" s="172"/>
      <c r="N424" s="172"/>
      <c r="O424" s="172"/>
      <c r="Q424" s="172"/>
      <c r="R424" s="172"/>
      <c r="S424" s="172"/>
      <c r="U424" s="172"/>
      <c r="V424" s="172"/>
      <c r="W424" s="172"/>
      <c r="X424" s="172"/>
      <c r="Y424" s="172"/>
      <c r="Z424" s="172"/>
      <c r="AA424" s="172"/>
      <c r="AB424" s="172"/>
      <c r="AC424" s="172"/>
      <c r="AD424" s="172"/>
      <c r="AE424" s="171"/>
      <c r="AF424" s="171"/>
      <c r="AG424" s="171"/>
      <c r="AH424" s="171"/>
      <c r="AI424" s="171"/>
      <c r="AJ424" s="171"/>
    </row>
    <row r="425" spans="13:36" x14ac:dyDescent="0.2">
      <c r="M425" s="172"/>
      <c r="N425" s="172"/>
      <c r="O425" s="172"/>
      <c r="Q425" s="172"/>
      <c r="R425" s="172"/>
      <c r="S425" s="172"/>
      <c r="U425" s="172"/>
      <c r="V425" s="172"/>
      <c r="W425" s="172"/>
      <c r="X425" s="172"/>
      <c r="Y425" s="172"/>
      <c r="Z425" s="172"/>
      <c r="AA425" s="172"/>
      <c r="AB425" s="172"/>
      <c r="AC425" s="172"/>
      <c r="AD425" s="172"/>
      <c r="AE425" s="171"/>
      <c r="AF425" s="171"/>
      <c r="AG425" s="171"/>
      <c r="AH425" s="171"/>
      <c r="AI425" s="171"/>
      <c r="AJ425" s="171"/>
    </row>
    <row r="426" spans="13:36" x14ac:dyDescent="0.2">
      <c r="M426" s="172"/>
      <c r="N426" s="172"/>
      <c r="O426" s="172"/>
      <c r="Q426" s="172"/>
      <c r="R426" s="172"/>
      <c r="S426" s="172"/>
      <c r="U426" s="172"/>
      <c r="V426" s="172"/>
      <c r="W426" s="172"/>
      <c r="X426" s="172"/>
      <c r="Y426" s="172"/>
      <c r="Z426" s="172"/>
      <c r="AA426" s="172"/>
      <c r="AB426" s="172"/>
      <c r="AC426" s="172"/>
      <c r="AD426" s="172"/>
      <c r="AE426" s="171"/>
      <c r="AF426" s="171"/>
      <c r="AG426" s="171"/>
      <c r="AH426" s="171"/>
      <c r="AI426" s="171"/>
      <c r="AJ426" s="171"/>
    </row>
    <row r="427" spans="13:36" x14ac:dyDescent="0.2">
      <c r="M427" s="172"/>
      <c r="N427" s="172"/>
      <c r="O427" s="172"/>
      <c r="Q427" s="172"/>
      <c r="R427" s="172"/>
      <c r="S427" s="172"/>
      <c r="U427" s="172"/>
      <c r="V427" s="172"/>
      <c r="W427" s="172"/>
      <c r="X427" s="172"/>
      <c r="Y427" s="172"/>
      <c r="Z427" s="172"/>
      <c r="AA427" s="172"/>
      <c r="AB427" s="172"/>
      <c r="AC427" s="172"/>
      <c r="AD427" s="172"/>
      <c r="AE427" s="171"/>
      <c r="AF427" s="171"/>
      <c r="AG427" s="171"/>
      <c r="AH427" s="171"/>
      <c r="AI427" s="171"/>
      <c r="AJ427" s="171"/>
    </row>
    <row r="428" spans="13:36" x14ac:dyDescent="0.2">
      <c r="M428" s="172"/>
      <c r="N428" s="172"/>
      <c r="O428" s="172"/>
      <c r="Q428" s="172"/>
      <c r="R428" s="172"/>
      <c r="S428" s="172"/>
      <c r="U428" s="172"/>
      <c r="V428" s="172"/>
      <c r="W428" s="172"/>
      <c r="X428" s="172"/>
      <c r="Y428" s="172"/>
      <c r="Z428" s="172"/>
      <c r="AA428" s="172"/>
      <c r="AB428" s="172"/>
      <c r="AC428" s="172"/>
      <c r="AD428" s="172"/>
      <c r="AE428" s="171"/>
      <c r="AF428" s="171"/>
      <c r="AG428" s="171"/>
      <c r="AH428" s="171"/>
      <c r="AI428" s="171"/>
      <c r="AJ428" s="171"/>
    </row>
    <row r="429" spans="13:36" x14ac:dyDescent="0.2">
      <c r="M429" s="172"/>
      <c r="N429" s="172"/>
      <c r="O429" s="172"/>
      <c r="Q429" s="172"/>
      <c r="R429" s="172"/>
      <c r="S429" s="172"/>
      <c r="U429" s="172"/>
      <c r="V429" s="172"/>
      <c r="W429" s="172"/>
      <c r="X429" s="172"/>
      <c r="Y429" s="172"/>
      <c r="Z429" s="172"/>
      <c r="AA429" s="172"/>
      <c r="AB429" s="172"/>
      <c r="AC429" s="172"/>
      <c r="AD429" s="172"/>
      <c r="AE429" s="171"/>
      <c r="AF429" s="171"/>
      <c r="AG429" s="171"/>
      <c r="AH429" s="171"/>
      <c r="AI429" s="171"/>
      <c r="AJ429" s="171"/>
    </row>
    <row r="430" spans="13:36" x14ac:dyDescent="0.2">
      <c r="M430" s="172"/>
      <c r="N430" s="172"/>
      <c r="O430" s="172"/>
      <c r="Q430" s="172"/>
      <c r="R430" s="172"/>
      <c r="S430" s="172"/>
      <c r="U430" s="172"/>
      <c r="V430" s="172"/>
      <c r="W430" s="172"/>
      <c r="X430" s="172"/>
      <c r="Y430" s="172"/>
      <c r="Z430" s="172"/>
      <c r="AA430" s="172"/>
      <c r="AB430" s="172"/>
      <c r="AC430" s="172"/>
      <c r="AD430" s="172"/>
      <c r="AE430" s="171"/>
      <c r="AF430" s="171"/>
      <c r="AG430" s="171"/>
      <c r="AH430" s="171"/>
      <c r="AI430" s="171"/>
      <c r="AJ430" s="171"/>
    </row>
    <row r="431" spans="13:36" x14ac:dyDescent="0.2">
      <c r="M431" s="172"/>
      <c r="N431" s="172"/>
      <c r="O431" s="172"/>
      <c r="Q431" s="172"/>
      <c r="R431" s="172"/>
      <c r="S431" s="172"/>
      <c r="U431" s="172"/>
      <c r="V431" s="172"/>
      <c r="W431" s="172"/>
      <c r="X431" s="172"/>
      <c r="Y431" s="172"/>
      <c r="Z431" s="172"/>
      <c r="AA431" s="172"/>
      <c r="AB431" s="172"/>
      <c r="AC431" s="172"/>
      <c r="AD431" s="172"/>
      <c r="AE431" s="171"/>
      <c r="AF431" s="171"/>
      <c r="AG431" s="171"/>
      <c r="AH431" s="171"/>
      <c r="AI431" s="171"/>
      <c r="AJ431" s="171"/>
    </row>
    <row r="432" spans="13:36" x14ac:dyDescent="0.2">
      <c r="M432" s="172"/>
      <c r="N432" s="172"/>
      <c r="O432" s="172"/>
      <c r="Q432" s="172"/>
      <c r="R432" s="172"/>
      <c r="S432" s="172"/>
      <c r="U432" s="172"/>
      <c r="V432" s="172"/>
      <c r="W432" s="172"/>
      <c r="X432" s="172"/>
      <c r="Y432" s="172"/>
      <c r="Z432" s="172"/>
      <c r="AA432" s="172"/>
      <c r="AB432" s="172"/>
      <c r="AC432" s="172"/>
      <c r="AD432" s="172"/>
      <c r="AE432" s="171"/>
      <c r="AF432" s="171"/>
      <c r="AG432" s="171"/>
      <c r="AH432" s="171"/>
      <c r="AI432" s="171"/>
      <c r="AJ432" s="171"/>
    </row>
    <row r="433" spans="13:36" x14ac:dyDescent="0.2">
      <c r="M433" s="172"/>
      <c r="N433" s="172"/>
      <c r="O433" s="172"/>
      <c r="Q433" s="172"/>
      <c r="R433" s="172"/>
      <c r="S433" s="172"/>
      <c r="U433" s="172"/>
      <c r="V433" s="172"/>
      <c r="W433" s="172"/>
      <c r="X433" s="172"/>
      <c r="Y433" s="172"/>
      <c r="Z433" s="172"/>
      <c r="AA433" s="172"/>
      <c r="AB433" s="172"/>
      <c r="AC433" s="172"/>
      <c r="AD433" s="172"/>
      <c r="AE433" s="171"/>
      <c r="AF433" s="171"/>
      <c r="AG433" s="171"/>
      <c r="AH433" s="171"/>
      <c r="AI433" s="171"/>
      <c r="AJ433" s="171"/>
    </row>
    <row r="434" spans="13:36" x14ac:dyDescent="0.2">
      <c r="M434" s="172"/>
      <c r="N434" s="172"/>
      <c r="O434" s="172"/>
      <c r="Q434" s="172"/>
      <c r="R434" s="172"/>
      <c r="S434" s="172"/>
      <c r="U434" s="172"/>
      <c r="V434" s="172"/>
      <c r="W434" s="172"/>
      <c r="X434" s="172"/>
      <c r="Y434" s="172"/>
      <c r="Z434" s="172"/>
      <c r="AA434" s="172"/>
      <c r="AB434" s="172"/>
      <c r="AC434" s="172"/>
      <c r="AD434" s="172"/>
      <c r="AE434" s="171"/>
      <c r="AF434" s="171"/>
      <c r="AG434" s="171"/>
      <c r="AH434" s="171"/>
      <c r="AI434" s="171"/>
      <c r="AJ434" s="171"/>
    </row>
    <row r="435" spans="13:36" x14ac:dyDescent="0.2">
      <c r="M435" s="172"/>
      <c r="N435" s="172"/>
      <c r="O435" s="172"/>
      <c r="Q435" s="172"/>
      <c r="R435" s="172"/>
      <c r="S435" s="172"/>
      <c r="U435" s="172"/>
      <c r="V435" s="172"/>
      <c r="W435" s="172"/>
      <c r="X435" s="172"/>
      <c r="Y435" s="172"/>
      <c r="Z435" s="172"/>
      <c r="AA435" s="172"/>
      <c r="AB435" s="172"/>
      <c r="AC435" s="172"/>
      <c r="AD435" s="172"/>
      <c r="AE435" s="171"/>
      <c r="AF435" s="171"/>
      <c r="AG435" s="171"/>
      <c r="AH435" s="171"/>
      <c r="AI435" s="171"/>
      <c r="AJ435" s="171"/>
    </row>
    <row r="436" spans="13:36" x14ac:dyDescent="0.2">
      <c r="M436" s="172"/>
      <c r="N436" s="172"/>
      <c r="O436" s="172"/>
      <c r="Q436" s="172"/>
      <c r="R436" s="172"/>
      <c r="S436" s="172"/>
      <c r="U436" s="172"/>
      <c r="V436" s="172"/>
      <c r="W436" s="172"/>
      <c r="X436" s="172"/>
      <c r="Y436" s="172"/>
      <c r="Z436" s="172"/>
      <c r="AA436" s="172"/>
      <c r="AB436" s="172"/>
      <c r="AC436" s="172"/>
      <c r="AD436" s="172"/>
      <c r="AE436" s="171"/>
      <c r="AF436" s="171"/>
      <c r="AG436" s="171"/>
      <c r="AH436" s="171"/>
      <c r="AI436" s="171"/>
      <c r="AJ436" s="171"/>
    </row>
    <row r="437" spans="13:36" x14ac:dyDescent="0.2">
      <c r="M437" s="172"/>
      <c r="N437" s="172"/>
      <c r="O437" s="172"/>
      <c r="Q437" s="172"/>
      <c r="R437" s="172"/>
      <c r="S437" s="172"/>
      <c r="U437" s="172"/>
      <c r="V437" s="172"/>
      <c r="W437" s="172"/>
      <c r="X437" s="172"/>
      <c r="Y437" s="172"/>
      <c r="Z437" s="172"/>
      <c r="AA437" s="172"/>
      <c r="AB437" s="172"/>
      <c r="AC437" s="172"/>
      <c r="AD437" s="172"/>
      <c r="AE437" s="171"/>
      <c r="AF437" s="171"/>
      <c r="AG437" s="171"/>
      <c r="AH437" s="171"/>
      <c r="AI437" s="171"/>
      <c r="AJ437" s="171"/>
    </row>
    <row r="438" spans="13:36" x14ac:dyDescent="0.2">
      <c r="M438" s="172"/>
      <c r="N438" s="172"/>
      <c r="O438" s="172"/>
      <c r="Q438" s="172"/>
      <c r="R438" s="172"/>
      <c r="S438" s="172"/>
      <c r="U438" s="172"/>
      <c r="V438" s="172"/>
      <c r="W438" s="172"/>
      <c r="X438" s="172"/>
      <c r="Y438" s="172"/>
      <c r="Z438" s="172"/>
      <c r="AA438" s="172"/>
      <c r="AB438" s="172"/>
      <c r="AC438" s="172"/>
      <c r="AD438" s="172"/>
      <c r="AE438" s="171"/>
      <c r="AF438" s="171"/>
      <c r="AG438" s="171"/>
      <c r="AH438" s="171"/>
      <c r="AI438" s="171"/>
      <c r="AJ438" s="171"/>
    </row>
    <row r="439" spans="13:36" x14ac:dyDescent="0.2">
      <c r="M439" s="172"/>
      <c r="N439" s="172"/>
      <c r="O439" s="172"/>
      <c r="Q439" s="172"/>
      <c r="R439" s="172"/>
      <c r="S439" s="172"/>
      <c r="U439" s="172"/>
      <c r="V439" s="172"/>
      <c r="W439" s="172"/>
      <c r="X439" s="172"/>
      <c r="Y439" s="172"/>
      <c r="Z439" s="172"/>
      <c r="AA439" s="172"/>
      <c r="AB439" s="172"/>
      <c r="AC439" s="172"/>
      <c r="AD439" s="172"/>
      <c r="AE439" s="171"/>
      <c r="AF439" s="171"/>
      <c r="AG439" s="171"/>
      <c r="AH439" s="171"/>
      <c r="AI439" s="171"/>
      <c r="AJ439" s="171"/>
    </row>
    <row r="440" spans="13:36" x14ac:dyDescent="0.2">
      <c r="M440" s="172"/>
      <c r="N440" s="172"/>
      <c r="O440" s="172"/>
      <c r="Q440" s="172"/>
      <c r="R440" s="172"/>
      <c r="S440" s="172"/>
      <c r="U440" s="172"/>
      <c r="V440" s="172"/>
      <c r="W440" s="172"/>
      <c r="X440" s="172"/>
      <c r="Y440" s="172"/>
      <c r="Z440" s="172"/>
      <c r="AA440" s="172"/>
      <c r="AB440" s="172"/>
      <c r="AC440" s="172"/>
      <c r="AD440" s="172"/>
      <c r="AE440" s="171"/>
      <c r="AF440" s="171"/>
      <c r="AG440" s="171"/>
      <c r="AH440" s="171"/>
      <c r="AI440" s="171"/>
      <c r="AJ440" s="171"/>
    </row>
    <row r="441" spans="13:36" x14ac:dyDescent="0.2">
      <c r="M441" s="172"/>
      <c r="N441" s="172"/>
      <c r="O441" s="172"/>
      <c r="Q441" s="172"/>
      <c r="R441" s="172"/>
      <c r="S441" s="172"/>
      <c r="U441" s="172"/>
      <c r="V441" s="172"/>
      <c r="W441" s="172"/>
      <c r="X441" s="172"/>
      <c r="Y441" s="172"/>
      <c r="Z441" s="172"/>
      <c r="AA441" s="172"/>
      <c r="AB441" s="172"/>
      <c r="AC441" s="172"/>
      <c r="AD441" s="172"/>
      <c r="AE441" s="171"/>
      <c r="AF441" s="171"/>
      <c r="AG441" s="171"/>
      <c r="AH441" s="171"/>
      <c r="AI441" s="171"/>
      <c r="AJ441" s="171"/>
    </row>
    <row r="442" spans="13:36" x14ac:dyDescent="0.2">
      <c r="M442" s="172"/>
      <c r="N442" s="172"/>
      <c r="O442" s="172"/>
      <c r="Q442" s="172"/>
      <c r="R442" s="172"/>
      <c r="S442" s="172"/>
      <c r="U442" s="172"/>
      <c r="V442" s="172"/>
      <c r="W442" s="172"/>
      <c r="X442" s="172"/>
      <c r="Y442" s="172"/>
      <c r="Z442" s="172"/>
      <c r="AA442" s="172"/>
      <c r="AB442" s="172"/>
      <c r="AC442" s="172"/>
      <c r="AD442" s="172"/>
      <c r="AE442" s="171"/>
      <c r="AF442" s="171"/>
      <c r="AG442" s="171"/>
      <c r="AH442" s="171"/>
      <c r="AI442" s="171"/>
      <c r="AJ442" s="171"/>
    </row>
    <row r="443" spans="13:36" x14ac:dyDescent="0.2">
      <c r="M443" s="172"/>
      <c r="N443" s="172"/>
      <c r="O443" s="172"/>
      <c r="Q443" s="172"/>
      <c r="R443" s="172"/>
      <c r="S443" s="172"/>
      <c r="U443" s="172"/>
      <c r="V443" s="172"/>
      <c r="W443" s="172"/>
      <c r="X443" s="172"/>
      <c r="Y443" s="172"/>
      <c r="Z443" s="172"/>
      <c r="AA443" s="172"/>
      <c r="AB443" s="172"/>
      <c r="AC443" s="172"/>
      <c r="AD443" s="172"/>
      <c r="AE443" s="171"/>
      <c r="AF443" s="171"/>
      <c r="AG443" s="171"/>
      <c r="AH443" s="171"/>
      <c r="AI443" s="171"/>
      <c r="AJ443" s="171"/>
    </row>
    <row r="444" spans="13:36" x14ac:dyDescent="0.2">
      <c r="M444" s="172"/>
      <c r="N444" s="172"/>
      <c r="O444" s="172"/>
      <c r="Q444" s="172"/>
      <c r="R444" s="172"/>
      <c r="S444" s="172"/>
      <c r="U444" s="172"/>
      <c r="V444" s="172"/>
      <c r="W444" s="172"/>
      <c r="X444" s="172"/>
      <c r="Y444" s="172"/>
      <c r="Z444" s="172"/>
      <c r="AA444" s="172"/>
      <c r="AB444" s="172"/>
      <c r="AC444" s="172"/>
      <c r="AD444" s="172"/>
      <c r="AE444" s="171"/>
      <c r="AF444" s="171"/>
      <c r="AG444" s="171"/>
      <c r="AH444" s="171"/>
      <c r="AI444" s="171"/>
      <c r="AJ444" s="171"/>
    </row>
    <row r="445" spans="13:36" x14ac:dyDescent="0.2">
      <c r="M445" s="172"/>
      <c r="N445" s="172"/>
      <c r="O445" s="172"/>
      <c r="Q445" s="172"/>
      <c r="R445" s="172"/>
      <c r="S445" s="172"/>
      <c r="U445" s="172"/>
      <c r="V445" s="172"/>
      <c r="W445" s="172"/>
      <c r="X445" s="172"/>
      <c r="Y445" s="172"/>
      <c r="Z445" s="172"/>
      <c r="AA445" s="172"/>
      <c r="AB445" s="172"/>
      <c r="AC445" s="172"/>
      <c r="AD445" s="172"/>
      <c r="AE445" s="171"/>
      <c r="AF445" s="171"/>
      <c r="AG445" s="171"/>
      <c r="AH445" s="171"/>
      <c r="AI445" s="171"/>
      <c r="AJ445" s="171"/>
    </row>
    <row r="446" spans="13:36" x14ac:dyDescent="0.2">
      <c r="M446" s="172"/>
      <c r="N446" s="172"/>
      <c r="O446" s="172"/>
      <c r="Q446" s="172"/>
      <c r="R446" s="172"/>
      <c r="S446" s="172"/>
      <c r="U446" s="172"/>
      <c r="V446" s="172"/>
      <c r="W446" s="172"/>
      <c r="X446" s="172"/>
      <c r="Y446" s="172"/>
      <c r="Z446" s="172"/>
      <c r="AA446" s="172"/>
      <c r="AB446" s="172"/>
      <c r="AC446" s="172"/>
      <c r="AD446" s="172"/>
      <c r="AE446" s="171"/>
      <c r="AF446" s="171"/>
      <c r="AG446" s="171"/>
      <c r="AH446" s="171"/>
      <c r="AI446" s="171"/>
      <c r="AJ446" s="171"/>
    </row>
    <row r="447" spans="13:36" x14ac:dyDescent="0.2">
      <c r="M447" s="172"/>
      <c r="N447" s="172"/>
      <c r="O447" s="172"/>
      <c r="Q447" s="172"/>
      <c r="R447" s="172"/>
      <c r="S447" s="172"/>
      <c r="U447" s="172"/>
      <c r="V447" s="172"/>
      <c r="W447" s="172"/>
      <c r="X447" s="172"/>
      <c r="Y447" s="172"/>
      <c r="Z447" s="172"/>
      <c r="AA447" s="172"/>
      <c r="AB447" s="172"/>
      <c r="AC447" s="172"/>
      <c r="AD447" s="172"/>
      <c r="AE447" s="171"/>
      <c r="AF447" s="171"/>
      <c r="AG447" s="171"/>
      <c r="AH447" s="171"/>
      <c r="AI447" s="171"/>
      <c r="AJ447" s="171"/>
    </row>
    <row r="448" spans="13:36" x14ac:dyDescent="0.2">
      <c r="M448" s="172"/>
      <c r="N448" s="172"/>
      <c r="O448" s="172"/>
      <c r="Q448" s="172"/>
      <c r="R448" s="172"/>
      <c r="S448" s="172"/>
      <c r="U448" s="172"/>
      <c r="V448" s="172"/>
      <c r="W448" s="172"/>
      <c r="X448" s="172"/>
      <c r="Y448" s="172"/>
      <c r="Z448" s="172"/>
      <c r="AA448" s="172"/>
      <c r="AB448" s="172"/>
      <c r="AC448" s="172"/>
      <c r="AD448" s="172"/>
      <c r="AE448" s="171"/>
      <c r="AF448" s="171"/>
      <c r="AG448" s="171"/>
      <c r="AH448" s="171"/>
      <c r="AI448" s="171"/>
      <c r="AJ448" s="171"/>
    </row>
    <row r="449" spans="13:36" x14ac:dyDescent="0.2">
      <c r="M449" s="172"/>
      <c r="N449" s="172"/>
      <c r="O449" s="172"/>
      <c r="Q449" s="172"/>
      <c r="R449" s="172"/>
      <c r="S449" s="172"/>
      <c r="U449" s="172"/>
      <c r="V449" s="172"/>
      <c r="W449" s="172"/>
      <c r="X449" s="172"/>
      <c r="Y449" s="172"/>
      <c r="Z449" s="172"/>
      <c r="AA449" s="172"/>
      <c r="AB449" s="172"/>
      <c r="AC449" s="172"/>
      <c r="AD449" s="172"/>
      <c r="AE449" s="171"/>
      <c r="AF449" s="171"/>
      <c r="AG449" s="171"/>
      <c r="AH449" s="171"/>
      <c r="AI449" s="171"/>
      <c r="AJ449" s="171"/>
    </row>
    <row r="450" spans="13:36" x14ac:dyDescent="0.2">
      <c r="M450" s="172"/>
      <c r="N450" s="172"/>
      <c r="O450" s="172"/>
      <c r="Q450" s="172"/>
      <c r="R450" s="172"/>
      <c r="S450" s="172"/>
      <c r="U450" s="172"/>
      <c r="V450" s="172"/>
      <c r="W450" s="172"/>
      <c r="X450" s="172"/>
      <c r="Y450" s="172"/>
      <c r="Z450" s="172"/>
      <c r="AA450" s="172"/>
      <c r="AB450" s="172"/>
      <c r="AC450" s="172"/>
      <c r="AD450" s="172"/>
      <c r="AE450" s="171"/>
      <c r="AF450" s="171"/>
      <c r="AG450" s="171"/>
      <c r="AH450" s="171"/>
      <c r="AI450" s="171"/>
      <c r="AJ450" s="171"/>
    </row>
    <row r="451" spans="13:36" x14ac:dyDescent="0.2">
      <c r="M451" s="172"/>
      <c r="N451" s="172"/>
      <c r="O451" s="172"/>
      <c r="Q451" s="172"/>
      <c r="R451" s="172"/>
      <c r="S451" s="172"/>
      <c r="U451" s="172"/>
      <c r="V451" s="172"/>
      <c r="W451" s="172"/>
      <c r="X451" s="172"/>
      <c r="Y451" s="172"/>
      <c r="Z451" s="172"/>
      <c r="AA451" s="172"/>
      <c r="AB451" s="172"/>
      <c r="AC451" s="172"/>
      <c r="AD451" s="172"/>
      <c r="AE451" s="171"/>
      <c r="AF451" s="171"/>
      <c r="AG451" s="171"/>
      <c r="AH451" s="171"/>
      <c r="AI451" s="171"/>
      <c r="AJ451" s="171"/>
    </row>
    <row r="452" spans="13:36" x14ac:dyDescent="0.2">
      <c r="M452" s="172"/>
      <c r="N452" s="172"/>
      <c r="O452" s="172"/>
      <c r="Q452" s="172"/>
      <c r="R452" s="172"/>
      <c r="S452" s="172"/>
      <c r="U452" s="172"/>
      <c r="V452" s="172"/>
      <c r="W452" s="172"/>
      <c r="X452" s="172"/>
      <c r="Y452" s="172"/>
      <c r="Z452" s="172"/>
      <c r="AA452" s="172"/>
      <c r="AB452" s="172"/>
      <c r="AC452" s="172"/>
      <c r="AD452" s="172"/>
      <c r="AE452" s="171"/>
      <c r="AF452" s="171"/>
      <c r="AG452" s="171"/>
      <c r="AH452" s="171"/>
      <c r="AI452" s="171"/>
      <c r="AJ452" s="171"/>
    </row>
    <row r="453" spans="13:36" x14ac:dyDescent="0.2">
      <c r="M453" s="172"/>
      <c r="N453" s="172"/>
      <c r="O453" s="172"/>
      <c r="Q453" s="172"/>
      <c r="R453" s="172"/>
      <c r="S453" s="172"/>
      <c r="U453" s="172"/>
      <c r="V453" s="172"/>
      <c r="W453" s="172"/>
      <c r="X453" s="172"/>
      <c r="Y453" s="172"/>
      <c r="Z453" s="172"/>
      <c r="AA453" s="172"/>
      <c r="AB453" s="172"/>
      <c r="AC453" s="172"/>
      <c r="AD453" s="172"/>
      <c r="AE453" s="171"/>
      <c r="AF453" s="171"/>
      <c r="AG453" s="171"/>
      <c r="AH453" s="171"/>
      <c r="AI453" s="171"/>
      <c r="AJ453" s="171"/>
    </row>
    <row r="454" spans="13:36" x14ac:dyDescent="0.2">
      <c r="M454" s="172"/>
      <c r="N454" s="172"/>
      <c r="O454" s="172"/>
      <c r="Q454" s="172"/>
      <c r="R454" s="172"/>
      <c r="S454" s="172"/>
      <c r="U454" s="172"/>
      <c r="V454" s="172"/>
      <c r="W454" s="172"/>
      <c r="X454" s="172"/>
      <c r="Y454" s="172"/>
      <c r="Z454" s="172"/>
      <c r="AA454" s="172"/>
      <c r="AB454" s="172"/>
      <c r="AC454" s="172"/>
      <c r="AD454" s="172"/>
      <c r="AE454" s="171"/>
      <c r="AF454" s="171"/>
      <c r="AG454" s="171"/>
      <c r="AH454" s="171"/>
      <c r="AI454" s="171"/>
      <c r="AJ454" s="171"/>
    </row>
    <row r="455" spans="13:36" x14ac:dyDescent="0.2">
      <c r="M455" s="172"/>
      <c r="N455" s="172"/>
      <c r="O455" s="172"/>
      <c r="Q455" s="172"/>
      <c r="R455" s="172"/>
      <c r="S455" s="172"/>
      <c r="U455" s="172"/>
      <c r="V455" s="172"/>
      <c r="W455" s="172"/>
      <c r="X455" s="172"/>
      <c r="Y455" s="172"/>
      <c r="Z455" s="172"/>
      <c r="AA455" s="172"/>
      <c r="AB455" s="172"/>
      <c r="AC455" s="172"/>
      <c r="AD455" s="172"/>
      <c r="AE455" s="171"/>
      <c r="AF455" s="171"/>
      <c r="AG455" s="171"/>
      <c r="AH455" s="171"/>
      <c r="AI455" s="171"/>
      <c r="AJ455" s="171"/>
    </row>
    <row r="456" spans="13:36" x14ac:dyDescent="0.2">
      <c r="M456" s="172"/>
      <c r="N456" s="172"/>
      <c r="O456" s="172"/>
      <c r="Q456" s="172"/>
      <c r="R456" s="172"/>
      <c r="S456" s="172"/>
      <c r="U456" s="172"/>
      <c r="V456" s="172"/>
      <c r="W456" s="172"/>
      <c r="X456" s="172"/>
      <c r="Y456" s="172"/>
      <c r="Z456" s="172"/>
      <c r="AA456" s="172"/>
      <c r="AB456" s="172"/>
      <c r="AC456" s="172"/>
      <c r="AD456" s="172"/>
      <c r="AE456" s="171"/>
      <c r="AF456" s="171"/>
      <c r="AG456" s="171"/>
      <c r="AH456" s="171"/>
      <c r="AI456" s="171"/>
      <c r="AJ456" s="171"/>
    </row>
    <row r="457" spans="13:36" x14ac:dyDescent="0.2">
      <c r="M457" s="172"/>
      <c r="N457" s="172"/>
      <c r="O457" s="172"/>
      <c r="Q457" s="172"/>
      <c r="R457" s="172"/>
      <c r="S457" s="172"/>
      <c r="U457" s="172"/>
      <c r="V457" s="172"/>
      <c r="W457" s="172"/>
      <c r="X457" s="172"/>
      <c r="Y457" s="172"/>
      <c r="Z457" s="172"/>
      <c r="AA457" s="172"/>
      <c r="AB457" s="172"/>
      <c r="AC457" s="172"/>
      <c r="AD457" s="172"/>
      <c r="AE457" s="171"/>
      <c r="AF457" s="171"/>
      <c r="AG457" s="171"/>
      <c r="AH457" s="171"/>
      <c r="AI457" s="171"/>
      <c r="AJ457" s="171"/>
    </row>
    <row r="458" spans="13:36" x14ac:dyDescent="0.2">
      <c r="M458" s="172"/>
      <c r="N458" s="172"/>
      <c r="O458" s="172"/>
      <c r="Q458" s="172"/>
      <c r="R458" s="172"/>
      <c r="S458" s="172"/>
      <c r="U458" s="172"/>
      <c r="V458" s="172"/>
      <c r="W458" s="172"/>
      <c r="X458" s="172"/>
      <c r="Y458" s="172"/>
      <c r="Z458" s="172"/>
      <c r="AA458" s="172"/>
      <c r="AB458" s="172"/>
      <c r="AC458" s="172"/>
      <c r="AD458" s="172"/>
      <c r="AE458" s="171"/>
      <c r="AF458" s="171"/>
      <c r="AG458" s="171"/>
      <c r="AH458" s="171"/>
      <c r="AI458" s="171"/>
      <c r="AJ458" s="171"/>
    </row>
    <row r="459" spans="13:36" x14ac:dyDescent="0.2">
      <c r="M459" s="172"/>
      <c r="N459" s="172"/>
      <c r="O459" s="172"/>
      <c r="Q459" s="172"/>
      <c r="R459" s="172"/>
      <c r="S459" s="172"/>
      <c r="U459" s="172"/>
      <c r="V459" s="172"/>
      <c r="W459" s="172"/>
      <c r="X459" s="172"/>
      <c r="Y459" s="172"/>
      <c r="Z459" s="172"/>
      <c r="AA459" s="172"/>
      <c r="AB459" s="172"/>
      <c r="AC459" s="172"/>
      <c r="AD459" s="172"/>
      <c r="AE459" s="171"/>
      <c r="AF459" s="171"/>
      <c r="AG459" s="171"/>
      <c r="AH459" s="171"/>
      <c r="AI459" s="171"/>
      <c r="AJ459" s="171"/>
    </row>
    <row r="460" spans="13:36" x14ac:dyDescent="0.2">
      <c r="M460" s="172"/>
      <c r="N460" s="172"/>
      <c r="O460" s="172"/>
      <c r="Q460" s="172"/>
      <c r="R460" s="172"/>
      <c r="S460" s="172"/>
      <c r="U460" s="172"/>
      <c r="V460" s="172"/>
      <c r="W460" s="172"/>
      <c r="X460" s="172"/>
      <c r="Y460" s="172"/>
      <c r="Z460" s="172"/>
      <c r="AA460" s="172"/>
      <c r="AB460" s="172"/>
      <c r="AC460" s="172"/>
      <c r="AD460" s="172"/>
      <c r="AE460" s="171"/>
      <c r="AF460" s="171"/>
      <c r="AG460" s="171"/>
      <c r="AH460" s="171"/>
      <c r="AI460" s="171"/>
      <c r="AJ460" s="171"/>
    </row>
    <row r="461" spans="13:36" x14ac:dyDescent="0.2">
      <c r="M461" s="172"/>
      <c r="N461" s="172"/>
      <c r="O461" s="172"/>
      <c r="Q461" s="172"/>
      <c r="R461" s="172"/>
      <c r="S461" s="172"/>
      <c r="U461" s="172"/>
      <c r="V461" s="172"/>
      <c r="W461" s="172"/>
      <c r="X461" s="172"/>
      <c r="Y461" s="172"/>
      <c r="Z461" s="172"/>
      <c r="AA461" s="172"/>
      <c r="AB461" s="172"/>
      <c r="AC461" s="172"/>
      <c r="AD461" s="172"/>
      <c r="AE461" s="171"/>
      <c r="AF461" s="171"/>
      <c r="AG461" s="171"/>
      <c r="AH461" s="171"/>
      <c r="AI461" s="171"/>
      <c r="AJ461" s="171"/>
    </row>
    <row r="462" spans="13:36" x14ac:dyDescent="0.2">
      <c r="M462" s="172"/>
      <c r="N462" s="172"/>
      <c r="O462" s="172"/>
      <c r="Q462" s="172"/>
      <c r="R462" s="172"/>
      <c r="S462" s="172"/>
      <c r="U462" s="172"/>
      <c r="V462" s="172"/>
      <c r="W462" s="172"/>
      <c r="X462" s="172"/>
      <c r="Y462" s="172"/>
      <c r="Z462" s="172"/>
      <c r="AA462" s="172"/>
      <c r="AB462" s="172"/>
      <c r="AC462" s="172"/>
      <c r="AD462" s="172"/>
      <c r="AE462" s="171"/>
      <c r="AF462" s="171"/>
      <c r="AG462" s="171"/>
      <c r="AH462" s="171"/>
      <c r="AI462" s="171"/>
      <c r="AJ462" s="171"/>
    </row>
    <row r="463" spans="13:36" x14ac:dyDescent="0.2">
      <c r="M463" s="172"/>
      <c r="N463" s="172"/>
      <c r="O463" s="172"/>
      <c r="Q463" s="172"/>
      <c r="R463" s="172"/>
      <c r="S463" s="172"/>
      <c r="U463" s="172"/>
      <c r="V463" s="172"/>
      <c r="W463" s="172"/>
      <c r="X463" s="172"/>
      <c r="Y463" s="172"/>
      <c r="Z463" s="172"/>
      <c r="AA463" s="172"/>
      <c r="AB463" s="172"/>
      <c r="AC463" s="172"/>
      <c r="AD463" s="172"/>
      <c r="AE463" s="171"/>
      <c r="AF463" s="171"/>
      <c r="AG463" s="171"/>
      <c r="AH463" s="171"/>
      <c r="AI463" s="171"/>
      <c r="AJ463" s="171"/>
    </row>
    <row r="464" spans="13:36" x14ac:dyDescent="0.2">
      <c r="M464" s="172"/>
      <c r="N464" s="172"/>
      <c r="O464" s="172"/>
      <c r="Q464" s="172"/>
      <c r="R464" s="172"/>
      <c r="S464" s="172"/>
      <c r="U464" s="172"/>
      <c r="V464" s="172"/>
      <c r="W464" s="172"/>
      <c r="X464" s="172"/>
      <c r="Y464" s="172"/>
      <c r="Z464" s="172"/>
      <c r="AA464" s="172"/>
      <c r="AB464" s="172"/>
      <c r="AC464" s="172"/>
      <c r="AD464" s="172"/>
      <c r="AE464" s="171"/>
      <c r="AF464" s="171"/>
      <c r="AG464" s="171"/>
      <c r="AH464" s="171"/>
      <c r="AI464" s="171"/>
      <c r="AJ464" s="171"/>
    </row>
    <row r="465" spans="13:36" x14ac:dyDescent="0.2">
      <c r="M465" s="172"/>
      <c r="N465" s="172"/>
      <c r="O465" s="172"/>
      <c r="Q465" s="172"/>
      <c r="R465" s="172"/>
      <c r="S465" s="172"/>
      <c r="U465" s="172"/>
      <c r="V465" s="172"/>
      <c r="W465" s="172"/>
      <c r="X465" s="172"/>
      <c r="Y465" s="172"/>
      <c r="Z465" s="172"/>
      <c r="AA465" s="172"/>
      <c r="AB465" s="172"/>
      <c r="AC465" s="172"/>
      <c r="AD465" s="172"/>
      <c r="AE465" s="171"/>
      <c r="AF465" s="171"/>
      <c r="AG465" s="171"/>
      <c r="AH465" s="171"/>
      <c r="AI465" s="171"/>
      <c r="AJ465" s="171"/>
    </row>
    <row r="466" spans="13:36" x14ac:dyDescent="0.2">
      <c r="M466" s="172"/>
      <c r="N466" s="172"/>
      <c r="O466" s="172"/>
      <c r="Q466" s="172"/>
      <c r="R466" s="172"/>
      <c r="S466" s="172"/>
      <c r="U466" s="172"/>
      <c r="V466" s="172"/>
      <c r="W466" s="172"/>
      <c r="X466" s="172"/>
      <c r="Y466" s="172"/>
      <c r="Z466" s="172"/>
      <c r="AA466" s="172"/>
      <c r="AB466" s="172"/>
      <c r="AC466" s="172"/>
      <c r="AD466" s="172"/>
      <c r="AE466" s="171"/>
      <c r="AF466" s="171"/>
      <c r="AG466" s="171"/>
      <c r="AH466" s="171"/>
      <c r="AI466" s="171"/>
      <c r="AJ466" s="171"/>
    </row>
    <row r="467" spans="13:36" x14ac:dyDescent="0.2">
      <c r="M467" s="172"/>
      <c r="N467" s="172"/>
      <c r="O467" s="172"/>
      <c r="Q467" s="172"/>
      <c r="R467" s="172"/>
      <c r="S467" s="172"/>
      <c r="U467" s="172"/>
      <c r="V467" s="172"/>
      <c r="W467" s="172"/>
      <c r="X467" s="172"/>
      <c r="Y467" s="172"/>
      <c r="Z467" s="172"/>
      <c r="AA467" s="172"/>
      <c r="AB467" s="172"/>
      <c r="AC467" s="172"/>
      <c r="AD467" s="172"/>
      <c r="AE467" s="171"/>
      <c r="AF467" s="171"/>
      <c r="AG467" s="171"/>
      <c r="AH467" s="171"/>
      <c r="AI467" s="171"/>
      <c r="AJ467" s="171"/>
    </row>
    <row r="468" spans="13:36" x14ac:dyDescent="0.2">
      <c r="M468" s="172"/>
      <c r="N468" s="172"/>
      <c r="O468" s="172"/>
      <c r="Q468" s="172"/>
      <c r="R468" s="172"/>
      <c r="S468" s="172"/>
      <c r="U468" s="172"/>
      <c r="V468" s="172"/>
      <c r="W468" s="172"/>
      <c r="X468" s="172"/>
      <c r="Y468" s="172"/>
      <c r="Z468" s="172"/>
      <c r="AA468" s="172"/>
      <c r="AB468" s="172"/>
      <c r="AC468" s="172"/>
      <c r="AD468" s="172"/>
      <c r="AE468" s="171"/>
      <c r="AF468" s="171"/>
      <c r="AG468" s="171"/>
      <c r="AH468" s="171"/>
      <c r="AI468" s="171"/>
      <c r="AJ468" s="171"/>
    </row>
    <row r="469" spans="13:36" x14ac:dyDescent="0.2">
      <c r="M469" s="172"/>
      <c r="N469" s="172"/>
      <c r="O469" s="172"/>
      <c r="Q469" s="172"/>
      <c r="R469" s="172"/>
      <c r="S469" s="172"/>
      <c r="U469" s="172"/>
      <c r="V469" s="172"/>
      <c r="W469" s="172"/>
      <c r="X469" s="172"/>
      <c r="Y469" s="172"/>
      <c r="Z469" s="172"/>
      <c r="AA469" s="172"/>
      <c r="AB469" s="172"/>
      <c r="AC469" s="172"/>
      <c r="AD469" s="172"/>
      <c r="AE469" s="171"/>
      <c r="AF469" s="171"/>
      <c r="AG469" s="171"/>
      <c r="AH469" s="171"/>
      <c r="AI469" s="171"/>
      <c r="AJ469" s="171"/>
    </row>
    <row r="470" spans="13:36" x14ac:dyDescent="0.2">
      <c r="M470" s="172"/>
      <c r="N470" s="172"/>
      <c r="O470" s="172"/>
      <c r="Q470" s="172"/>
      <c r="R470" s="172"/>
      <c r="S470" s="172"/>
      <c r="U470" s="172"/>
      <c r="V470" s="172"/>
      <c r="W470" s="172"/>
      <c r="X470" s="172"/>
      <c r="Y470" s="172"/>
      <c r="Z470" s="172"/>
      <c r="AA470" s="172"/>
      <c r="AB470" s="172"/>
      <c r="AC470" s="172"/>
      <c r="AD470" s="172"/>
      <c r="AE470" s="171"/>
      <c r="AF470" s="171"/>
      <c r="AG470" s="171"/>
      <c r="AH470" s="171"/>
      <c r="AI470" s="171"/>
      <c r="AJ470" s="171"/>
    </row>
    <row r="471" spans="13:36" x14ac:dyDescent="0.2">
      <c r="M471" s="172"/>
      <c r="N471" s="172"/>
      <c r="O471" s="172"/>
      <c r="Q471" s="172"/>
      <c r="R471" s="172"/>
      <c r="S471" s="172"/>
      <c r="U471" s="172"/>
      <c r="V471" s="172"/>
      <c r="W471" s="172"/>
      <c r="X471" s="172"/>
      <c r="Y471" s="172"/>
      <c r="Z471" s="172"/>
      <c r="AA471" s="172"/>
      <c r="AB471" s="172"/>
      <c r="AC471" s="172"/>
      <c r="AD471" s="172"/>
      <c r="AE471" s="171"/>
      <c r="AF471" s="171"/>
      <c r="AG471" s="171"/>
      <c r="AH471" s="171"/>
      <c r="AI471" s="171"/>
      <c r="AJ471" s="171"/>
    </row>
    <row r="472" spans="13:36" x14ac:dyDescent="0.2">
      <c r="M472" s="172"/>
      <c r="N472" s="172"/>
      <c r="O472" s="172"/>
      <c r="Q472" s="172"/>
      <c r="R472" s="172"/>
      <c r="S472" s="172"/>
      <c r="U472" s="172"/>
      <c r="V472" s="172"/>
      <c r="W472" s="172"/>
      <c r="X472" s="172"/>
      <c r="Y472" s="172"/>
      <c r="Z472" s="172"/>
      <c r="AA472" s="172"/>
      <c r="AB472" s="172"/>
      <c r="AC472" s="172"/>
      <c r="AD472" s="172"/>
      <c r="AE472" s="171"/>
      <c r="AF472" s="171"/>
      <c r="AG472" s="171"/>
      <c r="AH472" s="171"/>
      <c r="AI472" s="171"/>
      <c r="AJ472" s="171"/>
    </row>
    <row r="473" spans="13:36" x14ac:dyDescent="0.2">
      <c r="M473" s="172"/>
      <c r="N473" s="172"/>
      <c r="O473" s="172"/>
      <c r="Q473" s="172"/>
      <c r="R473" s="172"/>
      <c r="S473" s="172"/>
      <c r="U473" s="172"/>
      <c r="V473" s="172"/>
      <c r="W473" s="172"/>
      <c r="X473" s="172"/>
      <c r="Y473" s="172"/>
      <c r="Z473" s="172"/>
      <c r="AA473" s="172"/>
      <c r="AB473" s="172"/>
      <c r="AC473" s="172"/>
      <c r="AD473" s="172"/>
      <c r="AE473" s="171"/>
      <c r="AF473" s="171"/>
      <c r="AG473" s="171"/>
      <c r="AH473" s="171"/>
      <c r="AI473" s="171"/>
      <c r="AJ473" s="171"/>
    </row>
    <row r="474" spans="13:36" x14ac:dyDescent="0.2">
      <c r="M474" s="172"/>
      <c r="N474" s="172"/>
      <c r="O474" s="172"/>
      <c r="Q474" s="172"/>
      <c r="R474" s="172"/>
      <c r="S474" s="172"/>
      <c r="U474" s="172"/>
      <c r="V474" s="172"/>
      <c r="W474" s="172"/>
      <c r="X474" s="172"/>
      <c r="Y474" s="172"/>
      <c r="Z474" s="172"/>
      <c r="AA474" s="172"/>
      <c r="AB474" s="172"/>
      <c r="AC474" s="172"/>
      <c r="AD474" s="172"/>
      <c r="AE474" s="171"/>
      <c r="AF474" s="171"/>
      <c r="AG474" s="171"/>
      <c r="AH474" s="171"/>
      <c r="AI474" s="171"/>
      <c r="AJ474" s="171"/>
    </row>
    <row r="475" spans="13:36" x14ac:dyDescent="0.2">
      <c r="M475" s="172"/>
      <c r="N475" s="172"/>
      <c r="O475" s="172"/>
      <c r="Q475" s="172"/>
      <c r="R475" s="172"/>
      <c r="S475" s="172"/>
      <c r="U475" s="172"/>
      <c r="V475" s="172"/>
      <c r="W475" s="172"/>
      <c r="X475" s="172"/>
      <c r="Y475" s="172"/>
      <c r="Z475" s="172"/>
      <c r="AA475" s="172"/>
      <c r="AB475" s="172"/>
      <c r="AC475" s="172"/>
      <c r="AD475" s="172"/>
      <c r="AE475" s="171"/>
      <c r="AF475" s="171"/>
      <c r="AG475" s="171"/>
      <c r="AH475" s="171"/>
      <c r="AI475" s="171"/>
      <c r="AJ475" s="171"/>
    </row>
    <row r="476" spans="13:36" x14ac:dyDescent="0.2">
      <c r="M476" s="172"/>
      <c r="N476" s="172"/>
      <c r="O476" s="172"/>
      <c r="Q476" s="172"/>
      <c r="R476" s="172"/>
      <c r="S476" s="172"/>
      <c r="U476" s="172"/>
      <c r="V476" s="172"/>
      <c r="W476" s="172"/>
      <c r="X476" s="172"/>
      <c r="Y476" s="172"/>
      <c r="Z476" s="172"/>
      <c r="AA476" s="172"/>
      <c r="AB476" s="172"/>
      <c r="AC476" s="172"/>
      <c r="AD476" s="172"/>
      <c r="AE476" s="171"/>
      <c r="AF476" s="171"/>
      <c r="AG476" s="171"/>
      <c r="AH476" s="171"/>
      <c r="AI476" s="171"/>
      <c r="AJ476" s="171"/>
    </row>
    <row r="477" spans="13:36" x14ac:dyDescent="0.2">
      <c r="M477" s="172"/>
      <c r="N477" s="172"/>
      <c r="O477" s="172"/>
      <c r="Q477" s="172"/>
      <c r="R477" s="172"/>
      <c r="S477" s="172"/>
      <c r="U477" s="172"/>
      <c r="V477" s="172"/>
      <c r="W477" s="172"/>
      <c r="X477" s="172"/>
      <c r="Y477" s="172"/>
      <c r="Z477" s="172"/>
      <c r="AA477" s="172"/>
      <c r="AB477" s="172"/>
      <c r="AC477" s="172"/>
      <c r="AD477" s="172"/>
      <c r="AE477" s="171"/>
      <c r="AF477" s="171"/>
      <c r="AG477" s="171"/>
      <c r="AH477" s="171"/>
      <c r="AI477" s="171"/>
      <c r="AJ477" s="171"/>
    </row>
    <row r="478" spans="13:36" x14ac:dyDescent="0.2">
      <c r="M478" s="172"/>
      <c r="N478" s="172"/>
      <c r="O478" s="172"/>
      <c r="Q478" s="172"/>
      <c r="R478" s="172"/>
      <c r="S478" s="172"/>
      <c r="U478" s="172"/>
      <c r="V478" s="172"/>
      <c r="W478" s="172"/>
      <c r="X478" s="172"/>
      <c r="Y478" s="172"/>
      <c r="Z478" s="172"/>
      <c r="AA478" s="172"/>
      <c r="AB478" s="172"/>
      <c r="AC478" s="172"/>
      <c r="AD478" s="172"/>
      <c r="AE478" s="171"/>
      <c r="AF478" s="171"/>
      <c r="AG478" s="171"/>
      <c r="AH478" s="171"/>
      <c r="AI478" s="171"/>
      <c r="AJ478" s="171"/>
    </row>
    <row r="479" spans="13:36" x14ac:dyDescent="0.2">
      <c r="M479" s="172"/>
      <c r="N479" s="172"/>
      <c r="O479" s="172"/>
      <c r="Q479" s="172"/>
      <c r="R479" s="172"/>
      <c r="S479" s="172"/>
      <c r="U479" s="172"/>
      <c r="V479" s="172"/>
      <c r="W479" s="172"/>
      <c r="X479" s="172"/>
      <c r="Y479" s="172"/>
      <c r="Z479" s="172"/>
      <c r="AA479" s="172"/>
      <c r="AB479" s="172"/>
      <c r="AC479" s="172"/>
      <c r="AD479" s="172"/>
      <c r="AE479" s="171"/>
      <c r="AF479" s="171"/>
      <c r="AG479" s="171"/>
      <c r="AH479" s="171"/>
      <c r="AI479" s="171"/>
      <c r="AJ479" s="171"/>
    </row>
    <row r="480" spans="13:36" x14ac:dyDescent="0.2">
      <c r="M480" s="172"/>
      <c r="N480" s="172"/>
      <c r="O480" s="172"/>
      <c r="Q480" s="172"/>
      <c r="R480" s="172"/>
      <c r="S480" s="172"/>
      <c r="U480" s="172"/>
      <c r="V480" s="172"/>
      <c r="W480" s="172"/>
      <c r="X480" s="172"/>
      <c r="Y480" s="172"/>
      <c r="Z480" s="172"/>
      <c r="AA480" s="172"/>
      <c r="AB480" s="172"/>
      <c r="AC480" s="172"/>
      <c r="AD480" s="172"/>
      <c r="AE480" s="171"/>
      <c r="AF480" s="171"/>
      <c r="AG480" s="171"/>
      <c r="AH480" s="171"/>
      <c r="AI480" s="171"/>
      <c r="AJ480" s="171"/>
    </row>
    <row r="481" spans="13:36" x14ac:dyDescent="0.2">
      <c r="M481" s="172"/>
      <c r="N481" s="172"/>
      <c r="O481" s="172"/>
      <c r="Q481" s="172"/>
      <c r="R481" s="172"/>
      <c r="S481" s="172"/>
      <c r="U481" s="172"/>
      <c r="V481" s="172"/>
      <c r="W481" s="172"/>
      <c r="X481" s="172"/>
      <c r="Y481" s="172"/>
      <c r="Z481" s="172"/>
      <c r="AA481" s="172"/>
      <c r="AB481" s="172"/>
      <c r="AC481" s="172"/>
      <c r="AD481" s="172"/>
      <c r="AE481" s="171"/>
      <c r="AF481" s="171"/>
      <c r="AG481" s="171"/>
      <c r="AH481" s="171"/>
      <c r="AI481" s="171"/>
      <c r="AJ481" s="171"/>
    </row>
    <row r="482" spans="13:36" x14ac:dyDescent="0.2">
      <c r="M482" s="172"/>
      <c r="N482" s="172"/>
      <c r="O482" s="172"/>
      <c r="Q482" s="172"/>
      <c r="R482" s="172"/>
      <c r="S482" s="172"/>
      <c r="U482" s="172"/>
      <c r="V482" s="172"/>
      <c r="W482" s="172"/>
      <c r="X482" s="172"/>
      <c r="Y482" s="172"/>
      <c r="Z482" s="172"/>
      <c r="AA482" s="172"/>
      <c r="AB482" s="172"/>
      <c r="AC482" s="172"/>
      <c r="AD482" s="172"/>
      <c r="AE482" s="171"/>
      <c r="AF482" s="171"/>
      <c r="AG482" s="171"/>
      <c r="AH482" s="171"/>
      <c r="AI482" s="171"/>
      <c r="AJ482" s="171"/>
    </row>
    <row r="483" spans="13:36" x14ac:dyDescent="0.2">
      <c r="M483" s="172"/>
      <c r="N483" s="172"/>
      <c r="O483" s="172"/>
      <c r="Q483" s="172"/>
      <c r="R483" s="172"/>
      <c r="S483" s="172"/>
      <c r="U483" s="172"/>
      <c r="V483" s="172"/>
      <c r="W483" s="172"/>
      <c r="X483" s="172"/>
      <c r="Y483" s="172"/>
      <c r="Z483" s="172"/>
      <c r="AA483" s="172"/>
      <c r="AB483" s="172"/>
      <c r="AC483" s="172"/>
      <c r="AD483" s="172"/>
      <c r="AE483" s="171"/>
      <c r="AF483" s="171"/>
      <c r="AG483" s="171"/>
      <c r="AH483" s="171"/>
      <c r="AI483" s="171"/>
      <c r="AJ483" s="171"/>
    </row>
    <row r="484" spans="13:36" x14ac:dyDescent="0.2">
      <c r="M484" s="172"/>
      <c r="N484" s="172"/>
      <c r="O484" s="172"/>
      <c r="Q484" s="172"/>
      <c r="R484" s="172"/>
      <c r="S484" s="172"/>
      <c r="U484" s="172"/>
      <c r="V484" s="172"/>
      <c r="W484" s="172"/>
      <c r="X484" s="172"/>
      <c r="Y484" s="172"/>
      <c r="Z484" s="172"/>
      <c r="AA484" s="172"/>
      <c r="AB484" s="172"/>
      <c r="AC484" s="172"/>
      <c r="AD484" s="172"/>
      <c r="AE484" s="171"/>
      <c r="AF484" s="171"/>
      <c r="AG484" s="171"/>
      <c r="AH484" s="171"/>
      <c r="AI484" s="171"/>
      <c r="AJ484" s="171"/>
    </row>
    <row r="485" spans="13:36" x14ac:dyDescent="0.2">
      <c r="M485" s="172"/>
      <c r="N485" s="172"/>
      <c r="O485" s="172"/>
      <c r="Q485" s="172"/>
      <c r="R485" s="172"/>
      <c r="S485" s="172"/>
      <c r="U485" s="172"/>
      <c r="V485" s="172"/>
      <c r="W485" s="172"/>
      <c r="X485" s="172"/>
      <c r="Y485" s="172"/>
      <c r="Z485" s="172"/>
      <c r="AA485" s="172"/>
      <c r="AB485" s="172"/>
      <c r="AC485" s="172"/>
      <c r="AD485" s="172"/>
      <c r="AE485" s="171"/>
      <c r="AF485" s="171"/>
      <c r="AG485" s="171"/>
      <c r="AH485" s="171"/>
      <c r="AI485" s="171"/>
      <c r="AJ485" s="171"/>
    </row>
    <row r="486" spans="13:36" x14ac:dyDescent="0.2">
      <c r="M486" s="172"/>
      <c r="N486" s="172"/>
      <c r="O486" s="172"/>
      <c r="Q486" s="172"/>
      <c r="R486" s="172"/>
      <c r="S486" s="172"/>
      <c r="U486" s="172"/>
      <c r="V486" s="172"/>
      <c r="W486" s="172"/>
      <c r="X486" s="172"/>
      <c r="Y486" s="172"/>
      <c r="Z486" s="172"/>
      <c r="AA486" s="172"/>
      <c r="AB486" s="172"/>
      <c r="AC486" s="172"/>
      <c r="AD486" s="172"/>
      <c r="AE486" s="171"/>
      <c r="AF486" s="171"/>
      <c r="AG486" s="171"/>
      <c r="AH486" s="171"/>
      <c r="AI486" s="171"/>
      <c r="AJ486" s="171"/>
    </row>
    <row r="487" spans="13:36" x14ac:dyDescent="0.2">
      <c r="M487" s="172"/>
      <c r="N487" s="172"/>
      <c r="O487" s="172"/>
      <c r="Q487" s="172"/>
      <c r="R487" s="172"/>
      <c r="S487" s="172"/>
      <c r="U487" s="172"/>
      <c r="V487" s="172"/>
      <c r="W487" s="172"/>
      <c r="X487" s="172"/>
      <c r="Y487" s="172"/>
      <c r="Z487" s="172"/>
      <c r="AA487" s="172"/>
      <c r="AB487" s="172"/>
      <c r="AC487" s="172"/>
      <c r="AD487" s="172"/>
      <c r="AE487" s="171"/>
      <c r="AF487" s="171"/>
      <c r="AG487" s="171"/>
      <c r="AH487" s="171"/>
      <c r="AI487" s="171"/>
      <c r="AJ487" s="171"/>
    </row>
    <row r="488" spans="13:36" x14ac:dyDescent="0.2">
      <c r="M488" s="172"/>
      <c r="N488" s="172"/>
      <c r="O488" s="172"/>
      <c r="Q488" s="172"/>
      <c r="R488" s="172"/>
      <c r="S488" s="172"/>
      <c r="U488" s="172"/>
      <c r="V488" s="172"/>
      <c r="W488" s="172"/>
      <c r="X488" s="172"/>
      <c r="Y488" s="172"/>
      <c r="Z488" s="172"/>
      <c r="AA488" s="172"/>
      <c r="AB488" s="172"/>
      <c r="AC488" s="172"/>
      <c r="AD488" s="172"/>
      <c r="AE488" s="171"/>
      <c r="AF488" s="171"/>
      <c r="AG488" s="171"/>
      <c r="AH488" s="171"/>
      <c r="AI488" s="171"/>
      <c r="AJ488" s="171"/>
    </row>
    <row r="489" spans="13:36" x14ac:dyDescent="0.2">
      <c r="M489" s="172"/>
      <c r="N489" s="172"/>
      <c r="O489" s="172"/>
      <c r="Q489" s="172"/>
      <c r="R489" s="172"/>
      <c r="S489" s="172"/>
      <c r="U489" s="172"/>
      <c r="V489" s="172"/>
      <c r="W489" s="172"/>
      <c r="X489" s="172"/>
      <c r="Y489" s="172"/>
      <c r="Z489" s="172"/>
      <c r="AA489" s="172"/>
      <c r="AB489" s="172"/>
      <c r="AC489" s="172"/>
      <c r="AD489" s="172"/>
      <c r="AE489" s="171"/>
      <c r="AF489" s="171"/>
      <c r="AG489" s="171"/>
      <c r="AH489" s="171"/>
      <c r="AI489" s="171"/>
      <c r="AJ489" s="171"/>
    </row>
    <row r="490" spans="13:36" x14ac:dyDescent="0.2">
      <c r="M490" s="172"/>
      <c r="N490" s="172"/>
      <c r="O490" s="172"/>
      <c r="Q490" s="172"/>
      <c r="R490" s="172"/>
      <c r="S490" s="172"/>
      <c r="U490" s="172"/>
      <c r="V490" s="172"/>
      <c r="W490" s="172"/>
      <c r="X490" s="172"/>
      <c r="Y490" s="172"/>
      <c r="Z490" s="172"/>
      <c r="AA490" s="172"/>
      <c r="AB490" s="172"/>
      <c r="AC490" s="172"/>
      <c r="AD490" s="172"/>
      <c r="AE490" s="171"/>
      <c r="AF490" s="171"/>
      <c r="AG490" s="171"/>
      <c r="AH490" s="171"/>
      <c r="AI490" s="171"/>
      <c r="AJ490" s="171"/>
    </row>
    <row r="491" spans="13:36" x14ac:dyDescent="0.2">
      <c r="M491" s="172"/>
      <c r="N491" s="172"/>
      <c r="O491" s="172"/>
      <c r="Q491" s="172"/>
      <c r="R491" s="172"/>
      <c r="S491" s="172"/>
      <c r="U491" s="172"/>
      <c r="V491" s="172"/>
      <c r="W491" s="172"/>
      <c r="X491" s="172"/>
      <c r="Y491" s="172"/>
      <c r="Z491" s="172"/>
      <c r="AA491" s="172"/>
      <c r="AB491" s="172"/>
      <c r="AC491" s="172"/>
      <c r="AD491" s="172"/>
      <c r="AE491" s="171"/>
      <c r="AF491" s="171"/>
      <c r="AG491" s="171"/>
      <c r="AH491" s="171"/>
      <c r="AI491" s="171"/>
      <c r="AJ491" s="171"/>
    </row>
    <row r="492" spans="13:36" x14ac:dyDescent="0.2">
      <c r="M492" s="172"/>
      <c r="N492" s="172"/>
      <c r="O492" s="172"/>
      <c r="Q492" s="172"/>
      <c r="R492" s="172"/>
      <c r="S492" s="172"/>
      <c r="U492" s="172"/>
      <c r="V492" s="172"/>
      <c r="W492" s="172"/>
      <c r="X492" s="172"/>
      <c r="Y492" s="172"/>
      <c r="Z492" s="172"/>
      <c r="AA492" s="172"/>
      <c r="AB492" s="172"/>
      <c r="AC492" s="172"/>
      <c r="AD492" s="172"/>
      <c r="AE492" s="171"/>
      <c r="AF492" s="171"/>
      <c r="AG492" s="171"/>
      <c r="AH492" s="171"/>
      <c r="AI492" s="171"/>
      <c r="AJ492" s="171"/>
    </row>
    <row r="493" spans="13:36" x14ac:dyDescent="0.2">
      <c r="M493" s="172"/>
      <c r="N493" s="172"/>
      <c r="O493" s="172"/>
      <c r="Q493" s="172"/>
      <c r="R493" s="172"/>
      <c r="S493" s="172"/>
      <c r="U493" s="172"/>
      <c r="V493" s="172"/>
      <c r="W493" s="172"/>
      <c r="X493" s="172"/>
      <c r="Y493" s="172"/>
      <c r="Z493" s="172"/>
      <c r="AA493" s="172"/>
      <c r="AB493" s="172"/>
      <c r="AC493" s="172"/>
      <c r="AD493" s="172"/>
      <c r="AE493" s="171"/>
      <c r="AF493" s="171"/>
      <c r="AG493" s="171"/>
      <c r="AH493" s="171"/>
      <c r="AI493" s="171"/>
      <c r="AJ493" s="171"/>
    </row>
    <row r="494" spans="13:36" x14ac:dyDescent="0.2">
      <c r="M494" s="172"/>
      <c r="N494" s="172"/>
      <c r="O494" s="172"/>
      <c r="Q494" s="172"/>
      <c r="R494" s="172"/>
      <c r="S494" s="172"/>
      <c r="U494" s="172"/>
      <c r="V494" s="172"/>
      <c r="W494" s="172"/>
      <c r="X494" s="172"/>
      <c r="Y494" s="172"/>
      <c r="Z494" s="172"/>
      <c r="AA494" s="172"/>
      <c r="AB494" s="172"/>
      <c r="AC494" s="172"/>
      <c r="AD494" s="172"/>
      <c r="AE494" s="171"/>
      <c r="AF494" s="171"/>
      <c r="AG494" s="171"/>
      <c r="AH494" s="171"/>
      <c r="AI494" s="171"/>
      <c r="AJ494" s="171"/>
    </row>
    <row r="495" spans="13:36" x14ac:dyDescent="0.2">
      <c r="M495" s="172"/>
      <c r="N495" s="172"/>
      <c r="O495" s="172"/>
      <c r="Q495" s="172"/>
      <c r="R495" s="172"/>
      <c r="S495" s="172"/>
      <c r="U495" s="172"/>
      <c r="V495" s="172"/>
      <c r="W495" s="172"/>
      <c r="X495" s="172"/>
      <c r="Y495" s="172"/>
      <c r="Z495" s="172"/>
      <c r="AA495" s="172"/>
      <c r="AB495" s="172"/>
      <c r="AC495" s="172"/>
      <c r="AD495" s="172"/>
      <c r="AE495" s="171"/>
      <c r="AF495" s="171"/>
      <c r="AG495" s="171"/>
      <c r="AH495" s="171"/>
      <c r="AI495" s="171"/>
      <c r="AJ495" s="171"/>
    </row>
    <row r="496" spans="13:36" x14ac:dyDescent="0.2">
      <c r="M496" s="172"/>
      <c r="N496" s="172"/>
      <c r="O496" s="172"/>
      <c r="Q496" s="172"/>
      <c r="R496" s="172"/>
      <c r="S496" s="172"/>
      <c r="U496" s="172"/>
      <c r="V496" s="172"/>
      <c r="W496" s="172"/>
      <c r="X496" s="172"/>
      <c r="Y496" s="172"/>
      <c r="Z496" s="172"/>
      <c r="AA496" s="172"/>
      <c r="AB496" s="172"/>
      <c r="AC496" s="172"/>
      <c r="AD496" s="172"/>
      <c r="AE496" s="171"/>
      <c r="AF496" s="171"/>
      <c r="AG496" s="171"/>
      <c r="AH496" s="171"/>
      <c r="AI496" s="171"/>
      <c r="AJ496" s="171"/>
    </row>
    <row r="497" spans="13:36" x14ac:dyDescent="0.2">
      <c r="M497" s="172"/>
      <c r="N497" s="172"/>
      <c r="O497" s="172"/>
      <c r="Q497" s="172"/>
      <c r="R497" s="172"/>
      <c r="S497" s="172"/>
      <c r="U497" s="172"/>
      <c r="V497" s="172"/>
      <c r="W497" s="172"/>
      <c r="X497" s="172"/>
      <c r="Y497" s="172"/>
      <c r="Z497" s="172"/>
      <c r="AA497" s="172"/>
      <c r="AB497" s="172"/>
      <c r="AC497" s="172"/>
      <c r="AD497" s="172"/>
      <c r="AE497" s="171"/>
      <c r="AF497" s="171"/>
      <c r="AG497" s="171"/>
      <c r="AH497" s="171"/>
      <c r="AI497" s="171"/>
      <c r="AJ497" s="171"/>
    </row>
    <row r="498" spans="13:36" x14ac:dyDescent="0.2">
      <c r="M498" s="172"/>
      <c r="N498" s="172"/>
      <c r="O498" s="172"/>
      <c r="Q498" s="172"/>
      <c r="R498" s="172"/>
      <c r="S498" s="172"/>
      <c r="U498" s="172"/>
      <c r="V498" s="172"/>
      <c r="W498" s="172"/>
      <c r="X498" s="172"/>
      <c r="Y498" s="172"/>
      <c r="Z498" s="172"/>
      <c r="AA498" s="172"/>
      <c r="AB498" s="172"/>
      <c r="AC498" s="172"/>
      <c r="AD498" s="172"/>
      <c r="AE498" s="171"/>
      <c r="AF498" s="171"/>
      <c r="AG498" s="171"/>
      <c r="AH498" s="171"/>
      <c r="AI498" s="171"/>
      <c r="AJ498" s="171"/>
    </row>
    <row r="499" spans="13:36" x14ac:dyDescent="0.2">
      <c r="M499" s="172"/>
      <c r="N499" s="172"/>
      <c r="O499" s="172"/>
      <c r="Q499" s="172"/>
      <c r="R499" s="172"/>
      <c r="S499" s="172"/>
      <c r="U499" s="172"/>
      <c r="V499" s="172"/>
      <c r="W499" s="172"/>
      <c r="X499" s="172"/>
      <c r="Y499" s="172"/>
      <c r="Z499" s="172"/>
      <c r="AA499" s="172"/>
      <c r="AB499" s="172"/>
      <c r="AC499" s="172"/>
      <c r="AD499" s="172"/>
      <c r="AE499" s="171"/>
      <c r="AF499" s="171"/>
      <c r="AG499" s="171"/>
      <c r="AH499" s="171"/>
      <c r="AI499" s="171"/>
      <c r="AJ499" s="171"/>
    </row>
    <row r="500" spans="13:36" x14ac:dyDescent="0.2">
      <c r="M500" s="172"/>
      <c r="N500" s="172"/>
      <c r="O500" s="172"/>
      <c r="Q500" s="172"/>
      <c r="R500" s="172"/>
      <c r="S500" s="172"/>
      <c r="U500" s="172"/>
      <c r="V500" s="172"/>
      <c r="W500" s="172"/>
      <c r="X500" s="172"/>
      <c r="Y500" s="172"/>
      <c r="Z500" s="172"/>
      <c r="AA500" s="172"/>
      <c r="AB500" s="172"/>
      <c r="AC500" s="172"/>
      <c r="AD500" s="172"/>
      <c r="AE500" s="171"/>
      <c r="AF500" s="171"/>
      <c r="AG500" s="171"/>
      <c r="AH500" s="171"/>
      <c r="AI500" s="171"/>
      <c r="AJ500" s="171"/>
    </row>
    <row r="501" spans="13:36" x14ac:dyDescent="0.2">
      <c r="M501" s="172"/>
      <c r="N501" s="172"/>
      <c r="O501" s="172"/>
      <c r="Q501" s="172"/>
      <c r="R501" s="172"/>
      <c r="S501" s="172"/>
      <c r="U501" s="172"/>
      <c r="V501" s="172"/>
      <c r="W501" s="172"/>
      <c r="X501" s="172"/>
      <c r="Y501" s="172"/>
      <c r="Z501" s="172"/>
      <c r="AA501" s="172"/>
      <c r="AB501" s="172"/>
      <c r="AC501" s="172"/>
      <c r="AD501" s="172"/>
      <c r="AE501" s="171"/>
      <c r="AF501" s="171"/>
      <c r="AG501" s="171"/>
      <c r="AH501" s="171"/>
      <c r="AI501" s="171"/>
      <c r="AJ501" s="171"/>
    </row>
    <row r="502" spans="13:36" x14ac:dyDescent="0.2">
      <c r="M502" s="172"/>
      <c r="N502" s="172"/>
      <c r="O502" s="172"/>
      <c r="Q502" s="172"/>
      <c r="R502" s="172"/>
      <c r="S502" s="172"/>
      <c r="U502" s="172"/>
      <c r="V502" s="172"/>
      <c r="W502" s="172"/>
      <c r="X502" s="172"/>
      <c r="Y502" s="172"/>
      <c r="Z502" s="172"/>
      <c r="AA502" s="172"/>
      <c r="AB502" s="172"/>
      <c r="AC502" s="172"/>
      <c r="AD502" s="172"/>
      <c r="AE502" s="171"/>
      <c r="AF502" s="171"/>
      <c r="AG502" s="171"/>
      <c r="AH502" s="171"/>
      <c r="AI502" s="171"/>
      <c r="AJ502" s="171"/>
    </row>
    <row r="503" spans="13:36" x14ac:dyDescent="0.2">
      <c r="M503" s="172"/>
      <c r="N503" s="172"/>
      <c r="O503" s="172"/>
      <c r="Q503" s="172"/>
      <c r="R503" s="172"/>
      <c r="S503" s="172"/>
      <c r="U503" s="172"/>
      <c r="V503" s="172"/>
      <c r="W503" s="172"/>
      <c r="X503" s="172"/>
      <c r="Y503" s="172"/>
      <c r="Z503" s="172"/>
      <c r="AA503" s="172"/>
      <c r="AB503" s="172"/>
      <c r="AC503" s="172"/>
      <c r="AD503" s="172"/>
      <c r="AE503" s="171"/>
      <c r="AF503" s="171"/>
      <c r="AG503" s="171"/>
      <c r="AH503" s="171"/>
      <c r="AI503" s="171"/>
      <c r="AJ503" s="171"/>
    </row>
    <row r="504" spans="13:36" x14ac:dyDescent="0.2">
      <c r="M504" s="172"/>
      <c r="N504" s="172"/>
      <c r="O504" s="172"/>
      <c r="Q504" s="172"/>
      <c r="R504" s="172"/>
      <c r="S504" s="172"/>
      <c r="U504" s="172"/>
      <c r="V504" s="172"/>
      <c r="W504" s="172"/>
      <c r="X504" s="172"/>
      <c r="Y504" s="172"/>
      <c r="Z504" s="172"/>
      <c r="AA504" s="172"/>
      <c r="AB504" s="172"/>
      <c r="AC504" s="172"/>
      <c r="AD504" s="172"/>
      <c r="AE504" s="171"/>
      <c r="AF504" s="171"/>
      <c r="AG504" s="171"/>
      <c r="AH504" s="171"/>
      <c r="AI504" s="171"/>
      <c r="AJ504" s="171"/>
    </row>
    <row r="505" spans="13:36" x14ac:dyDescent="0.2">
      <c r="M505" s="172"/>
      <c r="N505" s="172"/>
      <c r="O505" s="172"/>
      <c r="Q505" s="172"/>
      <c r="R505" s="172"/>
      <c r="S505" s="172"/>
      <c r="U505" s="172"/>
      <c r="V505" s="172"/>
      <c r="W505" s="172"/>
      <c r="X505" s="172"/>
      <c r="Y505" s="172"/>
      <c r="Z505" s="172"/>
      <c r="AA505" s="172"/>
      <c r="AB505" s="172"/>
      <c r="AC505" s="172"/>
      <c r="AD505" s="172"/>
      <c r="AE505" s="171"/>
      <c r="AF505" s="171"/>
      <c r="AG505" s="171"/>
      <c r="AH505" s="171"/>
      <c r="AI505" s="171"/>
      <c r="AJ505" s="171"/>
    </row>
    <row r="506" spans="13:36" x14ac:dyDescent="0.2">
      <c r="M506" s="172"/>
      <c r="N506" s="172"/>
      <c r="O506" s="172"/>
      <c r="Q506" s="172"/>
      <c r="R506" s="172"/>
      <c r="S506" s="172"/>
      <c r="U506" s="172"/>
      <c r="V506" s="172"/>
      <c r="W506" s="172"/>
      <c r="X506" s="172"/>
      <c r="Y506" s="172"/>
      <c r="Z506" s="172"/>
      <c r="AA506" s="172"/>
      <c r="AB506" s="172"/>
      <c r="AC506" s="172"/>
      <c r="AD506" s="172"/>
      <c r="AE506" s="171"/>
      <c r="AF506" s="171"/>
      <c r="AG506" s="171"/>
      <c r="AH506" s="171"/>
      <c r="AI506" s="171"/>
      <c r="AJ506" s="171"/>
    </row>
    <row r="507" spans="13:36" x14ac:dyDescent="0.2">
      <c r="M507" s="172"/>
      <c r="N507" s="172"/>
      <c r="O507" s="172"/>
      <c r="Q507" s="172"/>
      <c r="R507" s="172"/>
      <c r="S507" s="172"/>
      <c r="U507" s="172"/>
      <c r="V507" s="172"/>
      <c r="W507" s="172"/>
      <c r="X507" s="172"/>
      <c r="Y507" s="172"/>
      <c r="Z507" s="172"/>
      <c r="AA507" s="172"/>
      <c r="AB507" s="172"/>
      <c r="AC507" s="172"/>
      <c r="AD507" s="172"/>
      <c r="AE507" s="171"/>
      <c r="AF507" s="171"/>
      <c r="AG507" s="171"/>
      <c r="AH507" s="171"/>
      <c r="AI507" s="171"/>
      <c r="AJ507" s="171"/>
    </row>
    <row r="508" spans="13:36" x14ac:dyDescent="0.2">
      <c r="M508" s="172"/>
      <c r="N508" s="172"/>
      <c r="O508" s="172"/>
      <c r="Q508" s="172"/>
      <c r="R508" s="172"/>
      <c r="S508" s="172"/>
      <c r="U508" s="172"/>
      <c r="V508" s="172"/>
      <c r="W508" s="172"/>
      <c r="X508" s="172"/>
      <c r="Y508" s="172"/>
      <c r="Z508" s="172"/>
      <c r="AA508" s="172"/>
      <c r="AB508" s="172"/>
      <c r="AC508" s="172"/>
      <c r="AD508" s="172"/>
      <c r="AE508" s="171"/>
      <c r="AF508" s="171"/>
      <c r="AG508" s="171"/>
      <c r="AH508" s="171"/>
      <c r="AI508" s="171"/>
      <c r="AJ508" s="171"/>
    </row>
    <row r="509" spans="13:36" x14ac:dyDescent="0.2">
      <c r="M509" s="172"/>
      <c r="N509" s="172"/>
      <c r="O509" s="172"/>
      <c r="Q509" s="172"/>
      <c r="R509" s="172"/>
      <c r="S509" s="172"/>
      <c r="U509" s="172"/>
      <c r="V509" s="172"/>
      <c r="W509" s="172"/>
      <c r="X509" s="172"/>
      <c r="Y509" s="172"/>
      <c r="Z509" s="172"/>
      <c r="AA509" s="172"/>
      <c r="AB509" s="172"/>
      <c r="AC509" s="172"/>
      <c r="AD509" s="172"/>
      <c r="AE509" s="171"/>
      <c r="AF509" s="171"/>
      <c r="AG509" s="171"/>
      <c r="AH509" s="171"/>
      <c r="AI509" s="171"/>
      <c r="AJ509" s="171"/>
    </row>
    <row r="510" spans="13:36" x14ac:dyDescent="0.2">
      <c r="M510" s="172"/>
      <c r="N510" s="172"/>
      <c r="O510" s="172"/>
      <c r="Q510" s="172"/>
      <c r="R510" s="172"/>
      <c r="S510" s="172"/>
      <c r="U510" s="172"/>
      <c r="V510" s="172"/>
      <c r="W510" s="172"/>
      <c r="X510" s="172"/>
      <c r="Y510" s="172"/>
      <c r="Z510" s="172"/>
      <c r="AA510" s="172"/>
      <c r="AB510" s="172"/>
      <c r="AC510" s="172"/>
      <c r="AD510" s="172"/>
      <c r="AE510" s="171"/>
      <c r="AF510" s="171"/>
      <c r="AG510" s="171"/>
      <c r="AH510" s="171"/>
      <c r="AI510" s="171"/>
      <c r="AJ510" s="171"/>
    </row>
    <row r="511" spans="13:36" x14ac:dyDescent="0.2">
      <c r="M511" s="172"/>
      <c r="N511" s="172"/>
      <c r="O511" s="172"/>
      <c r="Q511" s="172"/>
      <c r="R511" s="172"/>
      <c r="S511" s="172"/>
      <c r="U511" s="172"/>
      <c r="V511" s="172"/>
      <c r="W511" s="172"/>
      <c r="X511" s="172"/>
      <c r="Y511" s="172"/>
      <c r="Z511" s="172"/>
      <c r="AA511" s="172"/>
      <c r="AB511" s="172"/>
      <c r="AC511" s="172"/>
      <c r="AD511" s="172"/>
      <c r="AE511" s="171"/>
      <c r="AF511" s="171"/>
      <c r="AG511" s="171"/>
      <c r="AH511" s="171"/>
      <c r="AI511" s="171"/>
      <c r="AJ511" s="171"/>
    </row>
    <row r="512" spans="13:36" x14ac:dyDescent="0.2">
      <c r="M512" s="172"/>
      <c r="N512" s="172"/>
      <c r="O512" s="172"/>
      <c r="Q512" s="172"/>
      <c r="R512" s="172"/>
      <c r="S512" s="172"/>
      <c r="U512" s="172"/>
      <c r="V512" s="172"/>
      <c r="W512" s="172"/>
      <c r="X512" s="172"/>
      <c r="Y512" s="172"/>
      <c r="Z512" s="172"/>
      <c r="AA512" s="172"/>
      <c r="AB512" s="172"/>
      <c r="AC512" s="172"/>
      <c r="AD512" s="172"/>
      <c r="AE512" s="171"/>
      <c r="AF512" s="171"/>
      <c r="AG512" s="171"/>
      <c r="AH512" s="171"/>
      <c r="AI512" s="171"/>
      <c r="AJ512" s="171"/>
    </row>
    <row r="513" spans="13:36" x14ac:dyDescent="0.2">
      <c r="M513" s="172"/>
      <c r="N513" s="172"/>
      <c r="O513" s="172"/>
      <c r="Q513" s="172"/>
      <c r="R513" s="172"/>
      <c r="S513" s="172"/>
      <c r="U513" s="172"/>
      <c r="V513" s="172"/>
      <c r="W513" s="172"/>
      <c r="X513" s="172"/>
      <c r="Y513" s="172"/>
      <c r="Z513" s="172"/>
      <c r="AA513" s="172"/>
      <c r="AB513" s="172"/>
      <c r="AC513" s="172"/>
      <c r="AD513" s="172"/>
      <c r="AE513" s="171"/>
      <c r="AF513" s="171"/>
      <c r="AG513" s="171"/>
      <c r="AH513" s="171"/>
      <c r="AI513" s="171"/>
      <c r="AJ513" s="171"/>
    </row>
    <row r="514" spans="13:36" x14ac:dyDescent="0.2">
      <c r="M514" s="172"/>
      <c r="N514" s="172"/>
      <c r="O514" s="172"/>
      <c r="Q514" s="172"/>
      <c r="R514" s="172"/>
      <c r="S514" s="172"/>
      <c r="U514" s="172"/>
      <c r="V514" s="172"/>
      <c r="W514" s="172"/>
      <c r="X514" s="172"/>
      <c r="Y514" s="172"/>
      <c r="Z514" s="172"/>
      <c r="AA514" s="172"/>
      <c r="AB514" s="172"/>
      <c r="AC514" s="172"/>
      <c r="AD514" s="172"/>
      <c r="AE514" s="171"/>
      <c r="AF514" s="171"/>
      <c r="AG514" s="171"/>
      <c r="AH514" s="171"/>
      <c r="AI514" s="171"/>
      <c r="AJ514" s="171"/>
    </row>
    <row r="515" spans="13:36" x14ac:dyDescent="0.2">
      <c r="M515" s="172"/>
      <c r="N515" s="172"/>
      <c r="O515" s="172"/>
      <c r="Q515" s="172"/>
      <c r="R515" s="172"/>
      <c r="S515" s="172"/>
      <c r="U515" s="172"/>
      <c r="V515" s="172"/>
      <c r="W515" s="172"/>
      <c r="X515" s="172"/>
      <c r="Y515" s="172"/>
      <c r="Z515" s="172"/>
      <c r="AA515" s="172"/>
      <c r="AB515" s="172"/>
      <c r="AC515" s="172"/>
      <c r="AD515" s="172"/>
      <c r="AE515" s="171"/>
      <c r="AF515" s="171"/>
      <c r="AG515" s="171"/>
      <c r="AH515" s="171"/>
      <c r="AI515" s="171"/>
      <c r="AJ515" s="171"/>
    </row>
    <row r="516" spans="13:36" x14ac:dyDescent="0.2">
      <c r="M516" s="172"/>
      <c r="N516" s="172"/>
      <c r="O516" s="172"/>
      <c r="Q516" s="172"/>
      <c r="R516" s="172"/>
      <c r="S516" s="172"/>
      <c r="U516" s="172"/>
      <c r="V516" s="172"/>
      <c r="W516" s="172"/>
      <c r="X516" s="172"/>
      <c r="Y516" s="172"/>
      <c r="Z516" s="172"/>
      <c r="AA516" s="172"/>
      <c r="AB516" s="172"/>
      <c r="AC516" s="172"/>
      <c r="AD516" s="172"/>
      <c r="AE516" s="171"/>
      <c r="AF516" s="171"/>
      <c r="AG516" s="171"/>
      <c r="AH516" s="171"/>
      <c r="AI516" s="171"/>
      <c r="AJ516" s="171"/>
    </row>
    <row r="517" spans="13:36" x14ac:dyDescent="0.2">
      <c r="M517" s="172"/>
      <c r="N517" s="172"/>
      <c r="O517" s="172"/>
      <c r="Q517" s="172"/>
      <c r="R517" s="172"/>
      <c r="S517" s="172"/>
      <c r="U517" s="172"/>
      <c r="V517" s="172"/>
      <c r="W517" s="172"/>
      <c r="X517" s="172"/>
      <c r="Y517" s="172"/>
      <c r="Z517" s="172"/>
      <c r="AA517" s="172"/>
      <c r="AB517" s="172"/>
      <c r="AC517" s="172"/>
      <c r="AD517" s="172"/>
      <c r="AE517" s="171"/>
      <c r="AF517" s="171"/>
      <c r="AG517" s="171"/>
      <c r="AH517" s="171"/>
      <c r="AI517" s="171"/>
      <c r="AJ517" s="171"/>
    </row>
    <row r="518" spans="13:36" x14ac:dyDescent="0.2">
      <c r="M518" s="172"/>
      <c r="N518" s="172"/>
      <c r="O518" s="172"/>
      <c r="Q518" s="172"/>
      <c r="R518" s="172"/>
      <c r="S518" s="172"/>
      <c r="U518" s="172"/>
      <c r="V518" s="172"/>
      <c r="W518" s="172"/>
      <c r="X518" s="172"/>
      <c r="Y518" s="172"/>
      <c r="Z518" s="172"/>
      <c r="AA518" s="172"/>
      <c r="AB518" s="172"/>
      <c r="AC518" s="172"/>
      <c r="AD518" s="172"/>
      <c r="AE518" s="171"/>
      <c r="AF518" s="171"/>
      <c r="AG518" s="171"/>
      <c r="AH518" s="171"/>
      <c r="AI518" s="171"/>
      <c r="AJ518" s="171"/>
    </row>
    <row r="519" spans="13:36" x14ac:dyDescent="0.2">
      <c r="M519" s="172"/>
      <c r="N519" s="172"/>
      <c r="O519" s="172"/>
      <c r="Q519" s="172"/>
      <c r="R519" s="172"/>
      <c r="S519" s="172"/>
      <c r="U519" s="172"/>
      <c r="V519" s="172"/>
      <c r="W519" s="172"/>
      <c r="X519" s="172"/>
      <c r="Y519" s="172"/>
      <c r="Z519" s="172"/>
      <c r="AA519" s="172"/>
      <c r="AB519" s="172"/>
      <c r="AC519" s="172"/>
      <c r="AD519" s="172"/>
      <c r="AE519" s="171"/>
      <c r="AF519" s="171"/>
      <c r="AG519" s="171"/>
      <c r="AH519" s="171"/>
      <c r="AI519" s="171"/>
      <c r="AJ519" s="171"/>
    </row>
    <row r="520" spans="13:36" x14ac:dyDescent="0.2">
      <c r="M520" s="172"/>
      <c r="N520" s="172"/>
      <c r="O520" s="172"/>
      <c r="Q520" s="172"/>
      <c r="R520" s="172"/>
      <c r="S520" s="172"/>
      <c r="U520" s="172"/>
      <c r="V520" s="172"/>
      <c r="W520" s="172"/>
      <c r="X520" s="172"/>
      <c r="Y520" s="172"/>
      <c r="Z520" s="172"/>
      <c r="AA520" s="172"/>
      <c r="AB520" s="172"/>
      <c r="AC520" s="172"/>
      <c r="AD520" s="172"/>
      <c r="AE520" s="171"/>
      <c r="AF520" s="171"/>
      <c r="AG520" s="171"/>
      <c r="AH520" s="171"/>
      <c r="AI520" s="171"/>
      <c r="AJ520" s="171"/>
    </row>
    <row r="521" spans="13:36" x14ac:dyDescent="0.2">
      <c r="M521" s="172"/>
      <c r="N521" s="172"/>
      <c r="O521" s="172"/>
      <c r="Q521" s="172"/>
      <c r="R521" s="172"/>
      <c r="S521" s="172"/>
      <c r="U521" s="172"/>
      <c r="V521" s="172"/>
      <c r="W521" s="172"/>
      <c r="X521" s="172"/>
      <c r="Y521" s="172"/>
      <c r="Z521" s="172"/>
      <c r="AA521" s="172"/>
      <c r="AB521" s="172"/>
      <c r="AC521" s="172"/>
      <c r="AD521" s="172"/>
      <c r="AE521" s="171"/>
      <c r="AF521" s="171"/>
      <c r="AG521" s="171"/>
      <c r="AH521" s="171"/>
      <c r="AI521" s="171"/>
      <c r="AJ521" s="171"/>
    </row>
    <row r="522" spans="13:36" x14ac:dyDescent="0.2">
      <c r="M522" s="172"/>
      <c r="N522" s="172"/>
      <c r="O522" s="172"/>
      <c r="Q522" s="172"/>
      <c r="R522" s="172"/>
      <c r="S522" s="172"/>
      <c r="U522" s="172"/>
      <c r="V522" s="172"/>
      <c r="W522" s="172"/>
      <c r="X522" s="172"/>
      <c r="Y522" s="172"/>
      <c r="Z522" s="172"/>
      <c r="AA522" s="172"/>
      <c r="AB522" s="172"/>
      <c r="AC522" s="172"/>
      <c r="AD522" s="172"/>
      <c r="AE522" s="171"/>
      <c r="AF522" s="171"/>
      <c r="AG522" s="171"/>
      <c r="AH522" s="171"/>
      <c r="AI522" s="171"/>
      <c r="AJ522" s="171"/>
    </row>
    <row r="523" spans="13:36" x14ac:dyDescent="0.2">
      <c r="M523" s="172"/>
      <c r="N523" s="172"/>
      <c r="O523" s="172"/>
      <c r="Q523" s="172"/>
      <c r="R523" s="172"/>
      <c r="S523" s="172"/>
      <c r="U523" s="172"/>
      <c r="V523" s="172"/>
      <c r="W523" s="172"/>
      <c r="X523" s="172"/>
      <c r="Y523" s="172"/>
      <c r="Z523" s="172"/>
      <c r="AA523" s="172"/>
      <c r="AB523" s="172"/>
      <c r="AC523" s="172"/>
      <c r="AD523" s="172"/>
      <c r="AE523" s="171"/>
      <c r="AF523" s="171"/>
      <c r="AG523" s="171"/>
      <c r="AH523" s="171"/>
      <c r="AI523" s="171"/>
      <c r="AJ523" s="171"/>
    </row>
    <row r="524" spans="13:36" x14ac:dyDescent="0.2">
      <c r="M524" s="172"/>
      <c r="N524" s="172"/>
      <c r="O524" s="172"/>
      <c r="Q524" s="172"/>
      <c r="R524" s="172"/>
      <c r="S524" s="172"/>
      <c r="U524" s="172"/>
      <c r="V524" s="172"/>
      <c r="W524" s="172"/>
      <c r="X524" s="172"/>
      <c r="Y524" s="172"/>
      <c r="Z524" s="172"/>
      <c r="AA524" s="172"/>
      <c r="AB524" s="172"/>
      <c r="AC524" s="172"/>
      <c r="AD524" s="172"/>
      <c r="AE524" s="171"/>
      <c r="AF524" s="171"/>
      <c r="AG524" s="171"/>
      <c r="AH524" s="171"/>
      <c r="AI524" s="171"/>
      <c r="AJ524" s="171"/>
    </row>
    <row r="525" spans="13:36" x14ac:dyDescent="0.2">
      <c r="M525" s="172"/>
      <c r="N525" s="172"/>
      <c r="O525" s="172"/>
      <c r="Q525" s="172"/>
      <c r="R525" s="172"/>
      <c r="S525" s="172"/>
      <c r="U525" s="172"/>
      <c r="V525" s="172"/>
      <c r="W525" s="172"/>
      <c r="X525" s="172"/>
      <c r="Y525" s="172"/>
      <c r="Z525" s="172"/>
      <c r="AA525" s="172"/>
      <c r="AB525" s="172"/>
      <c r="AC525" s="172"/>
      <c r="AD525" s="172"/>
      <c r="AE525" s="171"/>
      <c r="AF525" s="171"/>
      <c r="AG525" s="171"/>
      <c r="AH525" s="171"/>
      <c r="AI525" s="171"/>
      <c r="AJ525" s="171"/>
    </row>
    <row r="526" spans="13:36" x14ac:dyDescent="0.2">
      <c r="M526" s="172"/>
      <c r="N526" s="172"/>
      <c r="O526" s="172"/>
      <c r="Q526" s="172"/>
      <c r="R526" s="172"/>
      <c r="S526" s="172"/>
      <c r="U526" s="172"/>
      <c r="V526" s="172"/>
      <c r="W526" s="172"/>
      <c r="X526" s="172"/>
      <c r="Y526" s="172"/>
      <c r="Z526" s="172"/>
      <c r="AA526" s="172"/>
      <c r="AB526" s="172"/>
      <c r="AC526" s="172"/>
      <c r="AD526" s="172"/>
      <c r="AE526" s="171"/>
      <c r="AF526" s="171"/>
      <c r="AG526" s="171"/>
      <c r="AH526" s="171"/>
      <c r="AI526" s="171"/>
      <c r="AJ526" s="171"/>
    </row>
    <row r="527" spans="13:36" x14ac:dyDescent="0.2">
      <c r="M527" s="172"/>
      <c r="N527" s="172"/>
      <c r="O527" s="172"/>
      <c r="Q527" s="172"/>
      <c r="R527" s="172"/>
      <c r="S527" s="172"/>
      <c r="U527" s="172"/>
      <c r="V527" s="172"/>
      <c r="W527" s="172"/>
      <c r="X527" s="172"/>
      <c r="Y527" s="172"/>
      <c r="Z527" s="172"/>
      <c r="AA527" s="172"/>
      <c r="AB527" s="172"/>
      <c r="AC527" s="172"/>
      <c r="AD527" s="172"/>
      <c r="AE527" s="171"/>
      <c r="AF527" s="171"/>
      <c r="AG527" s="171"/>
      <c r="AH527" s="171"/>
      <c r="AI527" s="171"/>
      <c r="AJ527" s="171"/>
    </row>
    <row r="528" spans="13:36" x14ac:dyDescent="0.2">
      <c r="M528" s="172"/>
      <c r="N528" s="172"/>
      <c r="O528" s="172"/>
      <c r="Q528" s="172"/>
      <c r="R528" s="172"/>
      <c r="S528" s="172"/>
      <c r="U528" s="172"/>
      <c r="V528" s="172"/>
      <c r="W528" s="172"/>
      <c r="X528" s="172"/>
      <c r="Y528" s="172"/>
      <c r="Z528" s="172"/>
      <c r="AA528" s="172"/>
      <c r="AB528" s="172"/>
      <c r="AC528" s="172"/>
      <c r="AD528" s="172"/>
      <c r="AE528" s="171"/>
      <c r="AF528" s="171"/>
      <c r="AG528" s="171"/>
      <c r="AH528" s="171"/>
      <c r="AI528" s="171"/>
      <c r="AJ528" s="171"/>
    </row>
    <row r="529" spans="13:36" x14ac:dyDescent="0.2">
      <c r="M529" s="172"/>
      <c r="N529" s="172"/>
      <c r="O529" s="172"/>
      <c r="Q529" s="172"/>
      <c r="R529" s="172"/>
      <c r="S529" s="172"/>
      <c r="U529" s="172"/>
      <c r="V529" s="172"/>
      <c r="W529" s="172"/>
      <c r="X529" s="172"/>
      <c r="Y529" s="172"/>
      <c r="Z529" s="172"/>
      <c r="AA529" s="172"/>
      <c r="AB529" s="172"/>
      <c r="AC529" s="172"/>
      <c r="AD529" s="172"/>
      <c r="AE529" s="171"/>
      <c r="AF529" s="171"/>
      <c r="AG529" s="171"/>
      <c r="AH529" s="171"/>
      <c r="AI529" s="171"/>
      <c r="AJ529" s="171"/>
    </row>
    <row r="530" spans="13:36" x14ac:dyDescent="0.2">
      <c r="M530" s="172"/>
      <c r="N530" s="172"/>
      <c r="O530" s="172"/>
      <c r="Q530" s="172"/>
      <c r="R530" s="172"/>
      <c r="S530" s="172"/>
      <c r="U530" s="172"/>
      <c r="V530" s="172"/>
      <c r="W530" s="172"/>
      <c r="X530" s="172"/>
      <c r="Y530" s="172"/>
      <c r="Z530" s="172"/>
      <c r="AA530" s="172"/>
      <c r="AB530" s="172"/>
      <c r="AC530" s="172"/>
      <c r="AD530" s="172"/>
      <c r="AE530" s="171"/>
      <c r="AF530" s="171"/>
      <c r="AG530" s="171"/>
      <c r="AH530" s="171"/>
      <c r="AI530" s="171"/>
      <c r="AJ530" s="171"/>
    </row>
    <row r="531" spans="13:36" x14ac:dyDescent="0.2">
      <c r="M531" s="172"/>
      <c r="N531" s="172"/>
      <c r="O531" s="172"/>
      <c r="Q531" s="172"/>
      <c r="R531" s="172"/>
      <c r="S531" s="172"/>
      <c r="U531" s="172"/>
      <c r="V531" s="172"/>
      <c r="W531" s="172"/>
      <c r="X531" s="172"/>
      <c r="Y531" s="172"/>
      <c r="Z531" s="172"/>
      <c r="AA531" s="172"/>
      <c r="AB531" s="172"/>
      <c r="AC531" s="172"/>
      <c r="AD531" s="172"/>
      <c r="AE531" s="171"/>
      <c r="AF531" s="171"/>
      <c r="AG531" s="171"/>
      <c r="AH531" s="171"/>
      <c r="AI531" s="171"/>
      <c r="AJ531" s="171"/>
    </row>
    <row r="532" spans="13:36" x14ac:dyDescent="0.2">
      <c r="M532" s="172"/>
      <c r="N532" s="172"/>
      <c r="O532" s="172"/>
      <c r="Q532" s="172"/>
      <c r="R532" s="172"/>
      <c r="S532" s="172"/>
      <c r="U532" s="172"/>
      <c r="V532" s="172"/>
      <c r="W532" s="172"/>
      <c r="X532" s="172"/>
      <c r="Y532" s="172"/>
      <c r="Z532" s="172"/>
      <c r="AA532" s="172"/>
      <c r="AB532" s="172"/>
      <c r="AC532" s="172"/>
      <c r="AD532" s="172"/>
      <c r="AE532" s="171"/>
      <c r="AF532" s="171"/>
      <c r="AG532" s="171"/>
      <c r="AH532" s="171"/>
      <c r="AI532" s="171"/>
      <c r="AJ532" s="171"/>
    </row>
    <row r="533" spans="13:36" x14ac:dyDescent="0.2">
      <c r="M533" s="172"/>
      <c r="N533" s="172"/>
      <c r="O533" s="172"/>
      <c r="Q533" s="172"/>
      <c r="R533" s="172"/>
      <c r="S533" s="172"/>
      <c r="U533" s="172"/>
      <c r="V533" s="172"/>
      <c r="W533" s="172"/>
      <c r="X533" s="172"/>
      <c r="Y533" s="172"/>
      <c r="Z533" s="172"/>
      <c r="AA533" s="172"/>
      <c r="AB533" s="172"/>
      <c r="AC533" s="172"/>
      <c r="AD533" s="172"/>
      <c r="AE533" s="171"/>
      <c r="AF533" s="171"/>
      <c r="AG533" s="171"/>
      <c r="AH533" s="171"/>
      <c r="AI533" s="171"/>
      <c r="AJ533" s="171"/>
    </row>
    <row r="534" spans="13:36" x14ac:dyDescent="0.2">
      <c r="M534" s="172"/>
      <c r="N534" s="172"/>
      <c r="O534" s="172"/>
      <c r="Q534" s="172"/>
      <c r="R534" s="172"/>
      <c r="S534" s="172"/>
      <c r="U534" s="172"/>
      <c r="V534" s="172"/>
      <c r="W534" s="172"/>
      <c r="X534" s="172"/>
      <c r="Y534" s="172"/>
      <c r="Z534" s="172"/>
      <c r="AA534" s="172"/>
      <c r="AB534" s="172"/>
      <c r="AC534" s="172"/>
      <c r="AD534" s="172"/>
      <c r="AE534" s="171"/>
      <c r="AF534" s="171"/>
      <c r="AG534" s="171"/>
      <c r="AH534" s="171"/>
      <c r="AI534" s="171"/>
      <c r="AJ534" s="171"/>
    </row>
    <row r="535" spans="13:36" x14ac:dyDescent="0.2">
      <c r="M535" s="172"/>
      <c r="N535" s="172"/>
      <c r="O535" s="172"/>
      <c r="Q535" s="172"/>
      <c r="R535" s="172"/>
      <c r="S535" s="172"/>
      <c r="U535" s="172"/>
      <c r="V535" s="172"/>
      <c r="W535" s="172"/>
      <c r="X535" s="172"/>
      <c r="Y535" s="172"/>
      <c r="Z535" s="172"/>
      <c r="AA535" s="172"/>
      <c r="AB535" s="172"/>
      <c r="AC535" s="172"/>
      <c r="AD535" s="172"/>
      <c r="AE535" s="171"/>
      <c r="AF535" s="171"/>
      <c r="AG535" s="171"/>
      <c r="AH535" s="171"/>
      <c r="AI535" s="171"/>
      <c r="AJ535" s="171"/>
    </row>
    <row r="536" spans="13:36" x14ac:dyDescent="0.2">
      <c r="M536" s="172"/>
      <c r="N536" s="172"/>
      <c r="O536" s="172"/>
      <c r="Q536" s="172"/>
      <c r="R536" s="172"/>
      <c r="S536" s="172"/>
      <c r="U536" s="172"/>
      <c r="V536" s="172"/>
      <c r="W536" s="172"/>
      <c r="X536" s="172"/>
      <c r="Y536" s="172"/>
      <c r="Z536" s="172"/>
      <c r="AA536" s="172"/>
      <c r="AB536" s="172"/>
      <c r="AC536" s="172"/>
      <c r="AD536" s="172"/>
      <c r="AE536" s="171"/>
      <c r="AF536" s="171"/>
      <c r="AG536" s="171"/>
      <c r="AH536" s="171"/>
      <c r="AI536" s="171"/>
      <c r="AJ536" s="171"/>
    </row>
    <row r="537" spans="13:36" x14ac:dyDescent="0.2">
      <c r="M537" s="172"/>
      <c r="N537" s="172"/>
      <c r="O537" s="172"/>
      <c r="Q537" s="172"/>
      <c r="R537" s="172"/>
      <c r="S537" s="172"/>
      <c r="U537" s="172"/>
      <c r="V537" s="172"/>
      <c r="W537" s="172"/>
      <c r="X537" s="172"/>
      <c r="Y537" s="172"/>
      <c r="Z537" s="172"/>
      <c r="AA537" s="172"/>
      <c r="AB537" s="172"/>
      <c r="AC537" s="172"/>
      <c r="AD537" s="172"/>
      <c r="AE537" s="171"/>
      <c r="AF537" s="171"/>
      <c r="AG537" s="171"/>
      <c r="AH537" s="171"/>
      <c r="AI537" s="171"/>
      <c r="AJ537" s="171"/>
    </row>
    <row r="538" spans="13:36" x14ac:dyDescent="0.2">
      <c r="M538" s="172"/>
      <c r="N538" s="172"/>
      <c r="O538" s="172"/>
      <c r="Q538" s="172"/>
      <c r="R538" s="172"/>
      <c r="S538" s="172"/>
      <c r="U538" s="172"/>
      <c r="V538" s="172"/>
      <c r="W538" s="172"/>
      <c r="X538" s="172"/>
      <c r="Y538" s="172"/>
      <c r="Z538" s="172"/>
      <c r="AA538" s="172"/>
      <c r="AB538" s="172"/>
      <c r="AC538" s="172"/>
      <c r="AD538" s="172"/>
      <c r="AE538" s="171"/>
      <c r="AF538" s="171"/>
      <c r="AG538" s="171"/>
      <c r="AH538" s="171"/>
      <c r="AI538" s="171"/>
      <c r="AJ538" s="171"/>
    </row>
    <row r="539" spans="13:36" x14ac:dyDescent="0.2">
      <c r="M539" s="172"/>
      <c r="N539" s="172"/>
      <c r="O539" s="172"/>
      <c r="Q539" s="172"/>
      <c r="R539" s="172"/>
      <c r="S539" s="172"/>
      <c r="U539" s="172"/>
      <c r="V539" s="172"/>
      <c r="W539" s="172"/>
      <c r="X539" s="172"/>
      <c r="Y539" s="172"/>
      <c r="Z539" s="172"/>
      <c r="AA539" s="172"/>
      <c r="AB539" s="172"/>
      <c r="AC539" s="172"/>
      <c r="AD539" s="172"/>
      <c r="AE539" s="171"/>
      <c r="AF539" s="171"/>
      <c r="AG539" s="171"/>
      <c r="AH539" s="171"/>
      <c r="AI539" s="171"/>
      <c r="AJ539" s="171"/>
    </row>
    <row r="540" spans="13:36" x14ac:dyDescent="0.2">
      <c r="M540" s="172"/>
      <c r="N540" s="172"/>
      <c r="O540" s="172"/>
      <c r="Q540" s="172"/>
      <c r="R540" s="172"/>
      <c r="S540" s="172"/>
      <c r="U540" s="172"/>
      <c r="V540" s="172"/>
      <c r="W540" s="172"/>
      <c r="X540" s="172"/>
      <c r="Y540" s="172"/>
      <c r="Z540" s="172"/>
      <c r="AA540" s="172"/>
      <c r="AB540" s="172"/>
      <c r="AC540" s="172"/>
      <c r="AD540" s="172"/>
      <c r="AE540" s="171"/>
      <c r="AF540" s="171"/>
      <c r="AG540" s="171"/>
      <c r="AH540" s="171"/>
      <c r="AI540" s="171"/>
      <c r="AJ540" s="171"/>
    </row>
    <row r="541" spans="13:36" x14ac:dyDescent="0.2">
      <c r="M541" s="172"/>
      <c r="N541" s="172"/>
      <c r="O541" s="172"/>
      <c r="Q541" s="172"/>
      <c r="R541" s="172"/>
      <c r="S541" s="172"/>
      <c r="U541" s="172"/>
      <c r="V541" s="172"/>
      <c r="W541" s="172"/>
      <c r="X541" s="172"/>
      <c r="Y541" s="172"/>
      <c r="Z541" s="172"/>
      <c r="AA541" s="172"/>
      <c r="AB541" s="172"/>
      <c r="AC541" s="172"/>
      <c r="AD541" s="172"/>
      <c r="AE541" s="171"/>
      <c r="AF541" s="171"/>
      <c r="AG541" s="171"/>
      <c r="AH541" s="171"/>
      <c r="AI541" s="171"/>
      <c r="AJ541" s="171"/>
    </row>
    <row r="542" spans="13:36" x14ac:dyDescent="0.2">
      <c r="M542" s="172"/>
      <c r="N542" s="172"/>
      <c r="O542" s="172"/>
      <c r="Q542" s="172"/>
      <c r="R542" s="172"/>
      <c r="S542" s="172"/>
      <c r="U542" s="172"/>
      <c r="V542" s="172"/>
      <c r="W542" s="172"/>
      <c r="X542" s="172"/>
      <c r="Y542" s="172"/>
      <c r="Z542" s="172"/>
      <c r="AA542" s="172"/>
      <c r="AB542" s="172"/>
      <c r="AC542" s="172"/>
      <c r="AD542" s="172"/>
      <c r="AE542" s="171"/>
      <c r="AF542" s="171"/>
      <c r="AG542" s="171"/>
      <c r="AH542" s="171"/>
      <c r="AI542" s="171"/>
      <c r="AJ542" s="171"/>
    </row>
    <row r="543" spans="13:36" x14ac:dyDescent="0.2">
      <c r="M543" s="172"/>
      <c r="N543" s="172"/>
      <c r="O543" s="172"/>
      <c r="Q543" s="172"/>
      <c r="R543" s="172"/>
      <c r="S543" s="172"/>
      <c r="U543" s="172"/>
      <c r="V543" s="172"/>
      <c r="W543" s="172"/>
      <c r="X543" s="172"/>
      <c r="Y543" s="172"/>
      <c r="Z543" s="172"/>
      <c r="AA543" s="172"/>
      <c r="AB543" s="172"/>
      <c r="AC543" s="172"/>
      <c r="AD543" s="172"/>
      <c r="AE543" s="171"/>
      <c r="AF543" s="171"/>
      <c r="AG543" s="171"/>
      <c r="AH543" s="171"/>
      <c r="AI543" s="171"/>
      <c r="AJ543" s="171"/>
    </row>
    <row r="544" spans="13:36" x14ac:dyDescent="0.2">
      <c r="M544" s="172"/>
      <c r="N544" s="172"/>
      <c r="O544" s="172"/>
      <c r="Q544" s="172"/>
      <c r="R544" s="172"/>
      <c r="S544" s="172"/>
      <c r="U544" s="172"/>
      <c r="V544" s="172"/>
      <c r="W544" s="172"/>
      <c r="X544" s="172"/>
      <c r="Y544" s="172"/>
      <c r="Z544" s="172"/>
      <c r="AA544" s="172"/>
      <c r="AB544" s="172"/>
      <c r="AC544" s="172"/>
      <c r="AD544" s="172"/>
      <c r="AE544" s="171"/>
      <c r="AF544" s="171"/>
      <c r="AG544" s="171"/>
      <c r="AH544" s="171"/>
      <c r="AI544" s="171"/>
      <c r="AJ544" s="171"/>
    </row>
    <row r="545" spans="13:36" x14ac:dyDescent="0.2">
      <c r="M545" s="172"/>
      <c r="N545" s="172"/>
      <c r="O545" s="172"/>
      <c r="Q545" s="172"/>
      <c r="R545" s="172"/>
      <c r="S545" s="172"/>
      <c r="U545" s="172"/>
      <c r="V545" s="172"/>
      <c r="W545" s="172"/>
      <c r="X545" s="172"/>
      <c r="Y545" s="172"/>
      <c r="Z545" s="172"/>
      <c r="AA545" s="172"/>
      <c r="AB545" s="172"/>
      <c r="AC545" s="172"/>
      <c r="AD545" s="172"/>
      <c r="AE545" s="171"/>
      <c r="AF545" s="171"/>
      <c r="AG545" s="171"/>
      <c r="AH545" s="171"/>
      <c r="AI545" s="171"/>
      <c r="AJ545" s="171"/>
    </row>
    <row r="546" spans="13:36" x14ac:dyDescent="0.2">
      <c r="M546" s="172"/>
      <c r="N546" s="172"/>
      <c r="O546" s="172"/>
      <c r="Q546" s="172"/>
      <c r="R546" s="172"/>
      <c r="S546" s="172"/>
      <c r="U546" s="172"/>
      <c r="V546" s="172"/>
      <c r="W546" s="172"/>
      <c r="X546" s="172"/>
      <c r="Y546" s="172"/>
      <c r="Z546" s="172"/>
      <c r="AA546" s="172"/>
      <c r="AB546" s="172"/>
      <c r="AC546" s="172"/>
      <c r="AD546" s="172"/>
      <c r="AE546" s="171"/>
      <c r="AF546" s="171"/>
      <c r="AG546" s="171"/>
      <c r="AH546" s="171"/>
      <c r="AI546" s="171"/>
      <c r="AJ546" s="171"/>
    </row>
    <row r="547" spans="13:36" x14ac:dyDescent="0.2">
      <c r="M547" s="172"/>
      <c r="N547" s="172"/>
      <c r="O547" s="172"/>
      <c r="Q547" s="172"/>
      <c r="R547" s="172"/>
      <c r="S547" s="172"/>
      <c r="U547" s="172"/>
      <c r="V547" s="172"/>
      <c r="W547" s="172"/>
      <c r="X547" s="172"/>
      <c r="Y547" s="172"/>
      <c r="Z547" s="172"/>
      <c r="AA547" s="172"/>
      <c r="AB547" s="172"/>
      <c r="AC547" s="172"/>
      <c r="AD547" s="172"/>
      <c r="AE547" s="171"/>
      <c r="AF547" s="171"/>
      <c r="AG547" s="171"/>
      <c r="AH547" s="171"/>
      <c r="AI547" s="171"/>
      <c r="AJ547" s="171"/>
    </row>
    <row r="548" spans="13:36" x14ac:dyDescent="0.2">
      <c r="M548" s="172"/>
      <c r="N548" s="172"/>
      <c r="O548" s="172"/>
      <c r="Q548" s="172"/>
      <c r="R548" s="172"/>
      <c r="S548" s="172"/>
      <c r="U548" s="172"/>
      <c r="V548" s="172"/>
      <c r="W548" s="172"/>
      <c r="X548" s="172"/>
      <c r="Y548" s="172"/>
      <c r="Z548" s="172"/>
      <c r="AA548" s="172"/>
      <c r="AB548" s="172"/>
      <c r="AC548" s="172"/>
      <c r="AD548" s="172"/>
      <c r="AE548" s="171"/>
      <c r="AF548" s="171"/>
      <c r="AG548" s="171"/>
      <c r="AH548" s="171"/>
      <c r="AI548" s="171"/>
      <c r="AJ548" s="171"/>
    </row>
    <row r="549" spans="13:36" x14ac:dyDescent="0.2">
      <c r="M549" s="172"/>
      <c r="N549" s="172"/>
      <c r="O549" s="172"/>
      <c r="Q549" s="172"/>
      <c r="R549" s="172"/>
      <c r="S549" s="172"/>
      <c r="U549" s="172"/>
      <c r="V549" s="172"/>
      <c r="W549" s="172"/>
      <c r="X549" s="172"/>
      <c r="Y549" s="172"/>
      <c r="Z549" s="172"/>
      <c r="AA549" s="172"/>
      <c r="AB549" s="172"/>
      <c r="AC549" s="172"/>
      <c r="AD549" s="172"/>
      <c r="AE549" s="171"/>
      <c r="AF549" s="171"/>
      <c r="AG549" s="171"/>
      <c r="AH549" s="171"/>
      <c r="AI549" s="171"/>
      <c r="AJ549" s="171"/>
    </row>
    <row r="550" spans="13:36" x14ac:dyDescent="0.2">
      <c r="M550" s="172"/>
      <c r="N550" s="172"/>
      <c r="O550" s="172"/>
      <c r="Q550" s="172"/>
      <c r="R550" s="172"/>
      <c r="S550" s="172"/>
      <c r="U550" s="172"/>
      <c r="V550" s="172"/>
      <c r="W550" s="172"/>
      <c r="X550" s="172"/>
      <c r="Y550" s="172"/>
      <c r="Z550" s="172"/>
      <c r="AA550" s="172"/>
      <c r="AB550" s="172"/>
      <c r="AC550" s="172"/>
      <c r="AD550" s="172"/>
      <c r="AE550" s="171"/>
      <c r="AF550" s="171"/>
      <c r="AG550" s="171"/>
      <c r="AH550" s="171"/>
      <c r="AI550" s="171"/>
      <c r="AJ550" s="171"/>
    </row>
    <row r="551" spans="13:36" x14ac:dyDescent="0.2">
      <c r="M551" s="172"/>
      <c r="N551" s="172"/>
      <c r="O551" s="172"/>
      <c r="Q551" s="172"/>
      <c r="R551" s="172"/>
      <c r="S551" s="172"/>
      <c r="U551" s="172"/>
      <c r="V551" s="172"/>
      <c r="W551" s="172"/>
      <c r="X551" s="172"/>
      <c r="Y551" s="172"/>
      <c r="Z551" s="172"/>
      <c r="AA551" s="172"/>
      <c r="AB551" s="172"/>
      <c r="AC551" s="172"/>
      <c r="AD551" s="172"/>
      <c r="AE551" s="171"/>
      <c r="AF551" s="171"/>
      <c r="AG551" s="171"/>
      <c r="AH551" s="171"/>
      <c r="AI551" s="171"/>
      <c r="AJ551" s="171"/>
    </row>
    <row r="552" spans="13:36" x14ac:dyDescent="0.2">
      <c r="M552" s="172"/>
      <c r="N552" s="172"/>
      <c r="O552" s="172"/>
      <c r="Q552" s="172"/>
      <c r="R552" s="172"/>
      <c r="S552" s="172"/>
      <c r="U552" s="172"/>
      <c r="V552" s="172"/>
      <c r="W552" s="172"/>
      <c r="X552" s="172"/>
      <c r="Y552" s="172"/>
      <c r="Z552" s="172"/>
      <c r="AA552" s="172"/>
      <c r="AB552" s="172"/>
      <c r="AC552" s="172"/>
      <c r="AD552" s="172"/>
      <c r="AE552" s="171"/>
      <c r="AF552" s="171"/>
      <c r="AG552" s="171"/>
      <c r="AH552" s="171"/>
      <c r="AI552" s="171"/>
      <c r="AJ552" s="171"/>
    </row>
    <row r="553" spans="13:36" x14ac:dyDescent="0.2">
      <c r="M553" s="172"/>
      <c r="N553" s="172"/>
      <c r="O553" s="172"/>
      <c r="Q553" s="172"/>
      <c r="R553" s="172"/>
      <c r="S553" s="172"/>
      <c r="U553" s="172"/>
      <c r="V553" s="172"/>
      <c r="W553" s="172"/>
    </row>
    <row r="554" spans="13:36" x14ac:dyDescent="0.2">
      <c r="M554" s="172"/>
      <c r="N554" s="172"/>
      <c r="O554" s="172"/>
      <c r="Q554" s="172"/>
      <c r="R554" s="172"/>
      <c r="S554" s="172"/>
      <c r="U554" s="172"/>
      <c r="V554" s="172"/>
      <c r="W554" s="172"/>
    </row>
    <row r="555" spans="13:36" x14ac:dyDescent="0.2">
      <c r="M555" s="172"/>
      <c r="N555" s="172"/>
      <c r="O555" s="172"/>
      <c r="Q555" s="172"/>
      <c r="R555" s="172"/>
      <c r="S555" s="172"/>
      <c r="U555" s="172"/>
      <c r="V555" s="172"/>
      <c r="W555" s="172"/>
    </row>
    <row r="556" spans="13:36" x14ac:dyDescent="0.2">
      <c r="M556" s="172"/>
      <c r="N556" s="172"/>
      <c r="O556" s="172"/>
      <c r="Q556" s="172"/>
      <c r="R556" s="172"/>
      <c r="S556" s="172"/>
      <c r="U556" s="172"/>
      <c r="V556" s="172"/>
      <c r="W556" s="172"/>
    </row>
    <row r="557" spans="13:36" x14ac:dyDescent="0.2">
      <c r="M557" s="172"/>
      <c r="N557" s="172"/>
      <c r="O557" s="172"/>
      <c r="Q557" s="172"/>
      <c r="R557" s="172"/>
      <c r="S557" s="172"/>
      <c r="U557" s="172"/>
      <c r="V557" s="172"/>
      <c r="W557" s="172"/>
    </row>
    <row r="558" spans="13:36" x14ac:dyDescent="0.2">
      <c r="M558" s="172"/>
      <c r="N558" s="172"/>
      <c r="O558" s="172"/>
      <c r="Q558" s="172"/>
      <c r="R558" s="172"/>
      <c r="S558" s="172"/>
      <c r="U558" s="172"/>
      <c r="V558" s="172"/>
      <c r="W558" s="172"/>
    </row>
    <row r="559" spans="13:36" x14ac:dyDescent="0.2">
      <c r="M559" s="172"/>
      <c r="N559" s="172"/>
      <c r="O559" s="172"/>
      <c r="Q559" s="172"/>
      <c r="R559" s="172"/>
      <c r="S559" s="172"/>
      <c r="U559" s="172"/>
      <c r="V559" s="172"/>
      <c r="W559" s="172"/>
    </row>
    <row r="560" spans="13:36" x14ac:dyDescent="0.2">
      <c r="M560" s="172"/>
      <c r="N560" s="172"/>
      <c r="O560" s="172"/>
      <c r="Q560" s="172"/>
      <c r="R560" s="172"/>
      <c r="S560" s="172"/>
      <c r="U560" s="172"/>
      <c r="V560" s="172"/>
      <c r="W560" s="172"/>
    </row>
    <row r="561" spans="13:23" x14ac:dyDescent="0.2">
      <c r="M561" s="172"/>
      <c r="N561" s="172"/>
      <c r="O561" s="172"/>
      <c r="Q561" s="172"/>
      <c r="R561" s="172"/>
      <c r="S561" s="172"/>
      <c r="U561" s="172"/>
      <c r="V561" s="172"/>
      <c r="W561" s="172"/>
    </row>
    <row r="562" spans="13:23" x14ac:dyDescent="0.2">
      <c r="M562" s="172"/>
      <c r="N562" s="172"/>
      <c r="O562" s="172"/>
      <c r="Q562" s="172"/>
      <c r="R562" s="172"/>
      <c r="S562" s="172"/>
      <c r="U562" s="172"/>
      <c r="V562" s="172"/>
      <c r="W562" s="172"/>
    </row>
    <row r="563" spans="13:23" x14ac:dyDescent="0.2">
      <c r="M563" s="172"/>
      <c r="N563" s="172"/>
      <c r="O563" s="172"/>
      <c r="Q563" s="172"/>
      <c r="R563" s="172"/>
      <c r="S563" s="172"/>
      <c r="U563" s="172"/>
      <c r="V563" s="172"/>
      <c r="W563" s="172"/>
    </row>
    <row r="564" spans="13:23" x14ac:dyDescent="0.2">
      <c r="M564" s="172"/>
      <c r="N564" s="172"/>
      <c r="O564" s="172"/>
      <c r="Q564" s="172"/>
      <c r="R564" s="172"/>
      <c r="S564" s="172"/>
      <c r="U564" s="172"/>
      <c r="V564" s="172"/>
      <c r="W564" s="172"/>
    </row>
    <row r="565" spans="13:23" x14ac:dyDescent="0.2">
      <c r="M565" s="172"/>
      <c r="N565" s="172"/>
      <c r="O565" s="172"/>
      <c r="Q565" s="172"/>
      <c r="R565" s="172"/>
      <c r="S565" s="172"/>
      <c r="U565" s="172"/>
      <c r="V565" s="172"/>
      <c r="W565" s="172"/>
    </row>
  </sheetData>
  <sheetProtection password="E1A4" sheet="1" objects="1" scenarios="1" selectLockedCells="1" selectUnlockedCells="1"/>
  <phoneticPr fontId="6" type="noConversion"/>
  <pageMargins left="0.5" right="0.5" top="0.3" bottom="0.3" header="0.1" footer="0.1"/>
  <pageSetup scale="50" orientation="landscape" r:id="rId1"/>
  <headerFooter alignWithMargins="0"/>
  <rowBreaks count="1" manualBreakCount="1">
    <brk id="37" max="20"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8"/>
  <sheetViews>
    <sheetView topLeftCell="A2" workbookViewId="0">
      <selection activeCell="C50" sqref="C50"/>
    </sheetView>
  </sheetViews>
  <sheetFormatPr defaultColWidth="8.85546875" defaultRowHeight="12.75" x14ac:dyDescent="0.2"/>
  <cols>
    <col min="1" max="1" width="34.42578125" bestFit="1" customWidth="1"/>
    <col min="3" max="4" width="33.85546875" bestFit="1" customWidth="1"/>
    <col min="5" max="5" width="42.5703125" bestFit="1" customWidth="1"/>
    <col min="6" max="6" width="38" bestFit="1" customWidth="1"/>
    <col min="7" max="7" width="39.140625" bestFit="1" customWidth="1"/>
    <col min="8" max="8" width="38.42578125" bestFit="1" customWidth="1"/>
    <col min="9" max="9" width="17.85546875" bestFit="1" customWidth="1"/>
    <col min="10" max="10" width="19.28515625" bestFit="1" customWidth="1"/>
    <col min="11" max="12" width="22.28515625" bestFit="1" customWidth="1"/>
  </cols>
  <sheetData>
    <row r="1" spans="1:12" x14ac:dyDescent="0.2">
      <c r="A1" s="8" t="s">
        <v>152</v>
      </c>
    </row>
    <row r="3" spans="1:12" x14ac:dyDescent="0.2">
      <c r="D3" s="179" t="s">
        <v>154</v>
      </c>
    </row>
    <row r="4" spans="1:12" x14ac:dyDescent="0.2">
      <c r="D4" s="175" t="s">
        <v>80</v>
      </c>
      <c r="E4" s="176">
        <f>Wzero</f>
        <v>12195.121951219513</v>
      </c>
      <c r="F4" s="175" t="s">
        <v>138</v>
      </c>
    </row>
    <row r="5" spans="1:12" x14ac:dyDescent="0.2">
      <c r="D5" s="175" t="s">
        <v>79</v>
      </c>
      <c r="E5" s="177">
        <f>wpole</f>
        <v>39819.851487722612</v>
      </c>
      <c r="F5" s="175" t="s">
        <v>138</v>
      </c>
    </row>
    <row r="6" spans="1:12" x14ac:dyDescent="0.2">
      <c r="D6" s="175" t="s">
        <v>13</v>
      </c>
      <c r="E6" s="177">
        <f>whf</f>
        <v>100012195.12195122</v>
      </c>
      <c r="F6" s="175" t="s">
        <v>138</v>
      </c>
    </row>
    <row r="7" spans="1:12" x14ac:dyDescent="0.2">
      <c r="D7" t="s">
        <v>78</v>
      </c>
      <c r="E7" s="178">
        <f>wbw</f>
        <v>18849555.921538759</v>
      </c>
      <c r="F7" s="175" t="s">
        <v>138</v>
      </c>
    </row>
    <row r="13" spans="1:12" ht="14.45" customHeight="1" x14ac:dyDescent="0.2">
      <c r="A13" s="174" t="s">
        <v>149</v>
      </c>
    </row>
    <row r="14" spans="1:12" s="191" customFormat="1" ht="13.5" thickBot="1" x14ac:dyDescent="0.25">
      <c r="A14" s="189" t="s">
        <v>3</v>
      </c>
      <c r="B14" s="190" t="s">
        <v>147</v>
      </c>
      <c r="C14" s="190" t="s">
        <v>148</v>
      </c>
      <c r="D14" s="190" t="s">
        <v>144</v>
      </c>
      <c r="E14" s="190" t="s">
        <v>146</v>
      </c>
      <c r="F14" s="190" t="s">
        <v>145</v>
      </c>
      <c r="G14" s="190" t="s">
        <v>150</v>
      </c>
      <c r="H14" s="190" t="s">
        <v>151</v>
      </c>
      <c r="I14" s="190" t="s">
        <v>157</v>
      </c>
      <c r="J14" s="190" t="s">
        <v>158</v>
      </c>
      <c r="K14" s="190" t="s">
        <v>161</v>
      </c>
      <c r="L14" s="190" t="s">
        <v>161</v>
      </c>
    </row>
    <row r="15" spans="1:12" s="188" customFormat="1" x14ac:dyDescent="0.2">
      <c r="A15" s="184">
        <f>'Bode Plots'!D3</f>
        <v>6.2831853071795862</v>
      </c>
      <c r="B15" s="185">
        <f t="shared" ref="B15:B48" si="0">_Rfb2*1000</f>
        <v>3062.2000000000003</v>
      </c>
      <c r="C15" s="186" t="str">
        <f t="shared" ref="C15:C48" si="1">IMDIV(COMPLEX(1,Ccomp_1*Rcomp_1*A15),IMPRODUCT(COMPLEX(0,A15),COMPLEX((Chf_1+Ccomp_1),Chf_1*Ccomp_1*Rcomp_1*A15)))</f>
        <v>9997.56142170017-19406772.7224785i</v>
      </c>
      <c r="D15" s="187" t="str">
        <f>IMDIV(1,IMSUM(IMDIV(1,B15),IMDIV(1,C15)))</f>
        <v>3062.1996748412-0.483185160541525i</v>
      </c>
      <c r="E15" s="185" t="str">
        <f t="shared" ref="E15:E48" si="2">IMDIV(B15,IMSUM(B15,C15))</f>
        <v>1.06184703620338E-07+0.00015779020329878i</v>
      </c>
      <c r="F15" s="185" t="str">
        <f t="shared" ref="F15:F48" si="3">IMDIV(Aol,COMPLEX(1,A15/(Wol)))</f>
        <v>9999.88889012344-33.3329629670781i</v>
      </c>
      <c r="G15" s="185" t="str">
        <f t="shared" ref="G15:G48" si="4">IMPRODUCT(-wpole,IMDIV(IMDIV(COMPLEX(1,A15/Wzero),COMPLEX(1,A15/whf)),COMPLEX(0,A15)))</f>
        <v>-3.26482967203323+6337.52619766128i</v>
      </c>
      <c r="H15" s="185" t="str">
        <f t="shared" ref="H15:H48" si="5">IMPRODUCT(G15,IMDIV(IMPRODUCT(F15,E15),IMSUM(1,IMPRODUCT(F15,E15),IMDIV(D15,1000*_RFB1))))</f>
        <v>-2104.98068564666+809.706208672767i</v>
      </c>
      <c r="I15" s="192">
        <f>20*LOG(IMABS(G15))</f>
        <v>76.038396504644169</v>
      </c>
      <c r="J15" s="193">
        <f>IMARGUMENT(G15)*(180/PI())</f>
        <v>90.02951639782691</v>
      </c>
      <c r="K15" s="192">
        <f>20*LOG(IMABS(H15))</f>
        <v>67.064248403538016</v>
      </c>
      <c r="L15" s="193">
        <f>IMARGUMENT(H15)*(180/PI())</f>
        <v>158.96015929070327</v>
      </c>
    </row>
    <row r="16" spans="1:12" s="183" customFormat="1" x14ac:dyDescent="0.2">
      <c r="A16" s="180">
        <f>'Bode Plots'!D4</f>
        <v>12.566370614359172</v>
      </c>
      <c r="B16" s="181">
        <f t="shared" si="0"/>
        <v>3062.2000000000003</v>
      </c>
      <c r="C16" s="182" t="str">
        <f t="shared" si="1"/>
        <v>9997.5614217-9703386.36218135i</v>
      </c>
      <c r="D16" s="187" t="str">
        <f t="shared" ref="D16:D48" si="6">IMDIV(1,IMSUM(IMDIV(1,B16),IMDIV(1,C16)))</f>
        <v>3062.19869936657-0.966369008100562i</v>
      </c>
      <c r="E16" s="181" t="str">
        <f t="shared" si="2"/>
        <v>4.2473823735841E-07+0.000315579977826582i</v>
      </c>
      <c r="F16" s="181" t="str">
        <f t="shared" si="3"/>
        <v>9999.55557530776-66.6637038353851i</v>
      </c>
      <c r="G16" s="181" t="str">
        <f t="shared" si="4"/>
        <v>-3.26482967203317+3168.76309913833i</v>
      </c>
      <c r="H16" s="181" t="str">
        <f t="shared" si="5"/>
        <v>-1517.77217516563+1166.97053363465i</v>
      </c>
      <c r="I16" s="192">
        <f t="shared" ref="I16:I48" si="7">20*LOG(IMABS(G16))</f>
        <v>70.017800049903883</v>
      </c>
      <c r="J16" s="193">
        <f t="shared" ref="J16:J48" si="8">IMARGUMENT(G16)*(180/PI())</f>
        <v>90.059032779981507</v>
      </c>
      <c r="K16" s="192">
        <f t="shared" ref="K16:K48" si="9">20*LOG(IMABS(H16))</f>
        <v>65.641276080219356</v>
      </c>
      <c r="L16" s="193">
        <f t="shared" ref="L16:L48" si="10">IMARGUMENT(H16)*(180/PI())</f>
        <v>142.44437186393066</v>
      </c>
    </row>
    <row r="17" spans="1:12" s="183" customFormat="1" x14ac:dyDescent="0.2">
      <c r="A17" s="180">
        <f>'Bode Plots'!D5</f>
        <v>31.415926535897931</v>
      </c>
      <c r="B17" s="181">
        <f t="shared" si="0"/>
        <v>3062.2000000000003</v>
      </c>
      <c r="C17" s="182" t="str">
        <f t="shared" si="1"/>
        <v>9997.56142169923-3881354.54751053i</v>
      </c>
      <c r="D17" s="187" t="str">
        <f t="shared" si="6"/>
        <v>3062.19187111838-2.41589954330755i</v>
      </c>
      <c r="E17" s="181" t="str">
        <f t="shared" si="2"/>
        <v>2.65458873463578E-06+0.000788942441155885i</v>
      </c>
      <c r="F17" s="181" t="str">
        <f t="shared" si="3"/>
        <v>9997.22299361288-166.620383226882i</v>
      </c>
      <c r="G17" s="181" t="str">
        <f t="shared" si="4"/>
        <v>-3.26482967203293+1267.5052405168i</v>
      </c>
      <c r="H17" s="181" t="str">
        <f t="shared" si="5"/>
        <v>-515.624574638477+987.049219120752i</v>
      </c>
      <c r="I17" s="192">
        <f t="shared" si="7"/>
        <v>62.059024086161031</v>
      </c>
      <c r="J17" s="193">
        <f t="shared" si="8"/>
        <v>90.147581675689096</v>
      </c>
      <c r="K17" s="192">
        <f t="shared" si="9"/>
        <v>60.934689166501016</v>
      </c>
      <c r="L17" s="193">
        <f t="shared" si="10"/>
        <v>117.58211349261856</v>
      </c>
    </row>
    <row r="18" spans="1:12" s="183" customFormat="1" x14ac:dyDescent="0.2">
      <c r="A18" s="180">
        <f>'Bode Plots'!D6</f>
        <v>62.831853071795862</v>
      </c>
      <c r="B18" s="181">
        <f t="shared" si="0"/>
        <v>3062.2000000000003</v>
      </c>
      <c r="C18" s="182" t="str">
        <f t="shared" si="1"/>
        <v>9997.56142169627-1940677.27846593i</v>
      </c>
      <c r="D18" s="187" t="str">
        <f t="shared" si="6"/>
        <v>3062.16748557799-4.83163497272347i</v>
      </c>
      <c r="E18" s="181" t="str">
        <f t="shared" si="2"/>
        <v>0.0000106179942563078+0.00157783128885228i</v>
      </c>
      <c r="F18" s="181" t="str">
        <f t="shared" si="3"/>
        <v>9988.90122086571-332.963374028856i</v>
      </c>
      <c r="G18" s="181" t="str">
        <f t="shared" si="4"/>
        <v>-3.26482967203196+633.752621796725i</v>
      </c>
      <c r="H18" s="181" t="str">
        <f t="shared" si="5"/>
        <v>-155.567572058837+586.985806354683i</v>
      </c>
      <c r="I18" s="192">
        <f t="shared" si="7"/>
        <v>56.038510634986352</v>
      </c>
      <c r="J18" s="193">
        <f t="shared" si="8"/>
        <v>90.295161392374965</v>
      </c>
      <c r="K18" s="192">
        <f t="shared" si="9"/>
        <v>55.667362763220694</v>
      </c>
      <c r="L18" s="193">
        <f t="shared" si="10"/>
        <v>104.84371673753537</v>
      </c>
    </row>
    <row r="19" spans="1:12" s="183" customFormat="1" x14ac:dyDescent="0.2">
      <c r="A19" s="180">
        <f>'Bode Plots'!D7</f>
        <v>125.66370614359172</v>
      </c>
      <c r="B19" s="181">
        <f t="shared" si="0"/>
        <v>3062.2000000000003</v>
      </c>
      <c r="C19" s="182" t="str">
        <f t="shared" si="1"/>
        <v>9997.56142168437-970338.648654292i</v>
      </c>
      <c r="D19" s="187" t="str">
        <f t="shared" si="6"/>
        <v>3062.06995998065-9.66195725726708i</v>
      </c>
      <c r="E19" s="181" t="str">
        <f t="shared" si="2"/>
        <v>0.0000424662070894596+0.00315523390283686i</v>
      </c>
      <c r="F19" s="181" t="str">
        <f t="shared" si="3"/>
        <v>9955.75221238938-663.716814159292i</v>
      </c>
      <c r="G19" s="181" t="str">
        <f t="shared" si="4"/>
        <v>-3.26482967202807+316.876313975015i</v>
      </c>
      <c r="H19" s="181" t="str">
        <f t="shared" si="5"/>
        <v>-43.1863568935384+308.078701326679i</v>
      </c>
      <c r="I19" s="192">
        <f t="shared" si="7"/>
        <v>50.018256552914181</v>
      </c>
      <c r="J19" s="193">
        <f t="shared" si="8"/>
        <v>90.59030711365989</v>
      </c>
      <c r="K19" s="192">
        <f t="shared" si="9"/>
        <v>49.857746127818352</v>
      </c>
      <c r="L19" s="193">
        <f t="shared" si="10"/>
        <v>97.9797040719168</v>
      </c>
    </row>
    <row r="20" spans="1:12" s="183" customFormat="1" x14ac:dyDescent="0.2">
      <c r="A20" s="180">
        <f>'Bode Plots'!D8</f>
        <v>314.15926535897933</v>
      </c>
      <c r="B20" s="181">
        <f t="shared" si="0"/>
        <v>3062.2000000000003</v>
      </c>
      <c r="C20" s="182" t="str">
        <f t="shared" si="1"/>
        <v>9997.56142160157-388135.485841444i</v>
      </c>
      <c r="D20" s="187" t="str">
        <f t="shared" si="6"/>
        <v>3061.38802204525-24.131946042825i</v>
      </c>
      <c r="E20" s="181" t="str">
        <f t="shared" si="2"/>
        <v>0.000265161633710068+0.00788059109229477i</v>
      </c>
      <c r="F20" s="181" t="str">
        <f t="shared" si="3"/>
        <v>9729.72972972973-1621.62162162162i</v>
      </c>
      <c r="G20" s="181" t="str">
        <f t="shared" si="4"/>
        <v>-3.26482967200104+126.750534204639i</v>
      </c>
      <c r="H20" s="181" t="str">
        <f t="shared" si="5"/>
        <v>-9.68972345662386+124.971097175367i</v>
      </c>
      <c r="I20" s="192">
        <f t="shared" si="7"/>
        <v>42.06187642714815</v>
      </c>
      <c r="J20" s="193">
        <f t="shared" si="8"/>
        <v>91.475493644852932</v>
      </c>
      <c r="K20" s="192">
        <f t="shared" si="9"/>
        <v>41.962222346734023</v>
      </c>
      <c r="L20" s="193">
        <f t="shared" si="10"/>
        <v>94.433598850015329</v>
      </c>
    </row>
    <row r="21" spans="1:12" s="183" customFormat="1" x14ac:dyDescent="0.2">
      <c r="A21" s="180">
        <f>'Bode Plots'!D9</f>
        <v>628.31853071795865</v>
      </c>
      <c r="B21" s="181">
        <f t="shared" si="0"/>
        <v>3062.2000000000003</v>
      </c>
      <c r="C21" s="182" t="str">
        <f t="shared" si="1"/>
        <v>9997.56142130562-194067.790027376i</v>
      </c>
      <c r="D21" s="187" t="str">
        <f t="shared" si="6"/>
        <v>3058.9630713794-48.1006936965705i</v>
      </c>
      <c r="E21" s="181" t="str">
        <f t="shared" si="2"/>
        <v>0.00105705983299639+0.0157078876940012i</v>
      </c>
      <c r="F21" s="181" t="str">
        <f t="shared" si="3"/>
        <v>9000-3000i</v>
      </c>
      <c r="G21" s="181" t="str">
        <f t="shared" si="4"/>
        <v>-3.26482967190439+63.3752824855903i</v>
      </c>
      <c r="H21" s="181" t="str">
        <f t="shared" si="5"/>
        <v>-4.82716083101967+62.6129323114428i</v>
      </c>
      <c r="I21" s="192">
        <f t="shared" si="7"/>
        <v>36.04990854941758</v>
      </c>
      <c r="J21" s="193">
        <f t="shared" si="8"/>
        <v>92.949032139953445</v>
      </c>
      <c r="K21" s="192">
        <f t="shared" si="9"/>
        <v>35.959017532367909</v>
      </c>
      <c r="L21" s="193">
        <f t="shared" si="10"/>
        <v>94.408513044601094</v>
      </c>
    </row>
    <row r="22" spans="1:12" s="183" customFormat="1" x14ac:dyDescent="0.2">
      <c r="A22" s="180">
        <f>'Bode Plots'!D10</f>
        <v>1256.6370614359173</v>
      </c>
      <c r="B22" s="181">
        <f t="shared" si="0"/>
        <v>3062.2000000000003</v>
      </c>
      <c r="C22" s="182" t="str">
        <f t="shared" si="1"/>
        <v>9997.56142012179-97033.9892269945i</v>
      </c>
      <c r="D22" s="187" t="str">
        <f t="shared" si="6"/>
        <v>3049.42508506745-94.9175806559154i</v>
      </c>
      <c r="E22" s="181" t="str">
        <f t="shared" si="2"/>
        <v>0.00417180946135332+0.0309965321193636i</v>
      </c>
      <c r="F22" s="181" t="str">
        <f t="shared" si="3"/>
        <v>6923.07692307692-4615.38461538462i</v>
      </c>
      <c r="G22" s="181" t="str">
        <f t="shared" si="4"/>
        <v>-3.26482967151781+31.6876720093381i</v>
      </c>
      <c r="H22" s="181" t="str">
        <f t="shared" si="5"/>
        <v>-3.60844704013377+31.3246128571439i</v>
      </c>
      <c r="I22" s="192">
        <f t="shared" si="7"/>
        <v>30.063666224275348</v>
      </c>
      <c r="J22" s="193">
        <f t="shared" si="8"/>
        <v>95.882515764206232</v>
      </c>
      <c r="K22" s="192">
        <f t="shared" si="9"/>
        <v>29.974965871407253</v>
      </c>
      <c r="L22" s="193">
        <f t="shared" si="10"/>
        <v>96.571237917541524</v>
      </c>
    </row>
    <row r="23" spans="1:12" s="183" customFormat="1" x14ac:dyDescent="0.2">
      <c r="A23" s="180">
        <f>'Bode Plots'!D11</f>
        <v>2513.2741228718346</v>
      </c>
      <c r="B23" s="181">
        <f t="shared" si="0"/>
        <v>3062.2000000000003</v>
      </c>
      <c r="C23" s="182" t="str">
        <f t="shared" si="1"/>
        <v>9997.56141538674-48517.1830401116i</v>
      </c>
      <c r="D23" s="187" t="str">
        <f t="shared" si="6"/>
        <v>3013.68998899149-180.215320059747i</v>
      </c>
      <c r="E23" s="181" t="str">
        <f t="shared" si="2"/>
        <v>0.0158415554204536+0.0588515838481311i</v>
      </c>
      <c r="F23" s="181" t="str">
        <f t="shared" si="3"/>
        <v>3600.00000000001-4800i</v>
      </c>
      <c r="G23" s="181" t="str">
        <f t="shared" si="4"/>
        <v>-3.26482966997151+15.8438975377545i</v>
      </c>
      <c r="H23" s="181" t="str">
        <f t="shared" si="5"/>
        <v>-3.30356767849107+15.6689437555195i</v>
      </c>
      <c r="I23" s="192">
        <f t="shared" si="7"/>
        <v>24.177841432022547</v>
      </c>
      <c r="J23" s="193">
        <f t="shared" si="8"/>
        <v>101.64352356864812</v>
      </c>
      <c r="K23" s="192">
        <f t="shared" si="9"/>
        <v>24.089677447522003</v>
      </c>
      <c r="L23" s="193">
        <f t="shared" si="10"/>
        <v>101.90561340781264</v>
      </c>
    </row>
    <row r="24" spans="1:12" s="183" customFormat="1" x14ac:dyDescent="0.2">
      <c r="A24" s="180">
        <f>'Bode Plots'!D12</f>
        <v>3769.9111843077517</v>
      </c>
      <c r="B24" s="181">
        <f t="shared" si="0"/>
        <v>3062.2000000000003</v>
      </c>
      <c r="C24" s="182" t="str">
        <f t="shared" si="1"/>
        <v>9997.56140749492-32344.998056312i</v>
      </c>
      <c r="D24" s="187" t="str">
        <f t="shared" si="6"/>
        <v>2961.5534818395-249.270360514223i</v>
      </c>
      <c r="E24" s="181" t="str">
        <f t="shared" si="2"/>
        <v>0.0328673888578478+0.0814023775436691i</v>
      </c>
      <c r="F24" s="181" t="str">
        <f t="shared" si="3"/>
        <v>2000-4000i</v>
      </c>
      <c r="G24" s="181" t="str">
        <f t="shared" si="4"/>
        <v>-3.26482966739433+10.5626667285977i</v>
      </c>
      <c r="H24" s="181" t="str">
        <f t="shared" si="5"/>
        <v>-3.24708670584574+10.4513833310508i</v>
      </c>
      <c r="I24" s="192">
        <f t="shared" si="7"/>
        <v>20.871744049594021</v>
      </c>
      <c r="J24" s="193">
        <f t="shared" si="8"/>
        <v>107.17593038178363</v>
      </c>
      <c r="K24" s="192">
        <f t="shared" si="9"/>
        <v>20.783661273453937</v>
      </c>
      <c r="L24" s="193">
        <f t="shared" si="10"/>
        <v>107.25922922488901</v>
      </c>
    </row>
    <row r="25" spans="1:12" s="183" customFormat="1" x14ac:dyDescent="0.2">
      <c r="A25" s="180">
        <f>'Bode Plots'!D13</f>
        <v>5026.5482457436692</v>
      </c>
      <c r="B25" s="181">
        <f t="shared" si="0"/>
        <v>3062.2000000000003</v>
      </c>
      <c r="C25" s="182" t="str">
        <f t="shared" si="1"/>
        <v>9997.56139644636-24258.9683732831i</v>
      </c>
      <c r="D25" s="187" t="str">
        <f t="shared" si="6"/>
        <v>2900.86479309137-299.68584900476i</v>
      </c>
      <c r="E25" s="181" t="str">
        <f t="shared" si="2"/>
        <v>0.0526860449704895+0.0978661906488012i</v>
      </c>
      <c r="F25" s="181" t="str">
        <f t="shared" si="3"/>
        <v>1232.87671232876-3287.67123287671i</v>
      </c>
      <c r="G25" s="181" t="str">
        <f t="shared" si="4"/>
        <v>-3.26482966378628+7.92207183504768i</v>
      </c>
      <c r="H25" s="181" t="str">
        <f t="shared" si="5"/>
        <v>-3.22730193819633+7.84403693427987i</v>
      </c>
      <c r="I25" s="192">
        <f t="shared" si="7"/>
        <v>18.658045306052099</v>
      </c>
      <c r="J25" s="193">
        <f t="shared" si="8"/>
        <v>112.39744844170349</v>
      </c>
      <c r="K25" s="192">
        <f t="shared" si="9"/>
        <v>18.569969541362209</v>
      </c>
      <c r="L25" s="193">
        <f t="shared" si="10"/>
        <v>112.36392231478209</v>
      </c>
    </row>
    <row r="26" spans="1:12" s="183" customFormat="1" x14ac:dyDescent="0.2">
      <c r="A26" s="180">
        <f>'Bode Plots'!D14</f>
        <v>6283.1853071795858</v>
      </c>
      <c r="B26" s="181">
        <f t="shared" si="0"/>
        <v>3062.2000000000003</v>
      </c>
      <c r="C26" s="182" t="str">
        <f t="shared" si="1"/>
        <v>9997.56138224105-19407.4008105621i</v>
      </c>
      <c r="D26" s="187" t="str">
        <f t="shared" si="6"/>
        <v>2838.40384143829-332.571294524367i</v>
      </c>
      <c r="E26" s="181" t="str">
        <f t="shared" si="2"/>
        <v>0.0730834558688888+0.108605347307284i</v>
      </c>
      <c r="F26" s="181" t="str">
        <f t="shared" si="3"/>
        <v>825.688073394497-2752.29357798165i</v>
      </c>
      <c r="G26" s="181" t="str">
        <f t="shared" si="4"/>
        <v>-3.26482965914736+6.33773130774023i</v>
      </c>
      <c r="H26" s="181" t="str">
        <f t="shared" si="5"/>
        <v>-3.21812696974197+6.28084381284897i</v>
      </c>
      <c r="I26" s="192">
        <f t="shared" si="7"/>
        <v>17.060855120003687</v>
      </c>
      <c r="J26" s="193">
        <f t="shared" si="8"/>
        <v>117.25488379927887</v>
      </c>
      <c r="K26" s="192">
        <f t="shared" si="9"/>
        <v>16.972759108879842</v>
      </c>
      <c r="L26" s="193">
        <f t="shared" si="10"/>
        <v>117.12931994061415</v>
      </c>
    </row>
    <row r="27" spans="1:12" s="183" customFormat="1" x14ac:dyDescent="0.2">
      <c r="A27" s="180">
        <f>'Bode Plots'!D15</f>
        <v>7539.8223686155034</v>
      </c>
      <c r="B27" s="181">
        <f t="shared" si="0"/>
        <v>3062.2000000000003</v>
      </c>
      <c r="C27" s="182" t="str">
        <f t="shared" si="1"/>
        <v>9997.56136487902-16173.0643079947i</v>
      </c>
      <c r="D27" s="187" t="str">
        <f t="shared" si="6"/>
        <v>2778.80474448206-350.953556042621i</v>
      </c>
      <c r="E27" s="181" t="str">
        <f t="shared" si="2"/>
        <v>0.0925462920507952+0.114608306460264i</v>
      </c>
      <c r="F27" s="181" t="str">
        <f t="shared" si="3"/>
        <v>588.235294117647-2352.94117647059i</v>
      </c>
      <c r="G27" s="181" t="str">
        <f t="shared" si="4"/>
        <v>-3.26482965347757+5.2815179635539i</v>
      </c>
      <c r="H27" s="181" t="str">
        <f t="shared" si="5"/>
        <v>-3.21312461294958+5.23974120091603i</v>
      </c>
      <c r="I27" s="192">
        <f t="shared" si="7"/>
        <v>15.860643138506866</v>
      </c>
      <c r="J27" s="193">
        <f t="shared" si="8"/>
        <v>121.72274958552194</v>
      </c>
      <c r="K27" s="192">
        <f t="shared" si="9"/>
        <v>15.772511205843324</v>
      </c>
      <c r="L27" s="193">
        <f t="shared" si="10"/>
        <v>121.51754203735679</v>
      </c>
    </row>
    <row r="28" spans="1:12" s="183" customFormat="1" x14ac:dyDescent="0.2">
      <c r="A28" s="180">
        <f>'Bode Plots'!D16</f>
        <v>9424.7779607693792</v>
      </c>
      <c r="B28" s="181">
        <f t="shared" si="0"/>
        <v>3062.2000000000003</v>
      </c>
      <c r="C28" s="182" t="str">
        <f t="shared" si="1"/>
        <v>9997.56133291709-12938.7906142965i</v>
      </c>
      <c r="D28" s="187" t="str">
        <f t="shared" si="6"/>
        <v>2699.85304280727-358.990588673871i</v>
      </c>
      <c r="E28" s="181" t="str">
        <f t="shared" si="2"/>
        <v>0.118328965186052+0.117232900749092i</v>
      </c>
      <c r="F28" s="181" t="str">
        <f t="shared" si="3"/>
        <v>384.615384615385-1923.07692307692i</v>
      </c>
      <c r="G28" s="181" t="str">
        <f t="shared" si="4"/>
        <v>-3.26482964304+4.22532513039528i</v>
      </c>
      <c r="H28" s="181" t="str">
        <f t="shared" si="5"/>
        <v>-3.20899789949828+4.20018537283461i</v>
      </c>
      <c r="I28" s="192">
        <f t="shared" si="7"/>
        <v>14.550350706560387</v>
      </c>
      <c r="J28" s="193">
        <f t="shared" si="8"/>
        <v>127.69259056311189</v>
      </c>
      <c r="K28" s="192">
        <f t="shared" si="9"/>
        <v>14.462143502524142</v>
      </c>
      <c r="L28" s="193">
        <f t="shared" si="10"/>
        <v>127.38031226832348</v>
      </c>
    </row>
    <row r="29" spans="1:12" s="183" customFormat="1" x14ac:dyDescent="0.2">
      <c r="A29" s="180">
        <f>'Bode Plots'!D17</f>
        <v>12566.370614359172</v>
      </c>
      <c r="B29" s="181">
        <f t="shared" si="0"/>
        <v>3062.2000000000003</v>
      </c>
      <c r="C29" s="182" t="str">
        <f t="shared" si="1"/>
        <v>9997.5612638635-9704.64253833362i</v>
      </c>
      <c r="D29" s="187" t="str">
        <f t="shared" si="6"/>
        <v>2599.61988558049-343.740943274698i</v>
      </c>
      <c r="E29" s="181" t="str">
        <f t="shared" si="2"/>
        <v>0.151061365821798+0.112252936867186i</v>
      </c>
      <c r="F29" s="181" t="str">
        <f t="shared" si="3"/>
        <v>220.048899755501-1466.99266503667i</v>
      </c>
      <c r="G29" s="181" t="str">
        <f t="shared" si="4"/>
        <v>-3.26482962048969+3.16917331929124i</v>
      </c>
      <c r="H29" s="181" t="str">
        <f t="shared" si="5"/>
        <v>-3.20570395403719+3.16372973249987i</v>
      </c>
      <c r="I29" s="192">
        <f t="shared" si="7"/>
        <v>13.160284988087671</v>
      </c>
      <c r="J29" s="193">
        <f t="shared" si="8"/>
        <v>135.85177122779891</v>
      </c>
      <c r="K29" s="192">
        <f t="shared" si="9"/>
        <v>13.071905050881437</v>
      </c>
      <c r="L29" s="193">
        <f t="shared" si="10"/>
        <v>135.37757060489156</v>
      </c>
    </row>
    <row r="30" spans="1:12" s="183" customFormat="1" x14ac:dyDescent="0.2">
      <c r="A30" s="180">
        <f>'Bode Plots'!D18</f>
        <v>18849.555921538758</v>
      </c>
      <c r="B30" s="181">
        <f t="shared" si="0"/>
        <v>3062.2000000000003</v>
      </c>
      <c r="C30" s="182" t="str">
        <f t="shared" si="1"/>
        <v>9997.56106656771-6470.80850669227i</v>
      </c>
      <c r="D30" s="187" t="str">
        <f t="shared" si="6"/>
        <v>2485.71355555457-285.63565364605i</v>
      </c>
      <c r="E30" s="181" t="str">
        <f t="shared" si="2"/>
        <v>0.188258913345123+0.0932779222931389i</v>
      </c>
      <c r="F30" s="181" t="str">
        <f t="shared" si="3"/>
        <v>99.009900990099-990.09900990099i</v>
      </c>
      <c r="G30" s="181" t="str">
        <f t="shared" si="4"/>
        <v>-3.26482955606027+2.11312406331797i</v>
      </c>
      <c r="H30" s="181" t="str">
        <f t="shared" si="5"/>
        <v>-3.20306902692585+2.13503024389056i</v>
      </c>
      <c r="I30" s="192">
        <f t="shared" si="7"/>
        <v>11.796783080257347</v>
      </c>
      <c r="J30" s="193">
        <f t="shared" si="8"/>
        <v>147.08749276695835</v>
      </c>
      <c r="K30" s="192">
        <f t="shared" si="9"/>
        <v>11.707897467659727</v>
      </c>
      <c r="L30" s="193">
        <f t="shared" si="10"/>
        <v>146.31425598318921</v>
      </c>
    </row>
    <row r="31" spans="1:12" s="183" customFormat="1" x14ac:dyDescent="0.2">
      <c r="A31" s="180">
        <f>'Bode Plots'!D19</f>
        <v>25132.741228718343</v>
      </c>
      <c r="B31" s="181">
        <f t="shared" si="0"/>
        <v>3062.2000000000003</v>
      </c>
      <c r="C31" s="182" t="str">
        <f t="shared" si="1"/>
        <v>9997.56079035359-4854.20553516051i</v>
      </c>
      <c r="D31" s="187" t="str">
        <f t="shared" si="6"/>
        <v>2431.34353218972-234.484153813783i</v>
      </c>
      <c r="E31" s="181" t="str">
        <f t="shared" si="2"/>
        <v>0.206014129648711+0.0765737554091121i</v>
      </c>
      <c r="F31" s="181" t="str">
        <f t="shared" si="3"/>
        <v>55.9353635798635-745.804847731512i</v>
      </c>
      <c r="G31" s="181" t="str">
        <f t="shared" si="4"/>
        <v>-3.26482946585906+1.58520199045148i</v>
      </c>
      <c r="H31" s="181" t="str">
        <f t="shared" si="5"/>
        <v>-3.20175198351605+1.62843443432343i</v>
      </c>
      <c r="I31" s="192">
        <f t="shared" si="7"/>
        <v>11.19650956836615</v>
      </c>
      <c r="J31" s="193">
        <f t="shared" si="8"/>
        <v>154.10161922676295</v>
      </c>
      <c r="K31" s="192">
        <f t="shared" si="9"/>
        <v>11.106911843389408</v>
      </c>
      <c r="L31" s="193">
        <f t="shared" si="10"/>
        <v>153.04177905841547</v>
      </c>
    </row>
    <row r="32" spans="1:12" s="183" customFormat="1" x14ac:dyDescent="0.2">
      <c r="A32" s="180">
        <f>'Bode Plots'!D20</f>
        <v>31415.926535897932</v>
      </c>
      <c r="B32" s="181">
        <f t="shared" si="0"/>
        <v>3062.2000000000003</v>
      </c>
      <c r="C32" s="182" t="str">
        <f t="shared" si="1"/>
        <v>9997.56043522117-3884.49498763091i</v>
      </c>
      <c r="D32" s="187" t="str">
        <f t="shared" si="6"/>
        <v>2402.54750082356-196.207031464254i</v>
      </c>
      <c r="E32" s="181" t="str">
        <f t="shared" si="2"/>
        <v>0.215417836580378+0.0640738787356324i</v>
      </c>
      <c r="F32" s="181" t="str">
        <f t="shared" si="3"/>
        <v>35.8708648864088-597.847748106814i</v>
      </c>
      <c r="G32" s="181" t="str">
        <f t="shared" si="4"/>
        <v>-3.26482934988609+1.2685307908141i</v>
      </c>
      <c r="H32" s="181" t="str">
        <f t="shared" si="5"/>
        <v>-3.20070942220808+1.33067452101843i</v>
      </c>
      <c r="I32" s="192">
        <f t="shared" si="7"/>
        <v>10.887837165729925</v>
      </c>
      <c r="J32" s="193">
        <f t="shared" si="8"/>
        <v>158.76664699331974</v>
      </c>
      <c r="K32" s="192">
        <f t="shared" si="9"/>
        <v>10.797322869499986</v>
      </c>
      <c r="L32" s="193">
        <f t="shared" si="10"/>
        <v>157.42521303155638</v>
      </c>
    </row>
    <row r="33" spans="1:12" s="183" customFormat="1" x14ac:dyDescent="0.2">
      <c r="A33" s="180">
        <f>'Bode Plots'!D21</f>
        <v>37699.111843077517</v>
      </c>
      <c r="B33" s="181">
        <f t="shared" si="0"/>
        <v>3062.2000000000003</v>
      </c>
      <c r="C33" s="182" t="str">
        <f t="shared" si="1"/>
        <v>9997.56000117046-3238.23065205778i</v>
      </c>
      <c r="D33" s="187" t="str">
        <f t="shared" si="6"/>
        <v>2385.77533131988-167.722767932311i</v>
      </c>
      <c r="E33" s="181" t="str">
        <f t="shared" si="2"/>
        <v>0.220894999895539+0.0547719835191399i</v>
      </c>
      <c r="F33" s="181" t="str">
        <f t="shared" si="3"/>
        <v>24.9376558603491-498.753117206983i</v>
      </c>
      <c r="G33" s="181" t="str">
        <f t="shared" si="4"/>
        <v>-3.26482920814136+1.05748502777669i</v>
      </c>
      <c r="H33" s="181" t="str">
        <f t="shared" si="5"/>
        <v>-3.19968403362503+1.13732611934988i</v>
      </c>
      <c r="I33" s="192">
        <f t="shared" si="7"/>
        <v>10.710488480199764</v>
      </c>
      <c r="J33" s="193">
        <f t="shared" si="8"/>
        <v>162.05275233818739</v>
      </c>
      <c r="K33" s="192">
        <f t="shared" si="9"/>
        <v>10.618853746257704</v>
      </c>
      <c r="L33" s="193">
        <f t="shared" si="10"/>
        <v>160.4322684392788</v>
      </c>
    </row>
    <row r="34" spans="1:12" s="183" customFormat="1" x14ac:dyDescent="0.2">
      <c r="A34" s="180">
        <f>'Bode Plots'!D22</f>
        <v>43982.297150257102</v>
      </c>
      <c r="B34" s="181">
        <f t="shared" si="0"/>
        <v>3062.2000000000003</v>
      </c>
      <c r="C34" s="182" t="str">
        <f t="shared" si="1"/>
        <v>9997.55948820145-2776.79272327017i</v>
      </c>
      <c r="D34" s="187" t="str">
        <f t="shared" si="6"/>
        <v>2375.2436455667-146.062062468907i</v>
      </c>
      <c r="E34" s="181" t="str">
        <f t="shared" si="2"/>
        <v>0.224334254599077+0.0476984071807543i</v>
      </c>
      <c r="F34" s="181" t="str">
        <f t="shared" si="3"/>
        <v>18.3336728457935-427.785699735181i</v>
      </c>
      <c r="G34" s="181" t="str">
        <f t="shared" si="4"/>
        <v>-3.26482904062487+0.906796657066872i</v>
      </c>
      <c r="H34" s="181" t="str">
        <f t="shared" si="5"/>
        <v>-3.19858781980102+1.00363461968058i</v>
      </c>
      <c r="I34" s="192">
        <f t="shared" si="7"/>
        <v>10.599944255041871</v>
      </c>
      <c r="J34" s="193">
        <f t="shared" si="8"/>
        <v>164.47752310972493</v>
      </c>
      <c r="K34" s="192">
        <f t="shared" si="9"/>
        <v>10.506985533346649</v>
      </c>
      <c r="L34" s="193">
        <f t="shared" si="10"/>
        <v>162.57948379708586</v>
      </c>
    </row>
    <row r="35" spans="1:12" s="183" customFormat="1" x14ac:dyDescent="0.2">
      <c r="A35" s="180">
        <f>'Bode Plots'!D23</f>
        <v>50265.482457436687</v>
      </c>
      <c r="B35" s="181">
        <f t="shared" si="0"/>
        <v>3062.2000000000003</v>
      </c>
      <c r="C35" s="182" t="str">
        <f t="shared" si="1"/>
        <v>9997.55889631426-2430.87129867518i</v>
      </c>
      <c r="D35" s="187" t="str">
        <f t="shared" si="6"/>
        <v>2368.23088156441-129.171573959767i</v>
      </c>
      <c r="E35" s="181" t="str">
        <f t="shared" si="2"/>
        <v>0.226624361059233+0.0421826053033003i</v>
      </c>
      <c r="F35" s="181" t="str">
        <f t="shared" si="3"/>
        <v>14.0427523794663-374.47339678577i</v>
      </c>
      <c r="G35" s="181" t="str">
        <f t="shared" si="4"/>
        <v>-3.26482884733664+0.793831656546008i</v>
      </c>
      <c r="H35" s="181" t="str">
        <f t="shared" si="5"/>
        <v>-3.19738420015256+0.907221620456135i</v>
      </c>
      <c r="I35" s="192">
        <f t="shared" si="7"/>
        <v>10.526660946907256</v>
      </c>
      <c r="J35" s="193">
        <f t="shared" si="8"/>
        <v>166.33392716275594</v>
      </c>
      <c r="K35" s="192">
        <f t="shared" si="9"/>
        <v>10.432174939888966</v>
      </c>
      <c r="L35" s="193">
        <f t="shared" si="10"/>
        <v>164.15930876293044</v>
      </c>
    </row>
    <row r="36" spans="1:12" s="183" customFormat="1" x14ac:dyDescent="0.2">
      <c r="A36" s="180">
        <f>'Bode Plots'!D24</f>
        <v>56548.667764616279</v>
      </c>
      <c r="B36" s="181">
        <f t="shared" si="0"/>
        <v>3062.2000000000003</v>
      </c>
      <c r="C36" s="182" t="str">
        <f t="shared" si="1"/>
        <v>9997.55822550881-2161.96087682568i</v>
      </c>
      <c r="D36" s="187" t="str">
        <f t="shared" si="6"/>
        <v>2363.33963565147-115.691940080063i</v>
      </c>
      <c r="E36" s="181" t="str">
        <f t="shared" si="2"/>
        <v>0.228221659051837+0.037780660988852i</v>
      </c>
      <c r="F36" s="181" t="str">
        <f t="shared" si="3"/>
        <v>11.0987791342952-332.963374028857i</v>
      </c>
      <c r="G36" s="181" t="str">
        <f t="shared" si="4"/>
        <v>-3.26482862827667+0.706015569468252i</v>
      </c>
      <c r="H36" s="181" t="str">
        <f t="shared" si="5"/>
        <v>-3.19605588399314+0.835653715168864i</v>
      </c>
      <c r="I36" s="192">
        <f t="shared" si="7"/>
        <v>10.475693849419876</v>
      </c>
      <c r="J36" s="193">
        <f t="shared" si="8"/>
        <v>167.79774278134806</v>
      </c>
      <c r="K36" s="192">
        <f t="shared" si="9"/>
        <v>10.37947750575162</v>
      </c>
      <c r="L36" s="193">
        <f t="shared" si="10"/>
        <v>165.34723946870639</v>
      </c>
    </row>
    <row r="37" spans="1:12" s="183" customFormat="1" x14ac:dyDescent="0.2">
      <c r="A37" s="180">
        <f>'Bode Plots'!D25</f>
        <v>62831.853071795864</v>
      </c>
      <c r="B37" s="181">
        <f t="shared" si="0"/>
        <v>3062.2000000000003</v>
      </c>
      <c r="C37" s="182" t="str">
        <f t="shared" si="1"/>
        <v>9997.5574757852-1946.95815684745i</v>
      </c>
      <c r="D37" s="187" t="str">
        <f t="shared" si="6"/>
        <v>2359.79844034143-104.714536123299i</v>
      </c>
      <c r="E37" s="181" t="str">
        <f t="shared" si="2"/>
        <v>0.229378081006653+0.0341958513889683i</v>
      </c>
      <c r="F37" s="181" t="str">
        <f t="shared" si="3"/>
        <v>8.99190728344492-299.730242781497i</v>
      </c>
      <c r="G37" s="181" t="str">
        <f t="shared" si="4"/>
        <v>-3.26482838344497+0.635803721784157i</v>
      </c>
      <c r="H37" s="181" t="str">
        <f t="shared" si="5"/>
        <v>-3.194593955478+0.781470002233815i</v>
      </c>
      <c r="I37" s="192">
        <f t="shared" si="7"/>
        <v>10.4388668122719</v>
      </c>
      <c r="J37" s="193">
        <f t="shared" si="8"/>
        <v>168.97995618915849</v>
      </c>
      <c r="K37" s="192">
        <f t="shared" si="9"/>
        <v>10.340717340180204</v>
      </c>
      <c r="L37" s="193">
        <f t="shared" si="10"/>
        <v>166.25409799188236</v>
      </c>
    </row>
    <row r="38" spans="1:12" s="183" customFormat="1" x14ac:dyDescent="0.2">
      <c r="A38" s="180">
        <f>'Bode Plots'!D26</f>
        <v>75398.223686155034</v>
      </c>
      <c r="B38" s="181">
        <f t="shared" si="0"/>
        <v>3062.2000000000003</v>
      </c>
      <c r="C38" s="182" t="str">
        <f t="shared" si="1"/>
        <v>9997.55573958359-1624.76812044019i</v>
      </c>
      <c r="D38" s="187" t="str">
        <f t="shared" si="6"/>
        <v>2355.13137894145-87.9666187766059i</v>
      </c>
      <c r="E38" s="181" t="str">
        <f t="shared" si="2"/>
        <v>0.23090216872136+0.0287266079213002i</v>
      </c>
      <c r="F38" s="181" t="str">
        <f t="shared" si="3"/>
        <v>6.24609618988132-249.843847595253i</v>
      </c>
      <c r="G38" s="181" t="str">
        <f t="shared" si="4"/>
        <v>-3.26482781646646+0.530588505140153i</v>
      </c>
      <c r="H38" s="181" t="str">
        <f t="shared" si="5"/>
        <v>-3.19125194820894+0.707842840746681i</v>
      </c>
      <c r="I38" s="192">
        <f t="shared" si="7"/>
        <v>10.390421258143771</v>
      </c>
      <c r="J38" s="193">
        <f t="shared" si="8"/>
        <v>170.76919072855071</v>
      </c>
      <c r="K38" s="192">
        <f t="shared" si="9"/>
        <v>10.287798300281711</v>
      </c>
      <c r="L38" s="193">
        <f t="shared" si="10"/>
        <v>167.49385118241085</v>
      </c>
    </row>
    <row r="39" spans="1:12" s="183" customFormat="1" x14ac:dyDescent="0.2">
      <c r="A39" s="180">
        <f>'Bode Plots'!D27</f>
        <v>94247.779607693796</v>
      </c>
      <c r="B39" s="181">
        <f t="shared" si="0"/>
        <v>3062.2000000000003</v>
      </c>
      <c r="C39" s="182" t="str">
        <f t="shared" si="1"/>
        <v>9997.55254339581-1303.20617046887i</v>
      </c>
      <c r="D39" s="187" t="str">
        <f t="shared" si="6"/>
        <v>2351.26646900438-70.9426125271595i</v>
      </c>
      <c r="E39" s="181" t="str">
        <f t="shared" si="2"/>
        <v>0.232164303767103+0.0231672041431519i</v>
      </c>
      <c r="F39" s="181" t="str">
        <f t="shared" si="3"/>
        <v>3.9984006397441-199.920031987205i</v>
      </c>
      <c r="G39" s="181" t="str">
        <f t="shared" si="4"/>
        <v>-3.26482677271106+0.42557839803699i</v>
      </c>
      <c r="H39" s="181" t="str">
        <f t="shared" si="5"/>
        <v>-3.18516813558781+0.649413437725082i</v>
      </c>
      <c r="I39" s="192">
        <f t="shared" si="7"/>
        <v>10.350377287747714</v>
      </c>
      <c r="J39" s="193">
        <f t="shared" si="8"/>
        <v>172.57322651629366</v>
      </c>
      <c r="K39" s="192">
        <f t="shared" si="9"/>
        <v>10.239530992456572</v>
      </c>
      <c r="L39" s="193">
        <f t="shared" si="10"/>
        <v>168.47610169573497</v>
      </c>
    </row>
    <row r="40" spans="1:12" s="183" customFormat="1" x14ac:dyDescent="0.2">
      <c r="A40" s="180">
        <f>'Bode Plots'!D28</f>
        <v>125663.70614359173</v>
      </c>
      <c r="B40" s="181">
        <f t="shared" si="0"/>
        <v>3062.2000000000003</v>
      </c>
      <c r="C40" s="182" t="str">
        <f t="shared" si="1"/>
        <v>9997.54563805879-982.900390543424i</v>
      </c>
      <c r="D40" s="187" t="str">
        <f t="shared" si="6"/>
        <v>2348.23103562665-53.7346127074156i</v>
      </c>
      <c r="E40" s="181" t="str">
        <f t="shared" si="2"/>
        <v>0.233155562789285+0.0175477149459263i</v>
      </c>
      <c r="F40" s="181" t="str">
        <f t="shared" si="3"/>
        <v>2.24949386388062-149.966257592042i</v>
      </c>
      <c r="G40" s="181" t="str">
        <f t="shared" si="4"/>
        <v>-3.26482451768623+0.320978509092623i</v>
      </c>
      <c r="H40" s="181" t="str">
        <f t="shared" si="5"/>
        <v>-3.1721580695599+0.620974017768725i</v>
      </c>
      <c r="I40" s="192">
        <f t="shared" si="7"/>
        <v>10.318972787618705</v>
      </c>
      <c r="J40" s="193">
        <f t="shared" si="8"/>
        <v>174.38505739891059</v>
      </c>
      <c r="K40" s="192">
        <f t="shared" si="9"/>
        <v>10.190412922871088</v>
      </c>
      <c r="L40" s="193">
        <f t="shared" si="10"/>
        <v>168.92398034030867</v>
      </c>
    </row>
    <row r="41" spans="1:12" s="183" customFormat="1" x14ac:dyDescent="0.2">
      <c r="A41" s="180">
        <f>'Bode Plots'!D29</f>
        <v>188495.55921538759</v>
      </c>
      <c r="B41" s="181">
        <f t="shared" si="0"/>
        <v>3062.2000000000003</v>
      </c>
      <c r="C41" s="182" t="str">
        <f t="shared" si="1"/>
        <v>9997.5259085772-665.735018553377i</v>
      </c>
      <c r="D41" s="187" t="str">
        <f t="shared" si="6"/>
        <v>2346.04676092042-36.5067608036535i</v>
      </c>
      <c r="E41" s="181" t="str">
        <f t="shared" si="2"/>
        <v>0.233868865220945+0.0119217428004877i</v>
      </c>
      <c r="F41" s="181" t="str">
        <f t="shared" si="3"/>
        <v>0.999900009999-99.9900009999i</v>
      </c>
      <c r="G41" s="181" t="str">
        <f t="shared" si="4"/>
        <v>-3.2648180747754+0.217404159935137i</v>
      </c>
      <c r="H41" s="181" t="str">
        <f t="shared" si="5"/>
        <v>-3.13562979953374+0.665097519904106i</v>
      </c>
      <c r="I41" s="192">
        <f t="shared" si="7"/>
        <v>10.296394746591147</v>
      </c>
      <c r="J41" s="193">
        <f t="shared" si="8"/>
        <v>176.19029974976516</v>
      </c>
      <c r="K41" s="192">
        <f t="shared" si="9"/>
        <v>10.11761920202779</v>
      </c>
      <c r="L41" s="193">
        <f t="shared" si="10"/>
        <v>168.02449833594397</v>
      </c>
    </row>
    <row r="42" spans="1:12" s="183" customFormat="1" x14ac:dyDescent="0.2">
      <c r="A42" s="180">
        <f>'Bode Plots'!D30</f>
        <v>251327.41228718346</v>
      </c>
      <c r="B42" s="181">
        <f t="shared" si="0"/>
        <v>3062.2000000000003</v>
      </c>
      <c r="C42" s="182" t="str">
        <f t="shared" si="1"/>
        <v>9997.49828743376-510.292707957486i</v>
      </c>
      <c r="D42" s="187" t="str">
        <f t="shared" si="6"/>
        <v>2345.27883764126-28.0128708397566i</v>
      </c>
      <c r="E42" s="181" t="str">
        <f t="shared" si="2"/>
        <v>0.234119640245164+0.00914795599234421i</v>
      </c>
      <c r="F42" s="181" t="str">
        <f t="shared" si="3"/>
        <v>0.562468361154688-74.9957814872915i</v>
      </c>
      <c r="G42" s="181" t="str">
        <f t="shared" si="4"/>
        <v>-3.26480905474293+0.166642514518153i</v>
      </c>
      <c r="H42" s="181" t="str">
        <f t="shared" si="5"/>
        <v>-3.08590192400279+0.755332973463041i</v>
      </c>
      <c r="I42" s="192">
        <f t="shared" si="7"/>
        <v>10.288455641776913</v>
      </c>
      <c r="J42" s="193">
        <f t="shared" si="8"/>
        <v>177.07804228264106</v>
      </c>
      <c r="K42" s="192">
        <f t="shared" si="9"/>
        <v>10.040339815344526</v>
      </c>
      <c r="L42" s="193">
        <f t="shared" si="10"/>
        <v>166.24618854996865</v>
      </c>
    </row>
    <row r="43" spans="1:12" s="183" customFormat="1" x14ac:dyDescent="0.2">
      <c r="A43" s="180">
        <f>'Bode Plots'!D31</f>
        <v>376991.11843077518</v>
      </c>
      <c r="B43" s="181">
        <f t="shared" si="0"/>
        <v>3062.2000000000003</v>
      </c>
      <c r="C43" s="182" t="str">
        <f t="shared" si="1"/>
        <v>9997.41937072203-361.13099942496i</v>
      </c>
      <c r="D43" s="187" t="str">
        <f t="shared" si="6"/>
        <v>2344.72854994684-19.8398723930227i</v>
      </c>
      <c r="E43" s="181" t="str">
        <f t="shared" si="2"/>
        <v>0.23429934362653+0.00647896035302161i</v>
      </c>
      <c r="F43" s="181" t="str">
        <f t="shared" si="3"/>
        <v>0.249993750156246-49.9987500312492i</v>
      </c>
      <c r="G43" s="181" t="str">
        <f t="shared" si="4"/>
        <v>-3.2647832834962+0.117931878853426i</v>
      </c>
      <c r="H43" s="181" t="str">
        <f t="shared" si="5"/>
        <v>-2.95214376958485+0.963582835477656i</v>
      </c>
      <c r="I43" s="192">
        <f t="shared" si="7"/>
        <v>10.282750269501902</v>
      </c>
      <c r="J43" s="193">
        <f t="shared" si="8"/>
        <v>177.93123716632982</v>
      </c>
      <c r="K43" s="192">
        <f t="shared" si="9"/>
        <v>9.842412020959193</v>
      </c>
      <c r="L43" s="193">
        <f t="shared" si="10"/>
        <v>161.92326284324687</v>
      </c>
    </row>
    <row r="44" spans="1:12" s="183" customFormat="1" x14ac:dyDescent="0.2">
      <c r="A44" s="180">
        <f>'Bode Plots'!D32</f>
        <v>628318.53071795858</v>
      </c>
      <c r="B44" s="181">
        <f t="shared" si="0"/>
        <v>3062.2000000000003</v>
      </c>
      <c r="C44" s="182" t="str">
        <f t="shared" si="1"/>
        <v>9997.16684561656-256.874119740144i</v>
      </c>
      <c r="D44" s="187" t="str">
        <f t="shared" si="6"/>
        <v>2344.44374236835-14.1180662927006i</v>
      </c>
      <c r="E44" s="181" t="str">
        <f t="shared" si="2"/>
        <v>0.234392351130446+0.00461043246447016i</v>
      </c>
      <c r="F44" s="181" t="str">
        <f t="shared" si="3"/>
        <v>0.0899991900072901-29.99973000243i</v>
      </c>
      <c r="G44" s="181" t="str">
        <f t="shared" si="4"/>
        <v>-3.26470081824066+0.0838854809418531i</v>
      </c>
      <c r="H44" s="181" t="str">
        <f t="shared" si="5"/>
        <v>-2.5925021200045+1.32031312504298i</v>
      </c>
      <c r="I44" s="192">
        <f t="shared" si="7"/>
        <v>10.279734102273588</v>
      </c>
      <c r="J44" s="193">
        <f t="shared" si="8"/>
        <v>178.52812647274783</v>
      </c>
      <c r="K44" s="192">
        <f t="shared" si="9"/>
        <v>9.2759073930667562</v>
      </c>
      <c r="L44" s="193">
        <f t="shared" si="10"/>
        <v>153.01110182283603</v>
      </c>
    </row>
    <row r="45" spans="1:12" s="183" customFormat="1" x14ac:dyDescent="0.2">
      <c r="A45" s="180">
        <f>'Bode Plots'!D33</f>
        <v>1256637.0614359172</v>
      </c>
      <c r="B45" s="181">
        <f t="shared" si="0"/>
        <v>3062.2000000000003</v>
      </c>
      <c r="C45" s="182" t="str">
        <f t="shared" si="1"/>
        <v>9995.98330421733-222.631777646207i</v>
      </c>
      <c r="D45" s="187" t="str">
        <f t="shared" si="6"/>
        <v>2344.30963751674-12.2394673004101i</v>
      </c>
      <c r="E45" s="181" t="str">
        <f t="shared" si="2"/>
        <v>0.234436144759736+0.00399695228933777i</v>
      </c>
      <c r="F45" s="181" t="str">
        <f t="shared" si="3"/>
        <v>0.0224999493751139-14.9999662500759i</v>
      </c>
      <c r="G45" s="181" t="str">
        <f t="shared" si="4"/>
        <v>-3.2643143178817+0.0727032126073437i</v>
      </c>
      <c r="H45" s="181" t="str">
        <f t="shared" si="5"/>
        <v>-1.64971785795007+1.63293618336698i</v>
      </c>
      <c r="I45" s="192">
        <f t="shared" si="7"/>
        <v>10.27799317115589</v>
      </c>
      <c r="J45" s="193">
        <f t="shared" si="8"/>
        <v>178.72411224459046</v>
      </c>
      <c r="K45" s="192">
        <f t="shared" si="9"/>
        <v>7.3143158416906049</v>
      </c>
      <c r="L45" s="193">
        <f t="shared" si="10"/>
        <v>135.29290651357394</v>
      </c>
    </row>
    <row r="46" spans="1:12" s="183" customFormat="1" x14ac:dyDescent="0.2">
      <c r="A46" s="180">
        <f>'Bode Plots'!D34</f>
        <v>2199114.857512855</v>
      </c>
      <c r="B46" s="181">
        <f t="shared" si="0"/>
        <v>3062.2000000000003</v>
      </c>
      <c r="C46" s="182" t="str">
        <f t="shared" si="1"/>
        <v>9992.73000985309-275.172736671156i</v>
      </c>
      <c r="D46" s="187" t="str">
        <f t="shared" si="6"/>
        <v>2344.24099206702-15.1331906706139i</v>
      </c>
      <c r="E46" s="181" t="str">
        <f t="shared" si="2"/>
        <v>0.234458561796414+0.00494193412272675i</v>
      </c>
      <c r="F46" s="181" t="str">
        <f t="shared" si="3"/>
        <v>0.00734693337776319-8.57142227405708i</v>
      </c>
      <c r="G46" s="181" t="str">
        <f t="shared" si="4"/>
        <v>-3.26325191360887+0.0898611249007763i</v>
      </c>
      <c r="H46" s="181" t="str">
        <f t="shared" si="5"/>
        <v>-0.823861360483951+1.42003730692841i</v>
      </c>
      <c r="I46" s="192">
        <f t="shared" si="7"/>
        <v>10.276304045180446</v>
      </c>
      <c r="J46" s="193">
        <f t="shared" si="8"/>
        <v>178.42262794524493</v>
      </c>
      <c r="K46" s="192">
        <f t="shared" si="9"/>
        <v>4.3059961777041762</v>
      </c>
      <c r="L46" s="193">
        <f t="shared" si="10"/>
        <v>120.12097023020603</v>
      </c>
    </row>
    <row r="47" spans="1:12" s="183" customFormat="1" x14ac:dyDescent="0.2">
      <c r="A47" s="180">
        <f>'Bode Plots'!D35</f>
        <v>3769911.1843077517</v>
      </c>
      <c r="B47" s="181">
        <f t="shared" si="0"/>
        <v>3062.2000000000003</v>
      </c>
      <c r="C47" s="182" t="str">
        <f t="shared" si="1"/>
        <v>9983.37627738241-408.663147552436i</v>
      </c>
      <c r="D47" s="187" t="str">
        <f t="shared" si="6"/>
        <v>2344.11166962296-22.4946933023825i</v>
      </c>
      <c r="E47" s="181" t="str">
        <f t="shared" si="2"/>
        <v>0.23450079367025+0.00734592557716103i</v>
      </c>
      <c r="F47" s="181" t="str">
        <f t="shared" si="3"/>
        <v>0.00249999937500016-4.99999875000031i</v>
      </c>
      <c r="G47" s="181" t="str">
        <f t="shared" si="4"/>
        <v>-3.26019733439437+0.133454100827i</v>
      </c>
      <c r="H47" s="181" t="str">
        <f t="shared" si="5"/>
        <v>-0.336150959111286+0.996093185679404i</v>
      </c>
      <c r="I47" s="192">
        <f t="shared" si="7"/>
        <v>10.272148804026877</v>
      </c>
      <c r="J47" s="193">
        <f t="shared" si="8"/>
        <v>177.65594243552781</v>
      </c>
      <c r="K47" s="192">
        <f t="shared" si="9"/>
        <v>0.43440523318519464</v>
      </c>
      <c r="L47" s="193">
        <f t="shared" si="10"/>
        <v>108.64796422561291</v>
      </c>
    </row>
    <row r="48" spans="1:12" s="183" customFormat="1" x14ac:dyDescent="0.2">
      <c r="A48" s="180">
        <f>'Bode Plots'!D36</f>
        <v>6283185.307179586</v>
      </c>
      <c r="B48" s="181">
        <f t="shared" si="0"/>
        <v>3062.2000000000003</v>
      </c>
      <c r="C48" s="182" t="str">
        <f t="shared" si="1"/>
        <v>9958.25738427254-645.026242484301i</v>
      </c>
      <c r="D48" s="187" t="str">
        <f t="shared" si="6"/>
        <v>2343.78342625945-35.5899588948428i</v>
      </c>
      <c r="E48" s="181" t="str">
        <f t="shared" si="2"/>
        <v>0.234607985677144+0.0116223495835814i</v>
      </c>
      <c r="F48" s="181" t="str">
        <f t="shared" si="3"/>
        <v>0.000899999919000009-2.99999973000003i</v>
      </c>
      <c r="G48" s="181" t="str">
        <f t="shared" si="4"/>
        <v>-3.25199444329977+0.210641448136732i</v>
      </c>
      <c r="H48" s="181" t="str">
        <f t="shared" si="5"/>
        <v>-0.128048747179102+0.640592855897313i</v>
      </c>
      <c r="I48" s="192">
        <f t="shared" si="7"/>
        <v>10.261178787336235</v>
      </c>
      <c r="J48" s="193">
        <f t="shared" si="8"/>
        <v>176.29395742750046</v>
      </c>
      <c r="K48" s="192">
        <f t="shared" si="9"/>
        <v>-3.6982068100123113</v>
      </c>
      <c r="L48" s="193">
        <f t="shared" si="10"/>
        <v>101.30392736313846</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1" shapeId="984065" r:id="rId4">
          <objectPr defaultSize="0" autoPict="0" r:id="rId5">
            <anchor moveWithCells="1">
              <from>
                <xdr:col>0</xdr:col>
                <xdr:colOff>19050</xdr:colOff>
                <xdr:row>1</xdr:row>
                <xdr:rowOff>161925</xdr:rowOff>
              </from>
              <to>
                <xdr:col>2</xdr:col>
                <xdr:colOff>171450</xdr:colOff>
                <xdr:row>11</xdr:row>
                <xdr:rowOff>133350</xdr:rowOff>
              </to>
            </anchor>
          </objectPr>
        </oleObject>
      </mc:Choice>
      <mc:Fallback>
        <oleObject progId="Visio.Drawing.11" shapeId="98406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具名範圍</vt:lpstr>
      </vt:variant>
      <vt:variant>
        <vt:i4>67</vt:i4>
      </vt:variant>
    </vt:vector>
  </HeadingPairs>
  <TitlesOfParts>
    <vt:vector size="71" baseType="lpstr">
      <vt:lpstr>LM(2)5119 Calculator</vt:lpstr>
      <vt:lpstr>Power Dissipation</vt:lpstr>
      <vt:lpstr>Bode Plots</vt:lpstr>
      <vt:lpstr>Non-Ideal EA</vt:lpstr>
      <vt:lpstr>_RFB1</vt:lpstr>
      <vt:lpstr>_Rfb2</vt:lpstr>
      <vt:lpstr>_Ruv1</vt:lpstr>
      <vt:lpstr>_Ruv2</vt:lpstr>
      <vt:lpstr>Aea</vt:lpstr>
      <vt:lpstr>Am</vt:lpstr>
      <vt:lpstr>Aol</vt:lpstr>
      <vt:lpstr>Cboot</vt:lpstr>
      <vt:lpstr>Ccomp</vt:lpstr>
      <vt:lpstr>Chf</vt:lpstr>
      <vt:lpstr>Correction_Factor</vt:lpstr>
      <vt:lpstr>Cout_Total</vt:lpstr>
      <vt:lpstr>Cout1</vt:lpstr>
      <vt:lpstr>Cout2</vt:lpstr>
      <vt:lpstr>Cramp</vt:lpstr>
      <vt:lpstr>Crestart</vt:lpstr>
      <vt:lpstr>Css</vt:lpstr>
      <vt:lpstr>DC_Gain_Mod</vt:lpstr>
      <vt:lpstr>ESR</vt:lpstr>
      <vt:lpstr>EXTVCC</vt:lpstr>
      <vt:lpstr>Fbw</vt:lpstr>
      <vt:lpstr>Fsw</vt:lpstr>
      <vt:lpstr>Fswmax</vt:lpstr>
      <vt:lpstr>I_load_ripple</vt:lpstr>
      <vt:lpstr>ICC</vt:lpstr>
      <vt:lpstr>ICC_Chan2</vt:lpstr>
      <vt:lpstr>Iload</vt:lpstr>
      <vt:lpstr>Iload_margin</vt:lpstr>
      <vt:lpstr>IOUT</vt:lpstr>
      <vt:lpstr>Ipk_load</vt:lpstr>
      <vt:lpstr>K</vt:lpstr>
      <vt:lpstr>kfb</vt:lpstr>
      <vt:lpstr>L</vt:lpstr>
      <vt:lpstr>L_uH_per_Channel</vt:lpstr>
      <vt:lpstr>L_μH__per_Channel</vt:lpstr>
      <vt:lpstr>Max_Ave_Load</vt:lpstr>
      <vt:lpstr>PicTable</vt:lpstr>
      <vt:lpstr>'Bode Plots'!Print_Area</vt:lpstr>
      <vt:lpstr>'LM(2)5119 Calculator'!Print_Area</vt:lpstr>
      <vt:lpstr>'Power Dissipation'!Print_Area</vt:lpstr>
      <vt:lpstr>QgTotal1</vt:lpstr>
      <vt:lpstr>QgTotal2</vt:lpstr>
      <vt:lpstr>Rcomp</vt:lpstr>
      <vt:lpstr>RJA</vt:lpstr>
      <vt:lpstr>Rload</vt:lpstr>
      <vt:lpstr>Rramp</vt:lpstr>
      <vt:lpstr>rRin1</vt:lpstr>
      <vt:lpstr>Rs</vt:lpstr>
      <vt:lpstr>Rss</vt:lpstr>
      <vt:lpstr>RT</vt:lpstr>
      <vt:lpstr>TA</vt:lpstr>
      <vt:lpstr>tss</vt:lpstr>
      <vt:lpstr>UV_Selector</vt:lpstr>
      <vt:lpstr>VCCEXT</vt:lpstr>
      <vt:lpstr>Vin_max</vt:lpstr>
      <vt:lpstr>Vin_min</vt:lpstr>
      <vt:lpstr>Vin_UV</vt:lpstr>
      <vt:lpstr>Vout</vt:lpstr>
      <vt:lpstr>w</vt:lpstr>
      <vt:lpstr>wn</vt:lpstr>
      <vt:lpstr>Wol</vt:lpstr>
      <vt:lpstr>wp_esr</vt:lpstr>
      <vt:lpstr>wp_hf</vt:lpstr>
      <vt:lpstr>wp_lf</vt:lpstr>
      <vt:lpstr>wz</vt:lpstr>
      <vt:lpstr>wz_esr</vt:lpstr>
      <vt:lpstr>zea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LM(2)5119 Quickstart Calculator</dc:title>
  <dc:creator>Timothy Hegarty</dc:creator>
  <cp:lastModifiedBy>brian sune</cp:lastModifiedBy>
  <cp:lastPrinted>2014-01-27T19:44:07Z</cp:lastPrinted>
  <dcterms:created xsi:type="dcterms:W3CDTF">2009-04-14T23:15:58Z</dcterms:created>
  <dcterms:modified xsi:type="dcterms:W3CDTF">2024-06-10T01:42:34Z</dcterms:modified>
</cp:coreProperties>
</file>