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2D9DCB3A-116D-4982-8FC2-61C3F91F7B1D}" xr6:coauthVersionLast="45" xr6:coauthVersionMax="45" xr10:uidLastSave="{00000000-0000-0000-0000-000000000000}"/>
  <bookViews>
    <workbookView xWindow="2904" yWindow="-144" windowWidth="17280" windowHeight="8964" firstSheet="4" activeTab="7" xr2:uid="{700A1A7B-3F76-47D1-986E-B358D29F4025}"/>
  </bookViews>
  <sheets>
    <sheet name="Liste grandeur" sheetId="15" r:id="rId1"/>
    <sheet name="Achat" sheetId="11" r:id="rId2"/>
    <sheet name="conso" sheetId="3" r:id="rId3"/>
    <sheet name="Liste connecteur" sheetId="19" r:id="rId4"/>
    <sheet name="Pin des Arduino" sheetId="4" r:id="rId5"/>
    <sheet name="Design carte Station" sheetId="18" r:id="rId6"/>
    <sheet name="Radio" sheetId="9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3" l="1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L6" i="3" l="1"/>
  <c r="M6" i="3" s="1"/>
  <c r="L5" i="3"/>
  <c r="M5" i="3" s="1"/>
  <c r="O4" i="3"/>
  <c r="P4" i="3" s="1"/>
  <c r="D21" i="3"/>
  <c r="F6" i="3"/>
  <c r="F5" i="3"/>
  <c r="F9" i="3"/>
  <c r="F4" i="3"/>
  <c r="L7" i="3" l="1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L8" i="3" l="1"/>
  <c r="M8" i="3" s="1"/>
  <c r="J2" i="11"/>
  <c r="L9" i="3" l="1"/>
  <c r="M9" i="3" s="1"/>
  <c r="D2" i="11"/>
  <c r="L10" i="3" l="1"/>
  <c r="M10" i="3" s="1"/>
  <c r="K9" i="14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L11" i="3" l="1"/>
  <c r="M11" i="3" s="1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L12" i="3" l="1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L13" i="3" l="1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L14" i="3" l="1"/>
  <c r="M14" i="3" s="1"/>
  <c r="J3" i="5"/>
  <c r="J5" i="5" s="1"/>
  <c r="E14" i="3"/>
  <c r="F8" i="3"/>
  <c r="B9" i="3" s="1"/>
  <c r="L15" i="3" l="1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L16" i="3" l="1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L17" i="3" l="1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<sst xmlns="http://schemas.openxmlformats.org/spreadsheetml/2006/main" count="387" uniqueCount="284">
  <si>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</si>
  <si>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</si>
  <si>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</si>
  <si>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</si>
  <si>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</si>
  <si>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</si>
  <si>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</si>
  <si>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</si>
  <si>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</si>
  <si>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</si>
  <si>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</si>
  <si>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</si>
  <si>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</si>
  <si>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</si>
  <si>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</si>
  <si>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</si>
  <si>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</si>
  <si>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</si>
  <si>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</si>
  <si>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</si>
  <si>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</si>
  <si>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</si>
  <si>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</si>
  <si>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</si>
  <si>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</si>
  <si>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</si>
  <si>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</si>
  <si>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</si>
  <si>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</si>
  <si>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</si>
  <si>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</si>
  <si>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</si>
  <si>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</si>
  <si>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</si>
  <si>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</si>
  <si>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</si>
  <si>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</si>
  <si>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</si>
  <si>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</si>
  <si>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</si>
  <si>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</si>
  <si>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</si>
  <si>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</si>
  <si>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</si>
  <si>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</si>
  <si>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</si>
  <si>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</si>
  <si>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</si>
  <si>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</si>
  <si>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</si>
  <si>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</si>
  <si>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</si>
  <si>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</si>
  <si>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</si>
  <si>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</si>
  <si>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</si>
  <si>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</si>
  <si>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</si>
  <si>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</si>
  <si>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</si>
  <si>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</si>
  <si>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</si>
  <si>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</si>
  <si>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</si>
  <si>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</si>
  <si>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</si>
  <si>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</si>
  <si>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</si>
  <si>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</si>
  <si>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</si>
  <si>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</si>
  <si>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</si>
  <si>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</si>
  <si>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</si>
  <si>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</si>
  <si>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</si>
  <si>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</si>
  <si>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</si>
  <si>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</si>
  <si>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</si>
  <si>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</si>
  <si>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</si>
  <si>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</si>
  <si>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</si>
  <si>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</si>
  <si>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</si>
  <si>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</si>
  <si>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</si>
  <si>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</si>
  <si>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</si>
  <si>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</si>
  <si>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</si>
  <si>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</si>
  <si>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</si>
  <si>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</si>
  <si>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</si>
  <si>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</si>
  <si>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</si>
  <si>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</si>
  <si>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</si>
  <si>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</si>
  <si>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</si>
  <si>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</si>
  <si>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</si>
  <si>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</si>
  <si>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</si>
  <si>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</si>
  <si>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</si>
  <si>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</si>
  <si>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</si>
  <si>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</si>
  <si>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</si>
  <si>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</si>
  <si>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</si>
  <si>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</si>
  <si>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</si>
  <si>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</si>
  <si>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</si>
  <si>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</si>
  <si>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</si>
  <si>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</si>
  <si>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</si>
  <si>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</si>
  <si>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</si>
  <si>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</si>
  <si>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</si>
  <si>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</si>
  <si>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</si>
  <si>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</si>
  <si>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</si>
  <si>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</si>
  <si>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</si>
  <si>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</si>
  <si>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</si>
  <si>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</si>
  <si>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</si>
  <si>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</si>
  <si>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</si>
  <si>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</si>
  <si>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</si>
  <si>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</si>
  <si>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</si>
  <si>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</si>
  <si>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</si>
  <si>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</si>
  <si>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</si>
  <si>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</si>
  <si>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</si>
  <si>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</si>
  <si>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</si>
  <si>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</si>
  <si>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</si>
  <si>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</si>
  <si>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</si>
  <si>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</si>
  <si>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</si>
  <si>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</si>
  <si>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</si>
  <si>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</si>
  <si>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</si>
  <si>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</si>
  <si>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</si>
  <si>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</si>
  <si>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</si>
  <si>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</si>
  <si>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</si>
  <si>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</si>
  <si>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</si>
  <si>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</si>
  <si>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</si>
  <si>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</si>
  <si>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</si>
  <si>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</si>
  <si>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</si>
  <si>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</si>
  <si>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</si>
  <si>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</si>
  <si>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</si>
  <si>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</si>
  <si>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</si>
  <si>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</si>
  <si>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</si>
  <si>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</si>
  <si>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</si>
  <si>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</si>
  <si>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Pression Pa</t>
  </si>
  <si>
    <t>V</t>
  </si>
  <si>
    <t>°C</t>
  </si>
  <si>
    <t>Connecteur</t>
  </si>
  <si>
    <t>Nom</t>
  </si>
  <si>
    <t>Nbre de pin</t>
  </si>
  <si>
    <t>description</t>
  </si>
  <si>
    <t>Vent+pluie</t>
  </si>
  <si>
    <t>3 signaux et 1G</t>
  </si>
  <si>
    <t>DHT22</t>
  </si>
  <si>
    <t>BMP</t>
  </si>
  <si>
    <t>+5/S/G</t>
  </si>
  <si>
    <t>BH1745</t>
  </si>
  <si>
    <t>Radio Data</t>
  </si>
  <si>
    <t>SPI</t>
  </si>
  <si>
    <t>Radio</t>
  </si>
  <si>
    <t>Radion Alim</t>
  </si>
  <si>
    <t>+5/G/+3,3</t>
  </si>
  <si>
    <t>Alim General</t>
  </si>
  <si>
    <t>Solar MPTT</t>
  </si>
  <si>
    <t>Pour carte arduino :</t>
  </si>
  <si>
    <t>+5V</t>
  </si>
  <si>
    <t>G</t>
  </si>
  <si>
    <t>SCA</t>
  </si>
  <si>
    <t>Csradio</t>
  </si>
  <si>
    <t>Alim</t>
  </si>
  <si>
    <t>I2C</t>
  </si>
  <si>
    <t>Wind dir</t>
  </si>
  <si>
    <t>Wind Speed</t>
  </si>
  <si>
    <t>Pluvio</t>
  </si>
  <si>
    <t>Signaux</t>
  </si>
  <si>
    <t>Sensor Nano</t>
  </si>
  <si>
    <t>+X/G/SDA/SCL</t>
  </si>
  <si>
    <t>+3,3/G/SDA/SCL</t>
  </si>
  <si>
    <t>+5/G/SDA/SCL</t>
  </si>
  <si>
    <t>+5/+3,3V/G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</si>
  <si>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</si>
  <si>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</si>
  <si>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</si>
  <si>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</si>
  <si>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</si>
  <si>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</si>
  <si>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</si>
  <si>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</si>
  <si>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</si>
  <si>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</si>
  <si>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</si>
  <si>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</si>
  <si>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</si>
  <si>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</si>
  <si>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</si>
  <si>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</si>
  <si>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</si>
  <si>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RTC/BH1745/BMP280</t>
  </si>
  <si>
    <t>Sensor to Nano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</si>
  <si>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</si>
  <si>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</si>
  <si>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</si>
  <si>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</si>
  <si>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</si>
  <si>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</si>
  <si>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</si>
  <si>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</si>
  <si>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</si>
  <si>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</si>
  <si>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</si>
  <si>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tempDHT22</t>
  </si>
  <si>
    <t>HumiditéDHT22</t>
  </si>
  <si>
    <t>TempBMP280</t>
  </si>
  <si>
    <t>PressionBMP</t>
  </si>
  <si>
    <t>Luminosité</t>
  </si>
  <si>
    <t>Temperature (DHT22)</t>
  </si>
  <si>
    <t>Température (BMP280)</t>
  </si>
  <si>
    <t>Luminosité BH1745</t>
  </si>
  <si>
    <t>Lux</t>
  </si>
  <si>
    <t>DewPoint</t>
  </si>
  <si>
    <t>Icing point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</si>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</sst>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8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8" fontId="0" fillId="0" borderId="0" xfId="0" applyNumberFormat="1"/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</xdr:row>
      <xdr:rowOff>30480</xdr:rowOff>
    </xdr:from>
    <xdr:to>
      <xdr:col>10</xdr:col>
      <xdr:colOff>175260</xdr:colOff>
      <xdr:row>17</xdr:row>
      <xdr:rowOff>106680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7612380" y="327660"/>
          <a:ext cx="1577340" cy="3002280"/>
          <a:chOff x="487680" y="266700"/>
          <a:chExt cx="1577340" cy="30022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487680" y="266700"/>
            <a:ext cx="1577340" cy="510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Comment</a:t>
            </a:r>
            <a:r>
              <a:rPr lang="fr-FR" sz="1100" baseline="0"/>
              <a:t> son numéroter les pins :</a:t>
            </a:r>
            <a:endParaRPr lang="fr-FR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100244</xdr:colOff>
      <xdr:row>0</xdr:row>
      <xdr:rowOff>0</xdr:rowOff>
    </xdr:from>
    <xdr:to>
      <xdr:col>15</xdr:col>
      <xdr:colOff>177665</xdr:colOff>
      <xdr:row>9</xdr:row>
      <xdr:rowOff>61940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77DB948-6A07-4F5D-944F-F9328A8C7D45}"/>
            </a:ext>
          </a:extLst>
        </xdr:cNvPr>
        <xdr:cNvSpPr txBox="1"/>
      </xdr:nvSpPr>
      <xdr:spPr>
        <a:xfrm>
          <a:off x="9853844" y="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6"/>
  <sheetViews>
    <sheetView workbookViewId="0">
      <selection activeCell="B6" sqref="B6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166</v>
      </c>
      <c r="D2" t="s">
        <v>165</v>
      </c>
    </row>
    <row r="4" spans="2:4" x14ac:dyDescent="0.3">
      <c r="B4" t="s">
        <v>24</v>
      </c>
      <c r="D4" t="s">
        <v>167</v>
      </c>
    </row>
    <row r="5" spans="2:4" x14ac:dyDescent="0.3">
      <c r="B5" t="s">
        <v>132</v>
      </c>
      <c r="D5" t="s">
        <v>168</v>
      </c>
    </row>
    <row r="6" spans="2:4" x14ac:dyDescent="0.3">
      <c r="B6" t="s">
        <v>162</v>
      </c>
      <c r="D6" t="s">
        <v>260</v>
      </c>
    </row>
    <row r="7" spans="2:4" x14ac:dyDescent="0.3">
      <c r="D7" t="s">
        <v>261</v>
      </c>
    </row>
    <row r="8" spans="2:4" x14ac:dyDescent="0.3">
      <c r="B8" t="s">
        <v>251</v>
      </c>
    </row>
    <row r="9" spans="2:4" x14ac:dyDescent="0.3">
      <c r="B9" t="s">
        <v>252</v>
      </c>
    </row>
    <row r="10" spans="2:4" x14ac:dyDescent="0.3">
      <c r="B10" t="s">
        <v>253</v>
      </c>
    </row>
    <row r="11" spans="2:4" x14ac:dyDescent="0.3">
      <c r="B11" t="s">
        <v>254</v>
      </c>
    </row>
    <row r="12" spans="2:4" x14ac:dyDescent="0.3">
      <c r="B12" t="s">
        <v>262</v>
      </c>
    </row>
    <row r="13" spans="2:4" x14ac:dyDescent="0.3">
      <c r="B13" t="s">
        <v>255</v>
      </c>
    </row>
    <row r="15" spans="2:4" x14ac:dyDescent="0.3">
      <c r="B15" t="s">
        <v>163</v>
      </c>
    </row>
    <row r="16" spans="2:4" x14ac:dyDescent="0.3">
      <c r="B1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75" t="s">
        <v>176</v>
      </c>
      <c r="C2" s="75"/>
      <c r="D2" s="64">
        <f>SUM(D5:D19)</f>
        <v>487.51</v>
      </c>
      <c r="E2" s="63"/>
      <c r="F2" s="65"/>
      <c r="G2" s="75" t="s">
        <v>178</v>
      </c>
      <c r="H2" s="75"/>
      <c r="I2" s="75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177</v>
      </c>
      <c r="H4" s="5" t="s">
        <v>95</v>
      </c>
      <c r="I4" s="5" t="s">
        <v>0</v>
      </c>
      <c r="J4" s="5" t="s">
        <v>177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169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170</v>
      </c>
      <c r="D18" s="1">
        <v>57</v>
      </c>
      <c r="F18" s="62"/>
      <c r="G18" s="1"/>
    </row>
    <row r="19" spans="2:7" x14ac:dyDescent="0.3">
      <c r="B19" t="s">
        <v>96</v>
      </c>
      <c r="C19" t="s">
        <v>171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268</v>
      </c>
      <c r="M1" s="13" t="s">
        <v>272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269</v>
      </c>
      <c r="L3" t="s">
        <v>270</v>
      </c>
      <c r="M3" t="s">
        <v>274</v>
      </c>
      <c r="N3" t="s">
        <v>273</v>
      </c>
      <c r="P3" t="s">
        <v>275</v>
      </c>
      <c r="X3" s="73"/>
    </row>
    <row r="4" spans="1:24" x14ac:dyDescent="0.3">
      <c r="A4" t="s">
        <v>265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>-((K4-0)*(K4-24))^2/(144^2)</f>
        <v>0.19140625</v>
      </c>
      <c r="M4" s="7">
        <f>B$21/N$2*L4*M$2*1000</f>
        <v>68.906249999999986</v>
      </c>
      <c r="N4" s="7">
        <f t="shared" ref="N4:N27" si="0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266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>-((K5-0)*(K5-24))^2/(144^2)</f>
        <v>9.3364197530864196E-2</v>
      </c>
      <c r="M5" s="7">
        <f>B$21/N$2*L5*M$2*1000</f>
        <v>33.611111111111107</v>
      </c>
      <c r="N5" s="7">
        <f t="shared" si="0"/>
        <v>100.22222222222223</v>
      </c>
      <c r="O5" s="7">
        <f>O4-N4+M4</f>
        <v>2968.6840277777778</v>
      </c>
      <c r="P5" s="7">
        <f t="shared" ref="P5:P27" si="1">MAX(0, MIN(O5,O$4))</f>
        <v>2968.6840277777778</v>
      </c>
      <c r="X5" s="73"/>
    </row>
    <row r="6" spans="1:24" x14ac:dyDescent="0.3">
      <c r="A6" t="s">
        <v>267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2">MOD(K5+1,24)</f>
        <v>23</v>
      </c>
      <c r="L6" s="6">
        <f>-((K6-0)*(K6-24))^2/(144^2)</f>
        <v>2.5511188271604937E-2</v>
      </c>
      <c r="M6" s="7">
        <f>B$21/N$2*L6*M$2*1000</f>
        <v>9.1840277777777768</v>
      </c>
      <c r="N6" s="7">
        <f t="shared" si="0"/>
        <v>100.22222222222223</v>
      </c>
      <c r="O6" s="7">
        <f t="shared" ref="O6:O27" si="3">O5-N5+M5</f>
        <v>2902.072916666667</v>
      </c>
      <c r="P6" s="7">
        <f t="shared" si="1"/>
        <v>2902.072916666667</v>
      </c>
      <c r="X6" s="73"/>
    </row>
    <row r="7" spans="1:24" x14ac:dyDescent="0.3">
      <c r="F7" s="6"/>
      <c r="K7">
        <f t="shared" si="2"/>
        <v>0</v>
      </c>
      <c r="L7" s="6">
        <f>-((K7-0)*(K7-24))^2/(144^2)</f>
        <v>0</v>
      </c>
      <c r="M7" s="7">
        <f>B$21/N$2*L7*M$2*1000</f>
        <v>0</v>
      </c>
      <c r="N7" s="7">
        <f t="shared" si="0"/>
        <v>100.22222222222223</v>
      </c>
      <c r="O7" s="7">
        <f t="shared" si="3"/>
        <v>2811.0347222222226</v>
      </c>
      <c r="P7" s="7">
        <f t="shared" si="1"/>
        <v>2811.0347222222226</v>
      </c>
      <c r="X7" s="73"/>
    </row>
    <row r="8" spans="1:24" x14ac:dyDescent="0.3">
      <c r="F8" s="6">
        <f t="shared" ref="F8" si="4">(E8*D8)/3600</f>
        <v>0</v>
      </c>
      <c r="K8">
        <f t="shared" si="2"/>
        <v>1</v>
      </c>
      <c r="L8" s="6">
        <f>-((K8-0)*(K8-24))^2/(144^2)</f>
        <v>2.5511188271604937E-2</v>
      </c>
      <c r="M8" s="7">
        <f>B$21/N$2*L8*M$2*1000</f>
        <v>9.1840277777777768</v>
      </c>
      <c r="N8" s="7">
        <f t="shared" si="0"/>
        <v>100.22222222222223</v>
      </c>
      <c r="O8" s="7">
        <f t="shared" si="3"/>
        <v>2710.8125000000005</v>
      </c>
      <c r="P8" s="7">
        <f t="shared" si="1"/>
        <v>2710.8125000000005</v>
      </c>
      <c r="X8" s="73"/>
    </row>
    <row r="9" spans="1:24" x14ac:dyDescent="0.3">
      <c r="A9" t="s">
        <v>276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2"/>
        <v>2</v>
      </c>
      <c r="L9" s="6">
        <f>-((K9-0)*(K9-24))^2/(144^2)</f>
        <v>9.3364197530864196E-2</v>
      </c>
      <c r="M9" s="7">
        <f>B$21/N$2*L9*M$2*1000</f>
        <v>33.611111111111107</v>
      </c>
      <c r="N9" s="7">
        <f t="shared" si="0"/>
        <v>100.22222222222223</v>
      </c>
      <c r="O9" s="7">
        <f t="shared" si="3"/>
        <v>2619.7743055555561</v>
      </c>
      <c r="P9" s="7">
        <f t="shared" si="1"/>
        <v>2619.7743055555561</v>
      </c>
      <c r="X9" s="73"/>
    </row>
    <row r="10" spans="1:24" x14ac:dyDescent="0.3">
      <c r="K10">
        <f t="shared" si="2"/>
        <v>3</v>
      </c>
      <c r="L10" s="6">
        <f>-((K10-0)*(K10-24))^2/(144^2)</f>
        <v>0.19140625</v>
      </c>
      <c r="M10" s="7">
        <f>B$21/N$2*L10*M$2*1000</f>
        <v>68.906249999999986</v>
      </c>
      <c r="N10" s="7">
        <f t="shared" si="0"/>
        <v>100.22222222222223</v>
      </c>
      <c r="O10" s="7">
        <f t="shared" si="3"/>
        <v>2553.1631944444453</v>
      </c>
      <c r="P10" s="7">
        <f t="shared" si="1"/>
        <v>2553.1631944444453</v>
      </c>
      <c r="X10" s="73"/>
    </row>
    <row r="11" spans="1:24" x14ac:dyDescent="0.3">
      <c r="A11" t="s">
        <v>271</v>
      </c>
      <c r="B11" s="60">
        <f>SUMPRODUCT(B4:B9,F4:F9)</f>
        <v>100.22222222222223</v>
      </c>
      <c r="K11">
        <f t="shared" si="2"/>
        <v>4</v>
      </c>
      <c r="L11" s="6">
        <f>-((K11-0)*(K11-24))^2/(144^2)</f>
        <v>0.30864197530864196</v>
      </c>
      <c r="M11" s="7">
        <f>B$21/N$2*L11*M$2*1000</f>
        <v>111.1111111111111</v>
      </c>
      <c r="N11" s="7">
        <f t="shared" si="0"/>
        <v>100.22222222222223</v>
      </c>
      <c r="O11" s="7">
        <f t="shared" si="3"/>
        <v>2521.8472222222231</v>
      </c>
      <c r="P11" s="7">
        <f t="shared" si="1"/>
        <v>2521.8472222222231</v>
      </c>
      <c r="X11" s="73"/>
    </row>
    <row r="12" spans="1:24" x14ac:dyDescent="0.3">
      <c r="K12">
        <f t="shared" si="2"/>
        <v>5</v>
      </c>
      <c r="L12" s="6">
        <f>-((K12-0)*(K12-24))^2/(144^2)</f>
        <v>0.43523341049382713</v>
      </c>
      <c r="M12" s="7">
        <f>B$21/N$2*L12*M$2*1000</f>
        <v>156.68402777777777</v>
      </c>
      <c r="N12" s="7">
        <f t="shared" si="0"/>
        <v>100.22222222222223</v>
      </c>
      <c r="O12" s="7">
        <f t="shared" si="3"/>
        <v>2532.7361111111122</v>
      </c>
      <c r="P12" s="7">
        <f t="shared" si="1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2"/>
        <v>6</v>
      </c>
      <c r="L13" s="6">
        <f>-((K13-0)*(K13-24))^2/(144^2)</f>
        <v>0.5625</v>
      </c>
      <c r="M13" s="7">
        <f>B$21/N$2*L13*M$2*1000</f>
        <v>202.49999999999997</v>
      </c>
      <c r="N13" s="7">
        <f t="shared" si="0"/>
        <v>100.22222222222223</v>
      </c>
      <c r="O13" s="7">
        <f t="shared" si="3"/>
        <v>2589.1979166666679</v>
      </c>
      <c r="P13" s="7">
        <f t="shared" si="1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2"/>
        <v>7</v>
      </c>
      <c r="L14" s="6">
        <f>-((K14-0)*(K14-24))^2/(144^2)</f>
        <v>0.68291859567901236</v>
      </c>
      <c r="M14" s="7">
        <f>B$21/N$2*L14*M$2*1000</f>
        <v>245.85069444444443</v>
      </c>
      <c r="N14" s="7">
        <f t="shared" si="0"/>
        <v>100.22222222222223</v>
      </c>
      <c r="O14" s="7">
        <f t="shared" si="3"/>
        <v>2691.4756944444457</v>
      </c>
      <c r="P14" s="7">
        <f t="shared" si="1"/>
        <v>2691.4756944444457</v>
      </c>
      <c r="X14" s="73"/>
    </row>
    <row r="15" spans="1:24" x14ac:dyDescent="0.3">
      <c r="K15">
        <f t="shared" si="2"/>
        <v>8</v>
      </c>
      <c r="L15" s="6">
        <f>-((K15-0)*(K15-24))^2/(144^2)</f>
        <v>0.79012345679012341</v>
      </c>
      <c r="M15" s="7">
        <f>B$21/N$2*L15*M$2*1000</f>
        <v>284.4444444444444</v>
      </c>
      <c r="N15" s="7">
        <f t="shared" si="0"/>
        <v>100.22222222222223</v>
      </c>
      <c r="O15" s="7">
        <f t="shared" si="3"/>
        <v>2837.1041666666679</v>
      </c>
      <c r="P15" s="7">
        <f t="shared" si="1"/>
        <v>2837.1041666666679</v>
      </c>
      <c r="X15" s="73"/>
    </row>
    <row r="16" spans="1:24" x14ac:dyDescent="0.3">
      <c r="K16">
        <f t="shared" si="2"/>
        <v>9</v>
      </c>
      <c r="L16" s="6">
        <f>-((K16-0)*(K16-24))^2/(144^2)</f>
        <v>0.87890625</v>
      </c>
      <c r="M16" s="7">
        <f>B$21/N$2*L16*M$2*1000</f>
        <v>316.40625</v>
      </c>
      <c r="N16" s="7">
        <f t="shared" si="0"/>
        <v>100.22222222222223</v>
      </c>
      <c r="O16" s="7">
        <f t="shared" si="3"/>
        <v>3021.3263888888901</v>
      </c>
      <c r="P16" s="7">
        <f t="shared" si="1"/>
        <v>3000</v>
      </c>
      <c r="X16" s="73"/>
    </row>
    <row r="17" spans="1:24" x14ac:dyDescent="0.3">
      <c r="K17">
        <f t="shared" si="2"/>
        <v>10</v>
      </c>
      <c r="L17" s="6">
        <f>-((K17-0)*(K17-24))^2/(144^2)</f>
        <v>0.94521604938271608</v>
      </c>
      <c r="M17" s="7">
        <f>B$21/N$2*L17*M$2*1000</f>
        <v>340.27777777777777</v>
      </c>
      <c r="N17" s="7">
        <f t="shared" si="0"/>
        <v>100.22222222222223</v>
      </c>
      <c r="O17" s="7">
        <f t="shared" si="3"/>
        <v>3237.5104166666679</v>
      </c>
      <c r="P17" s="7">
        <f t="shared" si="1"/>
        <v>3000</v>
      </c>
      <c r="X17" s="73"/>
    </row>
    <row r="18" spans="1:24" x14ac:dyDescent="0.3">
      <c r="K18">
        <f t="shared" si="2"/>
        <v>11</v>
      </c>
      <c r="L18" s="6">
        <f>-((K18-0)*(K18-24))^2/(144^2)</f>
        <v>0.98615933641975306</v>
      </c>
      <c r="M18" s="7">
        <f>B$21/N$2*L18*M$2*1000</f>
        <v>355.01736111111103</v>
      </c>
      <c r="N18" s="7">
        <f t="shared" si="0"/>
        <v>100.22222222222223</v>
      </c>
      <c r="O18" s="7">
        <f t="shared" si="3"/>
        <v>3477.5659722222235</v>
      </c>
      <c r="P18" s="7">
        <f t="shared" si="1"/>
        <v>3000</v>
      </c>
      <c r="X18" s="73"/>
    </row>
    <row r="19" spans="1:24" ht="21" x14ac:dyDescent="0.4">
      <c r="A19" s="15" t="s">
        <v>79</v>
      </c>
      <c r="K19">
        <f t="shared" si="2"/>
        <v>12</v>
      </c>
      <c r="L19" s="6">
        <f>-((K19-0)*(K19-24))^2/(144^2)</f>
        <v>1</v>
      </c>
      <c r="M19" s="7">
        <f>B$21/N$2*L19*M$2*1000</f>
        <v>360</v>
      </c>
      <c r="N19" s="7">
        <f t="shared" si="0"/>
        <v>100.22222222222223</v>
      </c>
      <c r="O19" s="7">
        <f t="shared" si="3"/>
        <v>3732.3611111111122</v>
      </c>
      <c r="P19" s="7">
        <f t="shared" si="1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2"/>
        <v>13</v>
      </c>
      <c r="L20" s="6">
        <f>-((K20-0)*(K20-24))^2/(144^2)</f>
        <v>0.98615933641975306</v>
      </c>
      <c r="M20" s="7">
        <f>B$21/N$2*L20*M$2*1000</f>
        <v>355.01736111111103</v>
      </c>
      <c r="N20" s="7">
        <f t="shared" si="0"/>
        <v>100.22222222222223</v>
      </c>
      <c r="O20" s="7">
        <f t="shared" si="3"/>
        <v>3992.1388888888901</v>
      </c>
      <c r="P20" s="7">
        <f t="shared" si="1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2"/>
        <v>14</v>
      </c>
      <c r="L21" s="6">
        <f>-((K21-0)*(K21-24))^2/(144^2)</f>
        <v>0.94521604938271608</v>
      </c>
      <c r="M21" s="7">
        <f>B$21/N$2*L21*M$2*1000</f>
        <v>340.27777777777777</v>
      </c>
      <c r="N21" s="7">
        <f t="shared" si="0"/>
        <v>100.22222222222223</v>
      </c>
      <c r="O21" s="7">
        <f t="shared" si="3"/>
        <v>4246.9340277777792</v>
      </c>
      <c r="P21" s="7">
        <f t="shared" si="1"/>
        <v>3000</v>
      </c>
      <c r="X21" s="73"/>
    </row>
    <row r="22" spans="1:24" x14ac:dyDescent="0.3">
      <c r="K22">
        <f t="shared" si="2"/>
        <v>15</v>
      </c>
      <c r="L22" s="6">
        <f>-((K22-0)*(K22-24))^2/(144^2)</f>
        <v>0.87890625</v>
      </c>
      <c r="M22" s="7">
        <f>B$21/N$2*L22*M$2*1000</f>
        <v>316.40625</v>
      </c>
      <c r="N22" s="7">
        <f t="shared" si="0"/>
        <v>100.22222222222223</v>
      </c>
      <c r="O22" s="7">
        <f t="shared" si="3"/>
        <v>4486.9895833333339</v>
      </c>
      <c r="P22" s="7">
        <f t="shared" si="1"/>
        <v>3000</v>
      </c>
      <c r="X22" s="73"/>
    </row>
    <row r="23" spans="1:24" x14ac:dyDescent="0.3">
      <c r="K23">
        <f t="shared" si="2"/>
        <v>16</v>
      </c>
      <c r="L23" s="6">
        <f>-((K23-0)*(K23-24))^2/(144^2)</f>
        <v>0.79012345679012341</v>
      </c>
      <c r="M23" s="7">
        <f>B$21/N$2*L23*M$2*1000</f>
        <v>284.4444444444444</v>
      </c>
      <c r="N23" s="7">
        <f t="shared" si="0"/>
        <v>100.22222222222223</v>
      </c>
      <c r="O23" s="7">
        <f t="shared" si="3"/>
        <v>4703.1736111111113</v>
      </c>
      <c r="P23" s="7">
        <f t="shared" si="1"/>
        <v>3000</v>
      </c>
      <c r="X23" s="73"/>
    </row>
    <row r="24" spans="1:24" x14ac:dyDescent="0.3">
      <c r="K24">
        <f t="shared" si="2"/>
        <v>17</v>
      </c>
      <c r="L24" s="6">
        <f>-((K24-0)*(K24-24))^2/(144^2)</f>
        <v>0.68291859567901236</v>
      </c>
      <c r="M24" s="7">
        <f>B$21/N$2*L24*M$2*1000</f>
        <v>245.85069444444443</v>
      </c>
      <c r="N24" s="7">
        <f t="shared" si="0"/>
        <v>100.22222222222223</v>
      </c>
      <c r="O24" s="7">
        <f t="shared" si="3"/>
        <v>4887.395833333333</v>
      </c>
      <c r="P24" s="7">
        <f t="shared" si="1"/>
        <v>3000</v>
      </c>
      <c r="X24" s="73"/>
    </row>
    <row r="25" spans="1:24" x14ac:dyDescent="0.3">
      <c r="K25">
        <f t="shared" si="2"/>
        <v>18</v>
      </c>
      <c r="L25" s="6">
        <f>-((K25-0)*(K25-24))^2/(144^2)</f>
        <v>0.5625</v>
      </c>
      <c r="M25" s="7">
        <f>B$21/N$2*L25*M$2*1000</f>
        <v>202.49999999999997</v>
      </c>
      <c r="N25" s="7">
        <f t="shared" si="0"/>
        <v>100.22222222222223</v>
      </c>
      <c r="O25" s="7">
        <f t="shared" si="3"/>
        <v>5033.0243055555547</v>
      </c>
      <c r="P25" s="7">
        <f t="shared" si="1"/>
        <v>3000</v>
      </c>
      <c r="X25" s="73"/>
    </row>
    <row r="26" spans="1:24" x14ac:dyDescent="0.3">
      <c r="K26">
        <f t="shared" si="2"/>
        <v>19</v>
      </c>
      <c r="L26" s="6">
        <f>-((K26-0)*(K26-24))^2/(144^2)</f>
        <v>0.43523341049382713</v>
      </c>
      <c r="M26" s="7">
        <f>B$21/N$2*L26*M$2*1000</f>
        <v>156.68402777777777</v>
      </c>
      <c r="N26" s="7">
        <f t="shared" si="0"/>
        <v>100.22222222222223</v>
      </c>
      <c r="O26" s="7">
        <f t="shared" si="3"/>
        <v>5135.3020833333321</v>
      </c>
      <c r="P26" s="7">
        <f t="shared" si="1"/>
        <v>3000</v>
      </c>
      <c r="X26" s="73"/>
    </row>
    <row r="27" spans="1:24" x14ac:dyDescent="0.3">
      <c r="A27" t="s">
        <v>279</v>
      </c>
      <c r="B27" s="80">
        <f>B11/1000*C4/1000</f>
        <v>5.0111111111111114E-4</v>
      </c>
      <c r="C27" t="s">
        <v>278</v>
      </c>
      <c r="K27">
        <f t="shared" si="2"/>
        <v>20</v>
      </c>
      <c r="L27" s="6">
        <f>-((K27-0)*(K27-24))^2/(144^2)</f>
        <v>0.30864197530864196</v>
      </c>
      <c r="M27" s="7">
        <f>B$21/N$2*L27*M$2*1000</f>
        <v>111.1111111111111</v>
      </c>
      <c r="N27" s="7">
        <f t="shared" si="0"/>
        <v>100.22222222222223</v>
      </c>
      <c r="O27" s="7">
        <f t="shared" si="3"/>
        <v>5191.7638888888869</v>
      </c>
      <c r="P27" s="7">
        <f t="shared" si="1"/>
        <v>3000</v>
      </c>
      <c r="X27" s="73"/>
    </row>
    <row r="28" spans="1:24" x14ac:dyDescent="0.3">
      <c r="A28" t="s">
        <v>277</v>
      </c>
      <c r="B28">
        <v>0.15459999999999999</v>
      </c>
      <c r="C28" t="s">
        <v>281</v>
      </c>
      <c r="X28" s="73"/>
    </row>
    <row r="29" spans="1:24" x14ac:dyDescent="0.3">
      <c r="A29" t="s">
        <v>280</v>
      </c>
      <c r="B29" s="60">
        <f>B28*B27</f>
        <v>7.7471777777777775E-5</v>
      </c>
      <c r="C29" t="s">
        <v>281</v>
      </c>
      <c r="X29" s="73"/>
    </row>
    <row r="30" spans="1:24" x14ac:dyDescent="0.3">
      <c r="A30" t="s">
        <v>282</v>
      </c>
      <c r="B30" s="60">
        <f>B29*24</f>
        <v>1.8593226666666666E-3</v>
      </c>
      <c r="C30" t="s">
        <v>281</v>
      </c>
      <c r="X30" s="73"/>
    </row>
    <row r="31" spans="1:24" x14ac:dyDescent="0.3">
      <c r="A31" t="s">
        <v>283</v>
      </c>
      <c r="B31" s="60">
        <f>B30*365</f>
        <v>0.67865277333333329</v>
      </c>
      <c r="C31" t="s">
        <v>281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B1:F33"/>
  <sheetViews>
    <sheetView workbookViewId="0">
      <selection activeCell="C2" sqref="C2:C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</cols>
  <sheetData>
    <row r="1" spans="2:6" ht="23.4" x14ac:dyDescent="0.45">
      <c r="B1" s="72" t="s">
        <v>241</v>
      </c>
      <c r="C1" s="72" t="s">
        <v>242</v>
      </c>
      <c r="D1" s="72" t="s">
        <v>232</v>
      </c>
      <c r="E1" s="72" t="s">
        <v>233</v>
      </c>
      <c r="F1" s="72" t="s">
        <v>234</v>
      </c>
    </row>
    <row r="2" spans="2:6" x14ac:dyDescent="0.3">
      <c r="B2" s="76" t="s">
        <v>235</v>
      </c>
      <c r="C2" s="76" t="s">
        <v>243</v>
      </c>
      <c r="D2" s="76" t="s">
        <v>237</v>
      </c>
      <c r="E2">
        <v>1</v>
      </c>
    </row>
    <row r="3" spans="2:6" x14ac:dyDescent="0.3">
      <c r="B3" s="76"/>
      <c r="C3" s="76"/>
      <c r="D3" s="76"/>
      <c r="E3">
        <v>2</v>
      </c>
    </row>
    <row r="4" spans="2:6" x14ac:dyDescent="0.3">
      <c r="B4" s="76"/>
      <c r="C4" s="76"/>
      <c r="D4" s="76"/>
      <c r="E4">
        <v>3</v>
      </c>
    </row>
    <row r="5" spans="2:6" x14ac:dyDescent="0.3">
      <c r="B5" s="76"/>
      <c r="C5" s="76"/>
      <c r="D5" s="76"/>
      <c r="E5">
        <v>4</v>
      </c>
      <c r="F5" t="s">
        <v>236</v>
      </c>
    </row>
    <row r="6" spans="2:6" x14ac:dyDescent="0.3">
      <c r="B6" s="76" t="s">
        <v>235</v>
      </c>
      <c r="C6" s="76" t="s">
        <v>243</v>
      </c>
      <c r="D6" s="76" t="s">
        <v>194</v>
      </c>
      <c r="E6">
        <v>1</v>
      </c>
    </row>
    <row r="7" spans="2:6" x14ac:dyDescent="0.3">
      <c r="B7" s="76"/>
      <c r="C7" s="76"/>
      <c r="D7" s="76"/>
      <c r="E7">
        <v>2</v>
      </c>
    </row>
    <row r="8" spans="2:6" x14ac:dyDescent="0.3">
      <c r="B8" s="76"/>
      <c r="C8" s="76"/>
      <c r="D8" s="76"/>
      <c r="E8">
        <v>3</v>
      </c>
    </row>
    <row r="9" spans="2:6" x14ac:dyDescent="0.3">
      <c r="B9" s="76" t="s">
        <v>235</v>
      </c>
      <c r="C9" s="76" t="s">
        <v>243</v>
      </c>
      <c r="D9" s="76" t="s">
        <v>238</v>
      </c>
      <c r="E9">
        <v>1</v>
      </c>
    </row>
    <row r="10" spans="2:6" x14ac:dyDescent="0.3">
      <c r="B10" s="76"/>
      <c r="C10" s="76"/>
      <c r="D10" s="76"/>
      <c r="E10">
        <v>2</v>
      </c>
    </row>
    <row r="11" spans="2:6" x14ac:dyDescent="0.3">
      <c r="B11" s="76"/>
      <c r="C11" s="76"/>
      <c r="D11" s="76"/>
      <c r="E11">
        <v>3</v>
      </c>
    </row>
    <row r="12" spans="2:6" x14ac:dyDescent="0.3">
      <c r="B12" s="76"/>
      <c r="C12" s="76"/>
      <c r="D12" s="76"/>
      <c r="E12">
        <v>4</v>
      </c>
    </row>
    <row r="13" spans="2:6" x14ac:dyDescent="0.3">
      <c r="B13" s="76" t="s">
        <v>235</v>
      </c>
      <c r="C13" s="76" t="s">
        <v>244</v>
      </c>
      <c r="D13" s="76" t="s">
        <v>239</v>
      </c>
      <c r="E13">
        <v>1</v>
      </c>
    </row>
    <row r="14" spans="2:6" x14ac:dyDescent="0.3">
      <c r="B14" s="76"/>
      <c r="C14" s="76"/>
      <c r="D14" s="76"/>
      <c r="E14">
        <v>2</v>
      </c>
    </row>
    <row r="15" spans="2:6" x14ac:dyDescent="0.3">
      <c r="B15" s="76"/>
      <c r="C15" s="76"/>
      <c r="D15" s="76"/>
      <c r="E15">
        <v>3</v>
      </c>
    </row>
    <row r="16" spans="2:6" x14ac:dyDescent="0.3">
      <c r="B16" s="76"/>
      <c r="C16" s="76"/>
      <c r="D16" s="76"/>
      <c r="E16">
        <v>4</v>
      </c>
    </row>
    <row r="17" spans="2:5" x14ac:dyDescent="0.3">
      <c r="B17" s="76" t="s">
        <v>235</v>
      </c>
      <c r="C17" s="76" t="s">
        <v>244</v>
      </c>
      <c r="D17" s="76" t="s">
        <v>161</v>
      </c>
      <c r="E17">
        <v>1</v>
      </c>
    </row>
    <row r="18" spans="2:5" x14ac:dyDescent="0.3">
      <c r="B18" s="76"/>
      <c r="C18" s="76"/>
      <c r="D18" s="76"/>
      <c r="E18">
        <v>2</v>
      </c>
    </row>
    <row r="19" spans="2:5" x14ac:dyDescent="0.3">
      <c r="B19" s="76" t="s">
        <v>235</v>
      </c>
      <c r="C19" s="76" t="s">
        <v>244</v>
      </c>
      <c r="D19" s="76" t="s">
        <v>210</v>
      </c>
      <c r="E19">
        <v>1</v>
      </c>
    </row>
    <row r="20" spans="2:5" x14ac:dyDescent="0.3">
      <c r="B20" s="76"/>
      <c r="C20" s="76"/>
      <c r="D20" s="76"/>
      <c r="E20">
        <v>2</v>
      </c>
    </row>
    <row r="21" spans="2:5" x14ac:dyDescent="0.3">
      <c r="B21" s="76"/>
      <c r="C21" s="76"/>
      <c r="D21" s="76"/>
      <c r="E21">
        <v>3</v>
      </c>
    </row>
    <row r="22" spans="2:5" x14ac:dyDescent="0.3">
      <c r="B22" s="76" t="s">
        <v>240</v>
      </c>
      <c r="C22" s="76" t="s">
        <v>245</v>
      </c>
      <c r="D22" s="76" t="s">
        <v>246</v>
      </c>
      <c r="E22">
        <v>1</v>
      </c>
    </row>
    <row r="23" spans="2:5" x14ac:dyDescent="0.3">
      <c r="B23" s="76"/>
      <c r="C23" s="76"/>
      <c r="D23" s="76"/>
      <c r="E23">
        <v>2</v>
      </c>
    </row>
    <row r="24" spans="2:5" x14ac:dyDescent="0.3">
      <c r="B24" s="76"/>
      <c r="C24" s="76"/>
      <c r="D24" s="76"/>
      <c r="E24">
        <v>3</v>
      </c>
    </row>
    <row r="25" spans="2:5" x14ac:dyDescent="0.3">
      <c r="B25" s="76"/>
      <c r="C25" s="76"/>
      <c r="D25" s="76"/>
      <c r="E25">
        <v>4</v>
      </c>
    </row>
    <row r="26" spans="2:5" x14ac:dyDescent="0.3">
      <c r="B26" s="76"/>
      <c r="C26" s="76"/>
      <c r="D26" s="76"/>
      <c r="E26">
        <v>5</v>
      </c>
    </row>
    <row r="27" spans="2:5" x14ac:dyDescent="0.3">
      <c r="B27" s="76" t="s">
        <v>240</v>
      </c>
      <c r="C27" s="76" t="s">
        <v>245</v>
      </c>
      <c r="D27" s="76" t="s">
        <v>247</v>
      </c>
      <c r="E27">
        <v>1</v>
      </c>
    </row>
    <row r="28" spans="2:5" x14ac:dyDescent="0.3">
      <c r="B28" s="76"/>
      <c r="C28" s="76"/>
      <c r="D28" s="76"/>
      <c r="E28">
        <v>2</v>
      </c>
    </row>
    <row r="29" spans="2:5" x14ac:dyDescent="0.3">
      <c r="B29" s="76"/>
      <c r="C29" s="76"/>
      <c r="D29" s="76"/>
      <c r="E29">
        <v>3</v>
      </c>
    </row>
    <row r="30" spans="2:5" x14ac:dyDescent="0.3">
      <c r="B30" s="76" t="s">
        <v>244</v>
      </c>
      <c r="C30" s="76" t="s">
        <v>248</v>
      </c>
      <c r="D30" s="76" t="s">
        <v>249</v>
      </c>
      <c r="E30">
        <v>1</v>
      </c>
    </row>
    <row r="31" spans="2:5" x14ac:dyDescent="0.3">
      <c r="B31" s="76"/>
      <c r="C31" s="76"/>
      <c r="D31" s="76"/>
      <c r="E31">
        <v>2</v>
      </c>
    </row>
    <row r="32" spans="2:5" x14ac:dyDescent="0.3">
      <c r="B32" s="76" t="s">
        <v>244</v>
      </c>
      <c r="C32" s="76" t="s">
        <v>248</v>
      </c>
      <c r="D32" s="76" t="s">
        <v>250</v>
      </c>
      <c r="E32">
        <v>1</v>
      </c>
    </row>
    <row r="33" spans="2:5" x14ac:dyDescent="0.3">
      <c r="B33" s="76"/>
      <c r="C33" s="76"/>
      <c r="D33" s="76"/>
      <c r="E33">
        <v>2</v>
      </c>
    </row>
  </sheetData>
  <mergeCells count="30">
    <mergeCell ref="B17:B18"/>
    <mergeCell ref="B13:B16"/>
    <mergeCell ref="D2:D5"/>
    <mergeCell ref="C2:C5"/>
    <mergeCell ref="B2:B5"/>
    <mergeCell ref="D6:D8"/>
    <mergeCell ref="C6:C8"/>
    <mergeCell ref="B6:B8"/>
    <mergeCell ref="D13:D16"/>
    <mergeCell ref="D9:D12"/>
    <mergeCell ref="C9:C12"/>
    <mergeCell ref="B9:B12"/>
    <mergeCell ref="B32:B33"/>
    <mergeCell ref="B30:B31"/>
    <mergeCell ref="B27:B29"/>
    <mergeCell ref="C32:C33"/>
    <mergeCell ref="C30:C31"/>
    <mergeCell ref="C27:C29"/>
    <mergeCell ref="D32:D33"/>
    <mergeCell ref="C22:C26"/>
    <mergeCell ref="C19:C21"/>
    <mergeCell ref="C17:C18"/>
    <mergeCell ref="C13:C16"/>
    <mergeCell ref="D17:D18"/>
    <mergeCell ref="B22:B26"/>
    <mergeCell ref="D30:D31"/>
    <mergeCell ref="D27:D29"/>
    <mergeCell ref="D22:D26"/>
    <mergeCell ref="D19:D21"/>
    <mergeCell ref="B19:B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B1" workbookViewId="0">
      <selection activeCell="I27" sqref="I27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216</v>
      </c>
    </row>
    <row r="3" spans="1:12" x14ac:dyDescent="0.35">
      <c r="A3" s="26">
        <v>0</v>
      </c>
      <c r="B3" s="27"/>
      <c r="C3" s="28"/>
      <c r="D3" s="29"/>
      <c r="G3" s="69">
        <v>0</v>
      </c>
      <c r="J3" s="76" t="s">
        <v>161</v>
      </c>
      <c r="K3" t="s">
        <v>224</v>
      </c>
      <c r="L3" t="s">
        <v>225</v>
      </c>
    </row>
    <row r="4" spans="1:12" x14ac:dyDescent="0.35">
      <c r="A4" s="23">
        <v>1</v>
      </c>
      <c r="B4" s="20"/>
      <c r="C4" s="16"/>
      <c r="D4" s="17"/>
      <c r="G4" s="69">
        <v>1</v>
      </c>
      <c r="J4" s="76"/>
      <c r="K4" t="s">
        <v>226</v>
      </c>
      <c r="L4" t="s">
        <v>228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76"/>
      <c r="K5" t="s">
        <v>70</v>
      </c>
      <c r="L5" t="s">
        <v>227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76"/>
      <c r="K6" t="s">
        <v>197</v>
      </c>
      <c r="L6" t="s">
        <v>229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223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194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221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222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230</v>
      </c>
    </row>
    <row r="25" spans="1:8" x14ac:dyDescent="0.35">
      <c r="G25" s="71" t="s">
        <v>155</v>
      </c>
      <c r="H25" t="s">
        <v>231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57A-0F67-44AC-9C68-02D0555FD849}">
  <dimension ref="A1:K12"/>
  <sheetViews>
    <sheetView zoomScale="85" zoomScaleNormal="85" workbookViewId="0">
      <selection activeCell="D9" sqref="D9"/>
    </sheetView>
  </sheetViews>
  <sheetFormatPr baseColWidth="10" defaultRowHeight="14.4" x14ac:dyDescent="0.3"/>
  <cols>
    <col min="1" max="1" width="18.109375" bestFit="1" customWidth="1"/>
    <col min="2" max="2" width="11.88671875" bestFit="1" customWidth="1"/>
    <col min="3" max="3" width="15.21875" bestFit="1" customWidth="1"/>
    <col min="4" max="4" width="15.6640625" bestFit="1" customWidth="1"/>
    <col min="6" max="6" width="12.21875" bestFit="1" customWidth="1"/>
    <col min="14" max="20" width="10.77734375" customWidth="1"/>
  </cols>
  <sheetData>
    <row r="1" spans="1:11" ht="21" x14ac:dyDescent="0.4">
      <c r="A1" s="15" t="s">
        <v>188</v>
      </c>
      <c r="B1" s="15" t="s">
        <v>189</v>
      </c>
      <c r="C1" s="15" t="s">
        <v>190</v>
      </c>
      <c r="D1" s="15" t="s">
        <v>191</v>
      </c>
      <c r="E1" s="15"/>
      <c r="F1" s="15" t="s">
        <v>25</v>
      </c>
      <c r="G1" s="15"/>
      <c r="H1" s="15"/>
      <c r="I1" s="77" t="s">
        <v>205</v>
      </c>
      <c r="J1" s="77"/>
      <c r="K1" s="77"/>
    </row>
    <row r="2" spans="1:11" x14ac:dyDescent="0.3">
      <c r="A2">
        <v>1</v>
      </c>
      <c r="B2" t="s">
        <v>192</v>
      </c>
      <c r="C2">
        <v>4</v>
      </c>
      <c r="D2" t="s">
        <v>193</v>
      </c>
      <c r="F2" t="s">
        <v>10</v>
      </c>
      <c r="I2" s="76" t="s">
        <v>210</v>
      </c>
      <c r="J2" s="59" t="s">
        <v>206</v>
      </c>
    </row>
    <row r="3" spans="1:11" x14ac:dyDescent="0.3">
      <c r="A3">
        <v>2</v>
      </c>
      <c r="B3" t="s">
        <v>194</v>
      </c>
      <c r="C3">
        <v>3</v>
      </c>
      <c r="D3" s="59" t="s">
        <v>196</v>
      </c>
      <c r="F3" t="s">
        <v>10</v>
      </c>
      <c r="I3" s="76"/>
      <c r="J3" t="s">
        <v>207</v>
      </c>
    </row>
    <row r="4" spans="1:11" x14ac:dyDescent="0.3">
      <c r="A4">
        <v>3</v>
      </c>
      <c r="B4" t="s">
        <v>195</v>
      </c>
      <c r="C4">
        <v>4</v>
      </c>
      <c r="D4" s="59" t="s">
        <v>218</v>
      </c>
      <c r="F4" t="s">
        <v>10</v>
      </c>
      <c r="I4" s="76" t="s">
        <v>211</v>
      </c>
      <c r="J4" t="s">
        <v>208</v>
      </c>
    </row>
    <row r="5" spans="1:11" x14ac:dyDescent="0.3">
      <c r="A5">
        <v>4</v>
      </c>
      <c r="B5" t="s">
        <v>197</v>
      </c>
      <c r="C5">
        <v>4</v>
      </c>
      <c r="D5" s="59" t="s">
        <v>219</v>
      </c>
      <c r="F5" t="s">
        <v>10</v>
      </c>
      <c r="I5" s="76"/>
      <c r="J5" t="s">
        <v>160</v>
      </c>
    </row>
    <row r="6" spans="1:11" x14ac:dyDescent="0.3">
      <c r="A6">
        <v>5</v>
      </c>
      <c r="B6" t="s">
        <v>198</v>
      </c>
      <c r="C6">
        <v>5</v>
      </c>
      <c r="D6" t="s">
        <v>199</v>
      </c>
      <c r="F6" t="s">
        <v>200</v>
      </c>
      <c r="I6" s="76" t="s">
        <v>199</v>
      </c>
      <c r="J6" t="s">
        <v>157</v>
      </c>
    </row>
    <row r="7" spans="1:11" x14ac:dyDescent="0.3">
      <c r="A7">
        <v>6</v>
      </c>
      <c r="B7" t="s">
        <v>201</v>
      </c>
      <c r="C7">
        <v>3</v>
      </c>
      <c r="D7" s="59" t="s">
        <v>202</v>
      </c>
      <c r="F7" t="s">
        <v>200</v>
      </c>
      <c r="I7" s="76"/>
      <c r="J7" t="s">
        <v>156</v>
      </c>
    </row>
    <row r="8" spans="1:11" x14ac:dyDescent="0.3">
      <c r="A8">
        <v>7</v>
      </c>
      <c r="B8" t="s">
        <v>203</v>
      </c>
      <c r="C8">
        <v>2</v>
      </c>
      <c r="D8" s="59" t="s">
        <v>220</v>
      </c>
      <c r="F8" t="s">
        <v>204</v>
      </c>
      <c r="I8" s="76"/>
      <c r="J8" t="s">
        <v>158</v>
      </c>
    </row>
    <row r="9" spans="1:11" x14ac:dyDescent="0.3">
      <c r="A9">
        <v>8</v>
      </c>
      <c r="B9" t="s">
        <v>70</v>
      </c>
      <c r="C9">
        <v>4</v>
      </c>
      <c r="D9" s="59" t="s">
        <v>217</v>
      </c>
      <c r="F9" t="s">
        <v>70</v>
      </c>
      <c r="I9" s="76"/>
      <c r="J9" t="s">
        <v>209</v>
      </c>
    </row>
    <row r="10" spans="1:11" x14ac:dyDescent="0.3">
      <c r="I10" s="76" t="s">
        <v>215</v>
      </c>
      <c r="J10" t="s">
        <v>212</v>
      </c>
    </row>
    <row r="11" spans="1:11" x14ac:dyDescent="0.3">
      <c r="I11" s="76"/>
      <c r="J11" t="s">
        <v>213</v>
      </c>
    </row>
    <row r="12" spans="1:11" x14ac:dyDescent="0.3">
      <c r="I12" s="76"/>
      <c r="J12" t="s">
        <v>214</v>
      </c>
    </row>
  </sheetData>
  <mergeCells count="5">
    <mergeCell ref="I2:I3"/>
    <mergeCell ref="I4:I5"/>
    <mergeCell ref="I6:I9"/>
    <mergeCell ref="I1:K1"/>
    <mergeCell ref="I10:I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A22" sqref="A22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79" t="s">
        <v>117</v>
      </c>
      <c r="C3" s="79"/>
      <c r="D3" s="79"/>
      <c r="E3" s="79"/>
      <c r="F3" s="79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79" t="s">
        <v>126</v>
      </c>
      <c r="B7" s="79"/>
      <c r="C7" s="79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181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182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183</v>
      </c>
      <c r="J15" s="66"/>
    </row>
    <row r="16" spans="1:12" ht="14.4" customHeight="1" x14ac:dyDescent="0.3">
      <c r="A16" t="s">
        <v>256</v>
      </c>
      <c r="B16">
        <f t="shared" si="0"/>
        <v>12</v>
      </c>
      <c r="C16">
        <f t="shared" si="1"/>
        <v>15</v>
      </c>
      <c r="D16" t="s">
        <v>184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257</v>
      </c>
      <c r="B18">
        <f t="shared" si="0"/>
        <v>20</v>
      </c>
      <c r="C18">
        <f t="shared" si="1"/>
        <v>23</v>
      </c>
      <c r="D18" t="s">
        <v>184</v>
      </c>
      <c r="J18" s="66"/>
    </row>
    <row r="19" spans="1:11" x14ac:dyDescent="0.3">
      <c r="A19" t="s">
        <v>263</v>
      </c>
      <c r="B19">
        <f t="shared" si="0"/>
        <v>24</v>
      </c>
      <c r="C19">
        <f t="shared" si="1"/>
        <v>27</v>
      </c>
      <c r="D19" t="s">
        <v>185</v>
      </c>
    </row>
    <row r="20" spans="1:11" x14ac:dyDescent="0.3">
      <c r="A20" t="s">
        <v>262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258</v>
      </c>
      <c r="B21">
        <f t="shared" si="2"/>
        <v>32</v>
      </c>
      <c r="C21">
        <f t="shared" si="3"/>
        <v>35</v>
      </c>
      <c r="D21" t="s">
        <v>259</v>
      </c>
    </row>
    <row r="22" spans="1:11" x14ac:dyDescent="0.3">
      <c r="A22" t="s">
        <v>264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78" t="s">
        <v>116</v>
      </c>
    </row>
    <row r="25" spans="1:11" x14ac:dyDescent="0.3">
      <c r="B25">
        <f t="shared" si="2"/>
        <v>48</v>
      </c>
      <c r="C25">
        <f t="shared" si="3"/>
        <v>51</v>
      </c>
      <c r="K25" s="78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186</v>
      </c>
      <c r="K26" s="78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187</v>
      </c>
      <c r="K27" s="78"/>
    </row>
    <row r="28" spans="1:11" x14ac:dyDescent="0.3">
      <c r="K28" s="78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abSelected="1" topLeftCell="C25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172</v>
      </c>
    </row>
    <row r="4" spans="10:11" x14ac:dyDescent="0.3">
      <c r="J4">
        <v>1</v>
      </c>
      <c r="K4" t="s">
        <v>179</v>
      </c>
    </row>
    <row r="5" spans="10:11" x14ac:dyDescent="0.3">
      <c r="J5">
        <v>2</v>
      </c>
      <c r="K5" t="s">
        <v>175</v>
      </c>
    </row>
    <row r="6" spans="10:11" x14ac:dyDescent="0.3">
      <c r="J6">
        <v>3</v>
      </c>
      <c r="K6" t="s">
        <v>173</v>
      </c>
    </row>
    <row r="7" spans="10:11" x14ac:dyDescent="0.3">
      <c r="J7">
        <v>4</v>
      </c>
      <c r="K7" t="s">
        <v>174</v>
      </c>
    </row>
    <row r="8" spans="10:11" x14ac:dyDescent="0.3">
      <c r="J8">
        <v>5</v>
      </c>
      <c r="K8" t="s">
        <v>180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9.4998821529796284E-3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105.26446369509448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7.4320947126957741E-3</v>
      </c>
      <c r="C8">
        <f ca="1">B8-B7</f>
        <v>7.4320947126957741E-3</v>
      </c>
      <c r="E8" t="s">
        <v>37</v>
      </c>
      <c r="F8" s="6">
        <f ca="1">(F7-B2)/B2</f>
        <v>5.2644636950944769E-2</v>
      </c>
    </row>
    <row r="9" spans="1:11" x14ac:dyDescent="0.3">
      <c r="A9">
        <v>3</v>
      </c>
      <c r="B9">
        <f t="shared" ca="1" si="0"/>
        <v>1.8266787342354224E-2</v>
      </c>
      <c r="C9">
        <f ca="1">B9-B8</f>
        <v>1.083469262965845E-2</v>
      </c>
    </row>
    <row r="10" spans="1:11" x14ac:dyDescent="0.3">
      <c r="A10">
        <v>4</v>
      </c>
      <c r="B10">
        <f t="shared" ca="1" si="0"/>
        <v>3.0679642808107567E-2</v>
      </c>
      <c r="C10">
        <f t="shared" ref="C10:C26" ca="1" si="1">B10-B9</f>
        <v>1.2412855465753343E-2</v>
      </c>
    </row>
    <row r="11" spans="1:11" x14ac:dyDescent="0.3">
      <c r="A11">
        <v>5</v>
      </c>
      <c r="B11">
        <f t="shared" ca="1" si="0"/>
        <v>3.8013637891385614E-2</v>
      </c>
      <c r="C11">
        <f t="shared" ca="1" si="1"/>
        <v>7.3339950832780471E-3</v>
      </c>
    </row>
    <row r="12" spans="1:11" x14ac:dyDescent="0.3">
      <c r="A12">
        <v>6</v>
      </c>
      <c r="B12">
        <f t="shared" ca="1" si="0"/>
        <v>4.5428559317119185E-2</v>
      </c>
      <c r="C12">
        <f t="shared" ca="1" si="1"/>
        <v>7.4149214257335713E-3</v>
      </c>
    </row>
    <row r="13" spans="1:11" x14ac:dyDescent="0.3">
      <c r="A13">
        <v>7</v>
      </c>
      <c r="B13">
        <f t="shared" ca="1" si="0"/>
        <v>5.3939609325086971E-2</v>
      </c>
      <c r="C13">
        <f t="shared" ca="1" si="1"/>
        <v>8.5110500079677853E-3</v>
      </c>
    </row>
    <row r="14" spans="1:11" x14ac:dyDescent="0.3">
      <c r="A14">
        <v>8</v>
      </c>
      <c r="B14">
        <f t="shared" ca="1" si="0"/>
        <v>6.3407779934978203E-2</v>
      </c>
      <c r="C14">
        <f t="shared" ca="1" si="1"/>
        <v>9.4681706098912327E-3</v>
      </c>
    </row>
    <row r="15" spans="1:11" x14ac:dyDescent="0.3">
      <c r="A15">
        <v>9</v>
      </c>
      <c r="B15">
        <f t="shared" ca="1" si="0"/>
        <v>7.3745608014471817E-2</v>
      </c>
      <c r="C15">
        <f t="shared" ca="1" si="1"/>
        <v>1.0337828079493613E-2</v>
      </c>
    </row>
    <row r="16" spans="1:11" x14ac:dyDescent="0.3">
      <c r="A16">
        <v>10</v>
      </c>
      <c r="B16">
        <f t="shared" ca="1" si="0"/>
        <v>8.127344232308209E-2</v>
      </c>
      <c r="C16">
        <f t="shared" ca="1" si="1"/>
        <v>7.5278343086102734E-3</v>
      </c>
    </row>
    <row r="17" spans="1:3" x14ac:dyDescent="0.3">
      <c r="A17">
        <v>11</v>
      </c>
      <c r="B17">
        <f t="shared" ca="1" si="0"/>
        <v>9.3264180373883981E-2</v>
      </c>
      <c r="C17">
        <f t="shared" ca="1" si="1"/>
        <v>1.1990738050801891E-2</v>
      </c>
    </row>
    <row r="18" spans="1:3" x14ac:dyDescent="0.3">
      <c r="A18">
        <v>12</v>
      </c>
      <c r="B18">
        <f t="shared" ca="1" si="0"/>
        <v>0.10175879213420502</v>
      </c>
      <c r="C18">
        <f t="shared" ca="1" si="1"/>
        <v>8.4946117603210414E-3</v>
      </c>
    </row>
    <row r="19" spans="1:3" x14ac:dyDescent="0.3">
      <c r="A19">
        <v>13</v>
      </c>
      <c r="B19">
        <f t="shared" ca="1" si="0"/>
        <v>0.10990607574580859</v>
      </c>
      <c r="C19">
        <f t="shared" ca="1" si="1"/>
        <v>8.1472836116035646E-3</v>
      </c>
    </row>
    <row r="20" spans="1:3" x14ac:dyDescent="0.3">
      <c r="A20">
        <v>14</v>
      </c>
      <c r="B20">
        <f t="shared" ca="1" si="0"/>
        <v>0.12016311351880798</v>
      </c>
      <c r="C20">
        <f t="shared" ca="1" si="1"/>
        <v>1.0257037772999397E-2</v>
      </c>
    </row>
    <row r="21" spans="1:3" x14ac:dyDescent="0.3">
      <c r="A21">
        <v>15</v>
      </c>
      <c r="B21">
        <f t="shared" ca="1" si="0"/>
        <v>0.12820875187304895</v>
      </c>
      <c r="C21">
        <f t="shared" ca="1" si="1"/>
        <v>8.0456383542409637E-3</v>
      </c>
    </row>
    <row r="22" spans="1:3" x14ac:dyDescent="0.3">
      <c r="A22">
        <v>16</v>
      </c>
      <c r="B22">
        <f t="shared" ca="1" si="0"/>
        <v>0.13808097480295173</v>
      </c>
      <c r="C22">
        <f t="shared" ca="1" si="1"/>
        <v>9.8722229299027797E-3</v>
      </c>
    </row>
    <row r="23" spans="1:3" x14ac:dyDescent="0.3">
      <c r="A23">
        <v>17</v>
      </c>
      <c r="B23">
        <f t="shared" ca="1" si="0"/>
        <v>0.15069909363363942</v>
      </c>
      <c r="C23">
        <f t="shared" ca="1" si="1"/>
        <v>1.2618118830687697E-2</v>
      </c>
    </row>
    <row r="24" spans="1:3" x14ac:dyDescent="0.3">
      <c r="A24">
        <v>18</v>
      </c>
      <c r="B24">
        <f t="shared" ca="1" si="0"/>
        <v>0.15878306165792364</v>
      </c>
      <c r="C24">
        <f t="shared" ca="1" si="1"/>
        <v>8.0839680242842105E-3</v>
      </c>
    </row>
    <row r="25" spans="1:3" x14ac:dyDescent="0.3">
      <c r="A25">
        <v>19</v>
      </c>
      <c r="B25">
        <f t="shared" ca="1" si="0"/>
        <v>0.1697129607293881</v>
      </c>
      <c r="C25">
        <f t="shared" ca="1" si="1"/>
        <v>1.0929899071464466E-2</v>
      </c>
    </row>
    <row r="26" spans="1:3" x14ac:dyDescent="0.3">
      <c r="A26">
        <v>20</v>
      </c>
      <c r="B26">
        <f t="shared" ca="1" si="0"/>
        <v>0.18049776090661293</v>
      </c>
      <c r="C26">
        <f t="shared" ca="1" si="1"/>
        <v>1.0784800177224829E-2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Liste grandeur</vt:lpstr>
      <vt:lpstr>Achat</vt:lpstr>
      <vt:lpstr>conso</vt:lpstr>
      <vt:lpstr>Liste connecteur</vt:lpstr>
      <vt:lpstr>Pin des Arduino</vt:lpstr>
      <vt:lpstr>Design carte Station</vt:lpstr>
      <vt:lpstr>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2020-03-22T18:05:31Z</dcterms:modified>
</cp:coreProperties>
</file>