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2d16467d0539cb/Documents/5.Bricolage/5.StationMeteo/StationMeteo/"/>
    </mc:Choice>
  </mc:AlternateContent>
  <xr:revisionPtr revIDLastSave="980" documentId="13_ncr:1_{49D4E897-6CFC-4372-BC7E-4324AD2FDE63}" xr6:coauthVersionLast="45" xr6:coauthVersionMax="45" xr10:uidLastSave="{28D7F924-DB4F-4026-ADCD-7279075E7E6F}"/>
  <bookViews>
    <workbookView xWindow="-108" yWindow="-108" windowWidth="23256" windowHeight="12576" activeTab="4" xr2:uid="{700A1A7B-3F76-47D1-986E-B358D29F4025}"/>
  </bookViews>
  <sheets>
    <sheet name="Liste grandeur" sheetId="15" r:id="rId1"/>
    <sheet name="Achat" sheetId="11" r:id="rId2"/>
    <sheet name="conso" sheetId="3" r:id="rId3"/>
    <sheet name="Pin des Arduino" sheetId="4" r:id="rId4"/>
    <sheet name="Radio" sheetId="9" r:id="rId5"/>
    <sheet name="Ordre execution tache" sheetId="17" r:id="rId6"/>
    <sheet name="Test mesure frequence" sheetId="5" r:id="rId7"/>
    <sheet name="Direction Vent" sheetId="6" r:id="rId8"/>
    <sheet name="dew frost point" sheetId="12" r:id="rId9"/>
    <sheet name="thermistance etalonnage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" i="11" l="1"/>
  <c r="D2" i="11" l="1"/>
  <c r="B16" i="3" l="1"/>
  <c r="K9" i="14" l="1"/>
  <c r="L9" i="14"/>
  <c r="K10" i="14"/>
  <c r="L10" i="14"/>
  <c r="K17" i="14"/>
  <c r="L17" i="14"/>
  <c r="K18" i="14"/>
  <c r="L18" i="14"/>
  <c r="K25" i="14"/>
  <c r="L25" i="14"/>
  <c r="K26" i="14"/>
  <c r="L26" i="14"/>
  <c r="K33" i="14"/>
  <c r="L33" i="14"/>
  <c r="K34" i="14"/>
  <c r="L34" i="14"/>
  <c r="K41" i="14"/>
  <c r="L41" i="14"/>
  <c r="K42" i="14"/>
  <c r="L42" i="14"/>
  <c r="K49" i="14"/>
  <c r="L49" i="14"/>
  <c r="K50" i="14"/>
  <c r="L50" i="14"/>
  <c r="K57" i="14"/>
  <c r="L57" i="14"/>
  <c r="K58" i="14"/>
  <c r="L58" i="14"/>
  <c r="K65" i="14"/>
  <c r="L65" i="14"/>
  <c r="K66" i="14"/>
  <c r="L66" i="14"/>
  <c r="K73" i="14"/>
  <c r="L73" i="14"/>
  <c r="K74" i="14"/>
  <c r="L74" i="14"/>
  <c r="K81" i="14"/>
  <c r="L81" i="14"/>
  <c r="K82" i="14"/>
  <c r="L82" i="14"/>
  <c r="K89" i="14"/>
  <c r="L89" i="14"/>
  <c r="K90" i="14"/>
  <c r="L90" i="14"/>
  <c r="K97" i="14"/>
  <c r="L97" i="14"/>
  <c r="K98" i="14"/>
  <c r="L98" i="14"/>
  <c r="K105" i="14"/>
  <c r="L105" i="14"/>
  <c r="K106" i="14"/>
  <c r="L106" i="14"/>
  <c r="K113" i="14"/>
  <c r="L113" i="14"/>
  <c r="K114" i="14"/>
  <c r="L114" i="14"/>
  <c r="K121" i="14"/>
  <c r="L121" i="14"/>
  <c r="K122" i="14"/>
  <c r="L122" i="14"/>
  <c r="K129" i="14"/>
  <c r="L129" i="14"/>
  <c r="K130" i="14"/>
  <c r="L130" i="14"/>
  <c r="K137" i="14"/>
  <c r="L137" i="14"/>
  <c r="K138" i="14"/>
  <c r="L138" i="14"/>
  <c r="K145" i="14"/>
  <c r="L145" i="14"/>
  <c r="K146" i="14"/>
  <c r="L146" i="14"/>
  <c r="K153" i="14"/>
  <c r="L153" i="14"/>
  <c r="K154" i="14"/>
  <c r="L154" i="14"/>
  <c r="K161" i="14"/>
  <c r="L161" i="14"/>
  <c r="K162" i="14"/>
  <c r="L162" i="14"/>
  <c r="K169" i="14"/>
  <c r="L169" i="14"/>
  <c r="K170" i="14"/>
  <c r="L170" i="14"/>
  <c r="K177" i="14"/>
  <c r="L177" i="14"/>
  <c r="K178" i="14"/>
  <c r="L178" i="14"/>
  <c r="K185" i="14"/>
  <c r="L185" i="14"/>
  <c r="K186" i="14"/>
  <c r="L186" i="14"/>
  <c r="K193" i="14"/>
  <c r="L193" i="14"/>
  <c r="K194" i="14"/>
  <c r="L194" i="14"/>
  <c r="K201" i="14"/>
  <c r="L201" i="14"/>
  <c r="K202" i="14"/>
  <c r="L202" i="14"/>
  <c r="K209" i="14"/>
  <c r="L209" i="14"/>
  <c r="K210" i="14"/>
  <c r="L210" i="14"/>
  <c r="K217" i="14"/>
  <c r="L217" i="14"/>
  <c r="K218" i="14"/>
  <c r="L218" i="14"/>
  <c r="K225" i="14"/>
  <c r="L225" i="14"/>
  <c r="K226" i="14"/>
  <c r="L226" i="14"/>
  <c r="K233" i="14"/>
  <c r="L233" i="14"/>
  <c r="K234" i="14"/>
  <c r="L234" i="14"/>
  <c r="K241" i="14"/>
  <c r="L241" i="14"/>
  <c r="K242" i="14"/>
  <c r="L242" i="14"/>
  <c r="J3" i="14"/>
  <c r="K3" i="14" s="1"/>
  <c r="J4" i="14"/>
  <c r="K4" i="14" s="1"/>
  <c r="J5" i="14"/>
  <c r="K5" i="14" s="1"/>
  <c r="J6" i="14"/>
  <c r="K6" i="14" s="1"/>
  <c r="J7" i="14"/>
  <c r="K7" i="14" s="1"/>
  <c r="J8" i="14"/>
  <c r="K8" i="14" s="1"/>
  <c r="J9" i="14"/>
  <c r="J10" i="14"/>
  <c r="J11" i="14"/>
  <c r="K11" i="14" s="1"/>
  <c r="J12" i="14"/>
  <c r="K12" i="14" s="1"/>
  <c r="J13" i="14"/>
  <c r="K13" i="14" s="1"/>
  <c r="J14" i="14"/>
  <c r="K14" i="14" s="1"/>
  <c r="J15" i="14"/>
  <c r="K15" i="14" s="1"/>
  <c r="J16" i="14"/>
  <c r="K16" i="14" s="1"/>
  <c r="J17" i="14"/>
  <c r="J18" i="14"/>
  <c r="J19" i="14"/>
  <c r="K19" i="14" s="1"/>
  <c r="J20" i="14"/>
  <c r="K20" i="14" s="1"/>
  <c r="J21" i="14"/>
  <c r="K21" i="14" s="1"/>
  <c r="J22" i="14"/>
  <c r="K22" i="14" s="1"/>
  <c r="J23" i="14"/>
  <c r="K23" i="14" s="1"/>
  <c r="J24" i="14"/>
  <c r="K24" i="14" s="1"/>
  <c r="J25" i="14"/>
  <c r="J26" i="14"/>
  <c r="J27" i="14"/>
  <c r="K27" i="14" s="1"/>
  <c r="J28" i="14"/>
  <c r="K28" i="14" s="1"/>
  <c r="J29" i="14"/>
  <c r="K29" i="14" s="1"/>
  <c r="J30" i="14"/>
  <c r="K30" i="14" s="1"/>
  <c r="J31" i="14"/>
  <c r="K31" i="14" s="1"/>
  <c r="J32" i="14"/>
  <c r="K32" i="14" s="1"/>
  <c r="J33" i="14"/>
  <c r="J34" i="14"/>
  <c r="J35" i="14"/>
  <c r="K35" i="14" s="1"/>
  <c r="J36" i="14"/>
  <c r="K36" i="14" s="1"/>
  <c r="J37" i="14"/>
  <c r="K37" i="14" s="1"/>
  <c r="J38" i="14"/>
  <c r="K38" i="14" s="1"/>
  <c r="J39" i="14"/>
  <c r="K39" i="14" s="1"/>
  <c r="J40" i="14"/>
  <c r="K40" i="14" s="1"/>
  <c r="J41" i="14"/>
  <c r="J42" i="14"/>
  <c r="J43" i="14"/>
  <c r="K43" i="14" s="1"/>
  <c r="J44" i="14"/>
  <c r="K44" i="14" s="1"/>
  <c r="J45" i="14"/>
  <c r="K45" i="14" s="1"/>
  <c r="J46" i="14"/>
  <c r="K46" i="14" s="1"/>
  <c r="J47" i="14"/>
  <c r="K47" i="14" s="1"/>
  <c r="J48" i="14"/>
  <c r="K48" i="14" s="1"/>
  <c r="J49" i="14"/>
  <c r="J50" i="14"/>
  <c r="J51" i="14"/>
  <c r="K51" i="14" s="1"/>
  <c r="J52" i="14"/>
  <c r="K52" i="14" s="1"/>
  <c r="J53" i="14"/>
  <c r="K53" i="14" s="1"/>
  <c r="J54" i="14"/>
  <c r="K54" i="14" s="1"/>
  <c r="J55" i="14"/>
  <c r="K55" i="14" s="1"/>
  <c r="J56" i="14"/>
  <c r="K56" i="14" s="1"/>
  <c r="J57" i="14"/>
  <c r="J58" i="14"/>
  <c r="J59" i="14"/>
  <c r="K59" i="14" s="1"/>
  <c r="J60" i="14"/>
  <c r="K60" i="14" s="1"/>
  <c r="J61" i="14"/>
  <c r="K61" i="14" s="1"/>
  <c r="J62" i="14"/>
  <c r="K62" i="14" s="1"/>
  <c r="J63" i="14"/>
  <c r="K63" i="14" s="1"/>
  <c r="J64" i="14"/>
  <c r="K64" i="14" s="1"/>
  <c r="J65" i="14"/>
  <c r="J66" i="14"/>
  <c r="J67" i="14"/>
  <c r="K67" i="14" s="1"/>
  <c r="J68" i="14"/>
  <c r="K68" i="14" s="1"/>
  <c r="J69" i="14"/>
  <c r="K69" i="14" s="1"/>
  <c r="J70" i="14"/>
  <c r="K70" i="14" s="1"/>
  <c r="J71" i="14"/>
  <c r="K71" i="14" s="1"/>
  <c r="J72" i="14"/>
  <c r="K72" i="14" s="1"/>
  <c r="J73" i="14"/>
  <c r="J74" i="14"/>
  <c r="J75" i="14"/>
  <c r="K75" i="14" s="1"/>
  <c r="J76" i="14"/>
  <c r="K76" i="14" s="1"/>
  <c r="J77" i="14"/>
  <c r="K77" i="14" s="1"/>
  <c r="J78" i="14"/>
  <c r="K78" i="14" s="1"/>
  <c r="J79" i="14"/>
  <c r="K79" i="14" s="1"/>
  <c r="J80" i="14"/>
  <c r="K80" i="14" s="1"/>
  <c r="J81" i="14"/>
  <c r="J82" i="14"/>
  <c r="J83" i="14"/>
  <c r="K83" i="14" s="1"/>
  <c r="J84" i="14"/>
  <c r="K84" i="14" s="1"/>
  <c r="J85" i="14"/>
  <c r="K85" i="14" s="1"/>
  <c r="J86" i="14"/>
  <c r="K86" i="14" s="1"/>
  <c r="J87" i="14"/>
  <c r="K87" i="14" s="1"/>
  <c r="J88" i="14"/>
  <c r="K88" i="14" s="1"/>
  <c r="J89" i="14"/>
  <c r="J90" i="14"/>
  <c r="J91" i="14"/>
  <c r="K91" i="14" s="1"/>
  <c r="J92" i="14"/>
  <c r="K92" i="14" s="1"/>
  <c r="J93" i="14"/>
  <c r="K93" i="14" s="1"/>
  <c r="J94" i="14"/>
  <c r="K94" i="14" s="1"/>
  <c r="J95" i="14"/>
  <c r="K95" i="14" s="1"/>
  <c r="J96" i="14"/>
  <c r="K96" i="14" s="1"/>
  <c r="J97" i="14"/>
  <c r="J98" i="14"/>
  <c r="J99" i="14"/>
  <c r="K99" i="14" s="1"/>
  <c r="J100" i="14"/>
  <c r="K100" i="14" s="1"/>
  <c r="J101" i="14"/>
  <c r="K101" i="14" s="1"/>
  <c r="J102" i="14"/>
  <c r="K102" i="14" s="1"/>
  <c r="J103" i="14"/>
  <c r="K103" i="14" s="1"/>
  <c r="J104" i="14"/>
  <c r="K104" i="14" s="1"/>
  <c r="J105" i="14"/>
  <c r="J106" i="14"/>
  <c r="J107" i="14"/>
  <c r="K107" i="14" s="1"/>
  <c r="J108" i="14"/>
  <c r="K108" i="14" s="1"/>
  <c r="J109" i="14"/>
  <c r="K109" i="14" s="1"/>
  <c r="J110" i="14"/>
  <c r="K110" i="14" s="1"/>
  <c r="J111" i="14"/>
  <c r="K111" i="14" s="1"/>
  <c r="J112" i="14"/>
  <c r="K112" i="14" s="1"/>
  <c r="J113" i="14"/>
  <c r="J114" i="14"/>
  <c r="J115" i="14"/>
  <c r="K115" i="14" s="1"/>
  <c r="J116" i="14"/>
  <c r="K116" i="14" s="1"/>
  <c r="J117" i="14"/>
  <c r="K117" i="14" s="1"/>
  <c r="J118" i="14"/>
  <c r="K118" i="14" s="1"/>
  <c r="J119" i="14"/>
  <c r="K119" i="14" s="1"/>
  <c r="J120" i="14"/>
  <c r="K120" i="14" s="1"/>
  <c r="J121" i="14"/>
  <c r="J122" i="14"/>
  <c r="J123" i="14"/>
  <c r="K123" i="14" s="1"/>
  <c r="J124" i="14"/>
  <c r="K124" i="14" s="1"/>
  <c r="J125" i="14"/>
  <c r="K125" i="14" s="1"/>
  <c r="J126" i="14"/>
  <c r="K126" i="14" s="1"/>
  <c r="J127" i="14"/>
  <c r="K127" i="14" s="1"/>
  <c r="J128" i="14"/>
  <c r="K128" i="14" s="1"/>
  <c r="J129" i="14"/>
  <c r="J130" i="14"/>
  <c r="J131" i="14"/>
  <c r="K131" i="14" s="1"/>
  <c r="J132" i="14"/>
  <c r="K132" i="14" s="1"/>
  <c r="J133" i="14"/>
  <c r="K133" i="14" s="1"/>
  <c r="J134" i="14"/>
  <c r="K134" i="14" s="1"/>
  <c r="J135" i="14"/>
  <c r="K135" i="14" s="1"/>
  <c r="J136" i="14"/>
  <c r="K136" i="14" s="1"/>
  <c r="J137" i="14"/>
  <c r="J138" i="14"/>
  <c r="J139" i="14"/>
  <c r="K139" i="14" s="1"/>
  <c r="J140" i="14"/>
  <c r="K140" i="14" s="1"/>
  <c r="J141" i="14"/>
  <c r="K141" i="14" s="1"/>
  <c r="J142" i="14"/>
  <c r="K142" i="14" s="1"/>
  <c r="J143" i="14"/>
  <c r="K143" i="14" s="1"/>
  <c r="J144" i="14"/>
  <c r="K144" i="14" s="1"/>
  <c r="J145" i="14"/>
  <c r="J146" i="14"/>
  <c r="J147" i="14"/>
  <c r="K147" i="14" s="1"/>
  <c r="J148" i="14"/>
  <c r="K148" i="14" s="1"/>
  <c r="J149" i="14"/>
  <c r="K149" i="14" s="1"/>
  <c r="J150" i="14"/>
  <c r="K150" i="14" s="1"/>
  <c r="J151" i="14"/>
  <c r="K151" i="14" s="1"/>
  <c r="J152" i="14"/>
  <c r="K152" i="14" s="1"/>
  <c r="J153" i="14"/>
  <c r="J154" i="14"/>
  <c r="J155" i="14"/>
  <c r="K155" i="14" s="1"/>
  <c r="J156" i="14"/>
  <c r="K156" i="14" s="1"/>
  <c r="J157" i="14"/>
  <c r="K157" i="14" s="1"/>
  <c r="J158" i="14"/>
  <c r="K158" i="14" s="1"/>
  <c r="J159" i="14"/>
  <c r="K159" i="14" s="1"/>
  <c r="J160" i="14"/>
  <c r="K160" i="14" s="1"/>
  <c r="J161" i="14"/>
  <c r="J162" i="14"/>
  <c r="J163" i="14"/>
  <c r="K163" i="14" s="1"/>
  <c r="J164" i="14"/>
  <c r="K164" i="14" s="1"/>
  <c r="J165" i="14"/>
  <c r="K165" i="14" s="1"/>
  <c r="J166" i="14"/>
  <c r="K166" i="14" s="1"/>
  <c r="J167" i="14"/>
  <c r="K167" i="14" s="1"/>
  <c r="J168" i="14"/>
  <c r="K168" i="14" s="1"/>
  <c r="J169" i="14"/>
  <c r="J170" i="14"/>
  <c r="J171" i="14"/>
  <c r="K171" i="14" s="1"/>
  <c r="J172" i="14"/>
  <c r="K172" i="14" s="1"/>
  <c r="J173" i="14"/>
  <c r="K173" i="14" s="1"/>
  <c r="J174" i="14"/>
  <c r="K174" i="14" s="1"/>
  <c r="J175" i="14"/>
  <c r="K175" i="14" s="1"/>
  <c r="J176" i="14"/>
  <c r="K176" i="14" s="1"/>
  <c r="J177" i="14"/>
  <c r="J178" i="14"/>
  <c r="J179" i="14"/>
  <c r="K179" i="14" s="1"/>
  <c r="J180" i="14"/>
  <c r="K180" i="14" s="1"/>
  <c r="J181" i="14"/>
  <c r="K181" i="14" s="1"/>
  <c r="J182" i="14"/>
  <c r="K182" i="14" s="1"/>
  <c r="J183" i="14"/>
  <c r="K183" i="14" s="1"/>
  <c r="J184" i="14"/>
  <c r="K184" i="14" s="1"/>
  <c r="J185" i="14"/>
  <c r="J186" i="14"/>
  <c r="J187" i="14"/>
  <c r="K187" i="14" s="1"/>
  <c r="J188" i="14"/>
  <c r="K188" i="14" s="1"/>
  <c r="J189" i="14"/>
  <c r="K189" i="14" s="1"/>
  <c r="J190" i="14"/>
  <c r="K190" i="14" s="1"/>
  <c r="J191" i="14"/>
  <c r="K191" i="14" s="1"/>
  <c r="J192" i="14"/>
  <c r="K192" i="14" s="1"/>
  <c r="J193" i="14"/>
  <c r="J194" i="14"/>
  <c r="J195" i="14"/>
  <c r="K195" i="14" s="1"/>
  <c r="J196" i="14"/>
  <c r="K196" i="14" s="1"/>
  <c r="J197" i="14"/>
  <c r="K197" i="14" s="1"/>
  <c r="J198" i="14"/>
  <c r="K198" i="14" s="1"/>
  <c r="J199" i="14"/>
  <c r="K199" i="14" s="1"/>
  <c r="J200" i="14"/>
  <c r="K200" i="14" s="1"/>
  <c r="J201" i="14"/>
  <c r="J202" i="14"/>
  <c r="J203" i="14"/>
  <c r="K203" i="14" s="1"/>
  <c r="J204" i="14"/>
  <c r="K204" i="14" s="1"/>
  <c r="J205" i="14"/>
  <c r="K205" i="14" s="1"/>
  <c r="J206" i="14"/>
  <c r="K206" i="14" s="1"/>
  <c r="J207" i="14"/>
  <c r="K207" i="14" s="1"/>
  <c r="J208" i="14"/>
  <c r="K208" i="14" s="1"/>
  <c r="J209" i="14"/>
  <c r="J210" i="14"/>
  <c r="J211" i="14"/>
  <c r="K211" i="14" s="1"/>
  <c r="J212" i="14"/>
  <c r="K212" i="14" s="1"/>
  <c r="J213" i="14"/>
  <c r="K213" i="14" s="1"/>
  <c r="J214" i="14"/>
  <c r="K214" i="14" s="1"/>
  <c r="J215" i="14"/>
  <c r="K215" i="14" s="1"/>
  <c r="J216" i="14"/>
  <c r="K216" i="14" s="1"/>
  <c r="J217" i="14"/>
  <c r="J218" i="14"/>
  <c r="J219" i="14"/>
  <c r="K219" i="14" s="1"/>
  <c r="J220" i="14"/>
  <c r="K220" i="14" s="1"/>
  <c r="J221" i="14"/>
  <c r="K221" i="14" s="1"/>
  <c r="J222" i="14"/>
  <c r="K222" i="14" s="1"/>
  <c r="J223" i="14"/>
  <c r="K223" i="14" s="1"/>
  <c r="J224" i="14"/>
  <c r="K224" i="14" s="1"/>
  <c r="J225" i="14"/>
  <c r="J226" i="14"/>
  <c r="J227" i="14"/>
  <c r="K227" i="14" s="1"/>
  <c r="J228" i="14"/>
  <c r="K228" i="14" s="1"/>
  <c r="J229" i="14"/>
  <c r="K229" i="14" s="1"/>
  <c r="J230" i="14"/>
  <c r="K230" i="14" s="1"/>
  <c r="J231" i="14"/>
  <c r="K231" i="14" s="1"/>
  <c r="J232" i="14"/>
  <c r="K232" i="14" s="1"/>
  <c r="J233" i="14"/>
  <c r="J234" i="14"/>
  <c r="J235" i="14"/>
  <c r="K235" i="14" s="1"/>
  <c r="J236" i="14"/>
  <c r="K236" i="14" s="1"/>
  <c r="J237" i="14"/>
  <c r="K237" i="14" s="1"/>
  <c r="J238" i="14"/>
  <c r="K238" i="14" s="1"/>
  <c r="J239" i="14"/>
  <c r="K239" i="14" s="1"/>
  <c r="J240" i="14"/>
  <c r="K240" i="14" s="1"/>
  <c r="J241" i="14"/>
  <c r="J242" i="14"/>
  <c r="J2" i="14"/>
  <c r="L2" i="14" s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" i="14"/>
  <c r="H2" i="14"/>
  <c r="N3" i="14" a="1"/>
  <c r="N3" i="14" s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" i="14"/>
  <c r="L238" i="14" l="1"/>
  <c r="L230" i="14"/>
  <c r="L222" i="14"/>
  <c r="L214" i="14"/>
  <c r="L206" i="14"/>
  <c r="L198" i="14"/>
  <c r="L190" i="14"/>
  <c r="L182" i="14"/>
  <c r="L174" i="14"/>
  <c r="L166" i="14"/>
  <c r="L158" i="14"/>
  <c r="L150" i="14"/>
  <c r="L142" i="14"/>
  <c r="L134" i="14"/>
  <c r="L126" i="14"/>
  <c r="L118" i="14"/>
  <c r="L110" i="14"/>
  <c r="L102" i="14"/>
  <c r="L94" i="14"/>
  <c r="L86" i="14"/>
  <c r="L78" i="14"/>
  <c r="L70" i="14"/>
  <c r="L62" i="14"/>
  <c r="L54" i="14"/>
  <c r="L46" i="14"/>
  <c r="L38" i="14"/>
  <c r="L30" i="14"/>
  <c r="L22" i="14"/>
  <c r="L14" i="14"/>
  <c r="L6" i="14"/>
  <c r="L237" i="14"/>
  <c r="L229" i="14"/>
  <c r="L221" i="14"/>
  <c r="L213" i="14"/>
  <c r="L205" i="14"/>
  <c r="L197" i="14"/>
  <c r="L189" i="14"/>
  <c r="L181" i="14"/>
  <c r="L173" i="14"/>
  <c r="L165" i="14"/>
  <c r="L157" i="14"/>
  <c r="L149" i="14"/>
  <c r="L141" i="14"/>
  <c r="L133" i="14"/>
  <c r="L125" i="14"/>
  <c r="L117" i="14"/>
  <c r="L109" i="14"/>
  <c r="L101" i="14"/>
  <c r="L93" i="14"/>
  <c r="L85" i="14"/>
  <c r="L77" i="14"/>
  <c r="L69" i="14"/>
  <c r="L61" i="14"/>
  <c r="L53" i="14"/>
  <c r="L45" i="14"/>
  <c r="L37" i="14"/>
  <c r="L29" i="14"/>
  <c r="L21" i="14"/>
  <c r="L13" i="14"/>
  <c r="L5" i="14"/>
  <c r="L240" i="14"/>
  <c r="L236" i="14"/>
  <c r="L232" i="14"/>
  <c r="L228" i="14"/>
  <c r="L224" i="14"/>
  <c r="L220" i="14"/>
  <c r="L216" i="14"/>
  <c r="L212" i="14"/>
  <c r="L208" i="14"/>
  <c r="L204" i="14"/>
  <c r="L200" i="14"/>
  <c r="L196" i="14"/>
  <c r="L192" i="14"/>
  <c r="L188" i="14"/>
  <c r="L184" i="14"/>
  <c r="L180" i="14"/>
  <c r="L176" i="14"/>
  <c r="L172" i="14"/>
  <c r="L168" i="14"/>
  <c r="L164" i="14"/>
  <c r="L160" i="14"/>
  <c r="L156" i="14"/>
  <c r="L152" i="14"/>
  <c r="L148" i="14"/>
  <c r="L144" i="14"/>
  <c r="L140" i="14"/>
  <c r="L136" i="14"/>
  <c r="L132" i="14"/>
  <c r="L128" i="14"/>
  <c r="L124" i="14"/>
  <c r="L120" i="14"/>
  <c r="L116" i="14"/>
  <c r="L112" i="14"/>
  <c r="L108" i="14"/>
  <c r="L104" i="14"/>
  <c r="L100" i="14"/>
  <c r="L96" i="14"/>
  <c r="L92" i="14"/>
  <c r="L88" i="14"/>
  <c r="L84" i="14"/>
  <c r="L80" i="14"/>
  <c r="L76" i="14"/>
  <c r="L72" i="14"/>
  <c r="L68" i="14"/>
  <c r="L64" i="14"/>
  <c r="L60" i="14"/>
  <c r="L56" i="14"/>
  <c r="L52" i="14"/>
  <c r="L48" i="14"/>
  <c r="L44" i="14"/>
  <c r="L40" i="14"/>
  <c r="L36" i="14"/>
  <c r="L32" i="14"/>
  <c r="L28" i="14"/>
  <c r="L24" i="14"/>
  <c r="L20" i="14"/>
  <c r="L16" i="14"/>
  <c r="L12" i="14"/>
  <c r="L8" i="14"/>
  <c r="L4" i="14"/>
  <c r="K2" i="14"/>
  <c r="L239" i="14"/>
  <c r="L235" i="14"/>
  <c r="L231" i="14"/>
  <c r="L227" i="14"/>
  <c r="L223" i="14"/>
  <c r="L219" i="14"/>
  <c r="L215" i="14"/>
  <c r="L211" i="14"/>
  <c r="L207" i="14"/>
  <c r="L203" i="14"/>
  <c r="L199" i="14"/>
  <c r="L195" i="14"/>
  <c r="L191" i="14"/>
  <c r="L187" i="14"/>
  <c r="L183" i="14"/>
  <c r="L179" i="14"/>
  <c r="L175" i="14"/>
  <c r="L171" i="14"/>
  <c r="L167" i="14"/>
  <c r="L163" i="14"/>
  <c r="L159" i="14"/>
  <c r="L155" i="14"/>
  <c r="L151" i="14"/>
  <c r="L147" i="14"/>
  <c r="L143" i="14"/>
  <c r="L139" i="14"/>
  <c r="L135" i="14"/>
  <c r="L131" i="14"/>
  <c r="L127" i="14"/>
  <c r="L123" i="14"/>
  <c r="L119" i="14"/>
  <c r="L115" i="14"/>
  <c r="L111" i="14"/>
  <c r="L107" i="14"/>
  <c r="L103" i="14"/>
  <c r="L99" i="14"/>
  <c r="L95" i="14"/>
  <c r="L91" i="14"/>
  <c r="L87" i="14"/>
  <c r="L83" i="14"/>
  <c r="L79" i="14"/>
  <c r="L75" i="14"/>
  <c r="L71" i="14"/>
  <c r="L67" i="14"/>
  <c r="L63" i="14"/>
  <c r="L59" i="14"/>
  <c r="L55" i="14"/>
  <c r="L51" i="14"/>
  <c r="L47" i="14"/>
  <c r="L43" i="14"/>
  <c r="L39" i="14"/>
  <c r="L35" i="14"/>
  <c r="L31" i="14"/>
  <c r="L27" i="14"/>
  <c r="L23" i="14"/>
  <c r="L19" i="14"/>
  <c r="L15" i="14"/>
  <c r="L11" i="14"/>
  <c r="L7" i="14"/>
  <c r="L3" i="14"/>
  <c r="B24" i="9" l="1"/>
  <c r="C24" i="9" s="1"/>
  <c r="B25" i="9" s="1"/>
  <c r="C25" i="9" s="1"/>
  <c r="B26" i="9" s="1"/>
  <c r="C26" i="9" s="1"/>
  <c r="B27" i="9" s="1"/>
  <c r="C27" i="9" s="1"/>
  <c r="B20" i="9"/>
  <c r="C20" i="9"/>
  <c r="B21" i="9" s="1"/>
  <c r="C21" i="9" s="1"/>
  <c r="B22" i="9" s="1"/>
  <c r="C22" i="9" s="1"/>
  <c r="B23" i="9" s="1"/>
  <c r="C23" i="9" s="1"/>
  <c r="B15" i="9"/>
  <c r="C15" i="9"/>
  <c r="B16" i="9" s="1"/>
  <c r="C16" i="9" s="1"/>
  <c r="B17" i="9" s="1"/>
  <c r="C17" i="9" s="1"/>
  <c r="B18" i="9" s="1"/>
  <c r="C18" i="9" s="1"/>
  <c r="B19" i="9" s="1"/>
  <c r="C19" i="9" s="1"/>
  <c r="C14" i="9"/>
  <c r="B14" i="9"/>
  <c r="E5" i="12" l="1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4" i="12"/>
  <c r="J3" i="5" l="1"/>
  <c r="J5" i="5" s="1"/>
  <c r="B4" i="3"/>
  <c r="E20" i="3"/>
  <c r="B5" i="3" s="1"/>
  <c r="D27" i="3"/>
  <c r="F12" i="3"/>
  <c r="F15" i="3"/>
  <c r="F16" i="3"/>
  <c r="F11" i="3"/>
  <c r="B3" i="3" s="1"/>
  <c r="G3" i="3" s="1"/>
  <c r="G4" i="3" l="1"/>
  <c r="G5" i="3" s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22" i="6"/>
  <c r="G44" i="6" l="1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43" i="6"/>
  <c r="B57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4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3" i="6"/>
  <c r="G31" i="6"/>
  <c r="G34" i="6"/>
  <c r="G2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3" i="6"/>
  <c r="D23" i="6"/>
  <c r="D24" i="6"/>
  <c r="G24" i="6" s="1"/>
  <c r="D25" i="6"/>
  <c r="G25" i="6" s="1"/>
  <c r="D26" i="6"/>
  <c r="G26" i="6" s="1"/>
  <c r="D27" i="6"/>
  <c r="G27" i="6" s="1"/>
  <c r="D28" i="6"/>
  <c r="G28" i="6" s="1"/>
  <c r="D29" i="6"/>
  <c r="G29" i="6" s="1"/>
  <c r="D30" i="6"/>
  <c r="G30" i="6" s="1"/>
  <c r="D31" i="6"/>
  <c r="D32" i="6"/>
  <c r="G32" i="6" s="1"/>
  <c r="D33" i="6"/>
  <c r="G33" i="6" s="1"/>
  <c r="D34" i="6"/>
  <c r="D35" i="6"/>
  <c r="G35" i="6" s="1"/>
  <c r="D36" i="6"/>
  <c r="G36" i="6" s="1"/>
  <c r="D37" i="6"/>
  <c r="G37" i="6" s="1"/>
  <c r="D22" i="6"/>
  <c r="G22" i="6" s="1"/>
  <c r="B18" i="6"/>
  <c r="S3" i="6" l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H4" i="6" l="1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3" i="6"/>
  <c r="F2" i="5"/>
  <c r="B3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J4" i="6" l="1"/>
  <c r="J6" i="6" s="1"/>
  <c r="J8" i="6" s="1"/>
  <c r="J10" i="6" s="1"/>
  <c r="J12" i="6" s="1"/>
  <c r="J14" i="6" s="1"/>
  <c r="J16" i="6" s="1"/>
  <c r="J18" i="6" s="1"/>
  <c r="C26" i="5"/>
  <c r="C9" i="5"/>
  <c r="C8" i="5"/>
  <c r="C10" i="5"/>
  <c r="C24" i="5"/>
  <c r="C25" i="5"/>
  <c r="C15" i="5"/>
  <c r="C13" i="5"/>
  <c r="C18" i="5"/>
  <c r="C17" i="5"/>
  <c r="C16" i="5"/>
  <c r="C23" i="5"/>
  <c r="C22" i="5"/>
  <c r="C14" i="5"/>
  <c r="C21" i="5"/>
  <c r="C20" i="5"/>
  <c r="C12" i="5"/>
  <c r="C19" i="5"/>
  <c r="C11" i="5"/>
  <c r="F6" i="5" l="1"/>
  <c r="F7" i="5" l="1"/>
  <c r="F8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<sst xmlns="http://schemas.openxmlformats.org/spreadsheetml/2006/main" count="299" uniqueCount="232">
  <si>
    <t>Produit</t>
  </si>
  <si>
    <t>Amazon</t>
  </si>
  <si>
    <t>Baterie</t>
  </si>
  <si>
    <t>Pile AA</t>
  </si>
  <si>
    <t>Traitement</t>
  </si>
  <si>
    <t>A0</t>
  </si>
  <si>
    <t>A1</t>
  </si>
  <si>
    <t>A2</t>
  </si>
  <si>
    <t>A3</t>
  </si>
  <si>
    <t>A4</t>
  </si>
  <si>
    <t>A5</t>
  </si>
  <si>
    <t>Capteur</t>
  </si>
  <si>
    <t>SPI clock</t>
  </si>
  <si>
    <t>SPI MISO</t>
  </si>
  <si>
    <t>SPI MOSI</t>
  </si>
  <si>
    <t>CS cart SD</t>
  </si>
  <si>
    <t>CS radio</t>
  </si>
  <si>
    <t>DIO0</t>
  </si>
  <si>
    <t>Reset</t>
  </si>
  <si>
    <t>Change Ecran</t>
  </si>
  <si>
    <t>Pour la communication radio :</t>
  </si>
  <si>
    <t>Network ID</t>
  </si>
  <si>
    <t>Nœud Emeteur</t>
  </si>
  <si>
    <t>Nœud Recepteur</t>
  </si>
  <si>
    <t>Temperature</t>
  </si>
  <si>
    <t>Pluie</t>
  </si>
  <si>
    <t>Direction</t>
  </si>
  <si>
    <t>Anenometre</t>
  </si>
  <si>
    <t>Temp</t>
  </si>
  <si>
    <t xml:space="preserve">frequence </t>
  </si>
  <si>
    <t>Hz</t>
  </si>
  <si>
    <t>Periode</t>
  </si>
  <si>
    <t>s</t>
  </si>
  <si>
    <t>Vitesse</t>
  </si>
  <si>
    <t>intervalles entre 2 mesures</t>
  </si>
  <si>
    <t>erreur</t>
  </si>
  <si>
    <t>Mesure</t>
  </si>
  <si>
    <t>km/h</t>
  </si>
  <si>
    <t>erreur relative</t>
  </si>
  <si>
    <t>Voltage</t>
  </si>
  <si>
    <t>Valeur Analog</t>
  </si>
  <si>
    <t>Degré</t>
  </si>
  <si>
    <t>.5</t>
  </si>
  <si>
    <t>N</t>
  </si>
  <si>
    <t>NNE</t>
  </si>
  <si>
    <t>NE</t>
  </si>
  <si>
    <t>E</t>
  </si>
  <si>
    <t>ESE</t>
  </si>
  <si>
    <t>SE</t>
  </si>
  <si>
    <t>ENE</t>
  </si>
  <si>
    <t>SSE</t>
  </si>
  <si>
    <t>S</t>
  </si>
  <si>
    <t>SSW</t>
  </si>
  <si>
    <t>SW</t>
  </si>
  <si>
    <t>WSW</t>
  </si>
  <si>
    <t>WNW</t>
  </si>
  <si>
    <t>NW</t>
  </si>
  <si>
    <t>NNW</t>
  </si>
  <si>
    <t>Bus I2C</t>
  </si>
  <si>
    <t>Pression</t>
  </si>
  <si>
    <t>Humidité</t>
  </si>
  <si>
    <t>Mesure voltage</t>
  </si>
  <si>
    <t>valeur analog</t>
  </si>
  <si>
    <t>moyenne deux valeurs successives</t>
  </si>
  <si>
    <t>Nord</t>
  </si>
  <si>
    <t>Nord-Est</t>
  </si>
  <si>
    <t>Est</t>
  </si>
  <si>
    <t>Sud-Est</t>
  </si>
  <si>
    <t>Sud</t>
  </si>
  <si>
    <t>Sud-Ouest</t>
  </si>
  <si>
    <t>Ouest</t>
  </si>
  <si>
    <t>Nord-Ouest</t>
  </si>
  <si>
    <t>RTC</t>
  </si>
  <si>
    <t>LCD</t>
  </si>
  <si>
    <t>Temp et humidité</t>
  </si>
  <si>
    <t>Projet mono carte</t>
  </si>
  <si>
    <t>Anemometre</t>
  </si>
  <si>
    <t>Temp humidité</t>
  </si>
  <si>
    <t>Détails :</t>
  </si>
  <si>
    <t>Résumé :</t>
  </si>
  <si>
    <t>Consommation</t>
  </si>
  <si>
    <t>Stockage</t>
  </si>
  <si>
    <t>Production</t>
  </si>
  <si>
    <t>Courant (mA)</t>
  </si>
  <si>
    <t>Nombre d'utilisation par heure</t>
  </si>
  <si>
    <t>Temps d'utilisation (s)</t>
  </si>
  <si>
    <t>% d'utilisation par heure</t>
  </si>
  <si>
    <t>Energie stockée (mAH)</t>
  </si>
  <si>
    <t>Nombre</t>
  </si>
  <si>
    <t>Autonomie :</t>
  </si>
  <si>
    <t>Panneau solaire</t>
  </si>
  <si>
    <t>En heures :</t>
  </si>
  <si>
    <t>En jours :</t>
  </si>
  <si>
    <t>Puissance (W)</t>
  </si>
  <si>
    <t>Pertes (5% de la conso)</t>
  </si>
  <si>
    <t>En année :</t>
  </si>
  <si>
    <t>Voltage (V)</t>
  </si>
  <si>
    <t>Consomation moyenne (J)</t>
  </si>
  <si>
    <t>Production moyenne (J)</t>
  </si>
  <si>
    <t>Stockage (J)</t>
  </si>
  <si>
    <t>Temps de fonctionnement par jour (heure)</t>
  </si>
  <si>
    <t>Energie produite (kJ)</t>
  </si>
  <si>
    <t>Energie totale (kJ)</t>
  </si>
  <si>
    <t>kJ</t>
  </si>
  <si>
    <t>fréquence</t>
  </si>
  <si>
    <t>Periode de mesure</t>
  </si>
  <si>
    <t>nombre de mesure</t>
  </si>
  <si>
    <t>Vendeur</t>
  </si>
  <si>
    <t xml:space="preserve">Mouser </t>
  </si>
  <si>
    <t>electronique diverse</t>
  </si>
  <si>
    <t>capteur temp ds18b20</t>
  </si>
  <si>
    <t>Cavalier</t>
  </si>
  <si>
    <t>Pile cr 1220</t>
  </si>
  <si>
    <t>tresse à dessouder</t>
  </si>
  <si>
    <t>Header</t>
  </si>
  <si>
    <t>grande breadboard, I2C LCD, Mega, Jumper</t>
  </si>
  <si>
    <t>Convertisseur de niveau logique</t>
  </si>
  <si>
    <t>petite breadboard</t>
  </si>
  <si>
    <t>humidity</t>
  </si>
  <si>
    <t>%</t>
  </si>
  <si>
    <t>Frost point</t>
  </si>
  <si>
    <t>Temp (°C)</t>
  </si>
  <si>
    <t>Temp(K)</t>
  </si>
  <si>
    <t>Dew Point (K)</t>
  </si>
  <si>
    <t>Dew Point (°C)</t>
  </si>
  <si>
    <t>BME280</t>
  </si>
  <si>
    <t>SI1145</t>
  </si>
  <si>
    <t>fer à souder</t>
  </si>
  <si>
    <t>Travailler avec les byte d'un char[61]</t>
  </si>
  <si>
    <t>Communication radio avec utilisation des bytes</t>
  </si>
  <si>
    <t>message</t>
  </si>
  <si>
    <t>char</t>
  </si>
  <si>
    <t>mais</t>
  </si>
  <si>
    <t>d'utilisables</t>
  </si>
  <si>
    <t>debut</t>
  </si>
  <si>
    <t>fin</t>
  </si>
  <si>
    <t>mode de représentation</t>
  </si>
  <si>
    <t>donnees</t>
  </si>
  <si>
    <t>stockage des int sur arduino</t>
  </si>
  <si>
    <t>Uno, mega</t>
  </si>
  <si>
    <t>bytes</t>
  </si>
  <si>
    <t>MKR</t>
  </si>
  <si>
    <t>choix de travailler avec 4 bytes pour si le code passe sur mkr</t>
  </si>
  <si>
    <t>pluviométrie</t>
  </si>
  <si>
    <t>Direction vent</t>
  </si>
  <si>
    <t>vitesse vent</t>
  </si>
  <si>
    <t>Temperature (DS18B20)</t>
  </si>
  <si>
    <t>Temperature (BME280)</t>
  </si>
  <si>
    <t>Humidité (BME280)</t>
  </si>
  <si>
    <t>Pression (BME280)</t>
  </si>
  <si>
    <t>Luminosité UV</t>
  </si>
  <si>
    <t>Luminosité Visible</t>
  </si>
  <si>
    <t>Luminosité IR</t>
  </si>
  <si>
    <t>Altitude (BME280)</t>
  </si>
  <si>
    <t>m</t>
  </si>
  <si>
    <t>idem pour unsigned int</t>
  </si>
  <si>
    <t>value</t>
  </si>
  <si>
    <t>antenne</t>
  </si>
  <si>
    <t>connecteur SMA pcb</t>
  </si>
  <si>
    <t>Aliexpress</t>
  </si>
  <si>
    <t>amazon</t>
  </si>
  <si>
    <r>
      <rPr>
        <i/>
        <sz val="10"/>
        <rFont val="Arial"/>
        <family val="2"/>
      </rPr>
      <t>T(°C)</t>
    </r>
  </si>
  <si>
    <r>
      <rPr>
        <i/>
        <sz val="10"/>
        <rFont val="Arial"/>
        <family val="2"/>
      </rPr>
      <t>R(KΩ)</t>
    </r>
  </si>
  <si>
    <t>lnRt</t>
  </si>
  <si>
    <t>1/T</t>
  </si>
  <si>
    <t>T</t>
  </si>
  <si>
    <t>R(Ω)</t>
  </si>
  <si>
    <t xml:space="preserve">erreur </t>
  </si>
  <si>
    <t>Sensor arduino mega</t>
  </si>
  <si>
    <t>Batterie temp</t>
  </si>
  <si>
    <t>Batterie voltage</t>
  </si>
  <si>
    <t>transformation en int</t>
  </si>
  <si>
    <t>si temp</t>
  </si>
  <si>
    <t>=(temp + 40)*10</t>
  </si>
  <si>
    <t>sinon</t>
  </si>
  <si>
    <t>=value*10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</si>
  <si>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</si>
  <si>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</si>
  <si>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</si>
  <si>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</si>
  <si>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</si>
  <si>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</si>
  <si>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</si>
  <si>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</si>
  <si>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</si>
  <si>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</si>
  <si>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</si>
  <si>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windDir</t>
  </si>
  <si>
    <t>batteryTemp</t>
  </si>
  <si>
    <t>batteryVoltage</t>
  </si>
  <si>
    <t>MISO</t>
  </si>
  <si>
    <t>MOSI</t>
  </si>
  <si>
    <t>SCK</t>
  </si>
  <si>
    <t>SS radio</t>
  </si>
  <si>
    <t>SDA</t>
  </si>
  <si>
    <t>SCL</t>
  </si>
  <si>
    <t>I²C</t>
  </si>
  <si>
    <t>DS18B20</t>
  </si>
  <si>
    <t>ref 3V3 du BME</t>
  </si>
  <si>
    <t>Vitesse vent</t>
  </si>
  <si>
    <t>temp DS18</t>
  </si>
  <si>
    <t>temp BME</t>
  </si>
  <si>
    <t>Light UV</t>
  </si>
  <si>
    <t>Light visible</t>
  </si>
  <si>
    <t>Light IR</t>
  </si>
  <si>
    <t>battery temp</t>
  </si>
  <si>
    <t>battery voltage</t>
  </si>
  <si>
    <t>Grandeur calculée</t>
  </si>
  <si>
    <t>Grandeur mesurée</t>
  </si>
  <si>
    <t>Wind chill</t>
  </si>
  <si>
    <t>Heat index</t>
  </si>
  <si>
    <t>shield ethernet sunfounder</t>
  </si>
  <si>
    <t>connecteur/fil/support</t>
  </si>
  <si>
    <t>Panneau solaire et divers</t>
  </si>
  <si>
    <t>Mesure vitesse Vent</t>
  </si>
  <si>
    <t xml:space="preserve">Mesure fréquence </t>
  </si>
  <si>
    <t>detach interrupt dirVent</t>
  </si>
  <si>
    <t>attach interrupt dirVent</t>
  </si>
  <si>
    <t>Achat fait</t>
  </si>
  <si>
    <t>prix</t>
  </si>
  <si>
    <t>Achat à faire</t>
  </si>
  <si>
    <t>detach interrupt pluie</t>
  </si>
  <si>
    <t>attach interrupt pluie</t>
  </si>
  <si>
    <t>mm d'eau</t>
  </si>
  <si>
    <t>angle °</t>
  </si>
  <si>
    <t>vitesse km/h</t>
  </si>
  <si>
    <t>Temp  °C</t>
  </si>
  <si>
    <t>Temp °C</t>
  </si>
  <si>
    <t>Pression Pa</t>
  </si>
  <si>
    <t>indexUV</t>
  </si>
  <si>
    <t>V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</si>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</sst>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7" formatCode="0.000000E+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0" fillId="0" borderId="0"/>
  </cellStyleXfs>
  <cellXfs count="72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2"/>
    <xf numFmtId="0" fontId="4" fillId="0" borderId="0" xfId="0" applyFont="1"/>
    <xf numFmtId="0" fontId="5" fillId="0" borderId="0" xfId="0" applyFont="1"/>
    <xf numFmtId="9" fontId="0" fillId="0" borderId="0" xfId="3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9" fontId="0" fillId="3" borderId="0" xfId="3" applyFont="1" applyFill="1"/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7" fillId="0" borderId="14" xfId="0" applyFont="1" applyBorder="1"/>
    <xf numFmtId="0" fontId="7" fillId="0" borderId="15" xfId="0" applyFont="1" applyBorder="1"/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10" xfId="0" applyFont="1" applyBorder="1" applyAlignment="1">
      <alignment horizontal="right"/>
    </xf>
    <xf numFmtId="0" fontId="5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16" xfId="0" applyFont="1" applyBorder="1" applyAlignment="1">
      <alignment wrapText="1"/>
    </xf>
    <xf numFmtId="0" fontId="9" fillId="0" borderId="0" xfId="0" applyFont="1"/>
    <xf numFmtId="0" fontId="11" fillId="0" borderId="0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center" vertical="top" wrapText="1"/>
    </xf>
    <xf numFmtId="0" fontId="0" fillId="0" borderId="0" xfId="3" applyNumberFormat="1" applyFont="1"/>
    <xf numFmtId="0" fontId="0" fillId="0" borderId="0" xfId="3" applyNumberFormat="1" applyFont="1" applyAlignment="1">
      <alignment horizontal="left"/>
    </xf>
    <xf numFmtId="0" fontId="14" fillId="0" borderId="24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 indent="1"/>
    </xf>
    <xf numFmtId="0" fontId="12" fillId="0" borderId="24" xfId="3" applyNumberFormat="1" applyFont="1" applyFill="1" applyBorder="1" applyAlignment="1">
      <alignment horizontal="left" vertical="top" shrinkToFit="1"/>
    </xf>
    <xf numFmtId="0" fontId="12" fillId="0" borderId="24" xfId="3" applyNumberFormat="1" applyFont="1" applyFill="1" applyBorder="1" applyAlignment="1">
      <alignment horizontal="center" vertical="top" shrinkToFit="1"/>
    </xf>
    <xf numFmtId="0" fontId="12" fillId="0" borderId="0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left" vertical="top" indent="1" shrinkToFit="1"/>
    </xf>
    <xf numFmtId="0" fontId="13" fillId="0" borderId="24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right" vertical="top" indent="1" shrinkToFit="1"/>
    </xf>
    <xf numFmtId="0" fontId="12" fillId="0" borderId="24" xfId="3" applyNumberFormat="1" applyFont="1" applyFill="1" applyBorder="1" applyAlignment="1">
      <alignment horizontal="right" vertical="top" shrinkToFit="1"/>
    </xf>
    <xf numFmtId="167" fontId="11" fillId="0" borderId="0" xfId="3" applyNumberFormat="1" applyFont="1" applyFill="1" applyBorder="1" applyAlignment="1">
      <alignment horizontal="left" vertical="top" wrapText="1"/>
    </xf>
    <xf numFmtId="0" fontId="0" fillId="0" borderId="0" xfId="0" quotePrefix="1"/>
    <xf numFmtId="0" fontId="0" fillId="0" borderId="0" xfId="0" applyAlignment="1">
      <alignment horizontal="center" vertical="center"/>
    </xf>
    <xf numFmtId="0" fontId="0" fillId="4" borderId="0" xfId="0" applyFill="1"/>
    <xf numFmtId="2" fontId="0" fillId="0" borderId="0" xfId="0" applyNumberFormat="1"/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5" borderId="0" xfId="0" applyFill="1"/>
    <xf numFmtId="44" fontId="0" fillId="5" borderId="0" xfId="1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44" fontId="15" fillId="0" borderId="0" xfId="1" applyFont="1"/>
    <xf numFmtId="0" fontId="15" fillId="5" borderId="0" xfId="0" applyFont="1" applyFill="1"/>
    <xf numFmtId="0" fontId="6" fillId="0" borderId="0" xfId="0" applyFont="1" applyAlignment="1">
      <alignment vertical="center" wrapText="1"/>
    </xf>
  </cellXfs>
  <cellStyles count="5">
    <cellStyle name="Lien hypertexte" xfId="2" builtinId="8"/>
    <cellStyle name="Monétaire" xfId="1" builtinId="4"/>
    <cellStyle name="Normal" xfId="0" builtinId="0"/>
    <cellStyle name="Normal 2" xfId="4" xr:uid="{8224FC39-9A96-4EC5-882B-B0053D1383BC}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'Direction Vent'!$D$2</c:f>
              <c:strCache>
                <c:ptCount val="1"/>
                <c:pt idx="0">
                  <c:v>Mesure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Vent'!$A$22:$A$38</c:f>
              <c:numCache>
                <c:formatCode>General</c:formatCode>
                <c:ptCount val="17"/>
                <c:pt idx="0">
                  <c:v>65.471999999999994</c:v>
                </c:pt>
                <c:pt idx="1">
                  <c:v>83.885999999999996</c:v>
                </c:pt>
                <c:pt idx="2">
                  <c:v>92.070000000000007</c:v>
                </c:pt>
                <c:pt idx="3">
                  <c:v>126.852</c:v>
                </c:pt>
                <c:pt idx="4">
                  <c:v>184.14000000000001</c:v>
                </c:pt>
                <c:pt idx="5">
                  <c:v>243.47399999999999</c:v>
                </c:pt>
                <c:pt idx="6">
                  <c:v>286.43999999999994</c:v>
                </c:pt>
                <c:pt idx="7">
                  <c:v>405.108</c:v>
                </c:pt>
                <c:pt idx="8">
                  <c:v>460.35</c:v>
                </c:pt>
                <c:pt idx="9">
                  <c:v>599.47800000000007</c:v>
                </c:pt>
                <c:pt idx="10">
                  <c:v>630.16800000000001</c:v>
                </c:pt>
                <c:pt idx="11">
                  <c:v>701.77800000000002</c:v>
                </c:pt>
                <c:pt idx="12">
                  <c:v>785.66399999999999</c:v>
                </c:pt>
                <c:pt idx="13">
                  <c:v>826.58400000000006</c:v>
                </c:pt>
                <c:pt idx="14">
                  <c:v>885.91800000000001</c:v>
                </c:pt>
                <c:pt idx="15">
                  <c:v>945.25200000000007</c:v>
                </c:pt>
                <c:pt idx="16">
                  <c:v>1023</c:v>
                </c:pt>
              </c:numCache>
            </c:numRef>
          </c:xVal>
          <c:yVal>
            <c:numRef>
              <c:f>'Direction Vent'!$D$22:$D$38</c:f>
              <c:numCache>
                <c:formatCode>General</c:formatCode>
                <c:ptCount val="17"/>
                <c:pt idx="0">
                  <c:v>74.679000000000002</c:v>
                </c:pt>
                <c:pt idx="1">
                  <c:v>87.978000000000009</c:v>
                </c:pt>
                <c:pt idx="2">
                  <c:v>109.46100000000001</c:v>
                </c:pt>
                <c:pt idx="3">
                  <c:v>155.49600000000001</c:v>
                </c:pt>
                <c:pt idx="4">
                  <c:v>213.80700000000002</c:v>
                </c:pt>
                <c:pt idx="5">
                  <c:v>264.95699999999999</c:v>
                </c:pt>
                <c:pt idx="6">
                  <c:v>345.774</c:v>
                </c:pt>
                <c:pt idx="7">
                  <c:v>432.72900000000004</c:v>
                </c:pt>
                <c:pt idx="8">
                  <c:v>529.91399999999999</c:v>
                </c:pt>
                <c:pt idx="9">
                  <c:v>614.82300000000009</c:v>
                </c:pt>
                <c:pt idx="10">
                  <c:v>665.97299999999996</c:v>
                </c:pt>
                <c:pt idx="11">
                  <c:v>743.721</c:v>
                </c:pt>
                <c:pt idx="12">
                  <c:v>806.12400000000002</c:v>
                </c:pt>
                <c:pt idx="13">
                  <c:v>856.25099999999998</c:v>
                </c:pt>
                <c:pt idx="14">
                  <c:v>915.58500000000004</c:v>
                </c:pt>
                <c:pt idx="15">
                  <c:v>984.12599999999998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B-4913-93C0-7801E82DA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120816"/>
        <c:axId val="1020289072"/>
      </c:scatterChart>
      <c:valAx>
        <c:axId val="10711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0289072"/>
        <c:crosses val="autoZero"/>
        <c:crossBetween val="midCat"/>
      </c:valAx>
      <c:valAx>
        <c:axId val="10202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112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Vent'!$B$43:$B$58</c:f>
              <c:numCache>
                <c:formatCode>General</c:formatCode>
                <c:ptCount val="16"/>
                <c:pt idx="0">
                  <c:v>75.775999999999996</c:v>
                </c:pt>
                <c:pt idx="1">
                  <c:v>90.623999999999995</c:v>
                </c:pt>
                <c:pt idx="2">
                  <c:v>113.152</c:v>
                </c:pt>
                <c:pt idx="3">
                  <c:v>160.768</c:v>
                </c:pt>
                <c:pt idx="4">
                  <c:v>221.184</c:v>
                </c:pt>
                <c:pt idx="5">
                  <c:v>274.43200000000002</c:v>
                </c:pt>
                <c:pt idx="6">
                  <c:v>359.42399999999998</c:v>
                </c:pt>
                <c:pt idx="7">
                  <c:v>450.56</c:v>
                </c:pt>
                <c:pt idx="8">
                  <c:v>550.91200000000003</c:v>
                </c:pt>
                <c:pt idx="9">
                  <c:v>638.976</c:v>
                </c:pt>
                <c:pt idx="10">
                  <c:v>693.24800000000005</c:v>
                </c:pt>
                <c:pt idx="11">
                  <c:v>774.14400000000001</c:v>
                </c:pt>
                <c:pt idx="12">
                  <c:v>838.65600000000006</c:v>
                </c:pt>
                <c:pt idx="13">
                  <c:v>890.88000000000011</c:v>
                </c:pt>
                <c:pt idx="14">
                  <c:v>951.29600000000005</c:v>
                </c:pt>
                <c:pt idx="15">
                  <c:v>1023</c:v>
                </c:pt>
              </c:numCache>
            </c:numRef>
          </c:xVal>
          <c:yVal>
            <c:numRef>
              <c:f>'Direction Vent'!$C$43:$C$58</c:f>
              <c:numCache>
                <c:formatCode>0</c:formatCode>
                <c:ptCount val="16"/>
                <c:pt idx="0">
                  <c:v>112.5</c:v>
                </c:pt>
                <c:pt idx="1">
                  <c:v>67.5</c:v>
                </c:pt>
                <c:pt idx="2">
                  <c:v>90</c:v>
                </c:pt>
                <c:pt idx="3">
                  <c:v>157.5</c:v>
                </c:pt>
                <c:pt idx="4">
                  <c:v>135</c:v>
                </c:pt>
                <c:pt idx="5">
                  <c:v>202.5</c:v>
                </c:pt>
                <c:pt idx="6">
                  <c:v>180</c:v>
                </c:pt>
                <c:pt idx="7">
                  <c:v>22.5</c:v>
                </c:pt>
                <c:pt idx="8">
                  <c:v>45</c:v>
                </c:pt>
                <c:pt idx="9">
                  <c:v>247.5</c:v>
                </c:pt>
                <c:pt idx="10">
                  <c:v>225</c:v>
                </c:pt>
                <c:pt idx="11">
                  <c:v>337.5</c:v>
                </c:pt>
                <c:pt idx="12">
                  <c:v>0</c:v>
                </c:pt>
                <c:pt idx="13">
                  <c:v>292.5</c:v>
                </c:pt>
                <c:pt idx="14">
                  <c:v>315</c:v>
                </c:pt>
                <c:pt idx="15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3-40E3-B4F4-542FF5192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420160"/>
        <c:axId val="1238298656"/>
      </c:scatterChart>
      <c:valAx>
        <c:axId val="142442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298656"/>
        <c:crosses val="autoZero"/>
        <c:crossBetween val="midCat"/>
      </c:valAx>
      <c:valAx>
        <c:axId val="12382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44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etalonnage'!$A$2:$A$242</c:f>
              <c:numCache>
                <c:formatCode>General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>
                  <c:v>92.5</c:v>
                </c:pt>
                <c:pt idx="20">
                  <c:v>87.43</c:v>
                </c:pt>
                <c:pt idx="21">
                  <c:v>82.79</c:v>
                </c:pt>
                <c:pt idx="22">
                  <c:v>78.44</c:v>
                </c:pt>
                <c:pt idx="23">
                  <c:v>74.36</c:v>
                </c:pt>
                <c:pt idx="24">
                  <c:v>70.53</c:v>
                </c:pt>
                <c:pt idx="25">
                  <c:v>66.92</c:v>
                </c:pt>
                <c:pt idx="26">
                  <c:v>63.54</c:v>
                </c:pt>
                <c:pt idx="27">
                  <c:v>60.34</c:v>
                </c:pt>
                <c:pt idx="28">
                  <c:v>57.33</c:v>
                </c:pt>
                <c:pt idx="29">
                  <c:v>54.5</c:v>
                </c:pt>
                <c:pt idx="30">
                  <c:v>51.82</c:v>
                </c:pt>
                <c:pt idx="31">
                  <c:v>49.28</c:v>
                </c:pt>
                <c:pt idx="32">
                  <c:v>46.89</c:v>
                </c:pt>
                <c:pt idx="33">
                  <c:v>44.62</c:v>
                </c:pt>
                <c:pt idx="34">
                  <c:v>42.48</c:v>
                </c:pt>
                <c:pt idx="35">
                  <c:v>40.450000000000003</c:v>
                </c:pt>
                <c:pt idx="36">
                  <c:v>38.53</c:v>
                </c:pt>
                <c:pt idx="37">
                  <c:v>36.700000000000003</c:v>
                </c:pt>
                <c:pt idx="38">
                  <c:v>34.97</c:v>
                </c:pt>
                <c:pt idx="39">
                  <c:v>33.33</c:v>
                </c:pt>
                <c:pt idx="40">
                  <c:v>31.77</c:v>
                </c:pt>
                <c:pt idx="41">
                  <c:v>30.25</c:v>
                </c:pt>
                <c:pt idx="42">
                  <c:v>28.82</c:v>
                </c:pt>
                <c:pt idx="43">
                  <c:v>27.45</c:v>
                </c:pt>
                <c:pt idx="44">
                  <c:v>26.16</c:v>
                </c:pt>
                <c:pt idx="45">
                  <c:v>24.94</c:v>
                </c:pt>
                <c:pt idx="46">
                  <c:v>23.77</c:v>
                </c:pt>
                <c:pt idx="47">
                  <c:v>22.67</c:v>
                </c:pt>
                <c:pt idx="48">
                  <c:v>21.62</c:v>
                </c:pt>
                <c:pt idx="49">
                  <c:v>20.63</c:v>
                </c:pt>
                <c:pt idx="50">
                  <c:v>19.68</c:v>
                </c:pt>
                <c:pt idx="51">
                  <c:v>18.78</c:v>
                </c:pt>
                <c:pt idx="52">
                  <c:v>17.93</c:v>
                </c:pt>
                <c:pt idx="53">
                  <c:v>17.12</c:v>
                </c:pt>
                <c:pt idx="54">
                  <c:v>16.350000000000001</c:v>
                </c:pt>
                <c:pt idx="55">
                  <c:v>15.62</c:v>
                </c:pt>
                <c:pt idx="56">
                  <c:v>14.93</c:v>
                </c:pt>
                <c:pt idx="57">
                  <c:v>14.26</c:v>
                </c:pt>
                <c:pt idx="58">
                  <c:v>13.63</c:v>
                </c:pt>
                <c:pt idx="59">
                  <c:v>13.04</c:v>
                </c:pt>
                <c:pt idx="60">
                  <c:v>12.47</c:v>
                </c:pt>
                <c:pt idx="61">
                  <c:v>11.92</c:v>
                </c:pt>
                <c:pt idx="62">
                  <c:v>11.41</c:v>
                </c:pt>
                <c:pt idx="63">
                  <c:v>10.91</c:v>
                </c:pt>
                <c:pt idx="64">
                  <c:v>10.45</c:v>
                </c:pt>
                <c:pt idx="65">
                  <c:v>10</c:v>
                </c:pt>
                <c:pt idx="66">
                  <c:v>9.5749999999999993</c:v>
                </c:pt>
                <c:pt idx="67">
                  <c:v>9.17</c:v>
                </c:pt>
                <c:pt idx="68">
                  <c:v>8.7840000000000007</c:v>
                </c:pt>
                <c:pt idx="69">
                  <c:v>8.4160000000000004</c:v>
                </c:pt>
                <c:pt idx="70">
                  <c:v>8.0640000000000001</c:v>
                </c:pt>
                <c:pt idx="71">
                  <c:v>7.73</c:v>
                </c:pt>
                <c:pt idx="72">
                  <c:v>7.41</c:v>
                </c:pt>
                <c:pt idx="73">
                  <c:v>7.1059999999999999</c:v>
                </c:pt>
                <c:pt idx="74">
                  <c:v>6.8150000000000004</c:v>
                </c:pt>
                <c:pt idx="75">
                  <c:v>6.5380000000000003</c:v>
                </c:pt>
                <c:pt idx="76">
                  <c:v>6.2729999999999997</c:v>
                </c:pt>
                <c:pt idx="77">
                  <c:v>6.02</c:v>
                </c:pt>
                <c:pt idx="78">
                  <c:v>5.7779999999999996</c:v>
                </c:pt>
                <c:pt idx="79">
                  <c:v>5.548</c:v>
                </c:pt>
                <c:pt idx="80">
                  <c:v>5.327</c:v>
                </c:pt>
                <c:pt idx="81">
                  <c:v>5.117</c:v>
                </c:pt>
                <c:pt idx="82">
                  <c:v>4.915</c:v>
                </c:pt>
                <c:pt idx="83">
                  <c:v>4.7229999999999999</c:v>
                </c:pt>
                <c:pt idx="84">
                  <c:v>4.5389999999999997</c:v>
                </c:pt>
                <c:pt idx="85">
                  <c:v>4.3630000000000004</c:v>
                </c:pt>
                <c:pt idx="86">
                  <c:v>4.1950000000000003</c:v>
                </c:pt>
                <c:pt idx="87">
                  <c:v>4.0339999999999998</c:v>
                </c:pt>
                <c:pt idx="88">
                  <c:v>3.88</c:v>
                </c:pt>
                <c:pt idx="89">
                  <c:v>3.7330000000000001</c:v>
                </c:pt>
                <c:pt idx="90">
                  <c:v>3.5920000000000001</c:v>
                </c:pt>
                <c:pt idx="91">
                  <c:v>3.4569999999999999</c:v>
                </c:pt>
                <c:pt idx="92">
                  <c:v>3.3279999999999998</c:v>
                </c:pt>
                <c:pt idx="93">
                  <c:v>3.2040000000000002</c:v>
                </c:pt>
                <c:pt idx="94">
                  <c:v>3.0859999999999999</c:v>
                </c:pt>
                <c:pt idx="95">
                  <c:v>2.972</c:v>
                </c:pt>
                <c:pt idx="96">
                  <c:v>2.863</c:v>
                </c:pt>
                <c:pt idx="97">
                  <c:v>2.7589999999999999</c:v>
                </c:pt>
                <c:pt idx="98">
                  <c:v>2.6589999999999998</c:v>
                </c:pt>
                <c:pt idx="99">
                  <c:v>2.5640000000000001</c:v>
                </c:pt>
                <c:pt idx="100">
                  <c:v>2.472</c:v>
                </c:pt>
                <c:pt idx="101">
                  <c:v>2.3839999999999999</c:v>
                </c:pt>
                <c:pt idx="102">
                  <c:v>2.2989999999999999</c:v>
                </c:pt>
                <c:pt idx="103">
                  <c:v>2.218</c:v>
                </c:pt>
                <c:pt idx="104">
                  <c:v>2.141</c:v>
                </c:pt>
                <c:pt idx="105">
                  <c:v>2.0659999999999998</c:v>
                </c:pt>
                <c:pt idx="106">
                  <c:v>1.994</c:v>
                </c:pt>
                <c:pt idx="107">
                  <c:v>1.9259999999999999</c:v>
                </c:pt>
                <c:pt idx="108">
                  <c:v>1.86</c:v>
                </c:pt>
                <c:pt idx="109">
                  <c:v>1.796</c:v>
                </c:pt>
                <c:pt idx="110">
                  <c:v>1.7350000000000001</c:v>
                </c:pt>
                <c:pt idx="111">
                  <c:v>1.677</c:v>
                </c:pt>
                <c:pt idx="112">
                  <c:v>1.621</c:v>
                </c:pt>
                <c:pt idx="113">
                  <c:v>1.5669999999999999</c:v>
                </c:pt>
                <c:pt idx="114">
                  <c:v>1.5149999999999999</c:v>
                </c:pt>
                <c:pt idx="115">
                  <c:v>1.4650000000000001</c:v>
                </c:pt>
                <c:pt idx="116">
                  <c:v>1.417</c:v>
                </c:pt>
                <c:pt idx="117">
                  <c:v>1.371</c:v>
                </c:pt>
                <c:pt idx="118">
                  <c:v>1.3260000000000001</c:v>
                </c:pt>
                <c:pt idx="119">
                  <c:v>1.284</c:v>
                </c:pt>
                <c:pt idx="120">
                  <c:v>1.2430000000000001</c:v>
                </c:pt>
                <c:pt idx="121">
                  <c:v>1.2030000000000001</c:v>
                </c:pt>
                <c:pt idx="122">
                  <c:v>1.165</c:v>
                </c:pt>
                <c:pt idx="123">
                  <c:v>1.1279999999999999</c:v>
                </c:pt>
                <c:pt idx="124">
                  <c:v>1.093</c:v>
                </c:pt>
                <c:pt idx="125">
                  <c:v>1.0589999999999999</c:v>
                </c:pt>
                <c:pt idx="126">
                  <c:v>1.0269999999999999</c:v>
                </c:pt>
                <c:pt idx="127">
                  <c:v>0.99550000000000005</c:v>
                </c:pt>
                <c:pt idx="128">
                  <c:v>0.96540000000000004</c:v>
                </c:pt>
                <c:pt idx="129">
                  <c:v>0.93630000000000002</c:v>
                </c:pt>
                <c:pt idx="130">
                  <c:v>0.9083</c:v>
                </c:pt>
                <c:pt idx="131">
                  <c:v>0.88119999999999998</c:v>
                </c:pt>
                <c:pt idx="132">
                  <c:v>0.85499999999999998</c:v>
                </c:pt>
                <c:pt idx="133">
                  <c:v>0.82969999999999999</c:v>
                </c:pt>
                <c:pt idx="134">
                  <c:v>0.80520000000000003</c:v>
                </c:pt>
                <c:pt idx="135">
                  <c:v>0.78159999999999996</c:v>
                </c:pt>
                <c:pt idx="136">
                  <c:v>0.75870000000000004</c:v>
                </c:pt>
                <c:pt idx="137">
                  <c:v>0.73660000000000003</c:v>
                </c:pt>
                <c:pt idx="138">
                  <c:v>0.71519999999999995</c:v>
                </c:pt>
                <c:pt idx="139">
                  <c:v>0.69450000000000001</c:v>
                </c:pt>
                <c:pt idx="140">
                  <c:v>0.6744</c:v>
                </c:pt>
                <c:pt idx="141">
                  <c:v>0.65580000000000005</c:v>
                </c:pt>
                <c:pt idx="142">
                  <c:v>0.63759999999999994</c:v>
                </c:pt>
                <c:pt idx="143">
                  <c:v>0.61990000000000001</c:v>
                </c:pt>
                <c:pt idx="144">
                  <c:v>0.60260000000000002</c:v>
                </c:pt>
                <c:pt idx="145">
                  <c:v>0.58579999999999999</c:v>
                </c:pt>
                <c:pt idx="146">
                  <c:v>0.56940000000000002</c:v>
                </c:pt>
                <c:pt idx="147">
                  <c:v>0.55349999999999999</c:v>
                </c:pt>
                <c:pt idx="148">
                  <c:v>0.53800000000000003</c:v>
                </c:pt>
                <c:pt idx="149">
                  <c:v>0.52290000000000003</c:v>
                </c:pt>
                <c:pt idx="150">
                  <c:v>0.50829999999999997</c:v>
                </c:pt>
                <c:pt idx="151">
                  <c:v>0.49409999999999998</c:v>
                </c:pt>
                <c:pt idx="152">
                  <c:v>0.4803</c:v>
                </c:pt>
                <c:pt idx="153">
                  <c:v>0.46689999999999998</c:v>
                </c:pt>
                <c:pt idx="154">
                  <c:v>0.45390000000000003</c:v>
                </c:pt>
                <c:pt idx="155">
                  <c:v>0.44119999999999998</c:v>
                </c:pt>
                <c:pt idx="156">
                  <c:v>0.42899999999999999</c:v>
                </c:pt>
                <c:pt idx="157">
                  <c:v>0.41710000000000003</c:v>
                </c:pt>
                <c:pt idx="158">
                  <c:v>0.40550000000000003</c:v>
                </c:pt>
                <c:pt idx="159">
                  <c:v>0.39439999999999997</c:v>
                </c:pt>
                <c:pt idx="160">
                  <c:v>0.38350000000000001</c:v>
                </c:pt>
                <c:pt idx="161">
                  <c:v>0.373</c:v>
                </c:pt>
                <c:pt idx="162">
                  <c:v>0.36280000000000001</c:v>
                </c:pt>
                <c:pt idx="163">
                  <c:v>0.35299999999999998</c:v>
                </c:pt>
                <c:pt idx="164">
                  <c:v>0.34339999999999998</c:v>
                </c:pt>
                <c:pt idx="165">
                  <c:v>0.33410000000000001</c:v>
                </c:pt>
                <c:pt idx="166">
                  <c:v>0.32529999999999998</c:v>
                </c:pt>
                <c:pt idx="167">
                  <c:v>0.31669999999999998</c:v>
                </c:pt>
                <c:pt idx="168">
                  <c:v>0.30830000000000002</c:v>
                </c:pt>
                <c:pt idx="169">
                  <c:v>0.30020000000000002</c:v>
                </c:pt>
                <c:pt idx="170">
                  <c:v>0.29239999999999999</c:v>
                </c:pt>
                <c:pt idx="171">
                  <c:v>0.2848</c:v>
                </c:pt>
                <c:pt idx="172">
                  <c:v>0.27739999999999998</c:v>
                </c:pt>
                <c:pt idx="173">
                  <c:v>0.2702</c:v>
                </c:pt>
                <c:pt idx="174">
                  <c:v>0.26329999999999998</c:v>
                </c:pt>
                <c:pt idx="175">
                  <c:v>0.25650000000000001</c:v>
                </c:pt>
                <c:pt idx="176">
                  <c:v>0.25</c:v>
                </c:pt>
                <c:pt idx="177">
                  <c:v>0.2437</c:v>
                </c:pt>
                <c:pt idx="178">
                  <c:v>0.23749999999999999</c:v>
                </c:pt>
                <c:pt idx="179">
                  <c:v>0.2316</c:v>
                </c:pt>
                <c:pt idx="180">
                  <c:v>0.2258</c:v>
                </c:pt>
                <c:pt idx="181">
                  <c:v>0.22020000000000001</c:v>
                </c:pt>
                <c:pt idx="182">
                  <c:v>0.21479999999999999</c:v>
                </c:pt>
                <c:pt idx="183">
                  <c:v>0.20949999999999999</c:v>
                </c:pt>
                <c:pt idx="184">
                  <c:v>0.2044</c:v>
                </c:pt>
                <c:pt idx="185">
                  <c:v>0.19939999999999999</c:v>
                </c:pt>
                <c:pt idx="186">
                  <c:v>0.1946</c:v>
                </c:pt>
                <c:pt idx="187">
                  <c:v>0.19</c:v>
                </c:pt>
                <c:pt idx="188">
                  <c:v>0.1855</c:v>
                </c:pt>
                <c:pt idx="189">
                  <c:v>0.18110000000000001</c:v>
                </c:pt>
                <c:pt idx="190">
                  <c:v>0.1769</c:v>
                </c:pt>
                <c:pt idx="191">
                  <c:v>0.17280000000000001</c:v>
                </c:pt>
                <c:pt idx="192">
                  <c:v>0.16880000000000001</c:v>
                </c:pt>
                <c:pt idx="193">
                  <c:v>0.16500000000000001</c:v>
                </c:pt>
                <c:pt idx="194">
                  <c:v>0.16120000000000001</c:v>
                </c:pt>
                <c:pt idx="195">
                  <c:v>0.15759999999999999</c:v>
                </c:pt>
                <c:pt idx="196">
                  <c:v>0.15409999999999999</c:v>
                </c:pt>
                <c:pt idx="197">
                  <c:v>0.1507</c:v>
                </c:pt>
                <c:pt idx="198">
                  <c:v>0.1474</c:v>
                </c:pt>
                <c:pt idx="199">
                  <c:v>0.14410000000000001</c:v>
                </c:pt>
                <c:pt idx="200">
                  <c:v>0.14099999999999999</c:v>
                </c:pt>
                <c:pt idx="201">
                  <c:v>0.13789999999999999</c:v>
                </c:pt>
                <c:pt idx="202">
                  <c:v>0.13500000000000001</c:v>
                </c:pt>
                <c:pt idx="203">
                  <c:v>0.1321</c:v>
                </c:pt>
                <c:pt idx="204">
                  <c:v>0.1293</c:v>
                </c:pt>
                <c:pt idx="205">
                  <c:v>0.1265</c:v>
                </c:pt>
                <c:pt idx="206">
                  <c:v>0.1239</c:v>
                </c:pt>
                <c:pt idx="207">
                  <c:v>0.12130000000000001</c:v>
                </c:pt>
                <c:pt idx="208">
                  <c:v>0.1187</c:v>
                </c:pt>
                <c:pt idx="209">
                  <c:v>0.1163</c:v>
                </c:pt>
                <c:pt idx="210">
                  <c:v>0.1139</c:v>
                </c:pt>
                <c:pt idx="211">
                  <c:v>0.1115</c:v>
                </c:pt>
                <c:pt idx="212">
                  <c:v>0.10920000000000001</c:v>
                </c:pt>
                <c:pt idx="213">
                  <c:v>0.107</c:v>
                </c:pt>
                <c:pt idx="214">
                  <c:v>0.1048</c:v>
                </c:pt>
                <c:pt idx="215">
                  <c:v>0.1027</c:v>
                </c:pt>
                <c:pt idx="216">
                  <c:v>0.10059999999999999</c:v>
                </c:pt>
                <c:pt idx="217">
                  <c:v>9.8599999999999993E-2</c:v>
                </c:pt>
                <c:pt idx="218">
                  <c:v>9.6600000000000005E-2</c:v>
                </c:pt>
                <c:pt idx="219">
                  <c:v>9.4700000000000006E-2</c:v>
                </c:pt>
                <c:pt idx="220">
                  <c:v>9.2799999999999994E-2</c:v>
                </c:pt>
                <c:pt idx="221">
                  <c:v>9.0899999999999995E-2</c:v>
                </c:pt>
                <c:pt idx="222">
                  <c:v>8.9099999999999999E-2</c:v>
                </c:pt>
                <c:pt idx="223">
                  <c:v>8.7300000000000003E-2</c:v>
                </c:pt>
                <c:pt idx="224">
                  <c:v>8.5599999999999996E-2</c:v>
                </c:pt>
                <c:pt idx="225">
                  <c:v>8.3900000000000002E-2</c:v>
                </c:pt>
                <c:pt idx="226">
                  <c:v>8.2199999999999995E-2</c:v>
                </c:pt>
                <c:pt idx="227">
                  <c:v>8.0600000000000005E-2</c:v>
                </c:pt>
                <c:pt idx="228">
                  <c:v>7.9000000000000001E-2</c:v>
                </c:pt>
                <c:pt idx="229">
                  <c:v>7.7399999999999997E-2</c:v>
                </c:pt>
                <c:pt idx="230">
                  <c:v>7.5899999999999995E-2</c:v>
                </c:pt>
                <c:pt idx="231">
                  <c:v>7.4300000000000005E-2</c:v>
                </c:pt>
                <c:pt idx="232">
                  <c:v>7.2900000000000006E-2</c:v>
                </c:pt>
                <c:pt idx="233">
                  <c:v>7.1400000000000005E-2</c:v>
                </c:pt>
                <c:pt idx="234">
                  <c:v>7.0000000000000007E-2</c:v>
                </c:pt>
                <c:pt idx="235">
                  <c:v>6.8599999999999994E-2</c:v>
                </c:pt>
                <c:pt idx="236">
                  <c:v>6.7199999999999996E-2</c:v>
                </c:pt>
                <c:pt idx="237">
                  <c:v>6.5799999999999997E-2</c:v>
                </c:pt>
                <c:pt idx="238">
                  <c:v>6.4500000000000002E-2</c:v>
                </c:pt>
                <c:pt idx="239">
                  <c:v>6.3100000000000003E-2</c:v>
                </c:pt>
                <c:pt idx="240">
                  <c:v>6.1899999999999997E-2</c:v>
                </c:pt>
              </c:numCache>
            </c:numRef>
          </c:xVal>
          <c:yVal>
            <c:numRef>
              <c:f>'thermistance etalonnage'!$D$2:$D$242</c:f>
              <c:numCache>
                <c:formatCode>General</c:formatCode>
                <c:ptCount val="2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7-4453-8F45-ED3E96C9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2814807524059494"/>
                  <c:y val="-5.04385389326334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etalonnage'!$F$2:$F$242</c:f>
              <c:numCache>
                <c:formatCode>General</c:formatCode>
                <c:ptCount val="241"/>
                <c:pt idx="0">
                  <c:v>5.6247392673157481</c:v>
                </c:pt>
                <c:pt idx="1">
                  <c:v>5.5744328026283521</c:v>
                </c:pt>
                <c:pt idx="2">
                  <c:v>5.5218608378835734</c:v>
                </c:pt>
                <c:pt idx="3">
                  <c:v>5.4672159030098504</c:v>
                </c:pt>
                <c:pt idx="4">
                  <c:v>5.4116460518550396</c:v>
                </c:pt>
                <c:pt idx="5">
                  <c:v>5.354224998486333</c:v>
                </c:pt>
                <c:pt idx="6">
                  <c:v>5.2963153638773637</c:v>
                </c:pt>
                <c:pt idx="7">
                  <c:v>5.236973736306985</c:v>
                </c:pt>
                <c:pt idx="8">
                  <c:v>5.1778432130801626</c:v>
                </c:pt>
                <c:pt idx="9">
                  <c:v>5.1179938124167554</c:v>
                </c:pt>
                <c:pt idx="10">
                  <c:v>5.0575188799951061</c:v>
                </c:pt>
                <c:pt idx="11">
                  <c:v>4.9978877212737531</c:v>
                </c:pt>
                <c:pt idx="12">
                  <c:v>4.9373474983264236</c:v>
                </c:pt>
                <c:pt idx="13">
                  <c:v>4.877484781308751</c:v>
                </c:pt>
                <c:pt idx="14">
                  <c:v>4.8178592793984425</c:v>
                </c:pt>
                <c:pt idx="15">
                  <c:v>4.7587492739163917</c:v>
                </c:pt>
                <c:pt idx="16">
                  <c:v>4.7004803657924166</c:v>
                </c:pt>
                <c:pt idx="17">
                  <c:v>4.6415021152354816</c:v>
                </c:pt>
                <c:pt idx="18">
                  <c:v>4.5839465495364644</c:v>
                </c:pt>
                <c:pt idx="19">
                  <c:v>4.5272086445183799</c:v>
                </c:pt>
                <c:pt idx="20">
                  <c:v>4.4708384731927993</c:v>
                </c:pt>
                <c:pt idx="21">
                  <c:v>4.4163072811507149</c:v>
                </c:pt>
                <c:pt idx="22">
                  <c:v>4.3623340013281453</c:v>
                </c:pt>
                <c:pt idx="23">
                  <c:v>4.3089181628532431</c:v>
                </c:pt>
                <c:pt idx="24">
                  <c:v>4.2560381512200882</c:v>
                </c:pt>
                <c:pt idx="25">
                  <c:v>4.2034978761186235</c:v>
                </c:pt>
                <c:pt idx="26">
                  <c:v>4.1516696288413701</c:v>
                </c:pt>
                <c:pt idx="27">
                  <c:v>4.0999952337309153</c:v>
                </c:pt>
                <c:pt idx="28">
                  <c:v>4.0488240469202914</c:v>
                </c:pt>
                <c:pt idx="29">
                  <c:v>3.9982007016691985</c:v>
                </c:pt>
                <c:pt idx="30">
                  <c:v>3.9477761751339639</c:v>
                </c:pt>
                <c:pt idx="31">
                  <c:v>3.8975183192252643</c:v>
                </c:pt>
                <c:pt idx="32">
                  <c:v>3.8478044331014951</c:v>
                </c:pt>
                <c:pt idx="33">
                  <c:v>3.7981821890043865</c:v>
                </c:pt>
                <c:pt idx="34">
                  <c:v>3.7490333769336832</c:v>
                </c:pt>
                <c:pt idx="35">
                  <c:v>3.7000666435045009</c:v>
                </c:pt>
                <c:pt idx="36">
                  <c:v>3.6514371586380663</c:v>
                </c:pt>
                <c:pt idx="37">
                  <c:v>3.6027767550605247</c:v>
                </c:pt>
                <c:pt idx="38">
                  <c:v>3.5544905510752844</c:v>
                </c:pt>
                <c:pt idx="39">
                  <c:v>3.5064578923196481</c:v>
                </c:pt>
                <c:pt idx="40">
                  <c:v>3.4585224482814247</c:v>
                </c:pt>
                <c:pt idx="41">
                  <c:v>3.4094961844768505</c:v>
                </c:pt>
                <c:pt idx="42">
                  <c:v>3.3610695905713759</c:v>
                </c:pt>
                <c:pt idx="43">
                  <c:v>3.3123661679555396</c:v>
                </c:pt>
                <c:pt idx="44">
                  <c:v>3.2642315265889978</c:v>
                </c:pt>
                <c:pt idx="45">
                  <c:v>3.2164729402518906</c:v>
                </c:pt>
                <c:pt idx="46">
                  <c:v>3.1684242813721024</c:v>
                </c:pt>
                <c:pt idx="47">
                  <c:v>3.1210424645194377</c:v>
                </c:pt>
                <c:pt idx="48">
                  <c:v>3.0736188122110621</c:v>
                </c:pt>
                <c:pt idx="49">
                  <c:v>3.0267463270831603</c:v>
                </c:pt>
                <c:pt idx="50">
                  <c:v>2.9796028916241073</c:v>
                </c:pt>
                <c:pt idx="51">
                  <c:v>2.932792473780117</c:v>
                </c:pt>
                <c:pt idx="52">
                  <c:v>2.8864752876170416</c:v>
                </c:pt>
                <c:pt idx="53">
                  <c:v>2.840247370713596</c:v>
                </c:pt>
                <c:pt idx="54">
                  <c:v>2.7942278973432626</c:v>
                </c:pt>
                <c:pt idx="55">
                  <c:v>2.7485521444115397</c:v>
                </c:pt>
                <c:pt idx="56">
                  <c:v>2.703372611551099</c:v>
                </c:pt>
                <c:pt idx="57">
                  <c:v>2.65745841498615</c:v>
                </c:pt>
                <c:pt idx="58">
                  <c:v>2.6122732457084412</c:v>
                </c:pt>
                <c:pt idx="59">
                  <c:v>2.5680215564985067</c:v>
                </c:pt>
                <c:pt idx="60">
                  <c:v>2.5233257596919452</c:v>
                </c:pt>
                <c:pt idx="61">
                  <c:v>2.4782176616372036</c:v>
                </c:pt>
                <c:pt idx="62">
                  <c:v>2.4344901638739844</c:v>
                </c:pt>
                <c:pt idx="63">
                  <c:v>2.3896797998449792</c:v>
                </c:pt>
                <c:pt idx="64">
                  <c:v>2.3466019784108201</c:v>
                </c:pt>
                <c:pt idx="65">
                  <c:v>2.3025850929940459</c:v>
                </c:pt>
                <c:pt idx="66">
                  <c:v>2.2591555350667094</c:v>
                </c:pt>
                <c:pt idx="67">
                  <c:v>2.2159372862683733</c:v>
                </c:pt>
                <c:pt idx="68">
                  <c:v>2.1729318847671748</c:v>
                </c:pt>
                <c:pt idx="69">
                  <c:v>2.130134655995354</c:v>
                </c:pt>
                <c:pt idx="70">
                  <c:v>2.0874097113290127</c:v>
                </c:pt>
                <c:pt idx="71">
                  <c:v>2.0451088625993306</c:v>
                </c:pt>
                <c:pt idx="72">
                  <c:v>2.0028304393079956</c:v>
                </c:pt>
                <c:pt idx="73">
                  <c:v>1.9609394975988352</c:v>
                </c:pt>
                <c:pt idx="74">
                  <c:v>1.919126065148496</c:v>
                </c:pt>
                <c:pt idx="75">
                  <c:v>1.8776313083020189</c:v>
                </c:pt>
                <c:pt idx="76">
                  <c:v>1.8362547091146062</c:v>
                </c:pt>
                <c:pt idx="77">
                  <c:v>1.7950872593207297</c:v>
                </c:pt>
                <c:pt idx="78">
                  <c:v>1.7540576020440435</c:v>
                </c:pt>
                <c:pt idx="79">
                  <c:v>1.7134375024525852</c:v>
                </c:pt>
                <c:pt idx="80">
                  <c:v>1.672788227934862</c:v>
                </c:pt>
                <c:pt idx="81">
                  <c:v>1.6325683298229547</c:v>
                </c:pt>
                <c:pt idx="82">
                  <c:v>1.5922917535991299</c:v>
                </c:pt>
                <c:pt idx="83">
                  <c:v>1.5524441909139801</c:v>
                </c:pt>
                <c:pt idx="84">
                  <c:v>1.5127067234743286</c:v>
                </c:pt>
                <c:pt idx="85">
                  <c:v>1.4731598941414727</c:v>
                </c:pt>
                <c:pt idx="86">
                  <c:v>1.4338933399191696</c:v>
                </c:pt>
                <c:pt idx="87">
                  <c:v>1.3947584395320201</c:v>
                </c:pt>
                <c:pt idx="88">
                  <c:v>1.355835153635182</c:v>
                </c:pt>
                <c:pt idx="89">
                  <c:v>1.3172121999324469</c:v>
                </c:pt>
                <c:pt idx="90">
                  <c:v>1.2787091504399533</c:v>
                </c:pt>
                <c:pt idx="91">
                  <c:v>1.2404011609394874</c:v>
                </c:pt>
                <c:pt idx="92">
                  <c:v>1.2023715229589622</c:v>
                </c:pt>
                <c:pt idx="93">
                  <c:v>1.1644000292061127</c:v>
                </c:pt>
                <c:pt idx="94">
                  <c:v>1.1268757539409691</c:v>
                </c:pt>
                <c:pt idx="95">
                  <c:v>1.0892351268555127</c:v>
                </c:pt>
                <c:pt idx="96">
                  <c:v>1.0518700261159779</c:v>
                </c:pt>
                <c:pt idx="97">
                  <c:v>1.0148682952351491</c:v>
                </c:pt>
                <c:pt idx="98">
                  <c:v>0.97795011226088269</c:v>
                </c:pt>
                <c:pt idx="99">
                  <c:v>0.94156853905842364</c:v>
                </c:pt>
                <c:pt idx="100">
                  <c:v>0.90502753959544435</c:v>
                </c:pt>
                <c:pt idx="101">
                  <c:v>0.8687797492031033</c:v>
                </c:pt>
                <c:pt idx="102">
                  <c:v>0.83247424578104445</c:v>
                </c:pt>
                <c:pt idx="103">
                  <c:v>0.7966058889281753</c:v>
                </c:pt>
                <c:pt idx="104">
                  <c:v>0.76127300960754574</c:v>
                </c:pt>
                <c:pt idx="105">
                  <c:v>0.72561437069744672</c:v>
                </c:pt>
                <c:pt idx="106">
                  <c:v>0.69014267153964659</c:v>
                </c:pt>
                <c:pt idx="107">
                  <c:v>0.65544531337593381</c:v>
                </c:pt>
                <c:pt idx="108">
                  <c:v>0.62057648772510998</c:v>
                </c:pt>
                <c:pt idx="109">
                  <c:v>0.58556196988000786</c:v>
                </c:pt>
                <c:pt idx="110">
                  <c:v>0.55100741339882253</c:v>
                </c:pt>
                <c:pt idx="111">
                  <c:v>0.51700648284107187</c:v>
                </c:pt>
                <c:pt idx="112">
                  <c:v>0.48304324275353905</c:v>
                </c:pt>
                <c:pt idx="113">
                  <c:v>0.44916296337388373</c:v>
                </c:pt>
                <c:pt idx="114">
                  <c:v>0.41541543896133237</c:v>
                </c:pt>
                <c:pt idx="115">
                  <c:v>0.38185524246903069</c:v>
                </c:pt>
                <c:pt idx="116">
                  <c:v>0.34854196070854343</c:v>
                </c:pt>
                <c:pt idx="117">
                  <c:v>0.31554040058017735</c:v>
                </c:pt>
                <c:pt idx="118">
                  <c:v>0.28216689176367082</c:v>
                </c:pt>
                <c:pt idx="119">
                  <c:v>0.24998020526776946</c:v>
                </c:pt>
                <c:pt idx="120">
                  <c:v>0.21752781252857414</c:v>
                </c:pt>
                <c:pt idx="121">
                  <c:v>0.18481843699254188</c:v>
                </c:pt>
                <c:pt idx="122">
                  <c:v>0.15272108701766393</c:v>
                </c:pt>
                <c:pt idx="123">
                  <c:v>0.12044615307586706</c:v>
                </c:pt>
                <c:pt idx="124">
                  <c:v>8.8926209194401487E-2</c:v>
                </c:pt>
                <c:pt idx="125">
                  <c:v>5.7325066619269352E-2</c:v>
                </c:pt>
                <c:pt idx="126">
                  <c:v>2.6641930946421092E-2</c:v>
                </c:pt>
                <c:pt idx="127">
                  <c:v>-4.510155477886019E-3</c:v>
                </c:pt>
                <c:pt idx="128">
                  <c:v>-3.5212755755744486E-2</c:v>
                </c:pt>
                <c:pt idx="129">
                  <c:v>-6.5819341037293588E-2</c:v>
                </c:pt>
                <c:pt idx="130">
                  <c:v>-9.6180558473969183E-2</c:v>
                </c:pt>
                <c:pt idx="131">
                  <c:v>-0.12647066405394902</c:v>
                </c:pt>
                <c:pt idx="132">
                  <c:v>-0.15665381004537685</c:v>
                </c:pt>
                <c:pt idx="133">
                  <c:v>-0.18669108931189746</c:v>
                </c:pt>
                <c:pt idx="134">
                  <c:v>-0.21666458521650059</c:v>
                </c:pt>
                <c:pt idx="135">
                  <c:v>-0.24641217825356412</c:v>
                </c:pt>
                <c:pt idx="136">
                  <c:v>-0.27614883663810785</c:v>
                </c:pt>
                <c:pt idx="137">
                  <c:v>-0.30571027497117209</c:v>
                </c:pt>
                <c:pt idx="138">
                  <c:v>-0.33519305512283276</c:v>
                </c:pt>
                <c:pt idx="139">
                  <c:v>-0.36456311678773856</c:v>
                </c:pt>
                <c:pt idx="140">
                  <c:v>-0.39393187229449134</c:v>
                </c:pt>
                <c:pt idx="141">
                  <c:v>-0.42189941457158908</c:v>
                </c:pt>
                <c:pt idx="142">
                  <c:v>-0.45004415150613186</c:v>
                </c:pt>
                <c:pt idx="143">
                  <c:v>-0.47819710427426332</c:v>
                </c:pt>
                <c:pt idx="144">
                  <c:v>-0.50650165228593613</c:v>
                </c:pt>
                <c:pt idx="145">
                  <c:v>-0.53477684458850394</c:v>
                </c:pt>
                <c:pt idx="146">
                  <c:v>-0.56317210413819985</c:v>
                </c:pt>
                <c:pt idx="147">
                  <c:v>-0.59149352683344547</c:v>
                </c:pt>
                <c:pt idx="148">
                  <c:v>-0.61989671882035258</c:v>
                </c:pt>
                <c:pt idx="149">
                  <c:v>-0.6483650377880521</c:v>
                </c:pt>
                <c:pt idx="150">
                  <c:v>-0.67668345452928025</c:v>
                </c:pt>
                <c:pt idx="151">
                  <c:v>-0.70501735313043279</c:v>
                </c:pt>
                <c:pt idx="152">
                  <c:v>-0.73334437031135835</c:v>
                </c:pt>
                <c:pt idx="153">
                  <c:v>-0.76164017700524578</c:v>
                </c:pt>
                <c:pt idx="154">
                  <c:v>-0.78987836951971702</c:v>
                </c:pt>
                <c:pt idx="155">
                  <c:v>-0.81825699160278964</c:v>
                </c:pt>
                <c:pt idx="156">
                  <c:v>-0.84629836005412007</c:v>
                </c:pt>
                <c:pt idx="157">
                  <c:v>-0.8744292777792374</c:v>
                </c:pt>
                <c:pt idx="158">
                  <c:v>-0.9026344054266694</c:v>
                </c:pt>
                <c:pt idx="159">
                  <c:v>-0.93038965625365677</c:v>
                </c:pt>
                <c:pt idx="160">
                  <c:v>-0.9584156581748261</c:v>
                </c:pt>
                <c:pt idx="161">
                  <c:v>-0.98617685933832155</c:v>
                </c:pt>
                <c:pt idx="162">
                  <c:v>-1.0139035607411555</c:v>
                </c:pt>
                <c:pt idx="163">
                  <c:v>-1.0412872220488403</c:v>
                </c:pt>
                <c:pt idx="164">
                  <c:v>-1.0688593305187619</c:v>
                </c:pt>
                <c:pt idx="165">
                  <c:v>-1.0963149296194261</c:v>
                </c:pt>
                <c:pt idx="166">
                  <c:v>-1.1230074455028314</c:v>
                </c:pt>
                <c:pt idx="167">
                  <c:v>-1.1498003254375431</c:v>
                </c:pt>
                <c:pt idx="168">
                  <c:v>-1.1766819440900322</c:v>
                </c:pt>
                <c:pt idx="169">
                  <c:v>-1.2033063597827753</c:v>
                </c:pt>
                <c:pt idx="170">
                  <c:v>-1.2296325511065136</c:v>
                </c:pt>
                <c:pt idx="171">
                  <c:v>-1.2559680994443163</c:v>
                </c:pt>
                <c:pt idx="172">
                  <c:v>-1.2822947711014059</c:v>
                </c:pt>
                <c:pt idx="173">
                  <c:v>-1.3085928534560385</c:v>
                </c:pt>
                <c:pt idx="174">
                  <c:v>-1.3344612124798734</c:v>
                </c:pt>
                <c:pt idx="175">
                  <c:v>-1.3606266143713128</c:v>
                </c:pt>
                <c:pt idx="176">
                  <c:v>-1.3862943611198906</c:v>
                </c:pt>
                <c:pt idx="177">
                  <c:v>-1.4118173183509766</c:v>
                </c:pt>
                <c:pt idx="178">
                  <c:v>-1.4375876555074412</c:v>
                </c:pt>
                <c:pt idx="179">
                  <c:v>-1.462743533283297</c:v>
                </c:pt>
                <c:pt idx="180">
                  <c:v>-1.4881056272665754</c:v>
                </c:pt>
                <c:pt idx="181">
                  <c:v>-1.5132190546935573</c:v>
                </c:pt>
                <c:pt idx="182">
                  <c:v>-1.5380479163474274</c:v>
                </c:pt>
                <c:pt idx="183">
                  <c:v>-1.5630315396199446</c:v>
                </c:pt>
                <c:pt idx="184">
                  <c:v>-1.5876764206525877</c:v>
                </c:pt>
                <c:pt idx="185">
                  <c:v>-1.6124424214543991</c:v>
                </c:pt>
                <c:pt idx="186">
                  <c:v>-1.6368091092302324</c:v>
                </c:pt>
                <c:pt idx="187">
                  <c:v>-1.6607312068216509</c:v>
                </c:pt>
                <c:pt idx="188">
                  <c:v>-1.6847003969346472</c:v>
                </c:pt>
                <c:pt idx="189">
                  <c:v>-1.7087059140927694</c:v>
                </c:pt>
                <c:pt idx="190">
                  <c:v>-1.7321706778163974</c:v>
                </c:pt>
                <c:pt idx="191">
                  <c:v>-1.7556204226121817</c:v>
                </c:pt>
                <c:pt idx="192">
                  <c:v>-1.7790406968202803</c:v>
                </c:pt>
                <c:pt idx="193">
                  <c:v>-1.8018098050815563</c:v>
                </c:pt>
                <c:pt idx="194">
                  <c:v>-1.8251094489096091</c:v>
                </c:pt>
                <c:pt idx="195">
                  <c:v>-1.8476951015583583</c:v>
                </c:pt>
                <c:pt idx="196">
                  <c:v>-1.8701535366560671</c:v>
                </c:pt>
                <c:pt idx="197">
                  <c:v>-1.8924641733496872</c:v>
                </c:pt>
                <c:pt idx="198">
                  <c:v>-1.9146052992269007</c:v>
                </c:pt>
                <c:pt idx="199">
                  <c:v>-1.9372477759766606</c:v>
                </c:pt>
                <c:pt idx="200">
                  <c:v>-1.9589953886039688</c:v>
                </c:pt>
                <c:pt idx="201">
                  <c:v>-1.981226494182881</c:v>
                </c:pt>
                <c:pt idx="202">
                  <c:v>-2.0024805005437076</c:v>
                </c:pt>
                <c:pt idx="203">
                  <c:v>-2.0241960674538575</c:v>
                </c:pt>
                <c:pt idx="204">
                  <c:v>-2.0456199932043253</c:v>
                </c:pt>
                <c:pt idx="205">
                  <c:v>-2.0675129708145623</c:v>
                </c:pt>
                <c:pt idx="206">
                  <c:v>-2.0882804903470404</c:v>
                </c:pt>
                <c:pt idx="207">
                  <c:v>-2.1094884630321324</c:v>
                </c:pt>
                <c:pt idx="208">
                  <c:v>-2.1311559773665145</c:v>
                </c:pt>
                <c:pt idx="209">
                  <c:v>-2.1515822194575183</c:v>
                </c:pt>
                <c:pt idx="210">
                  <c:v>-2.1724344085290004</c:v>
                </c:pt>
                <c:pt idx="211">
                  <c:v>-2.1937306880819634</c:v>
                </c:pt>
                <c:pt idx="212">
                  <c:v>-2.2145742156713322</c:v>
                </c:pt>
                <c:pt idx="213">
                  <c:v>-2.234926444520231</c:v>
                </c:pt>
                <c:pt idx="214">
                  <c:v>-2.2557015070951953</c:v>
                </c:pt>
                <c:pt idx="215">
                  <c:v>-2.2759431620476245</c:v>
                </c:pt>
                <c:pt idx="216">
                  <c:v>-2.2966030213164981</c:v>
                </c:pt>
                <c:pt idx="217">
                  <c:v>-2.3166840173735475</c:v>
                </c:pt>
                <c:pt idx="218">
                  <c:v>-2.3371765377636646</c:v>
                </c:pt>
                <c:pt idx="219">
                  <c:v>-2.3570412787901045</c:v>
                </c:pt>
                <c:pt idx="220">
                  <c:v>-2.377308639189982</c:v>
                </c:pt>
                <c:pt idx="221">
                  <c:v>-2.3979952777987039</c:v>
                </c:pt>
                <c:pt idx="222">
                  <c:v>-2.4179959445053734</c:v>
                </c:pt>
                <c:pt idx="223">
                  <c:v>-2.4384048161365803</c:v>
                </c:pt>
                <c:pt idx="224">
                  <c:v>-2.4580699958344407</c:v>
                </c:pt>
                <c:pt idx="225">
                  <c:v>-2.4781296655089764</c:v>
                </c:pt>
                <c:pt idx="226">
                  <c:v>-2.4985999769200027</c:v>
                </c:pt>
                <c:pt idx="227">
                  <c:v>-2.5182566294695543</c:v>
                </c:pt>
                <c:pt idx="228">
                  <c:v>-2.5383074265151158</c:v>
                </c:pt>
                <c:pt idx="229">
                  <c:v>-2.5587684983864558</c:v>
                </c:pt>
                <c:pt idx="230">
                  <c:v>-2.5783385945805528</c:v>
                </c:pt>
                <c:pt idx="231">
                  <c:v>-2.5996443272584235</c:v>
                </c:pt>
                <c:pt idx="232">
                  <c:v>-2.6186666399675245</c:v>
                </c:pt>
                <c:pt idx="233">
                  <c:v>-2.6394574096365981</c:v>
                </c:pt>
                <c:pt idx="234">
                  <c:v>-2.6592600369327779</c:v>
                </c:pt>
                <c:pt idx="235">
                  <c:v>-2.6794627442502974</c:v>
                </c:pt>
                <c:pt idx="236">
                  <c:v>-2.7000820314530332</c:v>
                </c:pt>
                <c:pt idx="237">
                  <c:v>-2.7211354406508654</c:v>
                </c:pt>
                <c:pt idx="238">
                  <c:v>-2.7410900551804103</c:v>
                </c:pt>
                <c:pt idx="239">
                  <c:v>-2.7630345094349695</c:v>
                </c:pt>
                <c:pt idx="240">
                  <c:v>-2.7822350992915865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3-40B4-BA44-62690AA6B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4543"/>
        <c:axId val="1330292479"/>
      </c:scatterChart>
      <c:valAx>
        <c:axId val="147281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292479"/>
        <c:crosses val="autoZero"/>
        <c:crossBetween val="midCat"/>
      </c:valAx>
      <c:valAx>
        <c:axId val="13302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81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etalonnage'!$G$2:$G$242</c:f>
              <c:numCache>
                <c:formatCode>General</c:formatCode>
                <c:ptCount val="241"/>
                <c:pt idx="0">
                  <c:v>12.532494546297885</c:v>
                </c:pt>
                <c:pt idx="1">
                  <c:v>12.48218808161049</c:v>
                </c:pt>
                <c:pt idx="2">
                  <c:v>12.429616116865711</c:v>
                </c:pt>
                <c:pt idx="3">
                  <c:v>12.374971181991988</c:v>
                </c:pt>
                <c:pt idx="4">
                  <c:v>12.319401330837177</c:v>
                </c:pt>
                <c:pt idx="5">
                  <c:v>12.261980277468469</c:v>
                </c:pt>
                <c:pt idx="6">
                  <c:v>12.2040706428595</c:v>
                </c:pt>
                <c:pt idx="7">
                  <c:v>12.144729015289121</c:v>
                </c:pt>
                <c:pt idx="8">
                  <c:v>12.085598492062299</c:v>
                </c:pt>
                <c:pt idx="9">
                  <c:v>12.025749091398891</c:v>
                </c:pt>
                <c:pt idx="10">
                  <c:v>11.965274158977243</c:v>
                </c:pt>
                <c:pt idx="11">
                  <c:v>11.905643000255891</c:v>
                </c:pt>
                <c:pt idx="12">
                  <c:v>11.845102777308561</c:v>
                </c:pt>
                <c:pt idx="13">
                  <c:v>11.785240060290887</c:v>
                </c:pt>
                <c:pt idx="14">
                  <c:v>11.725614558380579</c:v>
                </c:pt>
                <c:pt idx="15">
                  <c:v>11.666504552898529</c:v>
                </c:pt>
                <c:pt idx="16">
                  <c:v>11.608235644774552</c:v>
                </c:pt>
                <c:pt idx="17">
                  <c:v>11.549257394217619</c:v>
                </c:pt>
                <c:pt idx="18">
                  <c:v>11.491701828518602</c:v>
                </c:pt>
                <c:pt idx="19">
                  <c:v>11.434963923500517</c:v>
                </c:pt>
                <c:pt idx="20">
                  <c:v>11.378593752174936</c:v>
                </c:pt>
                <c:pt idx="21">
                  <c:v>11.324062560132852</c:v>
                </c:pt>
                <c:pt idx="22">
                  <c:v>11.270089280310282</c:v>
                </c:pt>
                <c:pt idx="23">
                  <c:v>11.216673441835381</c:v>
                </c:pt>
                <c:pt idx="24">
                  <c:v>11.163793430202224</c:v>
                </c:pt>
                <c:pt idx="25">
                  <c:v>11.11125315510076</c:v>
                </c:pt>
                <c:pt idx="26">
                  <c:v>11.059424907823507</c:v>
                </c:pt>
                <c:pt idx="27">
                  <c:v>11.007750512713052</c:v>
                </c:pt>
                <c:pt idx="28">
                  <c:v>10.956579325902428</c:v>
                </c:pt>
                <c:pt idx="29">
                  <c:v>10.905955980651335</c:v>
                </c:pt>
                <c:pt idx="30">
                  <c:v>10.8555314541161</c:v>
                </c:pt>
                <c:pt idx="31">
                  <c:v>10.805273598207402</c:v>
                </c:pt>
                <c:pt idx="32">
                  <c:v>10.755559712083633</c:v>
                </c:pt>
                <c:pt idx="33">
                  <c:v>10.705937467986523</c:v>
                </c:pt>
                <c:pt idx="34">
                  <c:v>10.65678865591582</c:v>
                </c:pt>
                <c:pt idx="35">
                  <c:v>10.607821922486638</c:v>
                </c:pt>
                <c:pt idx="36">
                  <c:v>10.559192437620203</c:v>
                </c:pt>
                <c:pt idx="37">
                  <c:v>10.510532034042662</c:v>
                </c:pt>
                <c:pt idx="38">
                  <c:v>10.462245830057421</c:v>
                </c:pt>
                <c:pt idx="39">
                  <c:v>10.414213171301785</c:v>
                </c:pt>
                <c:pt idx="40">
                  <c:v>10.366277727263562</c:v>
                </c:pt>
                <c:pt idx="41">
                  <c:v>10.317251463458987</c:v>
                </c:pt>
                <c:pt idx="42">
                  <c:v>10.268824869553512</c:v>
                </c:pt>
                <c:pt idx="43">
                  <c:v>10.220121446937677</c:v>
                </c:pt>
                <c:pt idx="44">
                  <c:v>10.171986805571136</c:v>
                </c:pt>
                <c:pt idx="45">
                  <c:v>10.124228219234027</c:v>
                </c:pt>
                <c:pt idx="46">
                  <c:v>10.076179560354239</c:v>
                </c:pt>
                <c:pt idx="47">
                  <c:v>10.028797743501574</c:v>
                </c:pt>
                <c:pt idx="48">
                  <c:v>9.9813740911931994</c:v>
                </c:pt>
                <c:pt idx="49">
                  <c:v>9.9345016060652966</c:v>
                </c:pt>
                <c:pt idx="50">
                  <c:v>9.8873581706062446</c:v>
                </c:pt>
                <c:pt idx="51">
                  <c:v>9.8405477527622534</c:v>
                </c:pt>
                <c:pt idx="52">
                  <c:v>9.7942305665991789</c:v>
                </c:pt>
                <c:pt idx="53">
                  <c:v>9.7480026496957333</c:v>
                </c:pt>
                <c:pt idx="54">
                  <c:v>9.701983176325399</c:v>
                </c:pt>
                <c:pt idx="55">
                  <c:v>9.6563074233936774</c:v>
                </c:pt>
                <c:pt idx="56">
                  <c:v>9.6111278905332362</c:v>
                </c:pt>
                <c:pt idx="57">
                  <c:v>9.5652136939682872</c:v>
                </c:pt>
                <c:pt idx="58">
                  <c:v>9.5200285246905789</c:v>
                </c:pt>
                <c:pt idx="59">
                  <c:v>9.4757768354806444</c:v>
                </c:pt>
                <c:pt idx="60">
                  <c:v>9.4310810386740815</c:v>
                </c:pt>
                <c:pt idx="61">
                  <c:v>9.3859729406193413</c:v>
                </c:pt>
                <c:pt idx="62">
                  <c:v>9.3422454428561217</c:v>
                </c:pt>
                <c:pt idx="63">
                  <c:v>9.2974350788271156</c:v>
                </c:pt>
                <c:pt idx="64">
                  <c:v>9.2543572573929573</c:v>
                </c:pt>
                <c:pt idx="65">
                  <c:v>9.2103403719761836</c:v>
                </c:pt>
                <c:pt idx="66">
                  <c:v>9.1669108140488476</c:v>
                </c:pt>
                <c:pt idx="67">
                  <c:v>9.1236925652505114</c:v>
                </c:pt>
                <c:pt idx="68">
                  <c:v>9.0806871637493121</c:v>
                </c:pt>
                <c:pt idx="69">
                  <c:v>9.0378899349774908</c:v>
                </c:pt>
                <c:pt idx="70">
                  <c:v>8.9951649903111495</c:v>
                </c:pt>
                <c:pt idx="71">
                  <c:v>8.9528641415814683</c:v>
                </c:pt>
                <c:pt idx="72">
                  <c:v>8.9105857182901325</c:v>
                </c:pt>
                <c:pt idx="73">
                  <c:v>8.8686947765809716</c:v>
                </c:pt>
                <c:pt idx="74">
                  <c:v>8.8268813441306335</c:v>
                </c:pt>
                <c:pt idx="75">
                  <c:v>8.7853865872841563</c:v>
                </c:pt>
                <c:pt idx="76">
                  <c:v>8.7440099880967441</c:v>
                </c:pt>
                <c:pt idx="77">
                  <c:v>8.7028425383028676</c:v>
                </c:pt>
                <c:pt idx="78">
                  <c:v>8.6618128810261812</c:v>
                </c:pt>
                <c:pt idx="79">
                  <c:v>8.621192781434722</c:v>
                </c:pt>
                <c:pt idx="80">
                  <c:v>8.5805435069169995</c:v>
                </c:pt>
                <c:pt idx="81">
                  <c:v>8.5403236088050924</c:v>
                </c:pt>
                <c:pt idx="82">
                  <c:v>8.5000470325812678</c:v>
                </c:pt>
                <c:pt idx="83">
                  <c:v>8.4601994698961178</c:v>
                </c:pt>
                <c:pt idx="84">
                  <c:v>8.4204620024564658</c:v>
                </c:pt>
                <c:pt idx="85">
                  <c:v>8.3809151731236096</c:v>
                </c:pt>
                <c:pt idx="86">
                  <c:v>8.3416486189013064</c:v>
                </c:pt>
                <c:pt idx="87">
                  <c:v>8.3025137185141578</c:v>
                </c:pt>
                <c:pt idx="88">
                  <c:v>8.2635904326173186</c:v>
                </c:pt>
                <c:pt idx="89">
                  <c:v>8.2249674789145839</c:v>
                </c:pt>
                <c:pt idx="90">
                  <c:v>8.1864644294220899</c:v>
                </c:pt>
                <c:pt idx="91">
                  <c:v>8.1481564399216246</c:v>
                </c:pt>
                <c:pt idx="92">
                  <c:v>8.1101268019410995</c:v>
                </c:pt>
                <c:pt idx="93">
                  <c:v>8.0721553081882504</c:v>
                </c:pt>
                <c:pt idx="94">
                  <c:v>8.034631032923107</c:v>
                </c:pt>
                <c:pt idx="95">
                  <c:v>7.99699040583765</c:v>
                </c:pt>
                <c:pt idx="96">
                  <c:v>7.9596253050981147</c:v>
                </c:pt>
                <c:pt idx="97">
                  <c:v>7.9226235742172859</c:v>
                </c:pt>
                <c:pt idx="98">
                  <c:v>7.8857053912430199</c:v>
                </c:pt>
                <c:pt idx="99">
                  <c:v>7.8493238180405607</c:v>
                </c:pt>
                <c:pt idx="100">
                  <c:v>7.8127828185775812</c:v>
                </c:pt>
                <c:pt idx="101">
                  <c:v>7.7765350281852408</c:v>
                </c:pt>
                <c:pt idx="102">
                  <c:v>7.7402295247631816</c:v>
                </c:pt>
                <c:pt idx="103">
                  <c:v>7.7043611679103128</c:v>
                </c:pt>
                <c:pt idx="104">
                  <c:v>7.6690282885896828</c:v>
                </c:pt>
                <c:pt idx="105">
                  <c:v>7.633369649679584</c:v>
                </c:pt>
                <c:pt idx="106">
                  <c:v>7.5978979505217836</c:v>
                </c:pt>
                <c:pt idx="107">
                  <c:v>7.5632005923580712</c:v>
                </c:pt>
                <c:pt idx="108">
                  <c:v>7.5283317667072467</c:v>
                </c:pt>
                <c:pt idx="109">
                  <c:v>7.4933172488621453</c:v>
                </c:pt>
                <c:pt idx="110">
                  <c:v>7.4587626923809598</c:v>
                </c:pt>
                <c:pt idx="111">
                  <c:v>7.4247617618232091</c:v>
                </c:pt>
                <c:pt idx="112">
                  <c:v>7.3907985217356762</c:v>
                </c:pt>
                <c:pt idx="113">
                  <c:v>7.3569182423560209</c:v>
                </c:pt>
                <c:pt idx="114">
                  <c:v>7.3231707179434693</c:v>
                </c:pt>
                <c:pt idx="115">
                  <c:v>7.2896105214511673</c:v>
                </c:pt>
                <c:pt idx="116">
                  <c:v>7.2562972396906806</c:v>
                </c:pt>
                <c:pt idx="117">
                  <c:v>7.2232956795623142</c:v>
                </c:pt>
                <c:pt idx="118">
                  <c:v>7.1899221707458079</c:v>
                </c:pt>
                <c:pt idx="119">
                  <c:v>7.1577354842499066</c:v>
                </c:pt>
                <c:pt idx="120">
                  <c:v>7.1252830915107115</c:v>
                </c:pt>
                <c:pt idx="121">
                  <c:v>7.0925737159746784</c:v>
                </c:pt>
                <c:pt idx="122">
                  <c:v>7.0604763659998007</c:v>
                </c:pt>
                <c:pt idx="123">
                  <c:v>7.0282014320580046</c:v>
                </c:pt>
                <c:pt idx="124">
                  <c:v>6.9966814881765389</c:v>
                </c:pt>
                <c:pt idx="125">
                  <c:v>6.9650803456014065</c:v>
                </c:pt>
                <c:pt idx="126">
                  <c:v>6.9343972099285578</c:v>
                </c:pt>
                <c:pt idx="127">
                  <c:v>6.9032451235042513</c:v>
                </c:pt>
                <c:pt idx="128">
                  <c:v>6.872542523226393</c:v>
                </c:pt>
                <c:pt idx="129">
                  <c:v>6.8419359379448439</c:v>
                </c:pt>
                <c:pt idx="130">
                  <c:v>6.811574720508168</c:v>
                </c:pt>
                <c:pt idx="131">
                  <c:v>6.7812846149281878</c:v>
                </c:pt>
                <c:pt idx="132">
                  <c:v>6.7511014689367599</c:v>
                </c:pt>
                <c:pt idx="133">
                  <c:v>6.7210641896702397</c:v>
                </c:pt>
                <c:pt idx="134">
                  <c:v>6.691090693765636</c:v>
                </c:pt>
                <c:pt idx="135">
                  <c:v>6.6613431007285726</c:v>
                </c:pt>
                <c:pt idx="136">
                  <c:v>6.6316064423440295</c:v>
                </c:pt>
                <c:pt idx="137">
                  <c:v>6.6020450040109653</c:v>
                </c:pt>
                <c:pt idx="138">
                  <c:v>6.572562223859304</c:v>
                </c:pt>
                <c:pt idx="139">
                  <c:v>6.5431921621943987</c:v>
                </c:pt>
                <c:pt idx="140">
                  <c:v>6.5138234066876457</c:v>
                </c:pt>
                <c:pt idx="141">
                  <c:v>6.4858558644105484</c:v>
                </c:pt>
                <c:pt idx="142">
                  <c:v>6.4577111274760055</c:v>
                </c:pt>
                <c:pt idx="143">
                  <c:v>6.4295581747078741</c:v>
                </c:pt>
                <c:pt idx="144">
                  <c:v>6.4012536266962012</c:v>
                </c:pt>
                <c:pt idx="145">
                  <c:v>6.3729784343936329</c:v>
                </c:pt>
                <c:pt idx="146">
                  <c:v>6.3445831748439367</c:v>
                </c:pt>
                <c:pt idx="147">
                  <c:v>6.3162617521486917</c:v>
                </c:pt>
                <c:pt idx="148">
                  <c:v>6.2878585601617845</c:v>
                </c:pt>
                <c:pt idx="149">
                  <c:v>6.2593902411940849</c:v>
                </c:pt>
                <c:pt idx="150">
                  <c:v>6.2310718244528571</c:v>
                </c:pt>
                <c:pt idx="151">
                  <c:v>6.2027379258517046</c:v>
                </c:pt>
                <c:pt idx="152">
                  <c:v>6.1744109086707786</c:v>
                </c:pt>
                <c:pt idx="153">
                  <c:v>6.1461151019768909</c:v>
                </c:pt>
                <c:pt idx="154">
                  <c:v>6.1178769094624199</c:v>
                </c:pt>
                <c:pt idx="155">
                  <c:v>6.0894982873793477</c:v>
                </c:pt>
                <c:pt idx="156">
                  <c:v>6.061456918928017</c:v>
                </c:pt>
                <c:pt idx="157">
                  <c:v>6.0333260012028997</c:v>
                </c:pt>
                <c:pt idx="158">
                  <c:v>6.0051208735554678</c:v>
                </c:pt>
                <c:pt idx="159">
                  <c:v>5.9773656227284802</c:v>
                </c:pt>
                <c:pt idx="160">
                  <c:v>5.9493396208073106</c:v>
                </c:pt>
                <c:pt idx="161">
                  <c:v>5.9215784196438159</c:v>
                </c:pt>
                <c:pt idx="162">
                  <c:v>5.893851718240982</c:v>
                </c:pt>
                <c:pt idx="163">
                  <c:v>5.8664680569332965</c:v>
                </c:pt>
                <c:pt idx="164">
                  <c:v>5.8388959484633753</c:v>
                </c:pt>
                <c:pt idx="165">
                  <c:v>5.8114403493627105</c:v>
                </c:pt>
                <c:pt idx="166">
                  <c:v>5.7847478334793054</c:v>
                </c:pt>
                <c:pt idx="167">
                  <c:v>5.7579549535445942</c:v>
                </c:pt>
                <c:pt idx="168">
                  <c:v>5.7310733348921046</c:v>
                </c:pt>
                <c:pt idx="169">
                  <c:v>5.7044489191993621</c:v>
                </c:pt>
                <c:pt idx="170">
                  <c:v>5.678122727875623</c:v>
                </c:pt>
                <c:pt idx="171">
                  <c:v>5.6517871795378207</c:v>
                </c:pt>
                <c:pt idx="172">
                  <c:v>5.6254605078807307</c:v>
                </c:pt>
                <c:pt idx="173">
                  <c:v>5.5991624255260986</c:v>
                </c:pt>
                <c:pt idx="174">
                  <c:v>5.5732940665022639</c:v>
                </c:pt>
                <c:pt idx="175">
                  <c:v>5.547128664610824</c:v>
                </c:pt>
                <c:pt idx="176">
                  <c:v>5.521460917862246</c:v>
                </c:pt>
                <c:pt idx="177">
                  <c:v>5.4959379606311609</c:v>
                </c:pt>
                <c:pt idx="178">
                  <c:v>5.4701676234746959</c:v>
                </c:pt>
                <c:pt idx="179">
                  <c:v>5.4450117456988405</c:v>
                </c:pt>
                <c:pt idx="180">
                  <c:v>5.4196496517155621</c:v>
                </c:pt>
                <c:pt idx="181">
                  <c:v>5.3945362242885793</c:v>
                </c:pt>
                <c:pt idx="182">
                  <c:v>5.3697073626347098</c:v>
                </c:pt>
                <c:pt idx="183">
                  <c:v>5.344723739362192</c:v>
                </c:pt>
                <c:pt idx="184">
                  <c:v>5.3200788583295493</c:v>
                </c:pt>
                <c:pt idx="185">
                  <c:v>5.2953128575277377</c:v>
                </c:pt>
                <c:pt idx="186">
                  <c:v>5.2709461697519044</c:v>
                </c:pt>
                <c:pt idx="187">
                  <c:v>5.2470240721604862</c:v>
                </c:pt>
                <c:pt idx="188">
                  <c:v>5.2230548820474896</c:v>
                </c:pt>
                <c:pt idx="189">
                  <c:v>5.1990493648893681</c:v>
                </c:pt>
                <c:pt idx="190">
                  <c:v>5.17558460116574</c:v>
                </c:pt>
                <c:pt idx="191">
                  <c:v>5.1521348563699556</c:v>
                </c:pt>
                <c:pt idx="192">
                  <c:v>5.1287145821618569</c:v>
                </c:pt>
                <c:pt idx="193">
                  <c:v>5.1059454739005803</c:v>
                </c:pt>
                <c:pt idx="194">
                  <c:v>5.0826458300725283</c:v>
                </c:pt>
                <c:pt idx="195">
                  <c:v>5.0600601774237788</c:v>
                </c:pt>
                <c:pt idx="196">
                  <c:v>5.0376017423260704</c:v>
                </c:pt>
                <c:pt idx="197">
                  <c:v>5.0152911056324498</c:v>
                </c:pt>
                <c:pt idx="198">
                  <c:v>4.9931499797552359</c:v>
                </c:pt>
                <c:pt idx="199">
                  <c:v>4.9705075030054759</c:v>
                </c:pt>
                <c:pt idx="200">
                  <c:v>4.9487598903781684</c:v>
                </c:pt>
                <c:pt idx="201">
                  <c:v>4.926528784799256</c:v>
                </c:pt>
                <c:pt idx="202">
                  <c:v>4.9052747784384296</c:v>
                </c:pt>
                <c:pt idx="203">
                  <c:v>4.8835592115282793</c:v>
                </c:pt>
                <c:pt idx="204">
                  <c:v>4.8621352857778115</c:v>
                </c:pt>
                <c:pt idx="205">
                  <c:v>4.8402423081675749</c:v>
                </c:pt>
                <c:pt idx="206">
                  <c:v>4.8194747886350964</c:v>
                </c:pt>
                <c:pt idx="207">
                  <c:v>4.7982668159500044</c:v>
                </c:pt>
                <c:pt idx="208">
                  <c:v>4.7765993016156223</c:v>
                </c:pt>
                <c:pt idx="209">
                  <c:v>4.7561730595246186</c:v>
                </c:pt>
                <c:pt idx="210">
                  <c:v>4.7353208704531369</c:v>
                </c:pt>
                <c:pt idx="211">
                  <c:v>4.7140245909001735</c:v>
                </c:pt>
                <c:pt idx="212">
                  <c:v>4.6931810633108046</c:v>
                </c:pt>
                <c:pt idx="213">
                  <c:v>4.6728288344619058</c:v>
                </c:pt>
                <c:pt idx="214">
                  <c:v>4.6520537718869415</c:v>
                </c:pt>
                <c:pt idx="215">
                  <c:v>4.6318121169345128</c:v>
                </c:pt>
                <c:pt idx="216">
                  <c:v>4.6111522576656387</c:v>
                </c:pt>
                <c:pt idx="217">
                  <c:v>4.5910712616085894</c:v>
                </c:pt>
                <c:pt idx="218">
                  <c:v>4.5705787412184726</c:v>
                </c:pt>
                <c:pt idx="219">
                  <c:v>4.5507140001920323</c:v>
                </c:pt>
                <c:pt idx="220">
                  <c:v>4.5304466397921548</c:v>
                </c:pt>
                <c:pt idx="221">
                  <c:v>4.5097600011834329</c:v>
                </c:pt>
                <c:pt idx="222">
                  <c:v>4.4897593344767639</c:v>
                </c:pt>
                <c:pt idx="223">
                  <c:v>4.4693504628455569</c:v>
                </c:pt>
                <c:pt idx="224">
                  <c:v>4.4496852831476961</c:v>
                </c:pt>
                <c:pt idx="225">
                  <c:v>4.4296256134731609</c:v>
                </c:pt>
                <c:pt idx="226">
                  <c:v>4.4091553020621337</c:v>
                </c:pt>
                <c:pt idx="227">
                  <c:v>4.389498649512583</c:v>
                </c:pt>
                <c:pt idx="228">
                  <c:v>4.3694478524670215</c:v>
                </c:pt>
                <c:pt idx="229">
                  <c:v>4.3489867805956814</c:v>
                </c:pt>
                <c:pt idx="230">
                  <c:v>4.3294166844015844</c:v>
                </c:pt>
                <c:pt idx="231">
                  <c:v>4.3081109517237133</c:v>
                </c:pt>
                <c:pt idx="232">
                  <c:v>4.2890886390146123</c:v>
                </c:pt>
                <c:pt idx="233">
                  <c:v>4.2682978693455391</c:v>
                </c:pt>
                <c:pt idx="234">
                  <c:v>4.2484952420493594</c:v>
                </c:pt>
                <c:pt idx="235">
                  <c:v>4.2282925347318399</c:v>
                </c:pt>
                <c:pt idx="236">
                  <c:v>4.2076732475291037</c:v>
                </c:pt>
                <c:pt idx="237">
                  <c:v>4.1866198383312714</c:v>
                </c:pt>
                <c:pt idx="238">
                  <c:v>4.1666652238017265</c:v>
                </c:pt>
                <c:pt idx="239">
                  <c:v>4.1447207695471677</c:v>
                </c:pt>
                <c:pt idx="240">
                  <c:v>4.1255201796905503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6-451C-93F1-7A62849D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45775"/>
        <c:axId val="1460753135"/>
      </c:scatterChart>
      <c:valAx>
        <c:axId val="147594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0753135"/>
        <c:crosses val="autoZero"/>
        <c:crossBetween val="midCat"/>
      </c:valAx>
      <c:valAx>
        <c:axId val="14607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594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'thermistance etalonnage'!$L$1</c:f>
              <c:strCache>
                <c:ptCount val="1"/>
                <c:pt idx="0">
                  <c:v>erreur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'thermistance etalonnage'!$L$2:$L$242</c:f>
              <c:numCache>
                <c:formatCode>General</c:formatCode>
                <c:ptCount val="241"/>
                <c:pt idx="0">
                  <c:v>3.826618636895887</c:v>
                </c:pt>
                <c:pt idx="1">
                  <c:v>3.5461383654782423</c:v>
                </c:pt>
                <c:pt idx="2">
                  <c:v>3.3027446486729843</c:v>
                </c:pt>
                <c:pt idx="3">
                  <c:v>3.0943070079969743</c:v>
                </c:pt>
                <c:pt idx="4">
                  <c:v>2.9046750350923958</c:v>
                </c:pt>
                <c:pt idx="5">
                  <c:v>2.7478262854151012</c:v>
                </c:pt>
                <c:pt idx="6">
                  <c:v>2.6041716802763801</c:v>
                </c:pt>
                <c:pt idx="7">
                  <c:v>2.4880319021667106</c:v>
                </c:pt>
                <c:pt idx="8">
                  <c:v>2.3751997388600046</c:v>
                </c:pt>
                <c:pt idx="9">
                  <c:v>2.2797841974903577</c:v>
                </c:pt>
                <c:pt idx="10">
                  <c:v>2.2006748329236814</c:v>
                </c:pt>
                <c:pt idx="11">
                  <c:v>2.1155364937186505</c:v>
                </c:pt>
                <c:pt idx="12">
                  <c:v>2.0513510120787259</c:v>
                </c:pt>
                <c:pt idx="13">
                  <c:v>1.9837124897847218</c:v>
                </c:pt>
                <c:pt idx="14">
                  <c:v>1.9193970740336113</c:v>
                </c:pt>
                <c:pt idx="15">
                  <c:v>1.8539837429723605</c:v>
                </c:pt>
                <c:pt idx="16">
                  <c:v>1.7821620658774577</c:v>
                </c:pt>
                <c:pt idx="17">
                  <c:v>1.728684506460894</c:v>
                </c:pt>
                <c:pt idx="18">
                  <c:v>1.6592845028709462</c:v>
                </c:pt>
                <c:pt idx="19">
                  <c:v>1.583419188621491</c:v>
                </c:pt>
                <c:pt idx="20">
                  <c:v>1.5082794316834622</c:v>
                </c:pt>
                <c:pt idx="21">
                  <c:v>1.4094063149737224</c:v>
                </c:pt>
                <c:pt idx="22">
                  <c:v>1.3076156500541174</c:v>
                </c:pt>
                <c:pt idx="23">
                  <c:v>1.2027862462657026</c:v>
                </c:pt>
                <c:pt idx="24">
                  <c:v>1.0951540259172248</c:v>
                </c:pt>
                <c:pt idx="25">
                  <c:v>0.98793886581188417</c:v>
                </c:pt>
                <c:pt idx="26">
                  <c:v>0.87469336148814136</c:v>
                </c:pt>
                <c:pt idx="27">
                  <c:v>0.76487805539795772</c:v>
                </c:pt>
                <c:pt idx="28">
                  <c:v>0.6524207952982124</c:v>
                </c:pt>
                <c:pt idx="29">
                  <c:v>0.53642312423431804</c:v>
                </c:pt>
                <c:pt idx="30">
                  <c:v>0.42290836333620518</c:v>
                </c:pt>
                <c:pt idx="31">
                  <c:v>0.3124371460219777</c:v>
                </c:pt>
                <c:pt idx="32">
                  <c:v>0.19826482182298832</c:v>
                </c:pt>
                <c:pt idx="33">
                  <c:v>8.8397257562178311E-2</c:v>
                </c:pt>
                <c:pt idx="34">
                  <c:v>2.4056338563696045E-2</c:v>
                </c:pt>
                <c:pt idx="35">
                  <c:v>0.13389366401355574</c:v>
                </c:pt>
                <c:pt idx="36">
                  <c:v>0.24397075620566966</c:v>
                </c:pt>
                <c:pt idx="37">
                  <c:v>0.34754686189569384</c:v>
                </c:pt>
                <c:pt idx="38">
                  <c:v>0.45208901435717053</c:v>
                </c:pt>
                <c:pt idx="39">
                  <c:v>0.5554163721869827</c:v>
                </c:pt>
                <c:pt idx="40">
                  <c:v>0.65461654948808246</c:v>
                </c:pt>
                <c:pt idx="41">
                  <c:v>0.72711618274678358</c:v>
                </c:pt>
                <c:pt idx="42">
                  <c:v>0.80474117625470853</c:v>
                </c:pt>
                <c:pt idx="43">
                  <c:v>0.87079547008977443</c:v>
                </c:pt>
                <c:pt idx="44">
                  <c:v>0.9414878736904484</c:v>
                </c:pt>
                <c:pt idx="45">
                  <c:v>1.0132186023980125</c:v>
                </c:pt>
                <c:pt idx="46">
                  <c:v>1.0729935856820703</c:v>
                </c:pt>
                <c:pt idx="47">
                  <c:v>1.139548993442645</c:v>
                </c:pt>
                <c:pt idx="48">
                  <c:v>1.1989840220051633</c:v>
                </c:pt>
                <c:pt idx="49">
                  <c:v>1.2630983483576301</c:v>
                </c:pt>
                <c:pt idx="50">
                  <c:v>1.3154696588200636</c:v>
                </c:pt>
                <c:pt idx="51">
                  <c:v>1.3681872391149454</c:v>
                </c:pt>
                <c:pt idx="52">
                  <c:v>1.424597638196758</c:v>
                </c:pt>
                <c:pt idx="53">
                  <c:v>1.476526712307475</c:v>
                </c:pt>
                <c:pt idx="54">
                  <c:v>1.5264164871722983</c:v>
                </c:pt>
                <c:pt idx="55">
                  <c:v>1.5771106201256089</c:v>
                </c:pt>
                <c:pt idx="56">
                  <c:v>1.6318896941317576</c:v>
                </c:pt>
                <c:pt idx="57">
                  <c:v>1.6648887851287668</c:v>
                </c:pt>
                <c:pt idx="58">
                  <c:v>1.7068703931024061</c:v>
                </c:pt>
                <c:pt idx="59">
                  <c:v>1.7624565037916682</c:v>
                </c:pt>
                <c:pt idx="60">
                  <c:v>1.8022877634116981</c:v>
                </c:pt>
                <c:pt idx="61">
                  <c:v>1.8268025466771292</c:v>
                </c:pt>
                <c:pt idx="62">
                  <c:v>1.8749178264987449</c:v>
                </c:pt>
                <c:pt idx="63">
                  <c:v>1.8930077600060145</c:v>
                </c:pt>
                <c:pt idx="64">
                  <c:v>1.9428435046070831</c:v>
                </c:pt>
                <c:pt idx="65">
                  <c:v>1.9656070833707986</c:v>
                </c:pt>
                <c:pt idx="66">
                  <c:v>1.9950483225567268</c:v>
                </c:pt>
                <c:pt idx="67">
                  <c:v>2.0228767670718071</c:v>
                </c:pt>
                <c:pt idx="68">
                  <c:v>2.0491582814788671</c:v>
                </c:pt>
                <c:pt idx="69">
                  <c:v>2.0738181537740275</c:v>
                </c:pt>
                <c:pt idx="70">
                  <c:v>2.0937597623772604</c:v>
                </c:pt>
                <c:pt idx="71">
                  <c:v>2.117102356196142</c:v>
                </c:pt>
                <c:pt idx="72">
                  <c:v>2.1346104041051035</c:v>
                </c:pt>
                <c:pt idx="73">
                  <c:v>2.1547982508194536</c:v>
                </c:pt>
                <c:pt idx="74">
                  <c:v>2.1704596003045253</c:v>
                </c:pt>
                <c:pt idx="75">
                  <c:v>2.1873007409123488</c:v>
                </c:pt>
                <c:pt idx="76">
                  <c:v>2.2006093580212109</c:v>
                </c:pt>
                <c:pt idx="77">
                  <c:v>2.2125694068429311</c:v>
                </c:pt>
                <c:pt idx="78">
                  <c:v>2.2214872703866035</c:v>
                </c:pt>
                <c:pt idx="79">
                  <c:v>2.2339937193348192</c:v>
                </c:pt>
                <c:pt idx="80">
                  <c:v>2.2394507592053969</c:v>
                </c:pt>
                <c:pt idx="81">
                  <c:v>2.2491107589913781</c:v>
                </c:pt>
                <c:pt idx="82">
                  <c:v>2.2510325535375273</c:v>
                </c:pt>
                <c:pt idx="83">
                  <c:v>2.2572796281646106</c:v>
                </c:pt>
                <c:pt idx="84">
                  <c:v>2.259966288321607</c:v>
                </c:pt>
                <c:pt idx="85">
                  <c:v>2.2611256602686467</c:v>
                </c:pt>
                <c:pt idx="86">
                  <c:v>2.2630746772467205</c:v>
                </c:pt>
                <c:pt idx="87">
                  <c:v>2.2620751590968666</c:v>
                </c:pt>
                <c:pt idx="88">
                  <c:v>2.2601957634147425</c:v>
                </c:pt>
                <c:pt idx="89">
                  <c:v>2.2597849969422441</c:v>
                </c:pt>
                <c:pt idx="90">
                  <c:v>2.2562126727723353</c:v>
                </c:pt>
                <c:pt idx="91">
                  <c:v>2.2514558476211732</c:v>
                </c:pt>
                <c:pt idx="92">
                  <c:v>2.2477567131604701</c:v>
                </c:pt>
                <c:pt idx="93">
                  <c:v>2.2393278085423276</c:v>
                </c:pt>
                <c:pt idx="94">
                  <c:v>2.2365689240343158</c:v>
                </c:pt>
                <c:pt idx="95">
                  <c:v>2.224443781398918</c:v>
                </c:pt>
                <c:pt idx="96">
                  <c:v>2.213471371413732</c:v>
                </c:pt>
                <c:pt idx="97">
                  <c:v>2.20613088987335</c:v>
                </c:pt>
                <c:pt idx="98">
                  <c:v>2.1948593257872062</c:v>
                </c:pt>
                <c:pt idx="99">
                  <c:v>2.1921665650471027</c:v>
                </c:pt>
                <c:pt idx="100">
                  <c:v>2.178908167816644</c:v>
                </c:pt>
                <c:pt idx="101">
                  <c:v>2.1676130108859866</c:v>
                </c:pt>
                <c:pt idx="102">
                  <c:v>2.1484938007271239</c:v>
                </c:pt>
                <c:pt idx="103">
                  <c:v>2.1354824612706693</c:v>
                </c:pt>
                <c:pt idx="104">
                  <c:v>2.1315502663657071</c:v>
                </c:pt>
                <c:pt idx="105">
                  <c:v>2.1122248078443704</c:v>
                </c:pt>
                <c:pt idx="106">
                  <c:v>2.0920703639956173</c:v>
                </c:pt>
                <c:pt idx="107">
                  <c:v>2.0881751746629789</c:v>
                </c:pt>
                <c:pt idx="108">
                  <c:v>2.0732764327553355</c:v>
                </c:pt>
                <c:pt idx="109">
                  <c:v>2.0479866843211312</c:v>
                </c:pt>
                <c:pt idx="110">
                  <c:v>2.0300684232505546</c:v>
                </c:pt>
                <c:pt idx="111">
                  <c:v>2.022493907461751</c:v>
                </c:pt>
                <c:pt idx="112">
                  <c:v>2.0100764137974352</c:v>
                </c:pt>
                <c:pt idx="113">
                  <c:v>1.9941443199020341</c:v>
                </c:pt>
                <c:pt idx="114">
                  <c:v>1.9761949044302014</c:v>
                </c:pt>
                <c:pt idx="115">
                  <c:v>1.9579066047747915</c:v>
                </c:pt>
                <c:pt idx="116">
                  <c:v>1.9411508668537181</c:v>
                </c:pt>
                <c:pt idx="117">
                  <c:v>1.9280032156901825</c:v>
                </c:pt>
                <c:pt idx="118">
                  <c:v>1.8974059269561394</c:v>
                </c:pt>
                <c:pt idx="119">
                  <c:v>1.8976632408761702</c:v>
                </c:pt>
                <c:pt idx="120">
                  <c:v>1.8838561102692211</c:v>
                </c:pt>
                <c:pt idx="121">
                  <c:v>1.8560646690893918</c:v>
                </c:pt>
                <c:pt idx="122">
                  <c:v>1.8416406086279835</c:v>
                </c:pt>
                <c:pt idx="123">
                  <c:v>1.8156963676426585</c:v>
                </c:pt>
                <c:pt idx="124">
                  <c:v>1.8079842521179899</c:v>
                </c:pt>
                <c:pt idx="125">
                  <c:v>1.7919057602783255</c:v>
                </c:pt>
                <c:pt idx="126">
                  <c:v>1.799768592722728</c:v>
                </c:pt>
                <c:pt idx="127">
                  <c:v>1.7868001959964204</c:v>
                </c:pt>
                <c:pt idx="128">
                  <c:v>1.7828127823805175</c:v>
                </c:pt>
                <c:pt idx="129">
                  <c:v>1.7763502518947121</c:v>
                </c:pt>
                <c:pt idx="130">
                  <c:v>1.7723709528621043</c:v>
                </c:pt>
                <c:pt idx="131">
                  <c:v>1.7651532175590887</c:v>
                </c:pt>
                <c:pt idx="132">
                  <c:v>1.7558917351316268</c:v>
                </c:pt>
                <c:pt idx="133">
                  <c:v>1.7459112110093997</c:v>
                </c:pt>
                <c:pt idx="134">
                  <c:v>1.7324635855667907</c:v>
                </c:pt>
                <c:pt idx="135">
                  <c:v>1.721065189268586</c:v>
                </c:pt>
                <c:pt idx="136">
                  <c:v>1.7044274524257617</c:v>
                </c:pt>
                <c:pt idx="137">
                  <c:v>1.6881732263138929</c:v>
                </c:pt>
                <c:pt idx="138">
                  <c:v>1.669008653231117</c:v>
                </c:pt>
                <c:pt idx="139">
                  <c:v>1.6481193365054878</c:v>
                </c:pt>
                <c:pt idx="140">
                  <c:v>1.6216186603369351</c:v>
                </c:pt>
                <c:pt idx="141">
                  <c:v>1.6387920047223474</c:v>
                </c:pt>
                <c:pt idx="142">
                  <c:v>1.6444750337367395</c:v>
                </c:pt>
                <c:pt idx="143">
                  <c:v>1.6445431512762525</c:v>
                </c:pt>
                <c:pt idx="144">
                  <c:v>1.6338151025428829</c:v>
                </c:pt>
                <c:pt idx="145">
                  <c:v>1.618673502513559</c:v>
                </c:pt>
                <c:pt idx="146">
                  <c:v>1.5936826675639395</c:v>
                </c:pt>
                <c:pt idx="147">
                  <c:v>1.5657833089589417</c:v>
                </c:pt>
                <c:pt idx="148">
                  <c:v>1.529279634177044</c:v>
                </c:pt>
                <c:pt idx="149">
                  <c:v>1.4846885399272765</c:v>
                </c:pt>
                <c:pt idx="150">
                  <c:v>1.4398787553223542</c:v>
                </c:pt>
                <c:pt idx="151">
                  <c:v>1.3887418893251038</c:v>
                </c:pt>
                <c:pt idx="152">
                  <c:v>1.3320572935858195</c:v>
                </c:pt>
                <c:pt idx="153">
                  <c:v>1.2706961226321027</c:v>
                </c:pt>
                <c:pt idx="154">
                  <c:v>1.2056278460570411</c:v>
                </c:pt>
                <c:pt idx="155">
                  <c:v>1.1293076579497665</c:v>
                </c:pt>
                <c:pt idx="156">
                  <c:v>1.059865559865159</c:v>
                </c:pt>
                <c:pt idx="157">
                  <c:v>0.9810530689544521</c:v>
                </c:pt>
                <c:pt idx="158">
                  <c:v>0.89335630195529347</c:v>
                </c:pt>
                <c:pt idx="159">
                  <c:v>0.81705676199777599</c:v>
                </c:pt>
                <c:pt idx="160">
                  <c:v>0.72421728794057572</c:v>
                </c:pt>
                <c:pt idx="161">
                  <c:v>0.63566919090254714</c:v>
                </c:pt>
                <c:pt idx="162">
                  <c:v>0.54242933789629433</c:v>
                </c:pt>
                <c:pt idx="163">
                  <c:v>0.45673676269177577</c:v>
                </c:pt>
                <c:pt idx="164">
                  <c:v>0.3575199779805871</c:v>
                </c:pt>
                <c:pt idx="165">
                  <c:v>0.25686274991460323</c:v>
                </c:pt>
                <c:pt idx="166">
                  <c:v>0.18092666249498279</c:v>
                </c:pt>
                <c:pt idx="167">
                  <c:v>9.5077420927509593E-2</c:v>
                </c:pt>
                <c:pt idx="168">
                  <c:v>3.2441878022382298E-4</c:v>
                </c:pt>
                <c:pt idx="169">
                  <c:v>9.1174431213801199E-2</c:v>
                </c:pt>
                <c:pt idx="170">
                  <c:v>0.17565478409824209</c:v>
                </c:pt>
                <c:pt idx="171">
                  <c:v>0.26638725402705177</c:v>
                </c:pt>
                <c:pt idx="172">
                  <c:v>0.36266452020771567</c:v>
                </c:pt>
                <c:pt idx="173">
                  <c:v>0.46370122083880005</c:v>
                </c:pt>
                <c:pt idx="174">
                  <c:v>0.55259532956409885</c:v>
                </c:pt>
                <c:pt idx="175">
                  <c:v>0.65994203683368369</c:v>
                </c:pt>
                <c:pt idx="176">
                  <c:v>0.75208780882252313</c:v>
                </c:pt>
                <c:pt idx="177">
                  <c:v>0.84387439919140661</c:v>
                </c:pt>
                <c:pt idx="178">
                  <c:v>0.95215982948013789</c:v>
                </c:pt>
                <c:pt idx="179">
                  <c:v>1.0398000077076404</c:v>
                </c:pt>
                <c:pt idx="180">
                  <c:v>1.1421835548239869</c:v>
                </c:pt>
                <c:pt idx="181">
                  <c:v>1.2395700196385064</c:v>
                </c:pt>
                <c:pt idx="182">
                  <c:v>1.3302518880422554</c:v>
                </c:pt>
                <c:pt idx="183">
                  <c:v>1.4335286721719172</c:v>
                </c:pt>
                <c:pt idx="184">
                  <c:v>1.5275885302310144</c:v>
                </c:pt>
                <c:pt idx="185">
                  <c:v>1.632815659428104</c:v>
                </c:pt>
                <c:pt idx="186">
                  <c:v>1.7259323610791739</c:v>
                </c:pt>
                <c:pt idx="187">
                  <c:v>1.804656549166566</c:v>
                </c:pt>
                <c:pt idx="188">
                  <c:v>1.8910645469764518</c:v>
                </c:pt>
                <c:pt idx="189">
                  <c:v>1.984740651353377</c:v>
                </c:pt>
                <c:pt idx="190">
                  <c:v>2.059259478166382</c:v>
                </c:pt>
                <c:pt idx="191">
                  <c:v>2.1385435776275017</c:v>
                </c:pt>
                <c:pt idx="192">
                  <c:v>2.2219538244695514</c:v>
                </c:pt>
                <c:pt idx="193">
                  <c:v>2.2805339578662824</c:v>
                </c:pt>
                <c:pt idx="194">
                  <c:v>2.3692223332697608</c:v>
                </c:pt>
                <c:pt idx="195">
                  <c:v>2.429843349720386</c:v>
                </c:pt>
                <c:pt idx="196">
                  <c:v>2.4896968767104113</c:v>
                </c:pt>
                <c:pt idx="197">
                  <c:v>2.5477543720747349</c:v>
                </c:pt>
                <c:pt idx="198">
                  <c:v>2.6029136721912209</c:v>
                </c:pt>
                <c:pt idx="199">
                  <c:v>2.6873009424471661</c:v>
                </c:pt>
                <c:pt idx="200">
                  <c:v>2.7339486831493787</c:v>
                </c:pt>
                <c:pt idx="201">
                  <c:v>2.8090861484762968</c:v>
                </c:pt>
                <c:pt idx="202">
                  <c:v>2.8419402616160028</c:v>
                </c:pt>
                <c:pt idx="203">
                  <c:v>2.9022794449947469</c:v>
                </c:pt>
                <c:pt idx="204">
                  <c:v>2.9534212752068925</c:v>
                </c:pt>
                <c:pt idx="205">
                  <c:v>3.0327889887655033</c:v>
                </c:pt>
                <c:pt idx="206">
                  <c:v>3.0615738815195641</c:v>
                </c:pt>
                <c:pt idx="207">
                  <c:v>3.1171415592829703</c:v>
                </c:pt>
                <c:pt idx="208">
                  <c:v>3.2007986586880293</c:v>
                </c:pt>
                <c:pt idx="209">
                  <c:v>3.227239070844405</c:v>
                </c:pt>
                <c:pt idx="210">
                  <c:v>3.2799868044780851</c:v>
                </c:pt>
                <c:pt idx="211">
                  <c:v>3.3603043291499262</c:v>
                </c:pt>
                <c:pt idx="212">
                  <c:v>3.4227296500507123</c:v>
                </c:pt>
                <c:pt idx="213">
                  <c:v>3.4649916702960581</c:v>
                </c:pt>
                <c:pt idx="214">
                  <c:v>3.5339147789123899</c:v>
                </c:pt>
                <c:pt idx="215">
                  <c:v>3.5802927167010807</c:v>
                </c:pt>
                <c:pt idx="216">
                  <c:v>3.6533118158786237</c:v>
                </c:pt>
                <c:pt idx="217">
                  <c:v>3.7011629356819071</c:v>
                </c:pt>
                <c:pt idx="218">
                  <c:v>3.7754995890761052</c:v>
                </c:pt>
                <c:pt idx="219">
                  <c:v>3.8217904866646677</c:v>
                </c:pt>
                <c:pt idx="220">
                  <c:v>3.8942593877255831</c:v>
                </c:pt>
                <c:pt idx="221">
                  <c:v>3.9941299949101108</c:v>
                </c:pt>
                <c:pt idx="222">
                  <c:v>4.0625737229180459</c:v>
                </c:pt>
                <c:pt idx="223">
                  <c:v>4.157973243140475</c:v>
                </c:pt>
                <c:pt idx="224">
                  <c:v>4.2184119156964925</c:v>
                </c:pt>
                <c:pt idx="225">
                  <c:v>4.3051691900467972</c:v>
                </c:pt>
                <c:pt idx="226">
                  <c:v>4.4194642171306668</c:v>
                </c:pt>
                <c:pt idx="227">
                  <c:v>4.4945336104607918</c:v>
                </c:pt>
                <c:pt idx="228">
                  <c:v>4.596309283693472</c:v>
                </c:pt>
                <c:pt idx="229">
                  <c:v>4.7260288820294249</c:v>
                </c:pt>
                <c:pt idx="230">
                  <c:v>4.8116946024975391</c:v>
                </c:pt>
                <c:pt idx="231">
                  <c:v>4.9994013639798709</c:v>
                </c:pt>
                <c:pt idx="232">
                  <c:v>5.0649227597781419</c:v>
                </c:pt>
                <c:pt idx="233">
                  <c:v>5.2350526298607178</c:v>
                </c:pt>
                <c:pt idx="234">
                  <c:v>5.3549966366962849</c:v>
                </c:pt>
                <c:pt idx="235">
                  <c:v>5.5030646390115976</c:v>
                </c:pt>
                <c:pt idx="236">
                  <c:v>5.6805728855109123</c:v>
                </c:pt>
                <c:pt idx="237">
                  <c:v>5.8889287623189261</c:v>
                </c:pt>
                <c:pt idx="238">
                  <c:v>6.0399102753633542</c:v>
                </c:pt>
                <c:pt idx="239">
                  <c:v>6.3121087507768721</c:v>
                </c:pt>
                <c:pt idx="240">
                  <c:v>6.4308127842155614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601999"/>
        <c:axId val="1338666079"/>
      </c:lineChart>
      <c:lineChart>
        <c:grouping val="standard"/>
        <c:varyColors val="0"/>
        <c:ser>
          <c:idx val="0"/>
          <c:order val="0"/>
          <c:tx>
            <c:strRef>
              <c:f>'thermistance etalonnage'!$K$1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'thermistance etalonnage'!$K$2:$K$242</c:f>
              <c:numCache>
                <c:formatCode>General</c:formatCode>
                <c:ptCount val="241"/>
                <c:pt idx="0">
                  <c:v>9.5665465922397178E-2</c:v>
                </c:pt>
                <c:pt idx="1">
                  <c:v>9.0926624755852364E-2</c:v>
                </c:pt>
                <c:pt idx="2">
                  <c:v>8.6914332859815382E-2</c:v>
                </c:pt>
                <c:pt idx="3">
                  <c:v>8.3629919135053354E-2</c:v>
                </c:pt>
                <c:pt idx="4">
                  <c:v>8.068541764145544E-2</c:v>
                </c:pt>
                <c:pt idx="5">
                  <c:v>7.8509322440431462E-2</c:v>
                </c:pt>
                <c:pt idx="6">
                  <c:v>7.6593284714011181E-2</c:v>
                </c:pt>
                <c:pt idx="7">
                  <c:v>7.5394906126263955E-2</c:v>
                </c:pt>
                <c:pt idx="8">
                  <c:v>7.4224991839375143E-2</c:v>
                </c:pt>
                <c:pt idx="9">
                  <c:v>7.3541425725495407E-2</c:v>
                </c:pt>
                <c:pt idx="10">
                  <c:v>7.3355827764122708E-2</c:v>
                </c:pt>
                <c:pt idx="11">
                  <c:v>7.2949534266160368E-2</c:v>
                </c:pt>
                <c:pt idx="12">
                  <c:v>7.3262536145668786E-2</c:v>
                </c:pt>
                <c:pt idx="13">
                  <c:v>7.3470832954989698E-2</c:v>
                </c:pt>
                <c:pt idx="14">
                  <c:v>7.382296438590813E-2</c:v>
                </c:pt>
                <c:pt idx="15">
                  <c:v>7.4159349718894416E-2</c:v>
                </c:pt>
                <c:pt idx="16">
                  <c:v>7.4256752744894072E-2</c:v>
                </c:pt>
                <c:pt idx="17">
                  <c:v>7.5160195933082347E-2</c:v>
                </c:pt>
                <c:pt idx="18">
                  <c:v>7.5422022857770277E-2</c:v>
                </c:pt>
                <c:pt idx="19">
                  <c:v>7.5400913743880527E-2</c:v>
                </c:pt>
                <c:pt idx="20">
                  <c:v>7.5413971584173109E-2</c:v>
                </c:pt>
                <c:pt idx="21">
                  <c:v>7.4179279735459069E-2</c:v>
                </c:pt>
                <c:pt idx="22">
                  <c:v>7.2645313891895408E-2</c:v>
                </c:pt>
                <c:pt idx="23">
                  <c:v>7.0752132133276621E-2</c:v>
                </c:pt>
                <c:pt idx="24">
                  <c:v>6.8447126619826548E-2</c:v>
                </c:pt>
                <c:pt idx="25">
                  <c:v>6.5862591054125605E-2</c:v>
                </c:pt>
                <c:pt idx="26">
                  <c:v>6.2478097249152952E-2</c:v>
                </c:pt>
                <c:pt idx="27">
                  <c:v>5.8836773492150593E-2</c:v>
                </c:pt>
                <c:pt idx="28">
                  <c:v>5.4368399608184369E-2</c:v>
                </c:pt>
                <c:pt idx="29">
                  <c:v>4.8765738566756187E-2</c:v>
                </c:pt>
                <c:pt idx="30">
                  <c:v>4.2290836333620518E-2</c:v>
                </c:pt>
                <c:pt idx="31">
                  <c:v>3.4715238446886412E-2</c:v>
                </c:pt>
                <c:pt idx="32">
                  <c:v>2.4783102727873541E-2</c:v>
                </c:pt>
                <c:pt idx="33">
                  <c:v>1.2628179651739759E-2</c:v>
                </c:pt>
                <c:pt idx="34">
                  <c:v>4.0093897606160072E-3</c:v>
                </c:pt>
                <c:pt idx="35">
                  <c:v>2.6778732802711147E-2</c:v>
                </c:pt>
                <c:pt idx="36">
                  <c:v>6.0992689051417415E-2</c:v>
                </c:pt>
                <c:pt idx="37">
                  <c:v>0.11584895396523127</c:v>
                </c:pt>
                <c:pt idx="38">
                  <c:v>0.22604450717858526</c:v>
                </c:pt>
                <c:pt idx="39">
                  <c:v>0.5554163721869827</c:v>
                </c:pt>
                <c:pt idx="40">
                  <c:v>0</c:v>
                </c:pt>
                <c:pt idx="41">
                  <c:v>0.72711618274678358</c:v>
                </c:pt>
                <c:pt idx="42">
                  <c:v>0.40237058812735427</c:v>
                </c:pt>
                <c:pt idx="43">
                  <c:v>0.29026515669659148</c:v>
                </c:pt>
                <c:pt idx="44">
                  <c:v>0.2353719684226121</c:v>
                </c:pt>
                <c:pt idx="45">
                  <c:v>0.2026437204796025</c:v>
                </c:pt>
                <c:pt idx="46">
                  <c:v>0.17883226428034504</c:v>
                </c:pt>
                <c:pt idx="47">
                  <c:v>0.16279271334894929</c:v>
                </c:pt>
                <c:pt idx="48">
                  <c:v>0.14987300275064541</c:v>
                </c:pt>
                <c:pt idx="49">
                  <c:v>0.14034426092862556</c:v>
                </c:pt>
                <c:pt idx="50">
                  <c:v>0.13154696588200637</c:v>
                </c:pt>
                <c:pt idx="51">
                  <c:v>0.12438065810135868</c:v>
                </c:pt>
                <c:pt idx="52">
                  <c:v>0.11871646984972983</c:v>
                </c:pt>
                <c:pt idx="53">
                  <c:v>0.11357897786980577</c:v>
                </c:pt>
                <c:pt idx="54">
                  <c:v>0.1090297490837356</c:v>
                </c:pt>
                <c:pt idx="55">
                  <c:v>0.10514070800837393</c:v>
                </c:pt>
                <c:pt idx="56">
                  <c:v>0.10199310588323485</c:v>
                </c:pt>
                <c:pt idx="57">
                  <c:v>9.7934634419339223E-2</c:v>
                </c:pt>
                <c:pt idx="58">
                  <c:v>9.4826132950133674E-2</c:v>
                </c:pt>
                <c:pt idx="59">
                  <c:v>9.2760868620614112E-2</c:v>
                </c:pt>
                <c:pt idx="60">
                  <c:v>9.0114388170584897E-2</c:v>
                </c:pt>
                <c:pt idx="61">
                  <c:v>8.699059746081568E-2</c:v>
                </c:pt>
                <c:pt idx="62">
                  <c:v>8.5223537568124771E-2</c:v>
                </c:pt>
                <c:pt idx="63">
                  <c:v>8.2304685217652801E-2</c:v>
                </c:pt>
                <c:pt idx="64">
                  <c:v>8.0951812691961791E-2</c:v>
                </c:pt>
                <c:pt idx="65">
                  <c:v>7.8624283334831943E-2</c:v>
                </c:pt>
                <c:pt idx="66">
                  <c:v>7.673262779064334E-2</c:v>
                </c:pt>
                <c:pt idx="67">
                  <c:v>7.4921361743400264E-2</c:v>
                </c:pt>
                <c:pt idx="68">
                  <c:v>7.3184224338530973E-2</c:v>
                </c:pt>
                <c:pt idx="69">
                  <c:v>7.1510970819794045E-2</c:v>
                </c:pt>
                <c:pt idx="70">
                  <c:v>6.9791992079242013E-2</c:v>
                </c:pt>
                <c:pt idx="71">
                  <c:v>6.829362439342393E-2</c:v>
                </c:pt>
                <c:pt idx="72">
                  <c:v>6.6706575128284484E-2</c:v>
                </c:pt>
                <c:pt idx="73">
                  <c:v>6.5296916691498591E-2</c:v>
                </c:pt>
                <c:pt idx="74">
                  <c:v>6.383704706778015E-2</c:v>
                </c:pt>
                <c:pt idx="75">
                  <c:v>6.249430688320997E-2</c:v>
                </c:pt>
                <c:pt idx="76">
                  <c:v>6.1128037722811418E-2</c:v>
                </c:pt>
                <c:pt idx="77">
                  <c:v>5.9799173157917059E-2</c:v>
                </c:pt>
                <c:pt idx="78">
                  <c:v>5.8460191325963251E-2</c:v>
                </c:pt>
                <c:pt idx="79">
                  <c:v>5.7281890239354337E-2</c:v>
                </c:pt>
                <c:pt idx="80">
                  <c:v>5.5986268980134923E-2</c:v>
                </c:pt>
                <c:pt idx="81">
                  <c:v>5.485635997539947E-2</c:v>
                </c:pt>
                <c:pt idx="82">
                  <c:v>5.3596013179464934E-2</c:v>
                </c:pt>
                <c:pt idx="83">
                  <c:v>5.2494875073595598E-2</c:v>
                </c:pt>
                <c:pt idx="84">
                  <c:v>5.1362870189127434E-2</c:v>
                </c:pt>
                <c:pt idx="85">
                  <c:v>5.0247236894858813E-2</c:v>
                </c:pt>
                <c:pt idx="86">
                  <c:v>4.9197275592320011E-2</c:v>
                </c:pt>
                <c:pt idx="87">
                  <c:v>4.8129258704188653E-2</c:v>
                </c:pt>
                <c:pt idx="88">
                  <c:v>4.7087411737807137E-2</c:v>
                </c:pt>
                <c:pt idx="89">
                  <c:v>4.6118061162086617E-2</c:v>
                </c:pt>
                <c:pt idx="90">
                  <c:v>4.5124253455446704E-2</c:v>
                </c:pt>
                <c:pt idx="91">
                  <c:v>4.4146193090611241E-2</c:v>
                </c:pt>
                <c:pt idx="92">
                  <c:v>4.3226090637701345E-2</c:v>
                </c:pt>
                <c:pt idx="93">
                  <c:v>4.2251468085704291E-2</c:v>
                </c:pt>
                <c:pt idx="94">
                  <c:v>4.1417943037672517E-2</c:v>
                </c:pt>
                <c:pt idx="95">
                  <c:v>4.0444432389071236E-2</c:v>
                </c:pt>
                <c:pt idx="96">
                  <c:v>3.952627448953093E-2</c:v>
                </c:pt>
                <c:pt idx="97">
                  <c:v>3.8704050699532457E-2</c:v>
                </c:pt>
                <c:pt idx="98">
                  <c:v>3.7842402168744932E-2</c:v>
                </c:pt>
                <c:pt idx="99">
                  <c:v>3.7155365509272925E-2</c:v>
                </c:pt>
                <c:pt idx="100">
                  <c:v>3.6315136130277398E-2</c:v>
                </c:pt>
                <c:pt idx="101">
                  <c:v>3.5534639522721088E-2</c:v>
                </c:pt>
                <c:pt idx="102">
                  <c:v>3.465312581817942E-2</c:v>
                </c:pt>
                <c:pt idx="103">
                  <c:v>3.389654700429634E-2</c:v>
                </c:pt>
                <c:pt idx="104">
                  <c:v>3.3305472911964173E-2</c:v>
                </c:pt>
                <c:pt idx="105">
                  <c:v>3.2495766274528777E-2</c:v>
                </c:pt>
                <c:pt idx="106">
                  <c:v>3.1698035818115415E-2</c:v>
                </c:pt>
                <c:pt idx="107">
                  <c:v>3.1166793651686252E-2</c:v>
                </c:pt>
                <c:pt idx="108">
                  <c:v>3.0489359305225523E-2</c:v>
                </c:pt>
                <c:pt idx="109">
                  <c:v>2.9680966439436685E-2</c:v>
                </c:pt>
                <c:pt idx="110">
                  <c:v>2.9000977475007923E-2</c:v>
                </c:pt>
                <c:pt idx="111">
                  <c:v>2.8485829682559874E-2</c:v>
                </c:pt>
                <c:pt idx="112">
                  <c:v>2.791772796940882E-2</c:v>
                </c:pt>
                <c:pt idx="113">
                  <c:v>2.7317045478110057E-2</c:v>
                </c:pt>
                <c:pt idx="114">
                  <c:v>2.6705336546354073E-2</c:v>
                </c:pt>
                <c:pt idx="115">
                  <c:v>2.610542139699722E-2</c:v>
                </c:pt>
                <c:pt idx="116">
                  <c:v>2.5541458774391027E-2</c:v>
                </c:pt>
                <c:pt idx="117">
                  <c:v>2.50390028011712E-2</c:v>
                </c:pt>
                <c:pt idx="118">
                  <c:v>2.4325717012258198E-2</c:v>
                </c:pt>
                <c:pt idx="119">
                  <c:v>2.4021053681976837E-2</c:v>
                </c:pt>
                <c:pt idx="120">
                  <c:v>2.3548201378365264E-2</c:v>
                </c:pt>
                <c:pt idx="121">
                  <c:v>2.2914378630733232E-2</c:v>
                </c:pt>
                <c:pt idx="122">
                  <c:v>2.2459031812536383E-2</c:v>
                </c:pt>
                <c:pt idx="123">
                  <c:v>2.1875859851116369E-2</c:v>
                </c:pt>
                <c:pt idx="124">
                  <c:v>2.1523622049023687E-2</c:v>
                </c:pt>
                <c:pt idx="125">
                  <c:v>2.1081244238568535E-2</c:v>
                </c:pt>
                <c:pt idx="126">
                  <c:v>2.0927541775845673E-2</c:v>
                </c:pt>
                <c:pt idx="127">
                  <c:v>2.0537933287315176E-2</c:v>
                </c:pt>
                <c:pt idx="128">
                  <c:v>2.0259236163414972E-2</c:v>
                </c:pt>
                <c:pt idx="129">
                  <c:v>1.9958991594322607E-2</c:v>
                </c:pt>
                <c:pt idx="130">
                  <c:v>1.9693010587356716E-2</c:v>
                </c:pt>
                <c:pt idx="131">
                  <c:v>1.939728810504493E-2</c:v>
                </c:pt>
                <c:pt idx="132">
                  <c:v>1.9085779729691596E-2</c:v>
                </c:pt>
                <c:pt idx="133">
                  <c:v>1.8773238828058061E-2</c:v>
                </c:pt>
                <c:pt idx="134">
                  <c:v>1.8430463676242455E-2</c:v>
                </c:pt>
                <c:pt idx="135">
                  <c:v>1.811647567651143E-2</c:v>
                </c:pt>
                <c:pt idx="136">
                  <c:v>1.7754452629435018E-2</c:v>
                </c:pt>
                <c:pt idx="137">
                  <c:v>1.7403847693957659E-2</c:v>
                </c:pt>
                <c:pt idx="138">
                  <c:v>1.7030700543174664E-2</c:v>
                </c:pt>
                <c:pt idx="139">
                  <c:v>1.6647670065711998E-2</c:v>
                </c:pt>
                <c:pt idx="140">
                  <c:v>1.6216186603369351E-2</c:v>
                </c:pt>
                <c:pt idx="141">
                  <c:v>1.6225663413092548E-2</c:v>
                </c:pt>
                <c:pt idx="142">
                  <c:v>1.6122304252320977E-2</c:v>
                </c:pt>
                <c:pt idx="143">
                  <c:v>1.5966438361905363E-2</c:v>
                </c:pt>
                <c:pt idx="144">
                  <c:v>1.5709760601373874E-2</c:v>
                </c:pt>
                <c:pt idx="145">
                  <c:v>1.5415938119176752E-2</c:v>
                </c:pt>
                <c:pt idx="146">
                  <c:v>1.5034742146829618E-2</c:v>
                </c:pt>
                <c:pt idx="147">
                  <c:v>1.4633488868775156E-2</c:v>
                </c:pt>
                <c:pt idx="148">
                  <c:v>1.4159996612750407E-2</c:v>
                </c:pt>
                <c:pt idx="149">
                  <c:v>1.3620995779149325E-2</c:v>
                </c:pt>
                <c:pt idx="150">
                  <c:v>1.3089806866566857E-2</c:v>
                </c:pt>
                <c:pt idx="151">
                  <c:v>1.2511188192118052E-2</c:v>
                </c:pt>
                <c:pt idx="152">
                  <c:v>1.1893368692730531E-2</c:v>
                </c:pt>
                <c:pt idx="153">
                  <c:v>1.124509843037259E-2</c:v>
                </c:pt>
                <c:pt idx="154">
                  <c:v>1.0575682860149484E-2</c:v>
                </c:pt>
                <c:pt idx="155">
                  <c:v>9.8200665908675343E-3</c:v>
                </c:pt>
                <c:pt idx="156">
                  <c:v>9.1367720678030943E-3</c:v>
                </c:pt>
                <c:pt idx="157">
                  <c:v>8.3850689654226679E-3</c:v>
                </c:pt>
                <c:pt idx="158">
                  <c:v>7.570816118265199E-3</c:v>
                </c:pt>
                <c:pt idx="159">
                  <c:v>6.8660232100653442E-3</c:v>
                </c:pt>
                <c:pt idx="160">
                  <c:v>6.0351440661714642E-3</c:v>
                </c:pt>
                <c:pt idx="161">
                  <c:v>5.2534643876243564E-3</c:v>
                </c:pt>
                <c:pt idx="162">
                  <c:v>4.4461421139040521E-3</c:v>
                </c:pt>
                <c:pt idx="163">
                  <c:v>3.7133070137542745E-3</c:v>
                </c:pt>
                <c:pt idx="164">
                  <c:v>2.8832256288757025E-3</c:v>
                </c:pt>
                <c:pt idx="165">
                  <c:v>2.0549019993168259E-3</c:v>
                </c:pt>
                <c:pt idx="166">
                  <c:v>1.4359258928173238E-3</c:v>
                </c:pt>
                <c:pt idx="167">
                  <c:v>7.4864110966542982E-4</c:v>
                </c:pt>
                <c:pt idx="168">
                  <c:v>2.534521720498617E-6</c:v>
                </c:pt>
                <c:pt idx="169">
                  <c:v>7.0677853654109457E-4</c:v>
                </c:pt>
                <c:pt idx="170">
                  <c:v>1.3511906469095545E-3</c:v>
                </c:pt>
                <c:pt idx="171">
                  <c:v>2.0334904887561204E-3</c:v>
                </c:pt>
                <c:pt idx="172">
                  <c:v>2.7474584864220883E-3</c:v>
                </c:pt>
                <c:pt idx="173">
                  <c:v>3.4864753446526321E-3</c:v>
                </c:pt>
                <c:pt idx="174">
                  <c:v>4.123845743015663E-3</c:v>
                </c:pt>
                <c:pt idx="175">
                  <c:v>4.8884595321013607E-3</c:v>
                </c:pt>
                <c:pt idx="176">
                  <c:v>5.5300574178126704E-3</c:v>
                </c:pt>
                <c:pt idx="177">
                  <c:v>6.1596671473825304E-3</c:v>
                </c:pt>
                <c:pt idx="178">
                  <c:v>6.8997089092763617E-3</c:v>
                </c:pt>
                <c:pt idx="179">
                  <c:v>7.4805755950189956E-3</c:v>
                </c:pt>
                <c:pt idx="180">
                  <c:v>8.1584539630284777E-3</c:v>
                </c:pt>
                <c:pt idx="181">
                  <c:v>8.791276735024868E-3</c:v>
                </c:pt>
                <c:pt idx="182">
                  <c:v>9.3679710425510938E-3</c:v>
                </c:pt>
                <c:pt idx="183">
                  <c:v>1.0024676029174246E-2</c:v>
                </c:pt>
                <c:pt idx="184">
                  <c:v>1.0608253682159821E-2</c:v>
                </c:pt>
                <c:pt idx="185">
                  <c:v>1.1260797651228303E-2</c:v>
                </c:pt>
                <c:pt idx="186">
                  <c:v>1.1821454527939547E-2</c:v>
                </c:pt>
                <c:pt idx="187">
                  <c:v>1.2276575164398408E-2</c:v>
                </c:pt>
                <c:pt idx="188">
                  <c:v>1.2777463155246296E-2</c:v>
                </c:pt>
                <c:pt idx="189">
                  <c:v>1.3320407056062933E-2</c:v>
                </c:pt>
                <c:pt idx="190">
                  <c:v>1.3728396521109213E-2</c:v>
                </c:pt>
                <c:pt idx="191">
                  <c:v>1.4162540249188752E-2</c:v>
                </c:pt>
                <c:pt idx="192">
                  <c:v>1.4618117266247049E-2</c:v>
                </c:pt>
                <c:pt idx="193">
                  <c:v>1.4905450705008382E-2</c:v>
                </c:pt>
                <c:pt idx="194">
                  <c:v>1.5384560605647798E-2</c:v>
                </c:pt>
                <c:pt idx="195">
                  <c:v>1.5676408707873457E-2</c:v>
                </c:pt>
                <c:pt idx="196">
                  <c:v>1.5959595363528277E-2</c:v>
                </c:pt>
                <c:pt idx="197">
                  <c:v>1.6227734853979204E-2</c:v>
                </c:pt>
                <c:pt idx="198">
                  <c:v>1.6474137165767223E-2</c:v>
                </c:pt>
                <c:pt idx="199">
                  <c:v>1.6901263788975888E-2</c:v>
                </c:pt>
                <c:pt idx="200">
                  <c:v>1.7087179269683617E-2</c:v>
                </c:pt>
                <c:pt idx="201">
                  <c:v>1.7447740052647806E-2</c:v>
                </c:pt>
                <c:pt idx="202">
                  <c:v>1.7542841121086436E-2</c:v>
                </c:pt>
                <c:pt idx="203">
                  <c:v>1.780539536806593E-2</c:v>
                </c:pt>
                <c:pt idx="204">
                  <c:v>1.8008666312237149E-2</c:v>
                </c:pt>
                <c:pt idx="205">
                  <c:v>1.8380539325851535E-2</c:v>
                </c:pt>
                <c:pt idx="206">
                  <c:v>1.8443216153732313E-2</c:v>
                </c:pt>
                <c:pt idx="207">
                  <c:v>1.8665518319059701E-2</c:v>
                </c:pt>
                <c:pt idx="208">
                  <c:v>1.9052372968381127E-2</c:v>
                </c:pt>
                <c:pt idx="209">
                  <c:v>1.9096089176594111E-2</c:v>
                </c:pt>
                <c:pt idx="210">
                  <c:v>1.9294040026341677E-2</c:v>
                </c:pt>
                <c:pt idx="211">
                  <c:v>1.9650902509648693E-2</c:v>
                </c:pt>
                <c:pt idx="212">
                  <c:v>1.9899590988666931E-2</c:v>
                </c:pt>
                <c:pt idx="213">
                  <c:v>2.0028853585526349E-2</c:v>
                </c:pt>
                <c:pt idx="214">
                  <c:v>2.030985505122063E-2</c:v>
                </c:pt>
                <c:pt idx="215">
                  <c:v>2.0458815524006177E-2</c:v>
                </c:pt>
                <c:pt idx="216">
                  <c:v>2.0757453499310363E-2</c:v>
                </c:pt>
                <c:pt idx="217">
                  <c:v>2.0910525060349759E-2</c:v>
                </c:pt>
                <c:pt idx="218">
                  <c:v>2.1210671848742164E-2</c:v>
                </c:pt>
                <c:pt idx="219">
                  <c:v>2.1350784841702053E-2</c:v>
                </c:pt>
                <c:pt idx="220">
                  <c:v>2.1634774376253239E-2</c:v>
                </c:pt>
                <c:pt idx="221">
                  <c:v>2.2067016546464702E-2</c:v>
                </c:pt>
                <c:pt idx="222">
                  <c:v>2.2321833642406846E-2</c:v>
                </c:pt>
                <c:pt idx="223">
                  <c:v>2.2721165263062705E-2</c:v>
                </c:pt>
                <c:pt idx="224">
                  <c:v>2.2926151715741808E-2</c:v>
                </c:pt>
                <c:pt idx="225">
                  <c:v>2.3271184811063769E-2</c:v>
                </c:pt>
                <c:pt idx="226">
                  <c:v>2.3760560307154122E-2</c:v>
                </c:pt>
                <c:pt idx="227">
                  <c:v>2.4034939093373217E-2</c:v>
                </c:pt>
                <c:pt idx="228">
                  <c:v>2.4448453636667405E-2</c:v>
                </c:pt>
                <c:pt idx="229">
                  <c:v>2.5005443820261507E-2</c:v>
                </c:pt>
                <c:pt idx="230">
                  <c:v>2.5324708434197575E-2</c:v>
                </c:pt>
                <c:pt idx="231">
                  <c:v>2.6174876251203513E-2</c:v>
                </c:pt>
                <c:pt idx="232">
                  <c:v>2.6379806040511156E-2</c:v>
                </c:pt>
                <c:pt idx="233">
                  <c:v>2.7124625025185065E-2</c:v>
                </c:pt>
                <c:pt idx="234">
                  <c:v>2.7603075446888066E-2</c:v>
                </c:pt>
                <c:pt idx="235">
                  <c:v>2.8220844302623577E-2</c:v>
                </c:pt>
                <c:pt idx="236">
                  <c:v>2.8982514721994451E-2</c:v>
                </c:pt>
                <c:pt idx="237">
                  <c:v>2.9893039402634144E-2</c:v>
                </c:pt>
                <c:pt idx="238">
                  <c:v>3.0504597350319972E-2</c:v>
                </c:pt>
                <c:pt idx="239">
                  <c:v>3.1719139451140063E-2</c:v>
                </c:pt>
                <c:pt idx="240">
                  <c:v>3.2154063921077808E-2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397487"/>
        <c:axId val="1423241391"/>
      </c:lineChart>
      <c:catAx>
        <c:axId val="136360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8666079"/>
        <c:crosses val="autoZero"/>
        <c:auto val="1"/>
        <c:lblAlgn val="ctr"/>
        <c:lblOffset val="100"/>
        <c:noMultiLvlLbl val="0"/>
      </c:catAx>
      <c:valAx>
        <c:axId val="13386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601999"/>
        <c:crosses val="autoZero"/>
        <c:crossBetween val="between"/>
      </c:valAx>
      <c:valAx>
        <c:axId val="14232413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397487"/>
        <c:crosses val="max"/>
        <c:crossBetween val="between"/>
      </c:valAx>
      <c:catAx>
        <c:axId val="1504397487"/>
        <c:scaling>
          <c:orientation val="minMax"/>
        </c:scaling>
        <c:delete val="1"/>
        <c:axPos val="b"/>
        <c:majorTickMark val="out"/>
        <c:minorTickMark val="none"/>
        <c:tickLblPos val="nextTo"/>
        <c:crossAx val="1423241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699655</xdr:colOff>
      <xdr:row>4</xdr:row>
      <xdr:rowOff>147551</xdr:rowOff>
    </xdr:from>
    <xdr:to>
      <xdr:col>6</xdr:col>
      <xdr:colOff>191885</xdr:colOff>
      <xdr:row>6</xdr:row>
      <xdr:rowOff>124691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AD8663BB-1134-4669-AFDD-564445EE444D}"/>
            </a:ext>
          </a:extLst>
        </xdr:cNvPr>
        <xdr:cNvSpPr/>
      </xdr:nvSpPr>
      <xdr:spPr>
        <a:xfrm>
          <a:off x="3068782" y="923406"/>
          <a:ext cx="1861358" cy="337358"/>
        </a:xfrm>
        <a:prstGeom prst="roundRect">
          <a:avLst>
            <a:gd name="adj" fmla="val 5000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Lancement du programme</a:t>
          </a:r>
        </a:p>
      </xdr:txBody>
    </xdr:sp>
    <xdr:clientData/>
  </xdr:twoCellAnchor>
  <xdr:twoCellAnchor>
    <xdr:from>
      <xdr:col>3</xdr:col>
      <xdr:colOff>699655</xdr:colOff>
      <xdr:row>11</xdr:row>
      <xdr:rowOff>84962</xdr:rowOff>
    </xdr:from>
    <xdr:to>
      <xdr:col>6</xdr:col>
      <xdr:colOff>191885</xdr:colOff>
      <xdr:row>13</xdr:row>
      <xdr:rowOff>62102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CF817BF-CA62-4CDB-979D-060F5347CF45}"/>
            </a:ext>
          </a:extLst>
        </xdr:cNvPr>
        <xdr:cNvSpPr/>
      </xdr:nvSpPr>
      <xdr:spPr>
        <a:xfrm>
          <a:off x="3068782" y="2121580"/>
          <a:ext cx="1861358" cy="337358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Sommeil</a:t>
          </a:r>
        </a:p>
      </xdr:txBody>
    </xdr:sp>
    <xdr:clientData/>
  </xdr:twoCellAnchor>
  <xdr:twoCellAnchor>
    <xdr:from>
      <xdr:col>4</xdr:col>
      <xdr:colOff>681991</xdr:colOff>
      <xdr:row>13</xdr:row>
      <xdr:rowOff>28403</xdr:rowOff>
    </xdr:from>
    <xdr:to>
      <xdr:col>5</xdr:col>
      <xdr:colOff>50916</xdr:colOff>
      <xdr:row>13</xdr:row>
      <xdr:rowOff>62102</xdr:rowOff>
    </xdr:to>
    <xdr:cxnSp macro="">
      <xdr:nvCxnSpPr>
        <xdr:cNvPr id="16" name="Connecteur droit 15">
          <a:extLst>
            <a:ext uri="{FF2B5EF4-FFF2-40B4-BE49-F238E27FC236}">
              <a16:creationId xmlns:a16="http://schemas.microsoft.com/office/drawing/2014/main" id="{2D5A8FB6-31E8-4A4C-9062-33A571362E43}"/>
            </a:ext>
          </a:extLst>
        </xdr:cNvPr>
        <xdr:cNvCxnSpPr>
          <a:cxnSpLocks/>
          <a:stCxn id="13" idx="2"/>
        </xdr:cNvCxnSpPr>
      </xdr:nvCxnSpPr>
      <xdr:spPr>
        <a:xfrm flipH="1" flipV="1">
          <a:off x="3840827" y="2425239"/>
          <a:ext cx="158634" cy="336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701040</xdr:colOff>
      <xdr:row>8</xdr:row>
      <xdr:rowOff>26202</xdr:rowOff>
    </xdr:from>
    <xdr:to>
      <xdr:col>6</xdr:col>
      <xdr:colOff>190500</xdr:colOff>
      <xdr:row>10</xdr:row>
      <xdr:rowOff>3342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6484254-0E49-4229-A339-B5CBA2D2E0F8}"/>
            </a:ext>
          </a:extLst>
        </xdr:cNvPr>
        <xdr:cNvSpPr/>
      </xdr:nvSpPr>
      <xdr:spPr>
        <a:xfrm>
          <a:off x="3070167" y="1522493"/>
          <a:ext cx="1858588" cy="337358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initialisation</a:t>
          </a:r>
        </a:p>
      </xdr:txBody>
    </xdr:sp>
    <xdr:clientData/>
  </xdr:twoCellAnchor>
  <xdr:twoCellAnchor>
    <xdr:from>
      <xdr:col>3</xdr:col>
      <xdr:colOff>335280</xdr:colOff>
      <xdr:row>18</xdr:row>
      <xdr:rowOff>22372</xdr:rowOff>
    </xdr:from>
    <xdr:to>
      <xdr:col>6</xdr:col>
      <xdr:colOff>556260</xdr:colOff>
      <xdr:row>23</xdr:row>
      <xdr:rowOff>29992</xdr:rowOff>
    </xdr:to>
    <xdr:sp macro="" textlink="">
      <xdr:nvSpPr>
        <xdr:cNvPr id="21" name="Organigramme : Décision 20">
          <a:extLst>
            <a:ext uri="{FF2B5EF4-FFF2-40B4-BE49-F238E27FC236}">
              <a16:creationId xmlns:a16="http://schemas.microsoft.com/office/drawing/2014/main" id="{CC1D31A1-C755-4003-9A53-343EECA5DA7A}"/>
            </a:ext>
          </a:extLst>
        </xdr:cNvPr>
        <xdr:cNvSpPr/>
      </xdr:nvSpPr>
      <xdr:spPr>
        <a:xfrm>
          <a:off x="2712720" y="3359932"/>
          <a:ext cx="2598420" cy="922020"/>
        </a:xfrm>
        <a:prstGeom prst="flowChartDecision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00[3]</a:t>
          </a:r>
        </a:p>
        <a:p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(reveil avec biblio)</a:t>
          </a:r>
          <a:endParaRPr lang="fr-FR">
            <a:effectLst/>
          </a:endParaRPr>
        </a:p>
      </xdr:txBody>
    </xdr:sp>
    <xdr:clientData/>
  </xdr:twoCellAnchor>
  <xdr:twoCellAnchor>
    <xdr:from>
      <xdr:col>5</xdr:col>
      <xdr:colOff>50916</xdr:colOff>
      <xdr:row>6</xdr:row>
      <xdr:rowOff>124691</xdr:rowOff>
    </xdr:from>
    <xdr:to>
      <xdr:col>5</xdr:col>
      <xdr:colOff>50916</xdr:colOff>
      <xdr:row>8</xdr:row>
      <xdr:rowOff>26202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FC190AD6-1BA9-4846-B2E6-CEF696A00FEB}"/>
            </a:ext>
          </a:extLst>
        </xdr:cNvPr>
        <xdr:cNvCxnSpPr>
          <a:stCxn id="10" idx="2"/>
          <a:endCxn id="19" idx="0"/>
        </xdr:cNvCxnSpPr>
      </xdr:nvCxnSpPr>
      <xdr:spPr>
        <a:xfrm>
          <a:off x="3999461" y="1260764"/>
          <a:ext cx="0" cy="2617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50916</xdr:colOff>
      <xdr:row>10</xdr:row>
      <xdr:rowOff>3342</xdr:rowOff>
    </xdr:from>
    <xdr:to>
      <xdr:col>5</xdr:col>
      <xdr:colOff>50916</xdr:colOff>
      <xdr:row>11</xdr:row>
      <xdr:rowOff>84962</xdr:rowOff>
    </xdr:to>
    <xdr:cxnSp macro="">
      <xdr:nvCxnSpPr>
        <xdr:cNvPr id="29" name="Connecteur droit 28">
          <a:extLst>
            <a:ext uri="{FF2B5EF4-FFF2-40B4-BE49-F238E27FC236}">
              <a16:creationId xmlns:a16="http://schemas.microsoft.com/office/drawing/2014/main" id="{07936558-E725-4821-AFBD-536C22364550}"/>
            </a:ext>
          </a:extLst>
        </xdr:cNvPr>
        <xdr:cNvCxnSpPr>
          <a:stCxn id="19" idx="2"/>
          <a:endCxn id="13" idx="0"/>
        </xdr:cNvCxnSpPr>
      </xdr:nvCxnSpPr>
      <xdr:spPr>
        <a:xfrm>
          <a:off x="3999461" y="1859851"/>
          <a:ext cx="0" cy="2617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559031</xdr:colOff>
      <xdr:row>25</xdr:row>
      <xdr:rowOff>94904</xdr:rowOff>
    </xdr:from>
    <xdr:to>
      <xdr:col>3</xdr:col>
      <xdr:colOff>48491</xdr:colOff>
      <xdr:row>27</xdr:row>
      <xdr:rowOff>72043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6F80068-27D9-4E54-9E97-F741AD0AFD4F}"/>
            </a:ext>
          </a:extLst>
        </xdr:cNvPr>
        <xdr:cNvSpPr/>
      </xdr:nvSpPr>
      <xdr:spPr>
        <a:xfrm>
          <a:off x="559031" y="4653049"/>
          <a:ext cx="1858587" cy="3373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variable</a:t>
          </a:r>
          <a:r>
            <a:rPr lang="fr-FR" sz="1100" baseline="0"/>
            <a:t> pluie +=0,2</a:t>
          </a:r>
          <a:endParaRPr lang="fr-FR" sz="1100"/>
        </a:p>
      </xdr:txBody>
    </xdr:sp>
    <xdr:clientData/>
  </xdr:twoCellAnchor>
  <xdr:twoCellAnchor>
    <xdr:from>
      <xdr:col>1</xdr:col>
      <xdr:colOff>698616</xdr:colOff>
      <xdr:row>12</xdr:row>
      <xdr:rowOff>115095</xdr:rowOff>
    </xdr:from>
    <xdr:to>
      <xdr:col>3</xdr:col>
      <xdr:colOff>699655</xdr:colOff>
      <xdr:row>27</xdr:row>
      <xdr:rowOff>113606</xdr:rowOff>
    </xdr:to>
    <xdr:cxnSp macro="">
      <xdr:nvCxnSpPr>
        <xdr:cNvPr id="42" name="Connecteur : en angle 41">
          <a:extLst>
            <a:ext uri="{FF2B5EF4-FFF2-40B4-BE49-F238E27FC236}">
              <a16:creationId xmlns:a16="http://schemas.microsoft.com/office/drawing/2014/main" id="{D1BA70F1-E061-4BF1-BFF2-C21E9FD725F2}"/>
            </a:ext>
          </a:extLst>
        </xdr:cNvPr>
        <xdr:cNvCxnSpPr/>
      </xdr:nvCxnSpPr>
      <xdr:spPr>
        <a:xfrm rot="5400000" flipH="1" flipV="1">
          <a:off x="928480" y="2891667"/>
          <a:ext cx="2700148" cy="1580457"/>
        </a:xfrm>
        <a:prstGeom prst="bentConnector4">
          <a:avLst>
            <a:gd name="adj1" fmla="val -8466"/>
            <a:gd name="adj2" fmla="val -6874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701040</xdr:colOff>
      <xdr:row>14</xdr:row>
      <xdr:rowOff>143722</xdr:rowOff>
    </xdr:from>
    <xdr:to>
      <xdr:col>6</xdr:col>
      <xdr:colOff>190500</xdr:colOff>
      <xdr:row>16</xdr:row>
      <xdr:rowOff>120861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6A23F238-52D6-404A-867A-61D404DD7631}"/>
            </a:ext>
          </a:extLst>
        </xdr:cNvPr>
        <xdr:cNvSpPr/>
      </xdr:nvSpPr>
      <xdr:spPr>
        <a:xfrm>
          <a:off x="3070167" y="2720667"/>
          <a:ext cx="1858588" cy="337358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reveil</a:t>
          </a:r>
        </a:p>
      </xdr:txBody>
    </xdr:sp>
    <xdr:clientData/>
  </xdr:twoCellAnchor>
  <xdr:twoCellAnchor>
    <xdr:from>
      <xdr:col>5</xdr:col>
      <xdr:colOff>50916</xdr:colOff>
      <xdr:row>13</xdr:row>
      <xdr:rowOff>62102</xdr:rowOff>
    </xdr:from>
    <xdr:to>
      <xdr:col>5</xdr:col>
      <xdr:colOff>50916</xdr:colOff>
      <xdr:row>14</xdr:row>
      <xdr:rowOff>143722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A64ABA41-B200-4CAD-AB4C-989B8EA3AC31}"/>
            </a:ext>
          </a:extLst>
        </xdr:cNvPr>
        <xdr:cNvCxnSpPr>
          <a:stCxn id="13" idx="2"/>
          <a:endCxn id="56" idx="0"/>
        </xdr:cNvCxnSpPr>
      </xdr:nvCxnSpPr>
      <xdr:spPr>
        <a:xfrm>
          <a:off x="3999461" y="2458938"/>
          <a:ext cx="0" cy="2617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50916</xdr:colOff>
      <xdr:row>16</xdr:row>
      <xdr:rowOff>120861</xdr:rowOff>
    </xdr:from>
    <xdr:to>
      <xdr:col>5</xdr:col>
      <xdr:colOff>50916</xdr:colOff>
      <xdr:row>18</xdr:row>
      <xdr:rowOff>22372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6B96054E-790D-44DB-A6B2-A6BAF5B841C7}"/>
            </a:ext>
          </a:extLst>
        </xdr:cNvPr>
        <xdr:cNvCxnSpPr>
          <a:stCxn id="56" idx="2"/>
          <a:endCxn id="21" idx="0"/>
        </xdr:cNvCxnSpPr>
      </xdr:nvCxnSpPr>
      <xdr:spPr>
        <a:xfrm>
          <a:off x="3999461" y="3058025"/>
          <a:ext cx="0" cy="261729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698616</xdr:colOff>
      <xdr:row>20</xdr:row>
      <xdr:rowOff>116237</xdr:rowOff>
    </xdr:from>
    <xdr:to>
      <xdr:col>3</xdr:col>
      <xdr:colOff>335280</xdr:colOff>
      <xdr:row>25</xdr:row>
      <xdr:rowOff>94904</xdr:rowOff>
    </xdr:to>
    <xdr:cxnSp macro="">
      <xdr:nvCxnSpPr>
        <xdr:cNvPr id="82" name="Connecteur : en angle 81">
          <a:extLst>
            <a:ext uri="{FF2B5EF4-FFF2-40B4-BE49-F238E27FC236}">
              <a16:creationId xmlns:a16="http://schemas.microsoft.com/office/drawing/2014/main" id="{2AFE0BE9-2022-457E-B560-4D2306182FC8}"/>
            </a:ext>
          </a:extLst>
        </xdr:cNvPr>
        <xdr:cNvCxnSpPr>
          <a:stCxn id="21" idx="1"/>
          <a:endCxn id="36" idx="0"/>
        </xdr:cNvCxnSpPr>
      </xdr:nvCxnSpPr>
      <xdr:spPr>
        <a:xfrm rot="10800000" flipV="1">
          <a:off x="1488325" y="3773837"/>
          <a:ext cx="1216082" cy="87921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701040</xdr:colOff>
      <xdr:row>30</xdr:row>
      <xdr:rowOff>51222</xdr:rowOff>
    </xdr:from>
    <xdr:to>
      <xdr:col>6</xdr:col>
      <xdr:colOff>190500</xdr:colOff>
      <xdr:row>33</xdr:row>
      <xdr:rowOff>177991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7A66E303-8141-4703-B582-45CFD8359873}"/>
            </a:ext>
          </a:extLst>
        </xdr:cNvPr>
        <xdr:cNvSpPr/>
      </xdr:nvSpPr>
      <xdr:spPr>
        <a:xfrm>
          <a:off x="3070167" y="5509913"/>
          <a:ext cx="1858588" cy="6670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BME </a:t>
          </a:r>
        </a:p>
        <a:p>
          <a:pPr algn="ctr"/>
          <a:r>
            <a:rPr lang="fr-FR" sz="1100"/>
            <a:t>(sort init pour avoir mesure stable après)</a:t>
          </a:r>
        </a:p>
      </xdr:txBody>
    </xdr:sp>
    <xdr:clientData/>
  </xdr:twoCellAnchor>
  <xdr:twoCellAnchor>
    <xdr:from>
      <xdr:col>5</xdr:col>
      <xdr:colOff>50916</xdr:colOff>
      <xdr:row>28</xdr:row>
      <xdr:rowOff>149711</xdr:rowOff>
    </xdr:from>
    <xdr:to>
      <xdr:col>5</xdr:col>
      <xdr:colOff>50916</xdr:colOff>
      <xdr:row>30</xdr:row>
      <xdr:rowOff>51222</xdr:rowOff>
    </xdr:to>
    <xdr:cxnSp macro="">
      <xdr:nvCxnSpPr>
        <xdr:cNvPr id="90" name="Connecteur droit 89">
          <a:extLst>
            <a:ext uri="{FF2B5EF4-FFF2-40B4-BE49-F238E27FC236}">
              <a16:creationId xmlns:a16="http://schemas.microsoft.com/office/drawing/2014/main" id="{00D5505C-EDAA-493A-A41D-6ADF20E4F44A}"/>
            </a:ext>
          </a:extLst>
        </xdr:cNvPr>
        <xdr:cNvCxnSpPr>
          <a:stCxn id="101" idx="2"/>
          <a:endCxn id="88" idx="0"/>
        </xdr:cNvCxnSpPr>
      </xdr:nvCxnSpPr>
      <xdr:spPr>
        <a:xfrm>
          <a:off x="3999461" y="5248184"/>
          <a:ext cx="0" cy="261729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701040</xdr:colOff>
      <xdr:row>35</xdr:row>
      <xdr:rowOff>79502</xdr:rowOff>
    </xdr:from>
    <xdr:to>
      <xdr:col>6</xdr:col>
      <xdr:colOff>190500</xdr:colOff>
      <xdr:row>38</xdr:row>
      <xdr:rowOff>125222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4EBE761F-77D6-4E6E-BB96-1104520B08CB}"/>
            </a:ext>
          </a:extLst>
        </xdr:cNvPr>
        <xdr:cNvSpPr/>
      </xdr:nvSpPr>
      <xdr:spPr>
        <a:xfrm>
          <a:off x="3070167" y="6438738"/>
          <a:ext cx="1858588" cy="5860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Vitesse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(10s)</a:t>
          </a:r>
        </a:p>
      </xdr:txBody>
    </xdr:sp>
    <xdr:clientData/>
  </xdr:twoCellAnchor>
  <xdr:twoCellAnchor>
    <xdr:from>
      <xdr:col>5</xdr:col>
      <xdr:colOff>50916</xdr:colOff>
      <xdr:row>33</xdr:row>
      <xdr:rowOff>177991</xdr:rowOff>
    </xdr:from>
    <xdr:to>
      <xdr:col>5</xdr:col>
      <xdr:colOff>50916</xdr:colOff>
      <xdr:row>35</xdr:row>
      <xdr:rowOff>79502</xdr:rowOff>
    </xdr:to>
    <xdr:cxnSp macro="">
      <xdr:nvCxnSpPr>
        <xdr:cNvPr id="93" name="Connecteur droit 92">
          <a:extLst>
            <a:ext uri="{FF2B5EF4-FFF2-40B4-BE49-F238E27FC236}">
              <a16:creationId xmlns:a16="http://schemas.microsoft.com/office/drawing/2014/main" id="{E41266F9-27B0-41B6-ADD1-ECC60FF8D059}"/>
            </a:ext>
          </a:extLst>
        </xdr:cNvPr>
        <xdr:cNvCxnSpPr>
          <a:stCxn id="88" idx="2"/>
          <a:endCxn id="91" idx="0"/>
        </xdr:cNvCxnSpPr>
      </xdr:nvCxnSpPr>
      <xdr:spPr>
        <a:xfrm>
          <a:off x="3999461" y="6177009"/>
          <a:ext cx="0" cy="261729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701040</xdr:colOff>
      <xdr:row>40</xdr:row>
      <xdr:rowOff>26733</xdr:rowOff>
    </xdr:from>
    <xdr:to>
      <xdr:col>6</xdr:col>
      <xdr:colOff>190500</xdr:colOff>
      <xdr:row>43</xdr:row>
      <xdr:rowOff>69682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2FAC819F-A7AE-4304-9926-89C110189FBC}"/>
            </a:ext>
          </a:extLst>
        </xdr:cNvPr>
        <xdr:cNvSpPr/>
      </xdr:nvSpPr>
      <xdr:spPr>
        <a:xfrm>
          <a:off x="3070167" y="7286515"/>
          <a:ext cx="1858588" cy="5832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Direction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(5s)</a:t>
          </a:r>
        </a:p>
      </xdr:txBody>
    </xdr:sp>
    <xdr:clientData/>
  </xdr:twoCellAnchor>
  <xdr:twoCellAnchor>
    <xdr:from>
      <xdr:col>3</xdr:col>
      <xdr:colOff>701040</xdr:colOff>
      <xdr:row>44</xdr:row>
      <xdr:rowOff>151302</xdr:rowOff>
    </xdr:from>
    <xdr:to>
      <xdr:col>6</xdr:col>
      <xdr:colOff>190500</xdr:colOff>
      <xdr:row>46</xdr:row>
      <xdr:rowOff>24533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DD76CB27-B8C2-4621-B845-403302174DEF}"/>
            </a:ext>
          </a:extLst>
        </xdr:cNvPr>
        <xdr:cNvSpPr/>
      </xdr:nvSpPr>
      <xdr:spPr>
        <a:xfrm>
          <a:off x="3070167" y="8131520"/>
          <a:ext cx="1858588" cy="2334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BME</a:t>
          </a:r>
        </a:p>
      </xdr:txBody>
    </xdr:sp>
    <xdr:clientData/>
  </xdr:twoCellAnchor>
  <xdr:twoCellAnchor>
    <xdr:from>
      <xdr:col>3</xdr:col>
      <xdr:colOff>480060</xdr:colOff>
      <xdr:row>24</xdr:row>
      <xdr:rowOff>111612</xdr:rowOff>
    </xdr:from>
    <xdr:to>
      <xdr:col>6</xdr:col>
      <xdr:colOff>411480</xdr:colOff>
      <xdr:row>28</xdr:row>
      <xdr:rowOff>149711</xdr:rowOff>
    </xdr:to>
    <xdr:sp macro="" textlink="">
      <xdr:nvSpPr>
        <xdr:cNvPr id="101" name="Organigramme : Décision 100">
          <a:extLst>
            <a:ext uri="{FF2B5EF4-FFF2-40B4-BE49-F238E27FC236}">
              <a16:creationId xmlns:a16="http://schemas.microsoft.com/office/drawing/2014/main" id="{D397A77E-C152-40B2-B766-E2A34AB4289A}"/>
            </a:ext>
          </a:extLst>
        </xdr:cNvPr>
        <xdr:cNvSpPr/>
      </xdr:nvSpPr>
      <xdr:spPr>
        <a:xfrm>
          <a:off x="2857500" y="4546452"/>
          <a:ext cx="2308860" cy="769619"/>
        </a:xfrm>
        <a:prstGeom prst="flowChartDecision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00[15]</a:t>
          </a:r>
          <a:endParaRPr lang="fr-FR">
            <a:effectLst/>
          </a:endParaRPr>
        </a:p>
      </xdr:txBody>
    </xdr:sp>
    <xdr:clientData/>
  </xdr:twoCellAnchor>
  <xdr:twoCellAnchor>
    <xdr:from>
      <xdr:col>5</xdr:col>
      <xdr:colOff>50916</xdr:colOff>
      <xdr:row>23</xdr:row>
      <xdr:rowOff>29992</xdr:rowOff>
    </xdr:from>
    <xdr:to>
      <xdr:col>5</xdr:col>
      <xdr:colOff>50916</xdr:colOff>
      <xdr:row>24</xdr:row>
      <xdr:rowOff>111612</xdr:rowOff>
    </xdr:to>
    <xdr:cxnSp macro="">
      <xdr:nvCxnSpPr>
        <xdr:cNvPr id="103" name="Connecteur droit 102">
          <a:extLst>
            <a:ext uri="{FF2B5EF4-FFF2-40B4-BE49-F238E27FC236}">
              <a16:creationId xmlns:a16="http://schemas.microsoft.com/office/drawing/2014/main" id="{6BE2F739-ED35-446F-9C2A-434AE806E4A4}"/>
            </a:ext>
          </a:extLst>
        </xdr:cNvPr>
        <xdr:cNvCxnSpPr>
          <a:cxnSpLocks/>
          <a:stCxn id="101" idx="0"/>
          <a:endCxn id="21" idx="2"/>
        </xdr:cNvCxnSpPr>
      </xdr:nvCxnSpPr>
      <xdr:spPr>
        <a:xfrm flipV="1">
          <a:off x="3999461" y="4227919"/>
          <a:ext cx="0" cy="261729"/>
        </a:xfrm>
        <a:prstGeom prst="line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191885</xdr:colOff>
      <xdr:row>12</xdr:row>
      <xdr:rowOff>73532</xdr:rowOff>
    </xdr:from>
    <xdr:to>
      <xdr:col>6</xdr:col>
      <xdr:colOff>411480</xdr:colOff>
      <xdr:row>26</xdr:row>
      <xdr:rowOff>130661</xdr:rowOff>
    </xdr:to>
    <xdr:cxnSp macro="">
      <xdr:nvCxnSpPr>
        <xdr:cNvPr id="123" name="Connecteur : en angle 122">
          <a:extLst>
            <a:ext uri="{FF2B5EF4-FFF2-40B4-BE49-F238E27FC236}">
              <a16:creationId xmlns:a16="http://schemas.microsoft.com/office/drawing/2014/main" id="{235D224D-114E-4BE2-AE0E-BA6FF68CF734}"/>
            </a:ext>
          </a:extLst>
        </xdr:cNvPr>
        <xdr:cNvCxnSpPr>
          <a:stCxn id="101" idx="3"/>
          <a:endCxn id="13" idx="3"/>
        </xdr:cNvCxnSpPr>
      </xdr:nvCxnSpPr>
      <xdr:spPr>
        <a:xfrm flipH="1" flipV="1">
          <a:off x="4930140" y="2290259"/>
          <a:ext cx="219595" cy="2578657"/>
        </a:xfrm>
        <a:prstGeom prst="bentConnector3">
          <a:avLst>
            <a:gd name="adj1" fmla="val -10410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701040</xdr:colOff>
      <xdr:row>47</xdr:row>
      <xdr:rowOff>106153</xdr:rowOff>
    </xdr:from>
    <xdr:to>
      <xdr:col>6</xdr:col>
      <xdr:colOff>190500</xdr:colOff>
      <xdr:row>49</xdr:row>
      <xdr:rowOff>22332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A18BBA81-0C89-4F4F-BF76-C7333536B11D}"/>
            </a:ext>
          </a:extLst>
        </xdr:cNvPr>
        <xdr:cNvSpPr/>
      </xdr:nvSpPr>
      <xdr:spPr>
        <a:xfrm>
          <a:off x="3070167" y="8626698"/>
          <a:ext cx="1858588" cy="2763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Light (PIM75)</a:t>
          </a:r>
        </a:p>
      </xdr:txBody>
    </xdr:sp>
    <xdr:clientData/>
  </xdr:twoCellAnchor>
  <xdr:twoCellAnchor>
    <xdr:from>
      <xdr:col>3</xdr:col>
      <xdr:colOff>701040</xdr:colOff>
      <xdr:row>50</xdr:row>
      <xdr:rowOff>103952</xdr:rowOff>
    </xdr:from>
    <xdr:to>
      <xdr:col>6</xdr:col>
      <xdr:colOff>190500</xdr:colOff>
      <xdr:row>53</xdr:row>
      <xdr:rowOff>149672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9CA7999E-521E-4C99-AECB-45E772ACF3C3}"/>
            </a:ext>
          </a:extLst>
        </xdr:cNvPr>
        <xdr:cNvSpPr/>
      </xdr:nvSpPr>
      <xdr:spPr>
        <a:xfrm>
          <a:off x="3070167" y="9164825"/>
          <a:ext cx="1858588" cy="5860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Batterie</a:t>
          </a:r>
          <a:endParaRPr lang="fr-FR" sz="1100" baseline="0"/>
        </a:p>
        <a:p>
          <a:pPr algn="ctr"/>
          <a:r>
            <a:rPr lang="fr-FR" sz="1100" baseline="0"/>
            <a:t>(temp + volt)</a:t>
          </a:r>
          <a:endParaRPr lang="fr-FR" sz="1100"/>
        </a:p>
      </xdr:txBody>
    </xdr:sp>
    <xdr:clientData/>
  </xdr:twoCellAnchor>
  <xdr:twoCellAnchor>
    <xdr:from>
      <xdr:col>3</xdr:col>
      <xdr:colOff>701040</xdr:colOff>
      <xdr:row>55</xdr:row>
      <xdr:rowOff>51183</xdr:rowOff>
    </xdr:from>
    <xdr:to>
      <xdr:col>6</xdr:col>
      <xdr:colOff>190500</xdr:colOff>
      <xdr:row>57</xdr:row>
      <xdr:rowOff>13083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5E3EFF20-7A87-45C9-8A86-A4FB2A3EB855}"/>
            </a:ext>
          </a:extLst>
        </xdr:cNvPr>
        <xdr:cNvSpPr/>
      </xdr:nvSpPr>
      <xdr:spPr>
        <a:xfrm>
          <a:off x="3070167" y="10012601"/>
          <a:ext cx="1858588" cy="3221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Calcul grandeur</a:t>
          </a:r>
        </a:p>
      </xdr:txBody>
    </xdr:sp>
    <xdr:clientData/>
  </xdr:twoCellAnchor>
  <xdr:twoCellAnchor>
    <xdr:from>
      <xdr:col>3</xdr:col>
      <xdr:colOff>699655</xdr:colOff>
      <xdr:row>58</xdr:row>
      <xdr:rowOff>94703</xdr:rowOff>
    </xdr:from>
    <xdr:to>
      <xdr:col>6</xdr:col>
      <xdr:colOff>191885</xdr:colOff>
      <xdr:row>60</xdr:row>
      <xdr:rowOff>94702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E6412B96-D9B2-4BD2-A3C2-EEB0F30A2967}"/>
            </a:ext>
          </a:extLst>
        </xdr:cNvPr>
        <xdr:cNvSpPr/>
      </xdr:nvSpPr>
      <xdr:spPr>
        <a:xfrm>
          <a:off x="3068782" y="10596448"/>
          <a:ext cx="1861358" cy="3602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Création message</a:t>
          </a:r>
        </a:p>
      </xdr:txBody>
    </xdr:sp>
    <xdr:clientData/>
  </xdr:twoCellAnchor>
  <xdr:twoCellAnchor>
    <xdr:from>
      <xdr:col>3</xdr:col>
      <xdr:colOff>701040</xdr:colOff>
      <xdr:row>61</xdr:row>
      <xdr:rowOff>176322</xdr:rowOff>
    </xdr:from>
    <xdr:to>
      <xdr:col>6</xdr:col>
      <xdr:colOff>190500</xdr:colOff>
      <xdr:row>63</xdr:row>
      <xdr:rowOff>176322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DBB9C0B6-540B-4B26-88DA-F9928C378616}"/>
            </a:ext>
          </a:extLst>
        </xdr:cNvPr>
        <xdr:cNvSpPr/>
      </xdr:nvSpPr>
      <xdr:spPr>
        <a:xfrm>
          <a:off x="3070167" y="11218395"/>
          <a:ext cx="1858588" cy="3602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RAZ pluie</a:t>
          </a:r>
        </a:p>
      </xdr:txBody>
    </xdr:sp>
    <xdr:clientData/>
  </xdr:twoCellAnchor>
  <xdr:twoCellAnchor>
    <xdr:from>
      <xdr:col>3</xdr:col>
      <xdr:colOff>701040</xdr:colOff>
      <xdr:row>68</xdr:row>
      <xdr:rowOff>159453</xdr:rowOff>
    </xdr:from>
    <xdr:to>
      <xdr:col>6</xdr:col>
      <xdr:colOff>190500</xdr:colOff>
      <xdr:row>70</xdr:row>
      <xdr:rowOff>159453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2B16DC61-711F-4422-9217-CF687F0895BF}"/>
            </a:ext>
          </a:extLst>
        </xdr:cNvPr>
        <xdr:cNvSpPr/>
      </xdr:nvSpPr>
      <xdr:spPr>
        <a:xfrm>
          <a:off x="3070167" y="12462289"/>
          <a:ext cx="1858588" cy="3602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Envoie message</a:t>
          </a:r>
        </a:p>
      </xdr:txBody>
    </xdr:sp>
    <xdr:clientData/>
  </xdr:twoCellAnchor>
  <xdr:twoCellAnchor>
    <xdr:from>
      <xdr:col>3</xdr:col>
      <xdr:colOff>701040</xdr:colOff>
      <xdr:row>65</xdr:row>
      <xdr:rowOff>77833</xdr:rowOff>
    </xdr:from>
    <xdr:to>
      <xdr:col>6</xdr:col>
      <xdr:colOff>190500</xdr:colOff>
      <xdr:row>67</xdr:row>
      <xdr:rowOff>77833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E00A00B8-69CE-45AD-9D89-701F2F48E37C}"/>
            </a:ext>
          </a:extLst>
        </xdr:cNvPr>
        <xdr:cNvSpPr/>
      </xdr:nvSpPr>
      <xdr:spPr>
        <a:xfrm>
          <a:off x="3070167" y="11840342"/>
          <a:ext cx="1858588" cy="3602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dettach interrupt pluie</a:t>
          </a:r>
        </a:p>
      </xdr:txBody>
    </xdr:sp>
    <xdr:clientData/>
  </xdr:twoCellAnchor>
  <xdr:twoCellAnchor>
    <xdr:from>
      <xdr:col>3</xdr:col>
      <xdr:colOff>701040</xdr:colOff>
      <xdr:row>72</xdr:row>
      <xdr:rowOff>60960</xdr:rowOff>
    </xdr:from>
    <xdr:to>
      <xdr:col>6</xdr:col>
      <xdr:colOff>190500</xdr:colOff>
      <xdr:row>74</xdr:row>
      <xdr:rowOff>60960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66B48F14-06BB-4922-BDFC-BCD2F3AEF35B}"/>
            </a:ext>
          </a:extLst>
        </xdr:cNvPr>
        <xdr:cNvSpPr/>
      </xdr:nvSpPr>
      <xdr:spPr>
        <a:xfrm>
          <a:off x="3070167" y="13084233"/>
          <a:ext cx="1858588" cy="3602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attach interrupt pluie</a:t>
          </a:r>
        </a:p>
      </xdr:txBody>
    </xdr:sp>
    <xdr:clientData/>
  </xdr:twoCellAnchor>
  <xdr:twoCellAnchor>
    <xdr:from>
      <xdr:col>5</xdr:col>
      <xdr:colOff>50916</xdr:colOff>
      <xdr:row>38</xdr:row>
      <xdr:rowOff>125222</xdr:rowOff>
    </xdr:from>
    <xdr:to>
      <xdr:col>5</xdr:col>
      <xdr:colOff>50916</xdr:colOff>
      <xdr:row>40</xdr:row>
      <xdr:rowOff>26733</xdr:rowOff>
    </xdr:to>
    <xdr:cxnSp macro="">
      <xdr:nvCxnSpPr>
        <xdr:cNvPr id="137" name="Connecteur droit avec flèche 136">
          <a:extLst>
            <a:ext uri="{FF2B5EF4-FFF2-40B4-BE49-F238E27FC236}">
              <a16:creationId xmlns:a16="http://schemas.microsoft.com/office/drawing/2014/main" id="{6C0A97ED-71F2-420C-ACBA-F1F2AD0BE9A4}"/>
            </a:ext>
          </a:extLst>
        </xdr:cNvPr>
        <xdr:cNvCxnSpPr>
          <a:stCxn id="91" idx="2"/>
          <a:endCxn id="96" idx="0"/>
        </xdr:cNvCxnSpPr>
      </xdr:nvCxnSpPr>
      <xdr:spPr>
        <a:xfrm>
          <a:off x="3999461" y="7024786"/>
          <a:ext cx="0" cy="2617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50916</xdr:colOff>
      <xdr:row>43</xdr:row>
      <xdr:rowOff>69682</xdr:rowOff>
    </xdr:from>
    <xdr:to>
      <xdr:col>5</xdr:col>
      <xdr:colOff>50916</xdr:colOff>
      <xdr:row>44</xdr:row>
      <xdr:rowOff>151302</xdr:rowOff>
    </xdr:to>
    <xdr:cxnSp macro="">
      <xdr:nvCxnSpPr>
        <xdr:cNvPr id="138" name="Connecteur droit avec flèche 137">
          <a:extLst>
            <a:ext uri="{FF2B5EF4-FFF2-40B4-BE49-F238E27FC236}">
              <a16:creationId xmlns:a16="http://schemas.microsoft.com/office/drawing/2014/main" id="{040A828F-799D-4368-9F10-B3DCAA7098BE}"/>
            </a:ext>
          </a:extLst>
        </xdr:cNvPr>
        <xdr:cNvCxnSpPr>
          <a:stCxn id="96" idx="2"/>
          <a:endCxn id="97" idx="0"/>
        </xdr:cNvCxnSpPr>
      </xdr:nvCxnSpPr>
      <xdr:spPr>
        <a:xfrm>
          <a:off x="3999461" y="7869791"/>
          <a:ext cx="0" cy="2617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50916</xdr:colOff>
      <xdr:row>46</xdr:row>
      <xdr:rowOff>24533</xdr:rowOff>
    </xdr:from>
    <xdr:to>
      <xdr:col>5</xdr:col>
      <xdr:colOff>50916</xdr:colOff>
      <xdr:row>47</xdr:row>
      <xdr:rowOff>106153</xdr:rowOff>
    </xdr:to>
    <xdr:cxnSp macro="">
      <xdr:nvCxnSpPr>
        <xdr:cNvPr id="141" name="Connecteur droit avec flèche 140">
          <a:extLst>
            <a:ext uri="{FF2B5EF4-FFF2-40B4-BE49-F238E27FC236}">
              <a16:creationId xmlns:a16="http://schemas.microsoft.com/office/drawing/2014/main" id="{DBA2E845-1A43-4211-84B8-07C90F179F9B}"/>
            </a:ext>
          </a:extLst>
        </xdr:cNvPr>
        <xdr:cNvCxnSpPr>
          <a:stCxn id="97" idx="2"/>
          <a:endCxn id="126" idx="0"/>
        </xdr:cNvCxnSpPr>
      </xdr:nvCxnSpPr>
      <xdr:spPr>
        <a:xfrm>
          <a:off x="3999461" y="8364969"/>
          <a:ext cx="0" cy="2617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50916</xdr:colOff>
      <xdr:row>49</xdr:row>
      <xdr:rowOff>22332</xdr:rowOff>
    </xdr:from>
    <xdr:to>
      <xdr:col>5</xdr:col>
      <xdr:colOff>50916</xdr:colOff>
      <xdr:row>50</xdr:row>
      <xdr:rowOff>103952</xdr:rowOff>
    </xdr:to>
    <xdr:cxnSp macro="">
      <xdr:nvCxnSpPr>
        <xdr:cNvPr id="144" name="Connecteur droit avec flèche 143">
          <a:extLst>
            <a:ext uri="{FF2B5EF4-FFF2-40B4-BE49-F238E27FC236}">
              <a16:creationId xmlns:a16="http://schemas.microsoft.com/office/drawing/2014/main" id="{983492D2-8522-4976-9949-E961D4CA896B}"/>
            </a:ext>
          </a:extLst>
        </xdr:cNvPr>
        <xdr:cNvCxnSpPr>
          <a:stCxn id="126" idx="2"/>
          <a:endCxn id="127" idx="0"/>
        </xdr:cNvCxnSpPr>
      </xdr:nvCxnSpPr>
      <xdr:spPr>
        <a:xfrm>
          <a:off x="3999461" y="8903096"/>
          <a:ext cx="0" cy="2617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50916</xdr:colOff>
      <xdr:row>53</xdr:row>
      <xdr:rowOff>149672</xdr:rowOff>
    </xdr:from>
    <xdr:to>
      <xdr:col>5</xdr:col>
      <xdr:colOff>50916</xdr:colOff>
      <xdr:row>55</xdr:row>
      <xdr:rowOff>51183</xdr:rowOff>
    </xdr:to>
    <xdr:cxnSp macro="">
      <xdr:nvCxnSpPr>
        <xdr:cNvPr id="147" name="Connecteur droit avec flèche 146">
          <a:extLst>
            <a:ext uri="{FF2B5EF4-FFF2-40B4-BE49-F238E27FC236}">
              <a16:creationId xmlns:a16="http://schemas.microsoft.com/office/drawing/2014/main" id="{6127ED1A-2D86-4E26-AA2A-A01F43B9A7AB}"/>
            </a:ext>
          </a:extLst>
        </xdr:cNvPr>
        <xdr:cNvCxnSpPr>
          <a:stCxn id="127" idx="2"/>
          <a:endCxn id="128" idx="0"/>
        </xdr:cNvCxnSpPr>
      </xdr:nvCxnSpPr>
      <xdr:spPr>
        <a:xfrm>
          <a:off x="3999461" y="9750872"/>
          <a:ext cx="0" cy="2617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50916</xdr:colOff>
      <xdr:row>57</xdr:row>
      <xdr:rowOff>13083</xdr:rowOff>
    </xdr:from>
    <xdr:to>
      <xdr:col>5</xdr:col>
      <xdr:colOff>50916</xdr:colOff>
      <xdr:row>58</xdr:row>
      <xdr:rowOff>94703</xdr:rowOff>
    </xdr:to>
    <xdr:cxnSp macro="">
      <xdr:nvCxnSpPr>
        <xdr:cNvPr id="150" name="Connecteur droit avec flèche 149">
          <a:extLst>
            <a:ext uri="{FF2B5EF4-FFF2-40B4-BE49-F238E27FC236}">
              <a16:creationId xmlns:a16="http://schemas.microsoft.com/office/drawing/2014/main" id="{AD57EB2A-891B-4D42-9F07-CFB1BD70059B}"/>
            </a:ext>
          </a:extLst>
        </xdr:cNvPr>
        <xdr:cNvCxnSpPr>
          <a:stCxn id="128" idx="2"/>
          <a:endCxn id="129" idx="0"/>
        </xdr:cNvCxnSpPr>
      </xdr:nvCxnSpPr>
      <xdr:spPr>
        <a:xfrm>
          <a:off x="3999461" y="10334719"/>
          <a:ext cx="0" cy="2617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50916</xdr:colOff>
      <xdr:row>60</xdr:row>
      <xdr:rowOff>94702</xdr:rowOff>
    </xdr:from>
    <xdr:to>
      <xdr:col>5</xdr:col>
      <xdr:colOff>50916</xdr:colOff>
      <xdr:row>61</xdr:row>
      <xdr:rowOff>176322</xdr:rowOff>
    </xdr:to>
    <xdr:cxnSp macro="">
      <xdr:nvCxnSpPr>
        <xdr:cNvPr id="153" name="Connecteur droit avec flèche 152">
          <a:extLst>
            <a:ext uri="{FF2B5EF4-FFF2-40B4-BE49-F238E27FC236}">
              <a16:creationId xmlns:a16="http://schemas.microsoft.com/office/drawing/2014/main" id="{7CD4755B-D23E-419E-A9FA-573083902FD9}"/>
            </a:ext>
          </a:extLst>
        </xdr:cNvPr>
        <xdr:cNvCxnSpPr>
          <a:stCxn id="129" idx="2"/>
          <a:endCxn id="131" idx="0"/>
        </xdr:cNvCxnSpPr>
      </xdr:nvCxnSpPr>
      <xdr:spPr>
        <a:xfrm>
          <a:off x="3999461" y="10956666"/>
          <a:ext cx="0" cy="2617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50916</xdr:colOff>
      <xdr:row>63</xdr:row>
      <xdr:rowOff>176322</xdr:rowOff>
    </xdr:from>
    <xdr:to>
      <xdr:col>5</xdr:col>
      <xdr:colOff>50916</xdr:colOff>
      <xdr:row>65</xdr:row>
      <xdr:rowOff>77833</xdr:rowOff>
    </xdr:to>
    <xdr:cxnSp macro="">
      <xdr:nvCxnSpPr>
        <xdr:cNvPr id="156" name="Connecteur droit avec flèche 155">
          <a:extLst>
            <a:ext uri="{FF2B5EF4-FFF2-40B4-BE49-F238E27FC236}">
              <a16:creationId xmlns:a16="http://schemas.microsoft.com/office/drawing/2014/main" id="{E10E73DB-F2B6-4D46-8E48-285751510580}"/>
            </a:ext>
          </a:extLst>
        </xdr:cNvPr>
        <xdr:cNvCxnSpPr>
          <a:stCxn id="131" idx="2"/>
          <a:endCxn id="134" idx="0"/>
        </xdr:cNvCxnSpPr>
      </xdr:nvCxnSpPr>
      <xdr:spPr>
        <a:xfrm>
          <a:off x="3999461" y="11578613"/>
          <a:ext cx="0" cy="2617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50916</xdr:colOff>
      <xdr:row>67</xdr:row>
      <xdr:rowOff>77833</xdr:rowOff>
    </xdr:from>
    <xdr:to>
      <xdr:col>5</xdr:col>
      <xdr:colOff>50916</xdr:colOff>
      <xdr:row>68</xdr:row>
      <xdr:rowOff>159453</xdr:rowOff>
    </xdr:to>
    <xdr:cxnSp macro="">
      <xdr:nvCxnSpPr>
        <xdr:cNvPr id="159" name="Connecteur droit avec flèche 158">
          <a:extLst>
            <a:ext uri="{FF2B5EF4-FFF2-40B4-BE49-F238E27FC236}">
              <a16:creationId xmlns:a16="http://schemas.microsoft.com/office/drawing/2014/main" id="{54FB6313-D5AB-47A5-B6EE-3B9D21E3FA0E}"/>
            </a:ext>
          </a:extLst>
        </xdr:cNvPr>
        <xdr:cNvCxnSpPr>
          <a:stCxn id="134" idx="2"/>
          <a:endCxn id="132" idx="0"/>
        </xdr:cNvCxnSpPr>
      </xdr:nvCxnSpPr>
      <xdr:spPr>
        <a:xfrm>
          <a:off x="3999461" y="12200560"/>
          <a:ext cx="0" cy="2617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50916</xdr:colOff>
      <xdr:row>70</xdr:row>
      <xdr:rowOff>159453</xdr:rowOff>
    </xdr:from>
    <xdr:to>
      <xdr:col>5</xdr:col>
      <xdr:colOff>50916</xdr:colOff>
      <xdr:row>72</xdr:row>
      <xdr:rowOff>60960</xdr:rowOff>
    </xdr:to>
    <xdr:cxnSp macro="">
      <xdr:nvCxnSpPr>
        <xdr:cNvPr id="162" name="Connecteur droit avec flèche 161">
          <a:extLst>
            <a:ext uri="{FF2B5EF4-FFF2-40B4-BE49-F238E27FC236}">
              <a16:creationId xmlns:a16="http://schemas.microsoft.com/office/drawing/2014/main" id="{8A126139-EBCD-4D15-9680-947C5898048C}"/>
            </a:ext>
          </a:extLst>
        </xdr:cNvPr>
        <xdr:cNvCxnSpPr>
          <a:stCxn id="132" idx="2"/>
          <a:endCxn id="135" idx="0"/>
        </xdr:cNvCxnSpPr>
      </xdr:nvCxnSpPr>
      <xdr:spPr>
        <a:xfrm>
          <a:off x="3999461" y="12822508"/>
          <a:ext cx="0" cy="261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50915</xdr:colOff>
      <xdr:row>12</xdr:row>
      <xdr:rowOff>73532</xdr:rowOff>
    </xdr:from>
    <xdr:to>
      <xdr:col>6</xdr:col>
      <xdr:colOff>191884</xdr:colOff>
      <xdr:row>74</xdr:row>
      <xdr:rowOff>60960</xdr:rowOff>
    </xdr:to>
    <xdr:cxnSp macro="">
      <xdr:nvCxnSpPr>
        <xdr:cNvPr id="166" name="Connecteur : en angle 165">
          <a:extLst>
            <a:ext uri="{FF2B5EF4-FFF2-40B4-BE49-F238E27FC236}">
              <a16:creationId xmlns:a16="http://schemas.microsoft.com/office/drawing/2014/main" id="{C7DB253B-37FF-40A5-B869-107D85C9C0B1}"/>
            </a:ext>
          </a:extLst>
        </xdr:cNvPr>
        <xdr:cNvCxnSpPr>
          <a:stCxn id="135" idx="2"/>
          <a:endCxn id="13" idx="3"/>
        </xdr:cNvCxnSpPr>
      </xdr:nvCxnSpPr>
      <xdr:spPr>
        <a:xfrm rot="5400000" flipH="1" flipV="1">
          <a:off x="-1112296" y="7402015"/>
          <a:ext cx="11154192" cy="930679"/>
        </a:xfrm>
        <a:prstGeom prst="bentConnector4">
          <a:avLst>
            <a:gd name="adj1" fmla="val -2049"/>
            <a:gd name="adj2" fmla="val 27491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380307</xdr:colOff>
      <xdr:row>9</xdr:row>
      <xdr:rowOff>181373</xdr:rowOff>
    </xdr:from>
    <xdr:to>
      <xdr:col>11</xdr:col>
      <xdr:colOff>662247</xdr:colOff>
      <xdr:row>11</xdr:row>
      <xdr:rowOff>158513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9FBA0D1C-79BD-47ED-B648-C09F15FF1696}"/>
            </a:ext>
          </a:extLst>
        </xdr:cNvPr>
        <xdr:cNvSpPr/>
      </xdr:nvSpPr>
      <xdr:spPr>
        <a:xfrm>
          <a:off x="7512627" y="1873013"/>
          <a:ext cx="1866900" cy="34290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code principal</a:t>
          </a:r>
          <a:endParaRPr lang="fr-FR" sz="1100"/>
        </a:p>
      </xdr:txBody>
    </xdr:sp>
    <xdr:clientData/>
  </xdr:twoCellAnchor>
  <xdr:twoCellAnchor>
    <xdr:from>
      <xdr:col>9</xdr:col>
      <xdr:colOff>342207</xdr:colOff>
      <xdr:row>13</xdr:row>
      <xdr:rowOff>92093</xdr:rowOff>
    </xdr:from>
    <xdr:to>
      <xdr:col>11</xdr:col>
      <xdr:colOff>624147</xdr:colOff>
      <xdr:row>15</xdr:row>
      <xdr:rowOff>144780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86FD405A-6947-426E-BA6F-40EACE36E73F}"/>
            </a:ext>
          </a:extLst>
        </xdr:cNvPr>
        <xdr:cNvSpPr/>
      </xdr:nvSpPr>
      <xdr:spPr>
        <a:xfrm>
          <a:off x="7474527" y="2515253"/>
          <a:ext cx="1866900" cy="4184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classe WeatherStation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178904</xdr:colOff>
      <xdr:row>12</xdr:row>
      <xdr:rowOff>13253</xdr:rowOff>
    </xdr:from>
    <xdr:to>
      <xdr:col>10</xdr:col>
      <xdr:colOff>775252</xdr:colOff>
      <xdr:row>26</xdr:row>
      <xdr:rowOff>159027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9009C65-5B1F-4580-BBBD-D44523FE2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496957</xdr:colOff>
      <xdr:row>41</xdr:row>
      <xdr:rowOff>172278</xdr:rowOff>
    </xdr:from>
    <xdr:to>
      <xdr:col>10</xdr:col>
      <xdr:colOff>251792</xdr:colOff>
      <xdr:row>54</xdr:row>
      <xdr:rowOff>139148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2CE8873-2FCB-4D2C-943A-CD83E40B3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44</xdr:row>
      <xdr:rowOff>76200</xdr:rowOff>
    </xdr:from>
    <xdr:to>
      <xdr:col>14</xdr:col>
      <xdr:colOff>381000</xdr:colOff>
      <xdr:row>59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7890495-73D6-4B98-BDF2-F02DBCC79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114300</xdr:colOff>
      <xdr:row>8</xdr:row>
      <xdr:rowOff>114300</xdr:rowOff>
    </xdr:from>
    <xdr:to>
      <xdr:col>17</xdr:col>
      <xdr:colOff>678180</xdr:colOff>
      <xdr:row>23</xdr:row>
      <xdr:rowOff>114300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F15386A-1ED6-4262-BB25-34BCE5AC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274320</xdr:colOff>
      <xdr:row>6</xdr:row>
      <xdr:rowOff>175260</xdr:rowOff>
    </xdr:from>
    <xdr:to>
      <xdr:col>10</xdr:col>
      <xdr:colOff>0</xdr:colOff>
      <xdr:row>21</xdr:row>
      <xdr:rowOff>175260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A58E57E-F36F-44EB-8DB0-B807E7C02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243840</xdr:colOff>
      <xdr:row>10</xdr:row>
      <xdr:rowOff>76200</xdr:rowOff>
    </xdr:from>
    <xdr:to>
      <xdr:col>8</xdr:col>
      <xdr:colOff>60960</xdr:colOff>
      <xdr:row>25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7884150-BCA8-4B26-979F-68FAFF33C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76B6-68A2-48DF-95E8-365FAB976DDF}">
  <dimension ref="B2:D18"/>
  <sheetViews>
    <sheetView workbookViewId="0">
      <selection activeCell="D17" sqref="D17"/>
    </sheetView>
  </sheetViews>
  <sheetFormatPr baseColWidth="10" defaultRowHeight="14.4" x14ac:dyDescent="0.3"/>
  <cols>
    <col min="2" max="2" width="15" bestFit="1" customWidth="1"/>
  </cols>
  <sheetData>
    <row r="2" spans="2:4" x14ac:dyDescent="0.3">
      <c r="B2" t="s">
        <v>208</v>
      </c>
      <c r="D2" t="s">
        <v>207</v>
      </c>
    </row>
    <row r="4" spans="2:4" x14ac:dyDescent="0.3">
      <c r="B4" t="s">
        <v>25</v>
      </c>
      <c r="D4" t="s">
        <v>209</v>
      </c>
    </row>
    <row r="5" spans="2:4" x14ac:dyDescent="0.3">
      <c r="B5" t="s">
        <v>144</v>
      </c>
      <c r="D5" t="s">
        <v>210</v>
      </c>
    </row>
    <row r="6" spans="2:4" x14ac:dyDescent="0.3">
      <c r="B6" t="s">
        <v>199</v>
      </c>
    </row>
    <row r="8" spans="2:4" x14ac:dyDescent="0.3">
      <c r="B8" t="s">
        <v>200</v>
      </c>
    </row>
    <row r="9" spans="2:4" x14ac:dyDescent="0.3">
      <c r="B9" t="s">
        <v>201</v>
      </c>
    </row>
    <row r="10" spans="2:4" x14ac:dyDescent="0.3">
      <c r="B10" t="s">
        <v>60</v>
      </c>
    </row>
    <row r="11" spans="2:4" x14ac:dyDescent="0.3">
      <c r="B11" t="s">
        <v>59</v>
      </c>
    </row>
    <row r="13" spans="2:4" x14ac:dyDescent="0.3">
      <c r="B13" t="s">
        <v>202</v>
      </c>
    </row>
    <row r="14" spans="2:4" x14ac:dyDescent="0.3">
      <c r="B14" t="s">
        <v>203</v>
      </c>
    </row>
    <row r="15" spans="2:4" x14ac:dyDescent="0.3">
      <c r="B15" t="s">
        <v>204</v>
      </c>
    </row>
    <row r="17" spans="2:2" x14ac:dyDescent="0.3">
      <c r="B17" t="s">
        <v>205</v>
      </c>
    </row>
    <row r="18" spans="2:2" x14ac:dyDescent="0.3">
      <c r="B18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8B0-AAD0-4704-8E5E-161EFEAC2362}">
  <dimension ref="B1:J23"/>
  <sheetViews>
    <sheetView workbookViewId="0">
      <selection activeCell="I10" sqref="I10"/>
    </sheetView>
  </sheetViews>
  <sheetFormatPr baseColWidth="10" defaultRowHeight="14.4" x14ac:dyDescent="0.3"/>
  <cols>
    <col min="3" max="3" width="35.88671875" customWidth="1"/>
    <col min="4" max="4" width="13.77734375" bestFit="1" customWidth="1"/>
    <col min="6" max="6" width="11.5546875" style="65"/>
    <col min="8" max="8" width="12.6640625" customWidth="1"/>
    <col min="9" max="9" width="32.88671875" customWidth="1"/>
    <col min="10" max="10" width="9.21875" bestFit="1" customWidth="1"/>
  </cols>
  <sheetData>
    <row r="1" spans="2:10" x14ac:dyDescent="0.3">
      <c r="H1" s="2"/>
    </row>
    <row r="2" spans="2:10" ht="21" x14ac:dyDescent="0.4">
      <c r="B2" s="68" t="s">
        <v>218</v>
      </c>
      <c r="C2" s="68"/>
      <c r="D2" s="69">
        <f>SUM(D5:D19)</f>
        <v>487.51</v>
      </c>
      <c r="E2" s="67"/>
      <c r="F2" s="70"/>
      <c r="G2" s="68" t="s">
        <v>220</v>
      </c>
      <c r="H2" s="68"/>
      <c r="I2" s="68"/>
      <c r="J2" s="69">
        <f>SUM(J5:J19)</f>
        <v>0</v>
      </c>
    </row>
    <row r="3" spans="2:10" x14ac:dyDescent="0.3">
      <c r="H3" s="2"/>
    </row>
    <row r="4" spans="2:10" ht="18" x14ac:dyDescent="0.35">
      <c r="B4" s="5" t="s">
        <v>107</v>
      </c>
      <c r="C4" s="5" t="s">
        <v>0</v>
      </c>
      <c r="D4" s="5" t="s">
        <v>219</v>
      </c>
      <c r="H4" s="5" t="s">
        <v>107</v>
      </c>
      <c r="I4" s="5" t="s">
        <v>0</v>
      </c>
      <c r="J4" s="5" t="s">
        <v>219</v>
      </c>
    </row>
    <row r="5" spans="2:10" x14ac:dyDescent="0.3">
      <c r="B5" t="s">
        <v>108</v>
      </c>
      <c r="C5" t="s">
        <v>109</v>
      </c>
      <c r="D5" s="1">
        <v>163.81</v>
      </c>
      <c r="E5" s="1"/>
      <c r="G5" s="1"/>
    </row>
    <row r="6" spans="2:10" x14ac:dyDescent="0.3">
      <c r="B6" t="s">
        <v>1</v>
      </c>
      <c r="C6" t="s">
        <v>110</v>
      </c>
      <c r="D6" s="1">
        <v>2.72</v>
      </c>
      <c r="E6" s="1"/>
      <c r="G6" s="1"/>
    </row>
    <row r="7" spans="2:10" x14ac:dyDescent="0.3">
      <c r="B7" t="s">
        <v>1</v>
      </c>
      <c r="C7" t="s">
        <v>111</v>
      </c>
      <c r="D7" s="1">
        <v>6.69</v>
      </c>
      <c r="E7" s="1"/>
      <c r="G7" s="1"/>
      <c r="I7" s="3"/>
    </row>
    <row r="8" spans="2:10" x14ac:dyDescent="0.3">
      <c r="B8" t="s">
        <v>1</v>
      </c>
      <c r="C8" t="s">
        <v>112</v>
      </c>
      <c r="D8" s="1">
        <v>2.35</v>
      </c>
      <c r="E8" s="1"/>
      <c r="G8" s="1"/>
    </row>
    <row r="9" spans="2:10" x14ac:dyDescent="0.3">
      <c r="B9" t="s">
        <v>1</v>
      </c>
      <c r="C9" t="s">
        <v>113</v>
      </c>
      <c r="D9" s="1">
        <v>3.7</v>
      </c>
      <c r="E9" s="1"/>
      <c r="G9" s="1"/>
    </row>
    <row r="10" spans="2:10" x14ac:dyDescent="0.3">
      <c r="B10" t="s">
        <v>1</v>
      </c>
      <c r="C10" t="s">
        <v>114</v>
      </c>
      <c r="D10" s="1">
        <v>6.99</v>
      </c>
      <c r="E10" s="1"/>
      <c r="G10" s="1"/>
    </row>
    <row r="11" spans="2:10" x14ac:dyDescent="0.3">
      <c r="B11" t="s">
        <v>1</v>
      </c>
      <c r="C11" t="s">
        <v>115</v>
      </c>
      <c r="D11" s="1">
        <v>40.76</v>
      </c>
      <c r="E11" s="1"/>
      <c r="G11" s="1"/>
    </row>
    <row r="12" spans="2:10" x14ac:dyDescent="0.3">
      <c r="B12" t="s">
        <v>1</v>
      </c>
      <c r="C12" t="s">
        <v>116</v>
      </c>
      <c r="D12" s="1">
        <v>7.99</v>
      </c>
      <c r="E12" s="1"/>
      <c r="G12" s="1"/>
    </row>
    <row r="13" spans="2:10" x14ac:dyDescent="0.3">
      <c r="B13" t="s">
        <v>1</v>
      </c>
      <c r="C13" t="s">
        <v>117</v>
      </c>
      <c r="D13" s="1">
        <v>8.99</v>
      </c>
      <c r="E13" s="1"/>
      <c r="G13" s="1"/>
    </row>
    <row r="14" spans="2:10" x14ac:dyDescent="0.3">
      <c r="B14" t="s">
        <v>160</v>
      </c>
      <c r="C14" t="s">
        <v>211</v>
      </c>
      <c r="D14" s="1">
        <v>13</v>
      </c>
      <c r="G14" s="1"/>
    </row>
    <row r="15" spans="2:10" x14ac:dyDescent="0.3">
      <c r="B15" t="s">
        <v>160</v>
      </c>
      <c r="C15" t="s">
        <v>127</v>
      </c>
      <c r="D15" s="1">
        <v>20</v>
      </c>
      <c r="G15" s="1"/>
    </row>
    <row r="16" spans="2:10" x14ac:dyDescent="0.3">
      <c r="B16" t="s">
        <v>159</v>
      </c>
      <c r="C16" t="s">
        <v>157</v>
      </c>
      <c r="D16" s="1">
        <v>8.02</v>
      </c>
      <c r="F16" s="66"/>
      <c r="G16" s="1"/>
    </row>
    <row r="17" spans="2:7" x14ac:dyDescent="0.3">
      <c r="B17" t="s">
        <v>159</v>
      </c>
      <c r="C17" t="s">
        <v>158</v>
      </c>
      <c r="D17" s="1">
        <v>1.49</v>
      </c>
      <c r="F17" s="66"/>
      <c r="G17" s="1"/>
    </row>
    <row r="18" spans="2:7" x14ac:dyDescent="0.3">
      <c r="B18" t="s">
        <v>1</v>
      </c>
      <c r="C18" t="s">
        <v>212</v>
      </c>
      <c r="D18" s="1">
        <v>57</v>
      </c>
      <c r="F18" s="66"/>
      <c r="G18" s="1"/>
    </row>
    <row r="19" spans="2:7" x14ac:dyDescent="0.3">
      <c r="B19" t="s">
        <v>108</v>
      </c>
      <c r="C19" t="s">
        <v>213</v>
      </c>
      <c r="D19" s="1">
        <v>144</v>
      </c>
      <c r="E19" s="1"/>
      <c r="G19" s="1"/>
    </row>
    <row r="20" spans="2:7" x14ac:dyDescent="0.3">
      <c r="E20" s="1"/>
      <c r="G20" s="1"/>
    </row>
    <row r="21" spans="2:7" x14ac:dyDescent="0.3">
      <c r="E21" s="1"/>
      <c r="G21" s="1"/>
    </row>
    <row r="22" spans="2:7" x14ac:dyDescent="0.3">
      <c r="E22" s="1"/>
      <c r="G22" s="1"/>
    </row>
    <row r="23" spans="2:7" x14ac:dyDescent="0.3">
      <c r="E23" s="1"/>
    </row>
  </sheetData>
  <mergeCells count="2">
    <mergeCell ref="B2:C2"/>
    <mergeCell ref="G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01A1-7AB8-40C2-A8AE-985E0D56E443}">
  <dimension ref="A2:G27"/>
  <sheetViews>
    <sheetView topLeftCell="A4" workbookViewId="0">
      <selection activeCell="B16" sqref="B16"/>
    </sheetView>
  </sheetViews>
  <sheetFormatPr baseColWidth="10" defaultRowHeight="14.4" x14ac:dyDescent="0.3"/>
  <cols>
    <col min="1" max="1" width="20" bestFit="1" customWidth="1"/>
    <col min="3" max="3" width="14" customWidth="1"/>
    <col min="4" max="4" width="17.6640625" customWidth="1"/>
    <col min="5" max="5" width="14.109375" customWidth="1"/>
    <col min="6" max="6" width="18.44140625" bestFit="1" customWidth="1"/>
  </cols>
  <sheetData>
    <row r="2" spans="1:7" ht="23.4" x14ac:dyDescent="0.45">
      <c r="A2" s="4" t="s">
        <v>79</v>
      </c>
      <c r="F2" s="4" t="s">
        <v>89</v>
      </c>
    </row>
    <row r="3" spans="1:7" ht="28.8" x14ac:dyDescent="0.3">
      <c r="A3" s="13" t="s">
        <v>97</v>
      </c>
      <c r="B3">
        <f>SUMPRODUCT(B11:B17,F11:F17)*3600/1000</f>
        <v>157.5</v>
      </c>
      <c r="C3" t="s">
        <v>103</v>
      </c>
      <c r="F3" t="s">
        <v>91</v>
      </c>
      <c r="G3" s="7">
        <f>B5/(B3-B4)</f>
        <v>6.4516129032258052</v>
      </c>
    </row>
    <row r="4" spans="1:7" ht="28.8" x14ac:dyDescent="0.3">
      <c r="A4" s="13" t="s">
        <v>98</v>
      </c>
      <c r="B4">
        <f>D27</f>
        <v>129.6</v>
      </c>
      <c r="C4" t="s">
        <v>103</v>
      </c>
      <c r="F4" t="s">
        <v>92</v>
      </c>
      <c r="G4" s="7">
        <f>G3/24</f>
        <v>0.2688172043010752</v>
      </c>
    </row>
    <row r="5" spans="1:7" x14ac:dyDescent="0.3">
      <c r="A5" t="s">
        <v>99</v>
      </c>
      <c r="B5">
        <f>E20</f>
        <v>180</v>
      </c>
      <c r="C5" t="s">
        <v>103</v>
      </c>
      <c r="F5" t="s">
        <v>95</v>
      </c>
      <c r="G5" s="7">
        <f>G4/365</f>
        <v>7.3648549123582247E-4</v>
      </c>
    </row>
    <row r="8" spans="1:7" ht="23.4" x14ac:dyDescent="0.45">
      <c r="A8" s="4" t="s">
        <v>78</v>
      </c>
    </row>
    <row r="9" spans="1:7" ht="21" x14ac:dyDescent="0.4">
      <c r="A9" s="15" t="s">
        <v>80</v>
      </c>
    </row>
    <row r="10" spans="1:7" ht="43.2" x14ac:dyDescent="0.3">
      <c r="B10" t="s">
        <v>83</v>
      </c>
      <c r="C10" t="s">
        <v>96</v>
      </c>
      <c r="D10" s="13" t="s">
        <v>85</v>
      </c>
      <c r="E10" s="13" t="s">
        <v>84</v>
      </c>
      <c r="F10" s="13" t="s">
        <v>86</v>
      </c>
    </row>
    <row r="11" spans="1:7" x14ac:dyDescent="0.3">
      <c r="B11">
        <v>100</v>
      </c>
      <c r="C11">
        <v>5</v>
      </c>
      <c r="D11">
        <v>30</v>
      </c>
      <c r="E11">
        <v>30</v>
      </c>
      <c r="F11" s="6">
        <f>(E11*D11)/3600</f>
        <v>0.25</v>
      </c>
    </row>
    <row r="12" spans="1:7" x14ac:dyDescent="0.3">
      <c r="B12">
        <v>50</v>
      </c>
      <c r="C12">
        <v>5</v>
      </c>
      <c r="D12">
        <v>20</v>
      </c>
      <c r="E12">
        <v>60</v>
      </c>
      <c r="F12" s="6">
        <f t="shared" ref="F12:F16" si="0">(E12*D12)/3600</f>
        <v>0.33333333333333331</v>
      </c>
    </row>
    <row r="13" spans="1:7" x14ac:dyDescent="0.3">
      <c r="F13" s="6"/>
    </row>
    <row r="14" spans="1:7" x14ac:dyDescent="0.3">
      <c r="F14" s="6"/>
    </row>
    <row r="15" spans="1:7" x14ac:dyDescent="0.3">
      <c r="F15" s="6">
        <f t="shared" si="0"/>
        <v>0</v>
      </c>
    </row>
    <row r="16" spans="1:7" x14ac:dyDescent="0.3">
      <c r="A16" t="s">
        <v>94</v>
      </c>
      <c r="B16" s="62">
        <f>SUMPRODUCT(B11:B15,F11:F15)*0.05</f>
        <v>2.0833333333333335</v>
      </c>
      <c r="D16">
        <v>3600</v>
      </c>
      <c r="E16">
        <v>1</v>
      </c>
      <c r="F16" s="6">
        <f t="shared" si="0"/>
        <v>1</v>
      </c>
    </row>
    <row r="19" spans="1:5" ht="44.4" x14ac:dyDescent="0.4">
      <c r="A19" s="15" t="s">
        <v>81</v>
      </c>
      <c r="B19" s="13" t="s">
        <v>87</v>
      </c>
      <c r="C19" t="s">
        <v>96</v>
      </c>
      <c r="D19" t="s">
        <v>88</v>
      </c>
      <c r="E19" t="s">
        <v>102</v>
      </c>
    </row>
    <row r="20" spans="1:5" x14ac:dyDescent="0.3">
      <c r="A20" t="s">
        <v>2</v>
      </c>
      <c r="B20">
        <v>2000</v>
      </c>
      <c r="C20">
        <v>5</v>
      </c>
      <c r="D20">
        <v>5</v>
      </c>
      <c r="E20">
        <f>D20*B20*C20/1000*3600/1000</f>
        <v>180</v>
      </c>
    </row>
    <row r="21" spans="1:5" x14ac:dyDescent="0.3">
      <c r="A21" t="s">
        <v>3</v>
      </c>
    </row>
    <row r="25" spans="1:5" ht="21" x14ac:dyDescent="0.4">
      <c r="A25" s="15" t="s">
        <v>82</v>
      </c>
    </row>
    <row r="26" spans="1:5" ht="57.6" x14ac:dyDescent="0.3">
      <c r="B26" t="s">
        <v>93</v>
      </c>
      <c r="C26" s="13" t="s">
        <v>100</v>
      </c>
      <c r="D26" t="s">
        <v>101</v>
      </c>
    </row>
    <row r="27" spans="1:5" x14ac:dyDescent="0.3">
      <c r="A27" s="13" t="s">
        <v>90</v>
      </c>
      <c r="B27">
        <v>6</v>
      </c>
      <c r="C27">
        <v>6</v>
      </c>
      <c r="D27">
        <f>B27*C27*3600/1000</f>
        <v>129.6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E23-8CD5-4E87-87C5-78B003674011}">
  <dimension ref="A2:I74"/>
  <sheetViews>
    <sheetView topLeftCell="C1" workbookViewId="0">
      <selection activeCell="H10" sqref="H10"/>
    </sheetView>
  </sheetViews>
  <sheetFormatPr baseColWidth="10" defaultRowHeight="18" x14ac:dyDescent="0.35"/>
  <cols>
    <col min="1" max="1" width="11.5546875" style="5"/>
    <col min="2" max="2" width="15.21875" bestFit="1" customWidth="1"/>
    <col min="4" max="4" width="13.77734375" customWidth="1"/>
    <col min="5" max="5" width="15.5546875" bestFit="1" customWidth="1"/>
    <col min="6" max="6" width="23.109375" customWidth="1"/>
    <col min="7" max="7" width="6.109375" style="60" customWidth="1"/>
    <col min="8" max="8" width="15.21875" customWidth="1"/>
  </cols>
  <sheetData>
    <row r="2" spans="1:8" ht="36" x14ac:dyDescent="0.35">
      <c r="A2" s="30"/>
      <c r="B2" s="31" t="s">
        <v>4</v>
      </c>
      <c r="C2" s="32" t="s">
        <v>11</v>
      </c>
      <c r="D2" s="41" t="s">
        <v>75</v>
      </c>
      <c r="H2" s="41" t="s">
        <v>168</v>
      </c>
    </row>
    <row r="3" spans="1:8" x14ac:dyDescent="0.35">
      <c r="A3" s="26">
        <v>0</v>
      </c>
      <c r="B3" s="27"/>
      <c r="C3" s="28"/>
      <c r="D3" s="29"/>
      <c r="G3" s="60" t="s">
        <v>5</v>
      </c>
    </row>
    <row r="4" spans="1:8" x14ac:dyDescent="0.35">
      <c r="A4" s="23">
        <v>1</v>
      </c>
      <c r="B4" s="20"/>
      <c r="C4" s="16"/>
      <c r="D4" s="17"/>
      <c r="G4" s="60" t="s">
        <v>6</v>
      </c>
    </row>
    <row r="5" spans="1:8" x14ac:dyDescent="0.35">
      <c r="A5" s="23">
        <v>2</v>
      </c>
      <c r="B5" s="20" t="s">
        <v>17</v>
      </c>
      <c r="C5" s="16" t="s">
        <v>17</v>
      </c>
      <c r="D5" s="17" t="s">
        <v>76</v>
      </c>
      <c r="G5" s="60" t="s">
        <v>7</v>
      </c>
    </row>
    <row r="6" spans="1:8" x14ac:dyDescent="0.35">
      <c r="A6" s="23">
        <v>3</v>
      </c>
      <c r="B6" s="21"/>
      <c r="C6" s="16" t="s">
        <v>27</v>
      </c>
      <c r="D6" s="17" t="s">
        <v>25</v>
      </c>
      <c r="G6" s="60" t="s">
        <v>8</v>
      </c>
      <c r="H6" t="s">
        <v>187</v>
      </c>
    </row>
    <row r="7" spans="1:8" x14ac:dyDescent="0.35">
      <c r="A7" s="23">
        <v>4</v>
      </c>
      <c r="B7" s="21"/>
      <c r="C7" s="16"/>
      <c r="D7" s="17" t="s">
        <v>77</v>
      </c>
      <c r="G7" s="60" t="s">
        <v>9</v>
      </c>
      <c r="H7" t="s">
        <v>188</v>
      </c>
    </row>
    <row r="8" spans="1:8" x14ac:dyDescent="0.35">
      <c r="A8" s="23">
        <v>5</v>
      </c>
      <c r="B8" s="21"/>
      <c r="C8" s="16"/>
      <c r="D8" s="17" t="s">
        <v>24</v>
      </c>
      <c r="G8" s="60" t="s">
        <v>10</v>
      </c>
      <c r="H8" t="s">
        <v>189</v>
      </c>
    </row>
    <row r="9" spans="1:8" x14ac:dyDescent="0.35">
      <c r="A9" s="23">
        <v>6</v>
      </c>
      <c r="B9" s="21"/>
      <c r="C9" s="16" t="s">
        <v>25</v>
      </c>
      <c r="D9" s="17"/>
      <c r="G9" s="60" t="s">
        <v>176</v>
      </c>
      <c r="H9" t="s">
        <v>198</v>
      </c>
    </row>
    <row r="10" spans="1:8" x14ac:dyDescent="0.35">
      <c r="A10" s="23">
        <v>7</v>
      </c>
      <c r="B10" s="21" t="s">
        <v>74</v>
      </c>
      <c r="C10" s="16" t="s">
        <v>28</v>
      </c>
      <c r="D10" s="17"/>
      <c r="G10" s="60" t="s">
        <v>177</v>
      </c>
    </row>
    <row r="11" spans="1:8" x14ac:dyDescent="0.35">
      <c r="A11" s="23">
        <v>8</v>
      </c>
      <c r="B11" s="21"/>
      <c r="C11" s="16"/>
      <c r="D11" s="17"/>
      <c r="G11" s="60" t="s">
        <v>178</v>
      </c>
    </row>
    <row r="12" spans="1:8" x14ac:dyDescent="0.35">
      <c r="A12" s="23">
        <v>9</v>
      </c>
      <c r="B12" s="20" t="s">
        <v>16</v>
      </c>
      <c r="C12" s="16"/>
      <c r="D12" s="17"/>
      <c r="G12" s="60" t="s">
        <v>179</v>
      </c>
    </row>
    <row r="13" spans="1:8" x14ac:dyDescent="0.35">
      <c r="A13" s="23">
        <v>10</v>
      </c>
      <c r="B13" s="20" t="s">
        <v>15</v>
      </c>
      <c r="C13" s="16" t="s">
        <v>16</v>
      </c>
      <c r="D13" s="17" t="s">
        <v>15</v>
      </c>
      <c r="G13" s="60" t="s">
        <v>180</v>
      </c>
    </row>
    <row r="14" spans="1:8" x14ac:dyDescent="0.35">
      <c r="A14" s="23">
        <v>11</v>
      </c>
      <c r="B14" s="20" t="s">
        <v>14</v>
      </c>
      <c r="C14" s="16" t="s">
        <v>14</v>
      </c>
      <c r="D14" s="17" t="s">
        <v>14</v>
      </c>
      <c r="G14" s="60" t="s">
        <v>181</v>
      </c>
    </row>
    <row r="15" spans="1:8" x14ac:dyDescent="0.35">
      <c r="A15" s="23">
        <v>12</v>
      </c>
      <c r="B15" s="20" t="s">
        <v>13</v>
      </c>
      <c r="C15" s="16" t="s">
        <v>13</v>
      </c>
      <c r="D15" s="17" t="s">
        <v>13</v>
      </c>
      <c r="G15" s="60" t="s">
        <v>182</v>
      </c>
    </row>
    <row r="16" spans="1:8" x14ac:dyDescent="0.35">
      <c r="A16" s="33">
        <v>13</v>
      </c>
      <c r="B16" s="34" t="s">
        <v>12</v>
      </c>
      <c r="C16" s="35" t="s">
        <v>12</v>
      </c>
      <c r="D16" s="36" t="s">
        <v>12</v>
      </c>
      <c r="G16" s="60" t="s">
        <v>183</v>
      </c>
    </row>
    <row r="17" spans="1:8" x14ac:dyDescent="0.35">
      <c r="A17" s="38"/>
      <c r="B17" s="39"/>
      <c r="C17" s="39"/>
      <c r="D17" s="40"/>
      <c r="G17" s="60" t="s">
        <v>184</v>
      </c>
    </row>
    <row r="18" spans="1:8" x14ac:dyDescent="0.35">
      <c r="A18" s="37" t="s">
        <v>5</v>
      </c>
      <c r="B18" s="27"/>
      <c r="C18" s="28"/>
      <c r="D18" s="29"/>
      <c r="G18" s="60" t="s">
        <v>185</v>
      </c>
    </row>
    <row r="19" spans="1:8" x14ac:dyDescent="0.35">
      <c r="A19" s="24" t="s">
        <v>6</v>
      </c>
      <c r="B19" s="20"/>
      <c r="C19" s="16"/>
      <c r="D19" s="17"/>
      <c r="G19" s="60" t="s">
        <v>186</v>
      </c>
    </row>
    <row r="20" spans="1:8" x14ac:dyDescent="0.35">
      <c r="A20" s="24" t="s">
        <v>7</v>
      </c>
      <c r="B20" s="20" t="s">
        <v>19</v>
      </c>
      <c r="C20" s="16"/>
      <c r="D20" s="17"/>
    </row>
    <row r="21" spans="1:8" x14ac:dyDescent="0.35">
      <c r="A21" s="24" t="s">
        <v>8</v>
      </c>
      <c r="B21" s="20" t="s">
        <v>18</v>
      </c>
      <c r="C21" s="16" t="s">
        <v>26</v>
      </c>
      <c r="D21" s="17" t="s">
        <v>26</v>
      </c>
      <c r="G21" s="60">
        <v>1</v>
      </c>
    </row>
    <row r="22" spans="1:8" x14ac:dyDescent="0.35">
      <c r="A22" s="24" t="s">
        <v>9</v>
      </c>
      <c r="B22" s="20"/>
      <c r="C22" s="16"/>
      <c r="D22" s="17"/>
      <c r="G22" s="60">
        <v>2</v>
      </c>
      <c r="H22" s="16" t="s">
        <v>17</v>
      </c>
    </row>
    <row r="23" spans="1:8" x14ac:dyDescent="0.35">
      <c r="A23" s="25" t="s">
        <v>10</v>
      </c>
      <c r="B23" s="22"/>
      <c r="C23" s="18"/>
      <c r="D23" s="19"/>
      <c r="G23" s="60">
        <v>3</v>
      </c>
    </row>
    <row r="24" spans="1:8" x14ac:dyDescent="0.35">
      <c r="A24" s="14"/>
      <c r="G24" s="60">
        <v>4</v>
      </c>
    </row>
    <row r="25" spans="1:8" x14ac:dyDescent="0.35">
      <c r="G25" s="60">
        <v>5</v>
      </c>
    </row>
    <row r="26" spans="1:8" x14ac:dyDescent="0.35">
      <c r="A26" s="14" t="s">
        <v>58</v>
      </c>
      <c r="B26" t="s">
        <v>72</v>
      </c>
      <c r="C26" t="s">
        <v>125</v>
      </c>
      <c r="G26" s="60">
        <v>6</v>
      </c>
    </row>
    <row r="27" spans="1:8" x14ac:dyDescent="0.35">
      <c r="B27" t="s">
        <v>73</v>
      </c>
      <c r="C27" t="s">
        <v>126</v>
      </c>
      <c r="G27" s="60">
        <v>7</v>
      </c>
    </row>
    <row r="28" spans="1:8" x14ac:dyDescent="0.35">
      <c r="G28" s="60">
        <v>8</v>
      </c>
    </row>
    <row r="29" spans="1:8" x14ac:dyDescent="0.35">
      <c r="G29" s="60">
        <v>9</v>
      </c>
    </row>
    <row r="30" spans="1:8" x14ac:dyDescent="0.35">
      <c r="G30" s="60">
        <v>10</v>
      </c>
      <c r="H30" t="s">
        <v>193</v>
      </c>
    </row>
    <row r="31" spans="1:8" x14ac:dyDescent="0.35">
      <c r="G31" s="60">
        <v>11</v>
      </c>
    </row>
    <row r="32" spans="1:8" x14ac:dyDescent="0.35">
      <c r="G32" s="60">
        <v>12</v>
      </c>
    </row>
    <row r="33" spans="7:9" x14ac:dyDescent="0.35">
      <c r="G33" s="60">
        <v>13</v>
      </c>
    </row>
    <row r="34" spans="7:9" x14ac:dyDescent="0.35">
      <c r="G34" s="60">
        <v>14</v>
      </c>
    </row>
    <row r="35" spans="7:9" x14ac:dyDescent="0.35">
      <c r="G35" s="60">
        <v>15</v>
      </c>
    </row>
    <row r="36" spans="7:9" x14ac:dyDescent="0.35">
      <c r="G36" s="60">
        <v>16</v>
      </c>
    </row>
    <row r="37" spans="7:9" x14ac:dyDescent="0.35">
      <c r="G37" s="60">
        <v>17</v>
      </c>
      <c r="H37" t="s">
        <v>197</v>
      </c>
    </row>
    <row r="38" spans="7:9" x14ac:dyDescent="0.35">
      <c r="G38" s="60">
        <v>18</v>
      </c>
      <c r="H38" t="s">
        <v>76</v>
      </c>
    </row>
    <row r="39" spans="7:9" x14ac:dyDescent="0.35">
      <c r="G39" s="60">
        <v>19</v>
      </c>
      <c r="H39" t="s">
        <v>25</v>
      </c>
    </row>
    <row r="40" spans="7:9" x14ac:dyDescent="0.35">
      <c r="G40" s="60">
        <v>20</v>
      </c>
      <c r="H40" s="61" t="s">
        <v>194</v>
      </c>
      <c r="I40" t="s">
        <v>196</v>
      </c>
    </row>
    <row r="41" spans="7:9" x14ac:dyDescent="0.35">
      <c r="G41" s="60">
        <v>21</v>
      </c>
      <c r="H41" s="61" t="s">
        <v>195</v>
      </c>
    </row>
    <row r="42" spans="7:9" x14ac:dyDescent="0.35">
      <c r="G42" s="60">
        <v>22</v>
      </c>
    </row>
    <row r="43" spans="7:9" x14ac:dyDescent="0.35">
      <c r="G43" s="60">
        <v>23</v>
      </c>
    </row>
    <row r="44" spans="7:9" x14ac:dyDescent="0.35">
      <c r="G44" s="60">
        <v>24</v>
      </c>
    </row>
    <row r="45" spans="7:9" x14ac:dyDescent="0.35">
      <c r="G45" s="60">
        <v>25</v>
      </c>
    </row>
    <row r="46" spans="7:9" x14ac:dyDescent="0.35">
      <c r="G46" s="60">
        <v>26</v>
      </c>
    </row>
    <row r="47" spans="7:9" x14ac:dyDescent="0.35">
      <c r="G47" s="60">
        <v>27</v>
      </c>
    </row>
    <row r="48" spans="7:9" x14ac:dyDescent="0.35">
      <c r="G48" s="60">
        <v>28</v>
      </c>
    </row>
    <row r="49" spans="7:7" x14ac:dyDescent="0.35">
      <c r="G49" s="60">
        <v>29</v>
      </c>
    </row>
    <row r="50" spans="7:7" x14ac:dyDescent="0.35">
      <c r="G50" s="60">
        <v>30</v>
      </c>
    </row>
    <row r="51" spans="7:7" x14ac:dyDescent="0.35">
      <c r="G51" s="60">
        <v>31</v>
      </c>
    </row>
    <row r="52" spans="7:7" x14ac:dyDescent="0.35">
      <c r="G52" s="60">
        <v>32</v>
      </c>
    </row>
    <row r="53" spans="7:7" x14ac:dyDescent="0.35">
      <c r="G53" s="60">
        <v>33</v>
      </c>
    </row>
    <row r="54" spans="7:7" x14ac:dyDescent="0.35">
      <c r="G54" s="60">
        <v>34</v>
      </c>
    </row>
    <row r="55" spans="7:7" x14ac:dyDescent="0.35">
      <c r="G55" s="60">
        <v>35</v>
      </c>
    </row>
    <row r="56" spans="7:7" x14ac:dyDescent="0.35">
      <c r="G56" s="60">
        <v>36</v>
      </c>
    </row>
    <row r="57" spans="7:7" x14ac:dyDescent="0.35">
      <c r="G57" s="60">
        <v>37</v>
      </c>
    </row>
    <row r="58" spans="7:7" x14ac:dyDescent="0.35">
      <c r="G58" s="60">
        <v>38</v>
      </c>
    </row>
    <row r="59" spans="7:7" x14ac:dyDescent="0.35">
      <c r="G59" s="60">
        <v>39</v>
      </c>
    </row>
    <row r="60" spans="7:7" x14ac:dyDescent="0.35">
      <c r="G60" s="60">
        <v>40</v>
      </c>
    </row>
    <row r="61" spans="7:7" x14ac:dyDescent="0.35">
      <c r="G61" s="60">
        <v>41</v>
      </c>
    </row>
    <row r="62" spans="7:7" x14ac:dyDescent="0.35">
      <c r="G62" s="60">
        <v>42</v>
      </c>
    </row>
    <row r="63" spans="7:7" x14ac:dyDescent="0.35">
      <c r="G63" s="60">
        <v>43</v>
      </c>
    </row>
    <row r="64" spans="7:7" x14ac:dyDescent="0.35">
      <c r="G64" s="60">
        <v>44</v>
      </c>
    </row>
    <row r="65" spans="7:8" x14ac:dyDescent="0.35">
      <c r="G65" s="60">
        <v>45</v>
      </c>
    </row>
    <row r="66" spans="7:8" x14ac:dyDescent="0.35">
      <c r="G66" s="60">
        <v>46</v>
      </c>
    </row>
    <row r="67" spans="7:8" x14ac:dyDescent="0.35">
      <c r="G67" s="60">
        <v>47</v>
      </c>
    </row>
    <row r="68" spans="7:8" x14ac:dyDescent="0.35">
      <c r="G68" s="60">
        <v>48</v>
      </c>
    </row>
    <row r="69" spans="7:8" x14ac:dyDescent="0.35">
      <c r="G69" s="60">
        <v>49</v>
      </c>
    </row>
    <row r="70" spans="7:8" x14ac:dyDescent="0.35">
      <c r="G70" s="60">
        <v>50</v>
      </c>
      <c r="H70" t="s">
        <v>190</v>
      </c>
    </row>
    <row r="71" spans="7:8" x14ac:dyDescent="0.35">
      <c r="G71" s="60">
        <v>51</v>
      </c>
      <c r="H71" t="s">
        <v>191</v>
      </c>
    </row>
    <row r="72" spans="7:8" x14ac:dyDescent="0.35">
      <c r="G72" s="60">
        <v>52</v>
      </c>
      <c r="H72" t="s">
        <v>192</v>
      </c>
    </row>
    <row r="73" spans="7:8" x14ac:dyDescent="0.35">
      <c r="G73" s="60">
        <v>53</v>
      </c>
    </row>
    <row r="74" spans="7:8" x14ac:dyDescent="0.35">
      <c r="G74" s="60">
        <v>54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E373-7692-4CBF-88B4-6ED8CB4BCA4C}">
  <dimension ref="A3:L29"/>
  <sheetViews>
    <sheetView tabSelected="1" workbookViewId="0">
      <selection activeCell="O3" sqref="O3:S9"/>
    </sheetView>
  </sheetViews>
  <sheetFormatPr baseColWidth="10" defaultRowHeight="14.4" x14ac:dyDescent="0.3"/>
  <cols>
    <col min="1" max="1" width="23.77734375" bestFit="1" customWidth="1"/>
    <col min="4" max="4" width="20.6640625" bestFit="1" customWidth="1"/>
    <col min="10" max="10" width="13.77734375" customWidth="1"/>
    <col min="11" max="11" width="43.5546875" bestFit="1" customWidth="1"/>
    <col min="12" max="12" width="14.77734375" customWidth="1"/>
    <col min="13" max="13" width="16.77734375" customWidth="1"/>
  </cols>
  <sheetData>
    <row r="3" spans="1:12" ht="23.4" x14ac:dyDescent="0.45">
      <c r="B3" s="64" t="s">
        <v>129</v>
      </c>
      <c r="C3" s="64"/>
      <c r="D3" s="64"/>
      <c r="E3" s="64"/>
      <c r="F3" s="64"/>
      <c r="K3" s="4" t="s">
        <v>20</v>
      </c>
    </row>
    <row r="4" spans="1:12" x14ac:dyDescent="0.3">
      <c r="B4" t="s">
        <v>130</v>
      </c>
      <c r="C4">
        <v>62</v>
      </c>
      <c r="D4" t="s">
        <v>131</v>
      </c>
      <c r="K4" t="s">
        <v>21</v>
      </c>
      <c r="L4">
        <v>208</v>
      </c>
    </row>
    <row r="5" spans="1:12" x14ac:dyDescent="0.3">
      <c r="B5" t="s">
        <v>132</v>
      </c>
      <c r="C5">
        <v>61</v>
      </c>
      <c r="D5" t="s">
        <v>133</v>
      </c>
      <c r="K5" t="s">
        <v>23</v>
      </c>
      <c r="L5">
        <v>0</v>
      </c>
    </row>
    <row r="6" spans="1:12" x14ac:dyDescent="0.3">
      <c r="K6" t="s">
        <v>22</v>
      </c>
      <c r="L6">
        <v>1</v>
      </c>
    </row>
    <row r="7" spans="1:12" ht="18" x14ac:dyDescent="0.35">
      <c r="A7" s="64" t="s">
        <v>138</v>
      </c>
      <c r="B7" s="64"/>
      <c r="C7" s="64"/>
      <c r="D7" t="s">
        <v>155</v>
      </c>
    </row>
    <row r="8" spans="1:12" x14ac:dyDescent="0.3">
      <c r="A8" t="s">
        <v>139</v>
      </c>
      <c r="B8">
        <v>2</v>
      </c>
      <c r="C8" t="s">
        <v>140</v>
      </c>
    </row>
    <row r="9" spans="1:12" x14ac:dyDescent="0.3">
      <c r="A9" t="s">
        <v>141</v>
      </c>
      <c r="B9">
        <v>4</v>
      </c>
      <c r="C9" t="s">
        <v>140</v>
      </c>
      <c r="D9" t="s">
        <v>142</v>
      </c>
    </row>
    <row r="10" spans="1:12" ht="18" x14ac:dyDescent="0.35">
      <c r="K10" s="5"/>
    </row>
    <row r="12" spans="1:12" ht="15.6" x14ac:dyDescent="0.3">
      <c r="A12" s="42" t="s">
        <v>137</v>
      </c>
      <c r="B12" s="42" t="s">
        <v>134</v>
      </c>
      <c r="C12" s="42" t="s">
        <v>135</v>
      </c>
      <c r="D12" s="42" t="s">
        <v>136</v>
      </c>
      <c r="F12" s="42" t="s">
        <v>171</v>
      </c>
    </row>
    <row r="13" spans="1:12" x14ac:dyDescent="0.3">
      <c r="A13" t="s">
        <v>143</v>
      </c>
      <c r="B13">
        <v>0</v>
      </c>
      <c r="C13">
        <v>3</v>
      </c>
      <c r="D13" t="s">
        <v>223</v>
      </c>
      <c r="F13" t="s">
        <v>172</v>
      </c>
      <c r="G13" s="59" t="s">
        <v>173</v>
      </c>
    </row>
    <row r="14" spans="1:12" ht="14.4" customHeight="1" x14ac:dyDescent="0.3">
      <c r="A14" t="s">
        <v>144</v>
      </c>
      <c r="B14">
        <f>C13+1</f>
        <v>4</v>
      </c>
      <c r="C14">
        <f>B14+3</f>
        <v>7</v>
      </c>
      <c r="D14" t="s">
        <v>224</v>
      </c>
      <c r="F14" t="s">
        <v>174</v>
      </c>
      <c r="G14" s="59" t="s">
        <v>175</v>
      </c>
      <c r="J14" s="71"/>
    </row>
    <row r="15" spans="1:12" ht="14.4" customHeight="1" x14ac:dyDescent="0.3">
      <c r="A15" t="s">
        <v>145</v>
      </c>
      <c r="B15">
        <f t="shared" ref="B15:B27" si="0">C14+1</f>
        <v>8</v>
      </c>
      <c r="C15">
        <f t="shared" ref="C15:C27" si="1">B15+3</f>
        <v>11</v>
      </c>
      <c r="D15" t="s">
        <v>225</v>
      </c>
      <c r="J15" s="71"/>
    </row>
    <row r="16" spans="1:12" ht="14.4" customHeight="1" x14ac:dyDescent="0.3">
      <c r="A16" t="s">
        <v>146</v>
      </c>
      <c r="B16">
        <f t="shared" si="0"/>
        <v>12</v>
      </c>
      <c r="C16">
        <f t="shared" si="1"/>
        <v>15</v>
      </c>
      <c r="D16" t="s">
        <v>226</v>
      </c>
      <c r="J16" s="71"/>
    </row>
    <row r="17" spans="1:11" ht="14.4" customHeight="1" x14ac:dyDescent="0.3">
      <c r="A17" t="s">
        <v>147</v>
      </c>
      <c r="B17">
        <f t="shared" si="0"/>
        <v>16</v>
      </c>
      <c r="C17">
        <f t="shared" si="1"/>
        <v>19</v>
      </c>
      <c r="D17" t="s">
        <v>227</v>
      </c>
      <c r="J17" s="71"/>
    </row>
    <row r="18" spans="1:11" ht="14.4" customHeight="1" x14ac:dyDescent="0.3">
      <c r="A18" t="s">
        <v>148</v>
      </c>
      <c r="B18">
        <f t="shared" si="0"/>
        <v>20</v>
      </c>
      <c r="C18">
        <f t="shared" si="1"/>
        <v>23</v>
      </c>
      <c r="D18" t="s">
        <v>60</v>
      </c>
      <c r="J18" s="71"/>
    </row>
    <row r="19" spans="1:11" x14ac:dyDescent="0.3">
      <c r="A19" t="s">
        <v>149</v>
      </c>
      <c r="B19">
        <f t="shared" si="0"/>
        <v>24</v>
      </c>
      <c r="C19">
        <f t="shared" si="1"/>
        <v>27</v>
      </c>
      <c r="D19" t="s">
        <v>228</v>
      </c>
    </row>
    <row r="20" spans="1:11" x14ac:dyDescent="0.3">
      <c r="A20" t="s">
        <v>153</v>
      </c>
      <c r="B20">
        <f t="shared" si="0"/>
        <v>28</v>
      </c>
      <c r="C20">
        <f t="shared" si="1"/>
        <v>31</v>
      </c>
      <c r="D20" t="s">
        <v>154</v>
      </c>
    </row>
    <row r="21" spans="1:11" x14ac:dyDescent="0.3">
      <c r="A21" t="s">
        <v>150</v>
      </c>
      <c r="B21">
        <f t="shared" si="0"/>
        <v>32</v>
      </c>
      <c r="C21">
        <f t="shared" si="1"/>
        <v>35</v>
      </c>
      <c r="D21" t="s">
        <v>229</v>
      </c>
    </row>
    <row r="22" spans="1:11" x14ac:dyDescent="0.3">
      <c r="A22" t="s">
        <v>151</v>
      </c>
      <c r="B22">
        <f t="shared" si="0"/>
        <v>36</v>
      </c>
      <c r="C22">
        <f t="shared" si="1"/>
        <v>39</v>
      </c>
      <c r="D22" t="s">
        <v>156</v>
      </c>
    </row>
    <row r="23" spans="1:11" x14ac:dyDescent="0.3">
      <c r="A23" t="s">
        <v>152</v>
      </c>
      <c r="B23">
        <f t="shared" si="0"/>
        <v>40</v>
      </c>
      <c r="C23">
        <f t="shared" si="1"/>
        <v>43</v>
      </c>
      <c r="D23" t="s">
        <v>156</v>
      </c>
    </row>
    <row r="24" spans="1:11" x14ac:dyDescent="0.3">
      <c r="B24">
        <f t="shared" si="0"/>
        <v>44</v>
      </c>
      <c r="C24">
        <f t="shared" si="1"/>
        <v>47</v>
      </c>
    </row>
    <row r="25" spans="1:11" x14ac:dyDescent="0.3">
      <c r="B25">
        <f t="shared" si="0"/>
        <v>48</v>
      </c>
      <c r="C25">
        <f t="shared" si="1"/>
        <v>51</v>
      </c>
      <c r="K25" s="63" t="s">
        <v>128</v>
      </c>
    </row>
    <row r="26" spans="1:11" x14ac:dyDescent="0.3">
      <c r="A26" t="s">
        <v>170</v>
      </c>
      <c r="B26">
        <f t="shared" si="0"/>
        <v>52</v>
      </c>
      <c r="C26">
        <f t="shared" si="1"/>
        <v>55</v>
      </c>
      <c r="D26" t="s">
        <v>230</v>
      </c>
      <c r="K26" s="63"/>
    </row>
    <row r="27" spans="1:11" x14ac:dyDescent="0.3">
      <c r="A27" t="s">
        <v>169</v>
      </c>
      <c r="B27">
        <f t="shared" si="0"/>
        <v>56</v>
      </c>
      <c r="C27">
        <f t="shared" si="1"/>
        <v>59</v>
      </c>
      <c r="D27" t="s">
        <v>231</v>
      </c>
      <c r="K27" s="63"/>
    </row>
    <row r="28" spans="1:11" x14ac:dyDescent="0.3">
      <c r="K28" s="63"/>
    </row>
    <row r="29" spans="1:11" x14ac:dyDescent="0.3">
      <c r="K29" s="63"/>
    </row>
  </sheetData>
  <mergeCells count="3">
    <mergeCell ref="K25:K29"/>
    <mergeCell ref="B3:F3"/>
    <mergeCell ref="A7:C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5CD6-50DB-41D5-B30C-B619A61FAD6E}">
  <dimension ref="J3:K8"/>
  <sheetViews>
    <sheetView zoomScaleNormal="100" workbookViewId="0">
      <selection activeCell="K20" sqref="K20"/>
    </sheetView>
  </sheetViews>
  <sheetFormatPr baseColWidth="10" defaultRowHeight="14.4" x14ac:dyDescent="0.3"/>
  <sheetData>
    <row r="3" spans="10:11" ht="18" x14ac:dyDescent="0.35">
      <c r="J3" s="5" t="s">
        <v>214</v>
      </c>
    </row>
    <row r="4" spans="10:11" x14ac:dyDescent="0.3">
      <c r="J4">
        <v>1</v>
      </c>
      <c r="K4" t="s">
        <v>221</v>
      </c>
    </row>
    <row r="5" spans="10:11" x14ac:dyDescent="0.3">
      <c r="J5">
        <v>2</v>
      </c>
      <c r="K5" t="s">
        <v>217</v>
      </c>
    </row>
    <row r="6" spans="10:11" x14ac:dyDescent="0.3">
      <c r="J6">
        <v>3</v>
      </c>
      <c r="K6" t="s">
        <v>215</v>
      </c>
    </row>
    <row r="7" spans="10:11" x14ac:dyDescent="0.3">
      <c r="J7">
        <v>4</v>
      </c>
      <c r="K7" t="s">
        <v>216</v>
      </c>
    </row>
    <row r="8" spans="10:11" x14ac:dyDescent="0.3">
      <c r="J8">
        <v>5</v>
      </c>
      <c r="K8" t="s">
        <v>222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9B7D-59EE-42F5-ACB8-0201936EFCF0}">
  <dimension ref="A2:K26"/>
  <sheetViews>
    <sheetView workbookViewId="0">
      <selection activeCell="J27" sqref="J27"/>
    </sheetView>
  </sheetViews>
  <sheetFormatPr baseColWidth="10" defaultRowHeight="14.4" x14ac:dyDescent="0.3"/>
  <cols>
    <col min="7" max="7" width="12.5546875" bestFit="1" customWidth="1"/>
  </cols>
  <sheetData>
    <row r="2" spans="1:11" x14ac:dyDescent="0.3">
      <c r="A2" t="s">
        <v>29</v>
      </c>
      <c r="B2">
        <v>100</v>
      </c>
      <c r="C2" t="s">
        <v>30</v>
      </c>
      <c r="E2" t="s">
        <v>33</v>
      </c>
      <c r="F2">
        <f>B2*2.4</f>
        <v>240</v>
      </c>
      <c r="G2" t="s">
        <v>37</v>
      </c>
      <c r="I2" t="s">
        <v>33</v>
      </c>
      <c r="J2">
        <v>50</v>
      </c>
      <c r="K2" t="s">
        <v>37</v>
      </c>
    </row>
    <row r="3" spans="1:11" x14ac:dyDescent="0.3">
      <c r="A3" t="s">
        <v>31</v>
      </c>
      <c r="B3">
        <f>1/B2</f>
        <v>0.01</v>
      </c>
      <c r="C3" t="s">
        <v>32</v>
      </c>
      <c r="I3" t="s">
        <v>104</v>
      </c>
      <c r="J3">
        <f>J2/2.4</f>
        <v>20.833333333333336</v>
      </c>
      <c r="K3" t="s">
        <v>30</v>
      </c>
    </row>
    <row r="4" spans="1:11" ht="28.8" x14ac:dyDescent="0.3">
      <c r="A4" t="s">
        <v>35</v>
      </c>
      <c r="B4">
        <v>0.3</v>
      </c>
      <c r="I4" s="13" t="s">
        <v>105</v>
      </c>
      <c r="J4">
        <v>1</v>
      </c>
      <c r="K4" t="s">
        <v>32</v>
      </c>
    </row>
    <row r="5" spans="1:11" ht="28.8" x14ac:dyDescent="0.3">
      <c r="A5" t="s">
        <v>34</v>
      </c>
      <c r="I5" s="13" t="s">
        <v>106</v>
      </c>
      <c r="J5">
        <f>J4*J3</f>
        <v>20.833333333333336</v>
      </c>
    </row>
    <row r="6" spans="1:11" x14ac:dyDescent="0.3">
      <c r="E6" t="s">
        <v>36</v>
      </c>
      <c r="F6">
        <f ca="1">AVERAGE(C8:C26)</f>
        <v>1.0209572168019073E-2</v>
      </c>
      <c r="G6" t="s">
        <v>32</v>
      </c>
    </row>
    <row r="7" spans="1:11" x14ac:dyDescent="0.3">
      <c r="A7">
        <v>1</v>
      </c>
      <c r="B7">
        <v>0</v>
      </c>
      <c r="F7">
        <f ca="1">1/F6</f>
        <v>97.94729725624012</v>
      </c>
      <c r="G7" t="s">
        <v>30</v>
      </c>
    </row>
    <row r="8" spans="1:11" x14ac:dyDescent="0.3">
      <c r="A8">
        <v>2</v>
      </c>
      <c r="B8">
        <f t="shared" ref="B8:B26" ca="1" si="0">B7+B$3+(RAND()*2-1)*B$3*B$4</f>
        <v>1.2357677602499216E-2</v>
      </c>
      <c r="C8">
        <f ca="1">B8-B7</f>
        <v>1.2357677602499216E-2</v>
      </c>
      <c r="E8" t="s">
        <v>38</v>
      </c>
      <c r="F8" s="6">
        <f ca="1">(F7-B2)/B2</f>
        <v>-2.0527027437598804E-2</v>
      </c>
    </row>
    <row r="9" spans="1:11" x14ac:dyDescent="0.3">
      <c r="A9">
        <v>3</v>
      </c>
      <c r="B9">
        <f t="shared" ca="1" si="0"/>
        <v>2.3486363249095598E-2</v>
      </c>
      <c r="C9">
        <f ca="1">B9-B8</f>
        <v>1.1128685646596382E-2</v>
      </c>
    </row>
    <row r="10" spans="1:11" x14ac:dyDescent="0.3">
      <c r="A10">
        <v>4</v>
      </c>
      <c r="B10">
        <f t="shared" ca="1" si="0"/>
        <v>3.2264478755999915E-2</v>
      </c>
      <c r="C10">
        <f t="shared" ref="C10:C26" ca="1" si="1">B10-B9</f>
        <v>8.7781155069043167E-3</v>
      </c>
    </row>
    <row r="11" spans="1:11" x14ac:dyDescent="0.3">
      <c r="A11">
        <v>5</v>
      </c>
      <c r="B11">
        <f t="shared" ca="1" si="0"/>
        <v>4.3935029756184824E-2</v>
      </c>
      <c r="C11">
        <f t="shared" ca="1" si="1"/>
        <v>1.1670551000184909E-2</v>
      </c>
    </row>
    <row r="12" spans="1:11" x14ac:dyDescent="0.3">
      <c r="A12">
        <v>6</v>
      </c>
      <c r="B12">
        <f t="shared" ca="1" si="0"/>
        <v>5.6264328333125148E-2</v>
      </c>
      <c r="C12">
        <f t="shared" ca="1" si="1"/>
        <v>1.2329298576940324E-2</v>
      </c>
    </row>
    <row r="13" spans="1:11" x14ac:dyDescent="0.3">
      <c r="A13">
        <v>7</v>
      </c>
      <c r="B13">
        <f t="shared" ca="1" si="0"/>
        <v>6.7292520155880886E-2</v>
      </c>
      <c r="C13">
        <f t="shared" ca="1" si="1"/>
        <v>1.1028191822755738E-2</v>
      </c>
    </row>
    <row r="14" spans="1:11" x14ac:dyDescent="0.3">
      <c r="A14">
        <v>8</v>
      </c>
      <c r="B14">
        <f t="shared" ca="1" si="0"/>
        <v>7.7946345865785902E-2</v>
      </c>
      <c r="C14">
        <f t="shared" ca="1" si="1"/>
        <v>1.0653825709905015E-2</v>
      </c>
    </row>
    <row r="15" spans="1:11" x14ac:dyDescent="0.3">
      <c r="A15">
        <v>9</v>
      </c>
      <c r="B15">
        <f t="shared" ca="1" si="0"/>
        <v>8.829909646366757E-2</v>
      </c>
      <c r="C15">
        <f t="shared" ca="1" si="1"/>
        <v>1.0352750597881669E-2</v>
      </c>
    </row>
    <row r="16" spans="1:11" x14ac:dyDescent="0.3">
      <c r="A16">
        <v>10</v>
      </c>
      <c r="B16">
        <f t="shared" ca="1" si="0"/>
        <v>9.6016361423321983E-2</v>
      </c>
      <c r="C16">
        <f t="shared" ca="1" si="1"/>
        <v>7.7172649596544129E-3</v>
      </c>
    </row>
    <row r="17" spans="1:3" x14ac:dyDescent="0.3">
      <c r="A17">
        <v>11</v>
      </c>
      <c r="B17">
        <f t="shared" ca="1" si="0"/>
        <v>0.1051448386052615</v>
      </c>
      <c r="C17">
        <f t="shared" ca="1" si="1"/>
        <v>9.128477181939515E-3</v>
      </c>
    </row>
    <row r="18" spans="1:3" x14ac:dyDescent="0.3">
      <c r="A18">
        <v>12</v>
      </c>
      <c r="B18">
        <f t="shared" ca="1" si="0"/>
        <v>0.11461161871801594</v>
      </c>
      <c r="C18">
        <f t="shared" ca="1" si="1"/>
        <v>9.4667801127544388E-3</v>
      </c>
    </row>
    <row r="19" spans="1:3" x14ac:dyDescent="0.3">
      <c r="A19">
        <v>13</v>
      </c>
      <c r="B19">
        <f t="shared" ca="1" si="0"/>
        <v>0.12485820460913265</v>
      </c>
      <c r="C19">
        <f t="shared" ca="1" si="1"/>
        <v>1.0246585891116711E-2</v>
      </c>
    </row>
    <row r="20" spans="1:3" x14ac:dyDescent="0.3">
      <c r="A20">
        <v>14</v>
      </c>
      <c r="B20">
        <f t="shared" ca="1" si="0"/>
        <v>0.13230802783005957</v>
      </c>
      <c r="C20">
        <f t="shared" ca="1" si="1"/>
        <v>7.4498232209269238E-3</v>
      </c>
    </row>
    <row r="21" spans="1:3" x14ac:dyDescent="0.3">
      <c r="A21">
        <v>15</v>
      </c>
      <c r="B21">
        <f t="shared" ca="1" si="0"/>
        <v>0.14356595945918296</v>
      </c>
      <c r="C21">
        <f t="shared" ca="1" si="1"/>
        <v>1.1257931629123391E-2</v>
      </c>
    </row>
    <row r="22" spans="1:3" x14ac:dyDescent="0.3">
      <c r="A22">
        <v>16</v>
      </c>
      <c r="B22">
        <f t="shared" ca="1" si="0"/>
        <v>0.15642525615800443</v>
      </c>
      <c r="C22">
        <f t="shared" ca="1" si="1"/>
        <v>1.2859296698821465E-2</v>
      </c>
    </row>
    <row r="23" spans="1:3" x14ac:dyDescent="0.3">
      <c r="A23">
        <v>17</v>
      </c>
      <c r="B23">
        <f t="shared" ca="1" si="0"/>
        <v>0.16400270138311021</v>
      </c>
      <c r="C23">
        <f t="shared" ca="1" si="1"/>
        <v>7.5774452251057833E-3</v>
      </c>
    </row>
    <row r="24" spans="1:3" x14ac:dyDescent="0.3">
      <c r="A24">
        <v>18</v>
      </c>
      <c r="B24">
        <f t="shared" ca="1" si="0"/>
        <v>0.17552113432488706</v>
      </c>
      <c r="C24">
        <f t="shared" ca="1" si="1"/>
        <v>1.1518432941776846E-2</v>
      </c>
    </row>
    <row r="25" spans="1:3" x14ac:dyDescent="0.3">
      <c r="A25">
        <v>19</v>
      </c>
      <c r="B25">
        <f t="shared" ca="1" si="0"/>
        <v>0.18333088970450756</v>
      </c>
      <c r="C25">
        <f t="shared" ca="1" si="1"/>
        <v>7.8097553796205033E-3</v>
      </c>
    </row>
    <row r="26" spans="1:3" x14ac:dyDescent="0.3">
      <c r="A26">
        <v>20</v>
      </c>
      <c r="B26">
        <f t="shared" ca="1" si="0"/>
        <v>0.19398187119236238</v>
      </c>
      <c r="C26">
        <f t="shared" ca="1" si="1"/>
        <v>1.0650981487854816E-2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A879-7295-4B28-AB1F-AC4478E5196C}">
  <dimension ref="A2:S58"/>
  <sheetViews>
    <sheetView topLeftCell="A7" zoomScale="115" zoomScaleNormal="115" workbookViewId="0">
      <selection activeCell="D22" sqref="D22"/>
    </sheetView>
  </sheetViews>
  <sheetFormatPr baseColWidth="10" defaultRowHeight="14.4" x14ac:dyDescent="0.3"/>
  <cols>
    <col min="2" max="2" width="12.21875" bestFit="1" customWidth="1"/>
    <col min="4" max="4" width="13.5546875" bestFit="1" customWidth="1"/>
    <col min="5" max="5" width="12.21875" bestFit="1" customWidth="1"/>
  </cols>
  <sheetData>
    <row r="2" spans="1:19" x14ac:dyDescent="0.3">
      <c r="A2" s="8" t="s">
        <v>39</v>
      </c>
      <c r="B2" s="8" t="s">
        <v>40</v>
      </c>
      <c r="C2" s="8" t="s">
        <v>41</v>
      </c>
      <c r="D2" s="10" t="s">
        <v>61</v>
      </c>
      <c r="E2" s="10" t="s">
        <v>40</v>
      </c>
      <c r="F2" s="10" t="s">
        <v>35</v>
      </c>
    </row>
    <row r="3" spans="1:19" x14ac:dyDescent="0.3">
      <c r="A3" s="8">
        <v>3.84</v>
      </c>
      <c r="B3" s="9">
        <f>A3*1023/5</f>
        <v>785.66399999999999</v>
      </c>
      <c r="C3" s="9">
        <v>0</v>
      </c>
      <c r="D3" s="10">
        <v>3.99</v>
      </c>
      <c r="E3" s="11">
        <f>D3*1024/5</f>
        <v>817.15200000000004</v>
      </c>
      <c r="F3" s="12">
        <f>ABS(D3-A3)/A3</f>
        <v>3.9062500000000097E-2</v>
      </c>
      <c r="H3" s="7">
        <f t="shared" ref="H3:H18" si="0">INT(C3)</f>
        <v>0</v>
      </c>
      <c r="R3" t="s">
        <v>43</v>
      </c>
      <c r="S3" t="str">
        <f>CONCATENATE(D20,",""", R3, """")</f>
        <v>,"N"</v>
      </c>
    </row>
    <row r="4" spans="1:19" x14ac:dyDescent="0.3">
      <c r="A4" s="8">
        <v>1.98</v>
      </c>
      <c r="B4" s="9">
        <f t="shared" ref="B4:B17" si="1">A4*1023/5</f>
        <v>405.108</v>
      </c>
      <c r="C4" s="9">
        <v>22.5</v>
      </c>
      <c r="D4" s="10">
        <v>2.06</v>
      </c>
      <c r="E4" s="11">
        <f t="shared" ref="E4:E18" si="2">D4*1024/5</f>
        <v>421.88800000000003</v>
      </c>
      <c r="F4" s="12">
        <f t="shared" ref="F4:F18" si="3">ABS(D4-A4)/A4</f>
        <v>4.0404040404040442E-2</v>
      </c>
      <c r="H4" s="7">
        <f t="shared" si="0"/>
        <v>22</v>
      </c>
      <c r="I4" t="s">
        <v>42</v>
      </c>
      <c r="J4" t="str">
        <f>CONCATENATE(F2, H3, ", ", H4, I4, ", ")</f>
        <v xml:space="preserve">erreur0, 22.5, </v>
      </c>
      <c r="R4" t="s">
        <v>44</v>
      </c>
      <c r="S4" t="str">
        <f>CONCATENATE(S3,",""", R4, """")</f>
        <v>,"N","NNE"</v>
      </c>
    </row>
    <row r="5" spans="1:19" x14ac:dyDescent="0.3">
      <c r="A5" s="8">
        <v>2.25</v>
      </c>
      <c r="B5" s="9">
        <f t="shared" si="1"/>
        <v>460.35</v>
      </c>
      <c r="C5" s="9">
        <v>45</v>
      </c>
      <c r="D5" s="10">
        <v>2.34</v>
      </c>
      <c r="E5" s="11">
        <f t="shared" si="2"/>
        <v>479.23199999999997</v>
      </c>
      <c r="F5" s="12">
        <f t="shared" si="3"/>
        <v>3.9999999999999938E-2</v>
      </c>
      <c r="H5" s="7">
        <f t="shared" si="0"/>
        <v>45</v>
      </c>
      <c r="R5" t="s">
        <v>45</v>
      </c>
      <c r="S5" t="str">
        <f t="shared" ref="S5:S18" si="4">CONCATENATE(S4,",""", R5, """")</f>
        <v>,"N","NNE","NE"</v>
      </c>
    </row>
    <row r="6" spans="1:19" x14ac:dyDescent="0.3">
      <c r="A6" s="8">
        <v>0.41</v>
      </c>
      <c r="B6" s="9">
        <f t="shared" si="1"/>
        <v>83.885999999999996</v>
      </c>
      <c r="C6" s="9">
        <v>67.5</v>
      </c>
      <c r="D6" s="10">
        <v>0.42</v>
      </c>
      <c r="E6" s="11">
        <f t="shared" si="2"/>
        <v>86.015999999999991</v>
      </c>
      <c r="F6" s="12">
        <f t="shared" si="3"/>
        <v>2.4390243902439046E-2</v>
      </c>
      <c r="H6" s="7">
        <f t="shared" si="0"/>
        <v>67</v>
      </c>
      <c r="I6" t="s">
        <v>42</v>
      </c>
      <c r="J6" t="str">
        <f t="shared" ref="J6" si="5">CONCATENATE(J4, H5, ", ", H6, I6, ", ")</f>
        <v xml:space="preserve">erreur0, 22.5, 45, 67.5, </v>
      </c>
      <c r="R6" t="s">
        <v>49</v>
      </c>
      <c r="S6" t="str">
        <f t="shared" si="4"/>
        <v>,"N","NNE","NE","ENE"</v>
      </c>
    </row>
    <row r="7" spans="1:19" x14ac:dyDescent="0.3">
      <c r="A7" s="8">
        <v>0.45</v>
      </c>
      <c r="B7" s="9">
        <f t="shared" si="1"/>
        <v>92.070000000000007</v>
      </c>
      <c r="C7" s="9">
        <v>90</v>
      </c>
      <c r="D7" s="10">
        <v>0.46500000000000002</v>
      </c>
      <c r="E7" s="11">
        <f t="shared" si="2"/>
        <v>95.231999999999999</v>
      </c>
      <c r="F7" s="12">
        <f t="shared" si="3"/>
        <v>3.3333333333333361E-2</v>
      </c>
      <c r="H7" s="7">
        <f t="shared" si="0"/>
        <v>90</v>
      </c>
      <c r="R7" t="s">
        <v>46</v>
      </c>
      <c r="S7" t="str">
        <f t="shared" si="4"/>
        <v>,"N","NNE","NE","ENE","E"</v>
      </c>
    </row>
    <row r="8" spans="1:19" x14ac:dyDescent="0.3">
      <c r="A8" s="8">
        <v>0.32</v>
      </c>
      <c r="B8" s="9">
        <f t="shared" si="1"/>
        <v>65.472000000000008</v>
      </c>
      <c r="C8" s="9">
        <v>112.5</v>
      </c>
      <c r="D8" s="10">
        <v>0.32</v>
      </c>
      <c r="E8" s="11">
        <f t="shared" si="2"/>
        <v>65.536000000000001</v>
      </c>
      <c r="F8" s="12">
        <f t="shared" si="3"/>
        <v>0</v>
      </c>
      <c r="H8" s="7">
        <f t="shared" si="0"/>
        <v>112</v>
      </c>
      <c r="I8" t="s">
        <v>42</v>
      </c>
      <c r="J8" t="str">
        <f t="shared" ref="J8" si="6">CONCATENATE(J6, H7, ", ", H8, I8, ", ")</f>
        <v xml:space="preserve">erreur0, 22.5, 45, 67.5, 90, 112.5, </v>
      </c>
      <c r="R8" t="s">
        <v>47</v>
      </c>
      <c r="S8" t="str">
        <f t="shared" si="4"/>
        <v>,"N","NNE","NE","ENE","E","ESE"</v>
      </c>
    </row>
    <row r="9" spans="1:19" x14ac:dyDescent="0.3">
      <c r="A9" s="8">
        <v>0.9</v>
      </c>
      <c r="B9" s="9">
        <f t="shared" si="1"/>
        <v>184.14000000000001</v>
      </c>
      <c r="C9" s="9">
        <v>135</v>
      </c>
      <c r="D9" s="10">
        <v>0.93</v>
      </c>
      <c r="E9" s="11">
        <f t="shared" si="2"/>
        <v>190.464</v>
      </c>
      <c r="F9" s="12">
        <f t="shared" si="3"/>
        <v>3.3333333333333361E-2</v>
      </c>
      <c r="H9" s="7">
        <f t="shared" si="0"/>
        <v>135</v>
      </c>
      <c r="R9" t="s">
        <v>48</v>
      </c>
      <c r="S9" t="str">
        <f t="shared" si="4"/>
        <v>,"N","NNE","NE","ENE","E","ESE","SE"</v>
      </c>
    </row>
    <row r="10" spans="1:19" x14ac:dyDescent="0.3">
      <c r="A10" s="8">
        <v>0.62</v>
      </c>
      <c r="B10" s="9">
        <f t="shared" si="1"/>
        <v>126.852</v>
      </c>
      <c r="C10" s="9">
        <v>157.5</v>
      </c>
      <c r="D10" s="10">
        <v>0.64</v>
      </c>
      <c r="E10" s="11">
        <f t="shared" si="2"/>
        <v>131.072</v>
      </c>
      <c r="F10" s="12">
        <f t="shared" si="3"/>
        <v>3.2258064516129059E-2</v>
      </c>
      <c r="H10" s="7">
        <f t="shared" si="0"/>
        <v>157</v>
      </c>
      <c r="I10" t="s">
        <v>42</v>
      </c>
      <c r="J10" t="str">
        <f t="shared" ref="J10" si="7">CONCATENATE(J8, H9, ", ", H10, I10, ", ")</f>
        <v xml:space="preserve">erreur0, 22.5, 45, 67.5, 90, 112.5, 135, 157.5, </v>
      </c>
      <c r="R10" t="s">
        <v>50</v>
      </c>
      <c r="S10" t="str">
        <f t="shared" si="4"/>
        <v>,"N","NNE","NE","ENE","E","ESE","SE","SSE"</v>
      </c>
    </row>
    <row r="11" spans="1:19" x14ac:dyDescent="0.3">
      <c r="A11" s="8">
        <v>1.4</v>
      </c>
      <c r="B11" s="9">
        <f t="shared" si="1"/>
        <v>286.43999999999994</v>
      </c>
      <c r="C11" s="9">
        <v>180</v>
      </c>
      <c r="D11" s="10">
        <v>1.45</v>
      </c>
      <c r="E11" s="11">
        <f t="shared" si="2"/>
        <v>296.95999999999998</v>
      </c>
      <c r="F11" s="12">
        <f t="shared" si="3"/>
        <v>3.5714285714285747E-2</v>
      </c>
      <c r="H11" s="7">
        <f t="shared" si="0"/>
        <v>180</v>
      </c>
      <c r="R11" t="s">
        <v>51</v>
      </c>
      <c r="S11" t="str">
        <f t="shared" si="4"/>
        <v>,"N","NNE","NE","ENE","E","ESE","SE","SSE","S"</v>
      </c>
    </row>
    <row r="12" spans="1:19" x14ac:dyDescent="0.3">
      <c r="A12" s="8">
        <v>1.19</v>
      </c>
      <c r="B12" s="9">
        <f t="shared" si="1"/>
        <v>243.47399999999999</v>
      </c>
      <c r="C12" s="9">
        <v>202.5</v>
      </c>
      <c r="D12" s="10">
        <v>1.23</v>
      </c>
      <c r="E12" s="11">
        <f t="shared" si="2"/>
        <v>251.904</v>
      </c>
      <c r="F12" s="12">
        <f t="shared" si="3"/>
        <v>3.3613445378151294E-2</v>
      </c>
      <c r="H12" s="7">
        <f t="shared" si="0"/>
        <v>202</v>
      </c>
      <c r="I12" t="s">
        <v>42</v>
      </c>
      <c r="J12" t="str">
        <f t="shared" ref="J12" si="8">CONCATENATE(J10, H11, ", ", H12, I12, ", ")</f>
        <v xml:space="preserve">erreur0, 22.5, 45, 67.5, 90, 112.5, 135, 157.5, 180, 202.5, </v>
      </c>
      <c r="R12" t="s">
        <v>52</v>
      </c>
      <c r="S12" t="str">
        <f t="shared" si="4"/>
        <v>,"N","NNE","NE","ENE","E","ESE","SE","SSE","S","SSW"</v>
      </c>
    </row>
    <row r="13" spans="1:19" x14ac:dyDescent="0.3">
      <c r="A13" s="8">
        <v>3.08</v>
      </c>
      <c r="B13" s="9">
        <f t="shared" si="1"/>
        <v>630.16800000000001</v>
      </c>
      <c r="C13" s="9">
        <v>225</v>
      </c>
      <c r="D13" s="10">
        <v>3.2</v>
      </c>
      <c r="E13" s="11">
        <f t="shared" si="2"/>
        <v>655.36</v>
      </c>
      <c r="F13" s="12">
        <f t="shared" si="3"/>
        <v>3.8961038961038995E-2</v>
      </c>
      <c r="H13" s="7">
        <f t="shared" si="0"/>
        <v>225</v>
      </c>
      <c r="R13" t="s">
        <v>53</v>
      </c>
      <c r="S13" t="str">
        <f t="shared" si="4"/>
        <v>,"N","NNE","NE","ENE","E","ESE","SE","SSE","S","SSW","SW"</v>
      </c>
    </row>
    <row r="14" spans="1:19" x14ac:dyDescent="0.3">
      <c r="A14" s="8">
        <v>2.93</v>
      </c>
      <c r="B14" s="9">
        <f t="shared" si="1"/>
        <v>599.47800000000007</v>
      </c>
      <c r="C14" s="9">
        <v>247.5</v>
      </c>
      <c r="D14" s="10">
        <v>3.04</v>
      </c>
      <c r="E14" s="11">
        <f t="shared" si="2"/>
        <v>622.59199999999998</v>
      </c>
      <c r="F14" s="12">
        <f t="shared" si="3"/>
        <v>3.754266211604091E-2</v>
      </c>
      <c r="H14" s="7">
        <f t="shared" si="0"/>
        <v>247</v>
      </c>
      <c r="I14" t="s">
        <v>42</v>
      </c>
      <c r="J14" t="str">
        <f t="shared" ref="J14" si="9">CONCATENATE(J12, H13, ", ", H14, I14, ", ")</f>
        <v xml:space="preserve">erreur0, 22.5, 45, 67.5, 90, 112.5, 135, 157.5, 180, 202.5, 225, 247.5, </v>
      </c>
      <c r="R14" t="s">
        <v>54</v>
      </c>
      <c r="S14" t="str">
        <f t="shared" si="4"/>
        <v>,"N","NNE","NE","ENE","E","ESE","SE","SSE","S","SSW","SW","WSW"</v>
      </c>
    </row>
    <row r="15" spans="1:19" x14ac:dyDescent="0.3">
      <c r="A15" s="8">
        <v>4.62</v>
      </c>
      <c r="B15" s="9">
        <f t="shared" si="1"/>
        <v>945.25200000000007</v>
      </c>
      <c r="C15" s="9">
        <v>270</v>
      </c>
      <c r="D15" s="10">
        <v>4.79</v>
      </c>
      <c r="E15" s="11">
        <f t="shared" si="2"/>
        <v>980.99199999999996</v>
      </c>
      <c r="F15" s="12">
        <f t="shared" si="3"/>
        <v>3.6796536796536779E-2</v>
      </c>
      <c r="H15" s="7">
        <f t="shared" si="0"/>
        <v>270</v>
      </c>
      <c r="R15" t="s">
        <v>54</v>
      </c>
      <c r="S15" t="str">
        <f t="shared" si="4"/>
        <v>,"N","NNE","NE","ENE","E","ESE","SE","SSE","S","SSW","SW","WSW","WSW"</v>
      </c>
    </row>
    <row r="16" spans="1:19" x14ac:dyDescent="0.3">
      <c r="A16" s="8">
        <v>4.04</v>
      </c>
      <c r="B16" s="9">
        <f t="shared" si="1"/>
        <v>826.58400000000006</v>
      </c>
      <c r="C16" s="9">
        <v>292.5</v>
      </c>
      <c r="D16" s="10">
        <v>4.2</v>
      </c>
      <c r="E16" s="11">
        <f t="shared" si="2"/>
        <v>860.16000000000008</v>
      </c>
      <c r="F16" s="12">
        <f t="shared" si="3"/>
        <v>3.9603960396039639E-2</v>
      </c>
      <c r="H16" s="7">
        <f t="shared" si="0"/>
        <v>292</v>
      </c>
      <c r="I16" t="s">
        <v>42</v>
      </c>
      <c r="J16" t="str">
        <f t="shared" ref="J16" si="10">CONCATENATE(J14, H15, ", ", H16, I16, ", ")</f>
        <v xml:space="preserve">erreur0, 22.5, 45, 67.5, 90, 112.5, 135, 157.5, 180, 202.5, 225, 247.5, 270, 292.5, </v>
      </c>
      <c r="R16" t="s">
        <v>55</v>
      </c>
      <c r="S16" t="str">
        <f t="shared" si="4"/>
        <v>,"N","NNE","NE","ENE","E","ESE","SE","SSE","S","SSW","SW","WSW","WSW","WNW"</v>
      </c>
    </row>
    <row r="17" spans="1:19" x14ac:dyDescent="0.3">
      <c r="A17" s="8">
        <v>4.33</v>
      </c>
      <c r="B17" s="9">
        <f t="shared" si="1"/>
        <v>885.91800000000001</v>
      </c>
      <c r="C17" s="9">
        <v>315</v>
      </c>
      <c r="D17" s="10">
        <v>4.5</v>
      </c>
      <c r="E17" s="11">
        <f t="shared" si="2"/>
        <v>921.6</v>
      </c>
      <c r="F17" s="12">
        <f t="shared" si="3"/>
        <v>3.9260969976905293E-2</v>
      </c>
      <c r="H17" s="7">
        <f t="shared" si="0"/>
        <v>315</v>
      </c>
      <c r="R17" t="s">
        <v>56</v>
      </c>
      <c r="S17" t="str">
        <f t="shared" si="4"/>
        <v>,"N","NNE","NE","ENE","E","ESE","SE","SSE","S","SSW","SW","WSW","WSW","WNW","NW"</v>
      </c>
    </row>
    <row r="18" spans="1:19" x14ac:dyDescent="0.3">
      <c r="A18" s="8">
        <v>3.43</v>
      </c>
      <c r="B18" s="9">
        <f>A18*1023/5</f>
        <v>701.77800000000002</v>
      </c>
      <c r="C18" s="9">
        <v>337.5</v>
      </c>
      <c r="D18" s="10">
        <v>3.57</v>
      </c>
      <c r="E18" s="11">
        <f t="shared" si="2"/>
        <v>731.13599999999997</v>
      </c>
      <c r="F18" s="12">
        <f t="shared" si="3"/>
        <v>4.0816326530612151E-2</v>
      </c>
      <c r="H18" s="7">
        <f t="shared" si="0"/>
        <v>337</v>
      </c>
      <c r="I18" t="s">
        <v>42</v>
      </c>
      <c r="J18" t="str">
        <f t="shared" ref="J18" si="11">CONCATENATE(J16, H17, ", ", H18, I18, ", ")</f>
        <v xml:space="preserve">erreur0, 22.5, 45, 67.5, 90, 112.5, 135, 157.5, 180, 202.5, 225, 247.5, 270, 292.5, 315, 337.5, </v>
      </c>
      <c r="R18" t="s">
        <v>57</v>
      </c>
      <c r="S18" t="str">
        <f t="shared" si="4"/>
        <v>,"N","NNE","NE","ENE","E","ESE","SE","SSE","S","SSW","SW","WSW","WSW","WNW","NW","NNW"</v>
      </c>
    </row>
    <row r="19" spans="1:19" x14ac:dyDescent="0.3">
      <c r="C19" s="9">
        <v>360</v>
      </c>
      <c r="D19" s="10">
        <v>3.99</v>
      </c>
    </row>
    <row r="22" spans="1:19" x14ac:dyDescent="0.3">
      <c r="A22">
        <v>65.471999999999994</v>
      </c>
      <c r="B22" s="7">
        <v>115</v>
      </c>
      <c r="D22">
        <f>(A23+A22)/2</f>
        <v>74.679000000000002</v>
      </c>
      <c r="G22" s="7" t="str">
        <f>_xlfn.CONCAT("if (WindAnalog &lt; ", ROUND(D22,0), ") return(", ROUND(B22, 1), ");")</f>
        <v>if (WindAnalog &lt; 75) return(115);</v>
      </c>
      <c r="K22">
        <v>0</v>
      </c>
      <c r="M22" t="s">
        <v>64</v>
      </c>
      <c r="O22" s="7" t="str">
        <f>_xlfn.CONCAT("if(WindAngle &lt; ",K22+5, ") return(""",M22,""");")</f>
        <v>if(WindAngle &lt; 5) return("Nord");</v>
      </c>
    </row>
    <row r="23" spans="1:19" x14ac:dyDescent="0.3">
      <c r="A23">
        <v>83.885999999999996</v>
      </c>
      <c r="B23" s="7">
        <v>70</v>
      </c>
      <c r="C23" s="7"/>
      <c r="D23">
        <f t="shared" ref="D23:D37" si="12">(A24+A23)/2</f>
        <v>87.978000000000009</v>
      </c>
      <c r="F23" s="7"/>
      <c r="G23" s="7" t="str">
        <f>_xlfn.CONCAT("if (WindAnalog &lt; ", ROUND(D23,0), ") return(", ROUND(B23, 1), ");")</f>
        <v>if (WindAnalog &lt; 88) return(70);</v>
      </c>
      <c r="K23">
        <v>22.5</v>
      </c>
      <c r="M23" t="s">
        <v>64</v>
      </c>
      <c r="O23" s="7" t="str">
        <f t="shared" ref="O23:O37" si="13">_xlfn.CONCAT("if(WindAngle &lt; ",K23+5, ") return(""",M23,""");")</f>
        <v>if(WindAngle &lt; 27,5) return("Nord");</v>
      </c>
    </row>
    <row r="24" spans="1:19" x14ac:dyDescent="0.3">
      <c r="A24">
        <v>92.070000000000007</v>
      </c>
      <c r="B24" s="7">
        <v>90</v>
      </c>
      <c r="C24" s="7"/>
      <c r="D24">
        <f t="shared" si="12"/>
        <v>109.46100000000001</v>
      </c>
      <c r="F24" s="7"/>
      <c r="G24" s="7" t="str">
        <f t="shared" ref="G24:G37" si="14">_xlfn.CONCAT("if (WindAnalog &lt; ", ROUND(D24,0), ") return(", ROUND(B24, 1), ");")</f>
        <v>if (WindAnalog &lt; 109) return(90);</v>
      </c>
      <c r="K24">
        <v>45</v>
      </c>
      <c r="M24" t="s">
        <v>65</v>
      </c>
      <c r="O24" s="7" t="str">
        <f t="shared" si="13"/>
        <v>if(WindAngle &lt; 50) return("Nord-Est");</v>
      </c>
    </row>
    <row r="25" spans="1:19" x14ac:dyDescent="0.3">
      <c r="A25">
        <v>126.852</v>
      </c>
      <c r="B25" s="7">
        <v>160</v>
      </c>
      <c r="C25" s="7"/>
      <c r="D25">
        <f t="shared" si="12"/>
        <v>155.49600000000001</v>
      </c>
      <c r="F25" s="7"/>
      <c r="G25" s="7" t="str">
        <f t="shared" si="14"/>
        <v>if (WindAnalog &lt; 155) return(160);</v>
      </c>
      <c r="K25">
        <v>67.5</v>
      </c>
      <c r="M25" t="s">
        <v>66</v>
      </c>
      <c r="O25" s="7" t="str">
        <f t="shared" si="13"/>
        <v>if(WindAngle &lt; 72,5) return("Est");</v>
      </c>
    </row>
    <row r="26" spans="1:19" x14ac:dyDescent="0.3">
      <c r="A26">
        <v>184.14000000000001</v>
      </c>
      <c r="B26" s="7">
        <v>135</v>
      </c>
      <c r="C26" s="7"/>
      <c r="D26">
        <f t="shared" si="12"/>
        <v>213.80700000000002</v>
      </c>
      <c r="F26" s="7"/>
      <c r="G26" s="7" t="str">
        <f t="shared" si="14"/>
        <v>if (WindAnalog &lt; 214) return(135);</v>
      </c>
      <c r="K26">
        <v>90</v>
      </c>
      <c r="M26" t="s">
        <v>66</v>
      </c>
      <c r="O26" s="7" t="str">
        <f t="shared" si="13"/>
        <v>if(WindAngle &lt; 95) return("Est");</v>
      </c>
    </row>
    <row r="27" spans="1:19" x14ac:dyDescent="0.3">
      <c r="A27">
        <v>243.47399999999999</v>
      </c>
      <c r="B27" s="7">
        <v>200</v>
      </c>
      <c r="C27" s="7"/>
      <c r="D27">
        <f t="shared" si="12"/>
        <v>264.95699999999999</v>
      </c>
      <c r="F27" s="7"/>
      <c r="G27" s="7" t="str">
        <f t="shared" si="14"/>
        <v>if (WindAnalog &lt; 265) return(200);</v>
      </c>
      <c r="K27">
        <v>112.5</v>
      </c>
      <c r="M27" t="s">
        <v>66</v>
      </c>
      <c r="O27" s="7" t="str">
        <f t="shared" si="13"/>
        <v>if(WindAngle &lt; 117,5) return("Est");</v>
      </c>
    </row>
    <row r="28" spans="1:19" x14ac:dyDescent="0.3">
      <c r="A28">
        <v>286.43999999999994</v>
      </c>
      <c r="B28" s="7">
        <v>180</v>
      </c>
      <c r="C28" s="7"/>
      <c r="D28">
        <f t="shared" si="12"/>
        <v>345.774</v>
      </c>
      <c r="F28" s="7"/>
      <c r="G28" s="7" t="str">
        <f t="shared" si="14"/>
        <v>if (WindAnalog &lt; 346) return(180);</v>
      </c>
      <c r="K28">
        <v>135</v>
      </c>
      <c r="M28" t="s">
        <v>67</v>
      </c>
      <c r="O28" s="7" t="str">
        <f t="shared" si="13"/>
        <v>if(WindAngle &lt; 140) return("Sud-Est");</v>
      </c>
    </row>
    <row r="29" spans="1:19" x14ac:dyDescent="0.3">
      <c r="A29">
        <v>405.108</v>
      </c>
      <c r="B29" s="7">
        <v>20</v>
      </c>
      <c r="C29" s="7"/>
      <c r="D29">
        <f t="shared" si="12"/>
        <v>432.72900000000004</v>
      </c>
      <c r="F29" s="7"/>
      <c r="G29" s="7" t="str">
        <f t="shared" si="14"/>
        <v>if (WindAnalog &lt; 433) return(20);</v>
      </c>
      <c r="K29">
        <v>157.5</v>
      </c>
      <c r="M29" t="s">
        <v>68</v>
      </c>
      <c r="O29" s="7" t="str">
        <f t="shared" si="13"/>
        <v>if(WindAngle &lt; 162,5) return("Sud");</v>
      </c>
    </row>
    <row r="30" spans="1:19" x14ac:dyDescent="0.3">
      <c r="A30">
        <v>460.35</v>
      </c>
      <c r="B30" s="7">
        <v>45</v>
      </c>
      <c r="C30" s="7"/>
      <c r="D30">
        <f t="shared" si="12"/>
        <v>529.91399999999999</v>
      </c>
      <c r="F30" s="7"/>
      <c r="G30" s="7" t="str">
        <f t="shared" si="14"/>
        <v>if (WindAnalog &lt; 530) return(45);</v>
      </c>
      <c r="K30">
        <v>180</v>
      </c>
      <c r="M30" t="s">
        <v>68</v>
      </c>
      <c r="O30" s="7" t="str">
        <f t="shared" si="13"/>
        <v>if(WindAngle &lt; 185) return("Sud");</v>
      </c>
    </row>
    <row r="31" spans="1:19" x14ac:dyDescent="0.3">
      <c r="A31">
        <v>599.47800000000007</v>
      </c>
      <c r="B31" s="7">
        <v>250</v>
      </c>
      <c r="C31" s="7"/>
      <c r="D31">
        <f t="shared" si="12"/>
        <v>614.82300000000009</v>
      </c>
      <c r="F31" s="7"/>
      <c r="G31" s="7" t="str">
        <f t="shared" si="14"/>
        <v>if (WindAnalog &lt; 615) return(250);</v>
      </c>
      <c r="K31">
        <v>202.5</v>
      </c>
      <c r="M31" t="s">
        <v>68</v>
      </c>
      <c r="O31" s="7" t="str">
        <f t="shared" si="13"/>
        <v>if(WindAngle &lt; 207,5) return("Sud");</v>
      </c>
    </row>
    <row r="32" spans="1:19" x14ac:dyDescent="0.3">
      <c r="A32">
        <v>630.16800000000001</v>
      </c>
      <c r="B32" s="7">
        <v>225</v>
      </c>
      <c r="C32" s="7"/>
      <c r="D32">
        <f t="shared" si="12"/>
        <v>665.97299999999996</v>
      </c>
      <c r="F32" s="7"/>
      <c r="G32" s="7" t="str">
        <f t="shared" si="14"/>
        <v>if (WindAnalog &lt; 666) return(225);</v>
      </c>
      <c r="K32">
        <v>225</v>
      </c>
      <c r="M32" t="s">
        <v>69</v>
      </c>
      <c r="O32" s="7" t="str">
        <f t="shared" si="13"/>
        <v>if(WindAngle &lt; 230) return("Sud-Ouest");</v>
      </c>
    </row>
    <row r="33" spans="1:15" x14ac:dyDescent="0.3">
      <c r="A33">
        <v>701.77800000000002</v>
      </c>
      <c r="B33" s="7">
        <v>340</v>
      </c>
      <c r="C33" s="7"/>
      <c r="D33">
        <f t="shared" si="12"/>
        <v>743.721</v>
      </c>
      <c r="F33" s="7"/>
      <c r="G33" s="7" t="str">
        <f t="shared" si="14"/>
        <v>if (WindAnalog &lt; 744) return(340);</v>
      </c>
      <c r="K33">
        <v>247.5</v>
      </c>
      <c r="M33" t="s">
        <v>70</v>
      </c>
      <c r="O33" s="7" t="str">
        <f t="shared" si="13"/>
        <v>if(WindAngle &lt; 252,5) return("Ouest");</v>
      </c>
    </row>
    <row r="34" spans="1:15" x14ac:dyDescent="0.3">
      <c r="A34">
        <v>785.66399999999999</v>
      </c>
      <c r="B34" s="7">
        <v>0</v>
      </c>
      <c r="C34" s="7"/>
      <c r="D34">
        <f t="shared" si="12"/>
        <v>806.12400000000002</v>
      </c>
      <c r="F34" s="7"/>
      <c r="G34" s="7" t="str">
        <f t="shared" si="14"/>
        <v>if (WindAnalog &lt; 806) return(0);</v>
      </c>
      <c r="K34">
        <v>270</v>
      </c>
      <c r="M34" t="s">
        <v>70</v>
      </c>
      <c r="O34" s="7" t="str">
        <f t="shared" si="13"/>
        <v>if(WindAngle &lt; 275) return("Ouest");</v>
      </c>
    </row>
    <row r="35" spans="1:15" x14ac:dyDescent="0.3">
      <c r="A35">
        <v>826.58400000000006</v>
      </c>
      <c r="B35" s="7">
        <v>290</v>
      </c>
      <c r="C35" s="7"/>
      <c r="D35">
        <f t="shared" si="12"/>
        <v>856.25099999999998</v>
      </c>
      <c r="F35" s="7"/>
      <c r="G35" s="7" t="str">
        <f t="shared" si="14"/>
        <v>if (WindAnalog &lt; 856) return(290);</v>
      </c>
      <c r="K35">
        <v>292.5</v>
      </c>
      <c r="M35" t="s">
        <v>70</v>
      </c>
      <c r="O35" s="7" t="str">
        <f t="shared" si="13"/>
        <v>if(WindAngle &lt; 297,5) return("Ouest");</v>
      </c>
    </row>
    <row r="36" spans="1:15" x14ac:dyDescent="0.3">
      <c r="A36">
        <v>885.91800000000001</v>
      </c>
      <c r="B36" s="7">
        <v>315</v>
      </c>
      <c r="C36" s="7"/>
      <c r="D36">
        <f t="shared" si="12"/>
        <v>915.58500000000004</v>
      </c>
      <c r="F36" s="7"/>
      <c r="G36" s="7" t="str">
        <f t="shared" si="14"/>
        <v>if (WindAnalog &lt; 916) return(315);</v>
      </c>
      <c r="K36">
        <v>315</v>
      </c>
      <c r="M36" t="s">
        <v>71</v>
      </c>
      <c r="O36" s="7" t="str">
        <f t="shared" si="13"/>
        <v>if(WindAngle &lt; 320) return("Nord-Ouest");</v>
      </c>
    </row>
    <row r="37" spans="1:15" x14ac:dyDescent="0.3">
      <c r="A37">
        <v>945.25200000000007</v>
      </c>
      <c r="B37" s="7">
        <v>270</v>
      </c>
      <c r="C37" s="7"/>
      <c r="D37">
        <f t="shared" si="12"/>
        <v>984.12599999999998</v>
      </c>
      <c r="F37" s="7"/>
      <c r="G37" s="7" t="str">
        <f t="shared" si="14"/>
        <v>if (WindAnalog &lt; 984) return(270);</v>
      </c>
      <c r="K37">
        <v>337.5</v>
      </c>
      <c r="M37" t="s">
        <v>64</v>
      </c>
      <c r="O37" s="7" t="str">
        <f t="shared" si="13"/>
        <v>if(WindAngle &lt; 342,5) return("Nord");</v>
      </c>
    </row>
    <row r="38" spans="1:15" x14ac:dyDescent="0.3">
      <c r="A38">
        <v>1023</v>
      </c>
    </row>
    <row r="42" spans="1:15" ht="43.2" x14ac:dyDescent="0.3">
      <c r="A42" s="13" t="s">
        <v>62</v>
      </c>
      <c r="B42" s="13" t="s">
        <v>63</v>
      </c>
    </row>
    <row r="43" spans="1:15" x14ac:dyDescent="0.3">
      <c r="A43" s="7">
        <v>65.536000000000001</v>
      </c>
      <c r="B43">
        <f t="shared" ref="B43:B57" si="15">(A43+A44)/2</f>
        <v>75.775999999999996</v>
      </c>
      <c r="C43" s="7">
        <v>112.5</v>
      </c>
      <c r="E43" s="7"/>
      <c r="F43" s="7"/>
      <c r="G43" s="7" t="str">
        <f>_xlfn.CONCAT("if (WindAnalog &lt; ", ROUND(B43,0), ") return(", ROUND(C43, 1), ");")</f>
        <v>if (WindAnalog &lt; 76) return(112,5);</v>
      </c>
    </row>
    <row r="44" spans="1:15" x14ac:dyDescent="0.3">
      <c r="A44" s="7">
        <v>86.015999999999991</v>
      </c>
      <c r="B44">
        <f t="shared" si="15"/>
        <v>90.623999999999995</v>
      </c>
      <c r="C44" s="7">
        <v>67.5</v>
      </c>
      <c r="E44" s="7"/>
      <c r="F44" s="7"/>
      <c r="G44" s="7" t="str">
        <f t="shared" ref="G44:G58" si="16">_xlfn.CONCAT("if (WindAnalog &lt; ", ROUND(B44,0), ") return(", ROUND(C44, 1), ");")</f>
        <v>if (WindAnalog &lt; 91) return(67,5);</v>
      </c>
    </row>
    <row r="45" spans="1:15" x14ac:dyDescent="0.3">
      <c r="A45" s="7">
        <v>95.231999999999999</v>
      </c>
      <c r="B45">
        <f t="shared" si="15"/>
        <v>113.152</v>
      </c>
      <c r="C45" s="7">
        <v>90</v>
      </c>
      <c r="E45" s="7"/>
      <c r="F45" s="7"/>
      <c r="G45" s="7" t="str">
        <f t="shared" si="16"/>
        <v>if (WindAnalog &lt; 113) return(90);</v>
      </c>
    </row>
    <row r="46" spans="1:15" x14ac:dyDescent="0.3">
      <c r="A46" s="7">
        <v>131.072</v>
      </c>
      <c r="B46">
        <f t="shared" si="15"/>
        <v>160.768</v>
      </c>
      <c r="C46" s="7">
        <v>157.5</v>
      </c>
      <c r="E46" s="7"/>
      <c r="F46" s="7"/>
      <c r="G46" s="7" t="str">
        <f t="shared" si="16"/>
        <v>if (WindAnalog &lt; 161) return(157,5);</v>
      </c>
    </row>
    <row r="47" spans="1:15" x14ac:dyDescent="0.3">
      <c r="A47" s="7">
        <v>190.464</v>
      </c>
      <c r="B47">
        <f t="shared" si="15"/>
        <v>221.184</v>
      </c>
      <c r="C47" s="7">
        <v>135</v>
      </c>
      <c r="E47" s="7"/>
      <c r="F47" s="7"/>
      <c r="G47" s="7" t="str">
        <f t="shared" si="16"/>
        <v>if (WindAnalog &lt; 221) return(135);</v>
      </c>
    </row>
    <row r="48" spans="1:15" x14ac:dyDescent="0.3">
      <c r="A48" s="7">
        <v>251.904</v>
      </c>
      <c r="B48">
        <f t="shared" si="15"/>
        <v>274.43200000000002</v>
      </c>
      <c r="C48" s="7">
        <v>202.5</v>
      </c>
      <c r="E48" s="7"/>
      <c r="F48" s="7"/>
      <c r="G48" s="7" t="str">
        <f t="shared" si="16"/>
        <v>if (WindAnalog &lt; 274) return(202,5);</v>
      </c>
    </row>
    <row r="49" spans="1:7" x14ac:dyDescent="0.3">
      <c r="A49" s="7">
        <v>296.95999999999998</v>
      </c>
      <c r="B49">
        <f t="shared" si="15"/>
        <v>359.42399999999998</v>
      </c>
      <c r="C49" s="7">
        <v>180</v>
      </c>
      <c r="E49" s="7"/>
      <c r="F49" s="7"/>
      <c r="G49" s="7" t="str">
        <f t="shared" si="16"/>
        <v>if (WindAnalog &lt; 359) return(180);</v>
      </c>
    </row>
    <row r="50" spans="1:7" x14ac:dyDescent="0.3">
      <c r="A50" s="7">
        <v>421.88800000000003</v>
      </c>
      <c r="B50">
        <f t="shared" si="15"/>
        <v>450.56</v>
      </c>
      <c r="C50" s="7">
        <v>22.5</v>
      </c>
      <c r="E50" s="7"/>
      <c r="F50" s="7"/>
      <c r="G50" s="7" t="str">
        <f t="shared" si="16"/>
        <v>if (WindAnalog &lt; 451) return(22,5);</v>
      </c>
    </row>
    <row r="51" spans="1:7" x14ac:dyDescent="0.3">
      <c r="A51" s="7">
        <v>479.23199999999997</v>
      </c>
      <c r="B51">
        <f t="shared" si="15"/>
        <v>550.91200000000003</v>
      </c>
      <c r="C51" s="7">
        <v>45</v>
      </c>
      <c r="E51" s="7"/>
      <c r="F51" s="7"/>
      <c r="G51" s="7" t="str">
        <f t="shared" si="16"/>
        <v>if (WindAnalog &lt; 551) return(45);</v>
      </c>
    </row>
    <row r="52" spans="1:7" x14ac:dyDescent="0.3">
      <c r="A52" s="7">
        <v>622.59199999999998</v>
      </c>
      <c r="B52">
        <f t="shared" si="15"/>
        <v>638.976</v>
      </c>
      <c r="C52" s="7">
        <v>247.5</v>
      </c>
      <c r="E52" s="7"/>
      <c r="F52" s="7"/>
      <c r="G52" s="7" t="str">
        <f t="shared" si="16"/>
        <v>if (WindAnalog &lt; 639) return(247,5);</v>
      </c>
    </row>
    <row r="53" spans="1:7" x14ac:dyDescent="0.3">
      <c r="A53" s="7">
        <v>655.36</v>
      </c>
      <c r="B53">
        <f t="shared" si="15"/>
        <v>693.24800000000005</v>
      </c>
      <c r="C53" s="7">
        <v>225</v>
      </c>
      <c r="E53" s="7"/>
      <c r="F53" s="7"/>
      <c r="G53" s="7" t="str">
        <f t="shared" si="16"/>
        <v>if (WindAnalog &lt; 693) return(225);</v>
      </c>
    </row>
    <row r="54" spans="1:7" x14ac:dyDescent="0.3">
      <c r="A54" s="7">
        <v>731.13599999999997</v>
      </c>
      <c r="B54">
        <f t="shared" si="15"/>
        <v>774.14400000000001</v>
      </c>
      <c r="C54" s="7">
        <v>337.5</v>
      </c>
      <c r="E54" s="7"/>
      <c r="F54" s="7"/>
      <c r="G54" s="7" t="str">
        <f t="shared" si="16"/>
        <v>if (WindAnalog &lt; 774) return(337,5);</v>
      </c>
    </row>
    <row r="55" spans="1:7" x14ac:dyDescent="0.3">
      <c r="A55" s="7">
        <v>817.15200000000004</v>
      </c>
      <c r="B55">
        <f t="shared" si="15"/>
        <v>838.65600000000006</v>
      </c>
      <c r="C55" s="7">
        <v>0</v>
      </c>
      <c r="E55" s="7"/>
      <c r="F55" s="7"/>
      <c r="G55" s="7" t="str">
        <f t="shared" si="16"/>
        <v>if (WindAnalog &lt; 839) return(0);</v>
      </c>
    </row>
    <row r="56" spans="1:7" x14ac:dyDescent="0.3">
      <c r="A56" s="7">
        <v>860.16000000000008</v>
      </c>
      <c r="B56">
        <f t="shared" si="15"/>
        <v>890.88000000000011</v>
      </c>
      <c r="C56" s="7">
        <v>292.5</v>
      </c>
      <c r="E56" s="7"/>
      <c r="F56" s="7"/>
      <c r="G56" s="7" t="str">
        <f t="shared" si="16"/>
        <v>if (WindAnalog &lt; 891) return(292,5);</v>
      </c>
    </row>
    <row r="57" spans="1:7" x14ac:dyDescent="0.3">
      <c r="A57" s="7">
        <v>921.6</v>
      </c>
      <c r="B57">
        <f t="shared" si="15"/>
        <v>951.29600000000005</v>
      </c>
      <c r="C57" s="7">
        <v>315</v>
      </c>
      <c r="E57" s="7"/>
      <c r="F57" s="7"/>
      <c r="G57" s="7" t="str">
        <f t="shared" si="16"/>
        <v>if (WindAnalog &lt; 951) return(315);</v>
      </c>
    </row>
    <row r="58" spans="1:7" x14ac:dyDescent="0.3">
      <c r="A58" s="7">
        <v>980.99199999999996</v>
      </c>
      <c r="B58">
        <v>1023</v>
      </c>
      <c r="C58" s="7">
        <v>270</v>
      </c>
      <c r="E58" s="7"/>
      <c r="F58" s="7"/>
      <c r="G58" s="7" t="str">
        <f t="shared" si="16"/>
        <v>if (WindAnalog &lt; 1023) return(270);</v>
      </c>
    </row>
  </sheetData>
  <sortState xmlns:xlrd2="http://schemas.microsoft.com/office/spreadsheetml/2017/richdata2" ref="A43:B58">
    <sortCondition ref="A43:A58"/>
  </sortState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8084-F7A6-4EC6-91BF-FA26D27417F0}">
  <dimension ref="A1:E22"/>
  <sheetViews>
    <sheetView workbookViewId="0">
      <selection activeCell="E4" sqref="E4:E22"/>
    </sheetView>
  </sheetViews>
  <sheetFormatPr baseColWidth="10" defaultRowHeight="14.4" x14ac:dyDescent="0.3"/>
  <cols>
    <col min="3" max="3" width="12.6640625" bestFit="1" customWidth="1"/>
    <col min="4" max="4" width="11.88671875" bestFit="1" customWidth="1"/>
    <col min="5" max="5" width="12.6640625" bestFit="1" customWidth="1"/>
  </cols>
  <sheetData>
    <row r="1" spans="1:5" x14ac:dyDescent="0.3">
      <c r="A1" t="s">
        <v>118</v>
      </c>
      <c r="B1">
        <v>80</v>
      </c>
      <c r="C1" t="s">
        <v>119</v>
      </c>
    </row>
    <row r="3" spans="1:5" x14ac:dyDescent="0.3">
      <c r="A3" t="s">
        <v>121</v>
      </c>
      <c r="B3" t="s">
        <v>122</v>
      </c>
      <c r="C3" t="s">
        <v>124</v>
      </c>
      <c r="D3" t="s">
        <v>123</v>
      </c>
      <c r="E3" t="s">
        <v>120</v>
      </c>
    </row>
    <row r="4" spans="1:5" x14ac:dyDescent="0.3">
      <c r="A4">
        <v>-10</v>
      </c>
      <c r="B4">
        <f>A4+273.15</f>
        <v>263.14999999999998</v>
      </c>
      <c r="C4">
        <f t="shared" ref="C4:C22" si="0">POWER(B$1/100, 1/8)*(112+(0.9*A4)) + (0.1*A4) - 112</f>
        <v>-12.833275335994472</v>
      </c>
      <c r="D4">
        <f>C4+273.15</f>
        <v>260.31672466400551</v>
      </c>
      <c r="E4">
        <f>D4+2671.02/((2954.61/B4)+2.193665*LN(B4)-13.3448)-B4-273.15</f>
        <v>-11.728485757879298</v>
      </c>
    </row>
    <row r="5" spans="1:5" x14ac:dyDescent="0.3">
      <c r="A5">
        <v>-7.5</v>
      </c>
      <c r="B5">
        <f t="shared" ref="B5:B22" si="1">A5+273.15</f>
        <v>265.64999999999998</v>
      </c>
      <c r="C5">
        <f t="shared" si="0"/>
        <v>-10.395167272945812</v>
      </c>
      <c r="D5">
        <f t="shared" ref="D5:D22" si="2">C5+273.15</f>
        <v>262.75483272705418</v>
      </c>
      <c r="E5">
        <f t="shared" ref="E5:E22" si="3">D5+2671.02/((2954.61/B5)+2.193665*LN(B5)-13.3448)-B5-273.15</f>
        <v>-9.5513855219751349</v>
      </c>
    </row>
    <row r="6" spans="1:5" x14ac:dyDescent="0.3">
      <c r="A6">
        <v>-5</v>
      </c>
      <c r="B6">
        <f t="shared" si="1"/>
        <v>268.14999999999998</v>
      </c>
      <c r="C6">
        <f t="shared" si="0"/>
        <v>-7.9570592098971389</v>
      </c>
      <c r="D6">
        <f t="shared" si="2"/>
        <v>265.19294079010285</v>
      </c>
      <c r="E6">
        <f t="shared" si="3"/>
        <v>-7.3840418502668399</v>
      </c>
    </row>
    <row r="7" spans="1:5" x14ac:dyDescent="0.3">
      <c r="A7">
        <v>-2.5</v>
      </c>
      <c r="B7">
        <f t="shared" si="1"/>
        <v>270.64999999999998</v>
      </c>
      <c r="C7">
        <f t="shared" si="0"/>
        <v>-5.5189511468484795</v>
      </c>
      <c r="D7">
        <f t="shared" si="2"/>
        <v>267.63104885315147</v>
      </c>
      <c r="E7">
        <f t="shared" si="3"/>
        <v>-5.2265049497882501</v>
      </c>
    </row>
    <row r="8" spans="1:5" x14ac:dyDescent="0.3">
      <c r="A8">
        <v>0</v>
      </c>
      <c r="B8">
        <f t="shared" si="1"/>
        <v>273.14999999999998</v>
      </c>
      <c r="C8">
        <f t="shared" si="0"/>
        <v>-3.0808430837998202</v>
      </c>
      <c r="D8">
        <f t="shared" si="2"/>
        <v>270.06915691620014</v>
      </c>
      <c r="E8">
        <f t="shared" si="3"/>
        <v>-3.0788229979063999</v>
      </c>
    </row>
    <row r="9" spans="1:5" x14ac:dyDescent="0.3">
      <c r="A9">
        <v>2.5</v>
      </c>
      <c r="B9">
        <f t="shared" si="1"/>
        <v>275.64999999999998</v>
      </c>
      <c r="C9">
        <f t="shared" si="0"/>
        <v>-0.64273502075114664</v>
      </c>
      <c r="D9">
        <f t="shared" si="2"/>
        <v>272.50726497924882</v>
      </c>
      <c r="E9">
        <f t="shared" si="3"/>
        <v>-0.94104217294557202</v>
      </c>
    </row>
    <row r="10" spans="1:5" x14ac:dyDescent="0.3">
      <c r="A10">
        <v>5</v>
      </c>
      <c r="B10">
        <f t="shared" si="1"/>
        <v>278.14999999999998</v>
      </c>
      <c r="C10">
        <f t="shared" si="0"/>
        <v>1.7953730422975127</v>
      </c>
      <c r="D10">
        <f t="shared" si="2"/>
        <v>274.94537304229749</v>
      </c>
      <c r="E10">
        <f t="shared" si="3"/>
        <v>1.1867933154213688</v>
      </c>
    </row>
    <row r="11" spans="1:5" x14ac:dyDescent="0.3">
      <c r="A11">
        <v>7.5</v>
      </c>
      <c r="B11">
        <f t="shared" si="1"/>
        <v>280.64999999999998</v>
      </c>
      <c r="C11">
        <f t="shared" si="0"/>
        <v>4.2334811053461721</v>
      </c>
      <c r="D11">
        <f t="shared" si="2"/>
        <v>277.38348110534616</v>
      </c>
      <c r="E11">
        <f t="shared" si="3"/>
        <v>3.3046411960151545</v>
      </c>
    </row>
    <row r="12" spans="1:5" x14ac:dyDescent="0.3">
      <c r="A12">
        <v>10</v>
      </c>
      <c r="B12">
        <f t="shared" si="1"/>
        <v>283.14999999999998</v>
      </c>
      <c r="C12">
        <f t="shared" si="0"/>
        <v>6.6715891683948456</v>
      </c>
      <c r="D12">
        <f t="shared" si="2"/>
        <v>279.82158916839484</v>
      </c>
      <c r="E12">
        <f t="shared" si="3"/>
        <v>5.4124611062245549</v>
      </c>
    </row>
    <row r="13" spans="1:5" x14ac:dyDescent="0.3">
      <c r="A13">
        <v>12.5</v>
      </c>
      <c r="B13">
        <f t="shared" si="1"/>
        <v>285.64999999999998</v>
      </c>
      <c r="C13">
        <f t="shared" si="0"/>
        <v>9.109697231443505</v>
      </c>
      <c r="D13">
        <f t="shared" si="2"/>
        <v>282.25969723144351</v>
      </c>
      <c r="E13">
        <f t="shared" si="3"/>
        <v>7.5102145623131946</v>
      </c>
    </row>
    <row r="14" spans="1:5" x14ac:dyDescent="0.3">
      <c r="A14">
        <v>15</v>
      </c>
      <c r="B14">
        <f t="shared" si="1"/>
        <v>288.14999999999998</v>
      </c>
      <c r="C14">
        <f t="shared" si="0"/>
        <v>11.547805294492164</v>
      </c>
      <c r="D14">
        <f t="shared" si="2"/>
        <v>284.69780529449213</v>
      </c>
      <c r="E14">
        <f t="shared" si="3"/>
        <v>9.5978649299599965</v>
      </c>
    </row>
    <row r="15" spans="1:5" x14ac:dyDescent="0.3">
      <c r="A15">
        <v>17.5</v>
      </c>
      <c r="B15">
        <f t="shared" si="1"/>
        <v>290.64999999999998</v>
      </c>
      <c r="C15">
        <f t="shared" si="0"/>
        <v>13.985913357540838</v>
      </c>
      <c r="D15">
        <f t="shared" si="2"/>
        <v>287.1359133575408</v>
      </c>
      <c r="E15">
        <f t="shared" si="3"/>
        <v>11.675377395031092</v>
      </c>
    </row>
    <row r="16" spans="1:5" x14ac:dyDescent="0.3">
      <c r="A16">
        <v>20</v>
      </c>
      <c r="B16">
        <f t="shared" si="1"/>
        <v>293.14999999999998</v>
      </c>
      <c r="C16">
        <f t="shared" si="0"/>
        <v>16.424021420589497</v>
      </c>
      <c r="D16">
        <f t="shared" si="2"/>
        <v>289.57402142058947</v>
      </c>
      <c r="E16">
        <f t="shared" si="3"/>
        <v>13.742718934587174</v>
      </c>
    </row>
    <row r="17" spans="1:5" x14ac:dyDescent="0.3">
      <c r="A17">
        <v>22.5</v>
      </c>
      <c r="B17">
        <f t="shared" si="1"/>
        <v>295.64999999999998</v>
      </c>
      <c r="C17">
        <f t="shared" si="0"/>
        <v>18.862129483638171</v>
      </c>
      <c r="D17">
        <f t="shared" si="2"/>
        <v>292.01212948363815</v>
      </c>
      <c r="E17">
        <f t="shared" si="3"/>
        <v>15.799858288123687</v>
      </c>
    </row>
    <row r="18" spans="1:5" x14ac:dyDescent="0.3">
      <c r="A18">
        <v>25</v>
      </c>
      <c r="B18">
        <f t="shared" si="1"/>
        <v>298.14999999999998</v>
      </c>
      <c r="C18">
        <f t="shared" si="0"/>
        <v>21.300237546686816</v>
      </c>
      <c r="D18">
        <f t="shared" si="2"/>
        <v>294.45023754668682</v>
      </c>
      <c r="E18">
        <f t="shared" si="3"/>
        <v>17.846765929045773</v>
      </c>
    </row>
    <row r="19" spans="1:5" x14ac:dyDescent="0.3">
      <c r="A19">
        <v>27.5</v>
      </c>
      <c r="B19">
        <f t="shared" si="1"/>
        <v>300.64999999999998</v>
      </c>
      <c r="C19">
        <f t="shared" si="0"/>
        <v>23.738345609735489</v>
      </c>
      <c r="D19">
        <f t="shared" si="2"/>
        <v>296.88834560973544</v>
      </c>
      <c r="E19">
        <f t="shared" si="3"/>
        <v>19.883414036378895</v>
      </c>
    </row>
    <row r="20" spans="1:5" x14ac:dyDescent="0.3">
      <c r="A20">
        <v>30</v>
      </c>
      <c r="B20">
        <f t="shared" si="1"/>
        <v>303.14999999999998</v>
      </c>
      <c r="C20">
        <f t="shared" si="0"/>
        <v>26.176453672784163</v>
      </c>
      <c r="D20">
        <f t="shared" si="2"/>
        <v>299.32645367278417</v>
      </c>
      <c r="E20">
        <f t="shared" si="3"/>
        <v>21.909776466715812</v>
      </c>
    </row>
    <row r="21" spans="1:5" x14ac:dyDescent="0.3">
      <c r="A21">
        <v>32.5</v>
      </c>
      <c r="B21">
        <f t="shared" si="1"/>
        <v>305.64999999999998</v>
      </c>
      <c r="C21">
        <f t="shared" si="0"/>
        <v>28.614561735832808</v>
      </c>
      <c r="D21">
        <f t="shared" si="2"/>
        <v>301.76456173583279</v>
      </c>
      <c r="E21">
        <f t="shared" si="3"/>
        <v>23.925828726399118</v>
      </c>
    </row>
    <row r="22" spans="1:5" x14ac:dyDescent="0.3">
      <c r="A22">
        <v>35</v>
      </c>
      <c r="B22">
        <f t="shared" si="1"/>
        <v>308.14999999999998</v>
      </c>
      <c r="C22">
        <f t="shared" si="0"/>
        <v>31.052669798881482</v>
      </c>
      <c r="D22">
        <f t="shared" si="2"/>
        <v>304.20266979888146</v>
      </c>
      <c r="E22">
        <f t="shared" si="3"/>
        <v>25.931547943942633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A360-918D-49DA-A94F-EC74570144D0}">
  <dimension ref="A1:R242"/>
  <sheetViews>
    <sheetView topLeftCell="I1" workbookViewId="0">
      <selection activeCell="N3" sqref="N3:O3"/>
    </sheetView>
  </sheetViews>
  <sheetFormatPr baseColWidth="10" defaultRowHeight="14.4" x14ac:dyDescent="0.3"/>
  <cols>
    <col min="1" max="8" width="11.5546875" style="46"/>
    <col min="9" max="9" width="12.21875" style="46" bestFit="1" customWidth="1"/>
    <col min="10" max="13" width="12.21875" style="46" customWidth="1"/>
    <col min="14" max="15" width="13.109375" style="46" bestFit="1" customWidth="1"/>
    <col min="16" max="16384" width="11.5546875" style="46"/>
  </cols>
  <sheetData>
    <row r="1" spans="1:18" s="47" customFormat="1" x14ac:dyDescent="0.3">
      <c r="A1" s="44" t="s">
        <v>162</v>
      </c>
      <c r="B1" s="44" t="s">
        <v>166</v>
      </c>
      <c r="C1" s="45" t="s">
        <v>161</v>
      </c>
      <c r="D1" s="46"/>
      <c r="F1" s="48" t="s">
        <v>163</v>
      </c>
      <c r="G1" s="49"/>
      <c r="H1" s="46" t="s">
        <v>164</v>
      </c>
      <c r="J1" s="47" t="s">
        <v>165</v>
      </c>
      <c r="K1" s="47" t="s">
        <v>38</v>
      </c>
      <c r="L1" s="47" t="s">
        <v>167</v>
      </c>
      <c r="N1" s="50"/>
      <c r="O1" s="50"/>
      <c r="P1" s="49"/>
      <c r="Q1" s="49"/>
      <c r="R1" s="49"/>
    </row>
    <row r="2" spans="1:18" x14ac:dyDescent="0.3">
      <c r="A2" s="51">
        <v>277.2</v>
      </c>
      <c r="B2" s="51">
        <f>A2*1000</f>
        <v>277200</v>
      </c>
      <c r="C2" s="52">
        <v>-40</v>
      </c>
      <c r="F2" s="52">
        <f>LN(A2)</f>
        <v>5.6247392673157481</v>
      </c>
      <c r="G2" s="53">
        <f>LN(B2)</f>
        <v>12.532494546297885</v>
      </c>
      <c r="H2" s="46">
        <f>1/(C2+273.15)</f>
        <v>4.2890842805061126E-3</v>
      </c>
      <c r="I2" s="43"/>
      <c r="J2" s="43">
        <f t="shared" ref="J2:J65" si="0">(1/(O$3+LN(A2)*N$3))-273.15</f>
        <v>-36.173381363104113</v>
      </c>
      <c r="K2" s="43">
        <f>ABS(J2-C2)/ABS(C2)</f>
        <v>9.5665465922397178E-2</v>
      </c>
      <c r="L2" s="43">
        <f>ABS(J2-C2)</f>
        <v>3.826618636895887</v>
      </c>
      <c r="M2" s="43"/>
    </row>
    <row r="3" spans="1:18" x14ac:dyDescent="0.3">
      <c r="A3" s="51">
        <v>263.60000000000002</v>
      </c>
      <c r="B3" s="51">
        <f t="shared" ref="B3:B66" si="1">A3*1000</f>
        <v>263600</v>
      </c>
      <c r="C3" s="52">
        <v>-39</v>
      </c>
      <c r="F3" s="52">
        <f t="shared" ref="F3:F66" si="2">LN(A3)</f>
        <v>5.5744328026283521</v>
      </c>
      <c r="G3" s="53">
        <f t="shared" ref="G3:G66" si="3">LN(B3)</f>
        <v>12.48218808161049</v>
      </c>
      <c r="H3" s="46">
        <f t="shared" ref="H3:H66" si="4">1/(C3+273.15)</f>
        <v>4.2707666026051676E-3</v>
      </c>
      <c r="I3" s="43"/>
      <c r="J3" s="43">
        <f t="shared" si="0"/>
        <v>-35.453861634521758</v>
      </c>
      <c r="K3" s="43">
        <f t="shared" ref="K3:K66" si="5">ABS(J3-C3)/ABS(C3)</f>
        <v>9.0926624755852364E-2</v>
      </c>
      <c r="L3" s="43">
        <f t="shared" ref="L3:L66" si="6">ABS(J3-C3)</f>
        <v>3.5461383654782423</v>
      </c>
      <c r="N3" s="58" cm="1">
        <f t="array" ref="N3:O3">LINEST(H2:H242,F2:F242)</f>
        <v>2.5391671084307892E-4</v>
      </c>
      <c r="O3" s="58">
        <v>2.7916102977683802E-3</v>
      </c>
    </row>
    <row r="4" spans="1:18" x14ac:dyDescent="0.3">
      <c r="A4" s="51">
        <v>250.1</v>
      </c>
      <c r="B4" s="51">
        <f t="shared" si="1"/>
        <v>250100</v>
      </c>
      <c r="C4" s="52">
        <v>-38</v>
      </c>
      <c r="F4" s="52">
        <f t="shared" si="2"/>
        <v>5.5218608378835734</v>
      </c>
      <c r="G4" s="53">
        <f t="shared" si="3"/>
        <v>12.429616116865711</v>
      </c>
      <c r="H4" s="46">
        <f t="shared" si="4"/>
        <v>4.2526047203912398E-3</v>
      </c>
      <c r="I4" s="43"/>
      <c r="J4" s="43">
        <f t="shared" si="0"/>
        <v>-34.697255351327016</v>
      </c>
      <c r="K4" s="43">
        <f t="shared" si="5"/>
        <v>8.6914332859815382E-2</v>
      </c>
      <c r="L4" s="43">
        <f t="shared" si="6"/>
        <v>3.3027446486729843</v>
      </c>
      <c r="N4" s="43"/>
    </row>
    <row r="5" spans="1:18" x14ac:dyDescent="0.3">
      <c r="A5" s="51">
        <v>236.8</v>
      </c>
      <c r="B5" s="51">
        <f t="shared" si="1"/>
        <v>236800</v>
      </c>
      <c r="C5" s="52">
        <v>-37</v>
      </c>
      <c r="F5" s="52">
        <f t="shared" si="2"/>
        <v>5.4672159030098504</v>
      </c>
      <c r="G5" s="53">
        <f t="shared" si="3"/>
        <v>12.374971181991988</v>
      </c>
      <c r="H5" s="46">
        <f t="shared" si="4"/>
        <v>4.2345966546686433E-3</v>
      </c>
      <c r="I5" s="43"/>
      <c r="J5" s="43">
        <f t="shared" si="0"/>
        <v>-33.905692992003026</v>
      </c>
      <c r="K5" s="43">
        <f t="shared" si="5"/>
        <v>8.3629919135053354E-2</v>
      </c>
      <c r="L5" s="43">
        <f t="shared" si="6"/>
        <v>3.0943070079969743</v>
      </c>
      <c r="N5" s="43"/>
    </row>
    <row r="6" spans="1:18" x14ac:dyDescent="0.3">
      <c r="A6" s="51">
        <v>224</v>
      </c>
      <c r="B6" s="51">
        <f t="shared" si="1"/>
        <v>224000</v>
      </c>
      <c r="C6" s="52">
        <v>-36</v>
      </c>
      <c r="F6" s="52">
        <f t="shared" si="2"/>
        <v>5.4116460518550396</v>
      </c>
      <c r="G6" s="53">
        <f t="shared" si="3"/>
        <v>12.319401330837177</v>
      </c>
      <c r="H6" s="46">
        <f t="shared" si="4"/>
        <v>4.2167404596247108E-3</v>
      </c>
      <c r="I6" s="43"/>
      <c r="J6" s="43">
        <f t="shared" si="0"/>
        <v>-33.095324964907604</v>
      </c>
      <c r="K6" s="43">
        <f t="shared" si="5"/>
        <v>8.068541764145544E-2</v>
      </c>
      <c r="L6" s="43">
        <f t="shared" si="6"/>
        <v>2.9046750350923958</v>
      </c>
      <c r="M6" s="43"/>
    </row>
    <row r="7" spans="1:18" x14ac:dyDescent="0.3">
      <c r="A7" s="51">
        <v>211.5</v>
      </c>
      <c r="B7" s="51">
        <f t="shared" si="1"/>
        <v>211500</v>
      </c>
      <c r="C7" s="52">
        <v>-35</v>
      </c>
      <c r="F7" s="52">
        <f t="shared" si="2"/>
        <v>5.354224998486333</v>
      </c>
      <c r="G7" s="53">
        <f t="shared" si="3"/>
        <v>12.261980277468469</v>
      </c>
      <c r="H7" s="46">
        <f t="shared" si="4"/>
        <v>4.1990342221289107E-3</v>
      </c>
      <c r="I7" s="43"/>
      <c r="J7" s="43">
        <f t="shared" si="0"/>
        <v>-32.252173714584899</v>
      </c>
      <c r="K7" s="43">
        <f t="shared" si="5"/>
        <v>7.8509322440431462E-2</v>
      </c>
      <c r="L7" s="43">
        <f t="shared" si="6"/>
        <v>2.7478262854151012</v>
      </c>
      <c r="M7" s="43"/>
    </row>
    <row r="8" spans="1:18" x14ac:dyDescent="0.3">
      <c r="A8" s="51">
        <v>199.6</v>
      </c>
      <c r="B8" s="51">
        <f t="shared" si="1"/>
        <v>199600</v>
      </c>
      <c r="C8" s="52">
        <v>-34</v>
      </c>
      <c r="F8" s="52">
        <f t="shared" si="2"/>
        <v>5.2963153638773637</v>
      </c>
      <c r="G8" s="53">
        <f t="shared" si="3"/>
        <v>12.2040706428595</v>
      </c>
      <c r="H8" s="46">
        <f t="shared" si="4"/>
        <v>4.1814760610495508E-3</v>
      </c>
      <c r="I8" s="43"/>
      <c r="J8" s="43">
        <f t="shared" si="0"/>
        <v>-31.39582831972362</v>
      </c>
      <c r="K8" s="43">
        <f t="shared" si="5"/>
        <v>7.6593284714011181E-2</v>
      </c>
      <c r="L8" s="43">
        <f t="shared" si="6"/>
        <v>2.6041716802763801</v>
      </c>
      <c r="M8" s="43"/>
    </row>
    <row r="9" spans="1:18" x14ac:dyDescent="0.3">
      <c r="A9" s="51">
        <v>188.1</v>
      </c>
      <c r="B9" s="51">
        <f t="shared" si="1"/>
        <v>188100</v>
      </c>
      <c r="C9" s="52">
        <v>-33</v>
      </c>
      <c r="F9" s="52">
        <f t="shared" si="2"/>
        <v>5.236973736306985</v>
      </c>
      <c r="G9" s="53">
        <f t="shared" si="3"/>
        <v>12.144729015289121</v>
      </c>
      <c r="H9" s="46">
        <f t="shared" si="4"/>
        <v>4.1640641265875498E-3</v>
      </c>
      <c r="I9" s="43"/>
      <c r="J9" s="43">
        <f t="shared" si="0"/>
        <v>-30.511968097833289</v>
      </c>
      <c r="K9" s="43">
        <f t="shared" si="5"/>
        <v>7.5394906126263955E-2</v>
      </c>
      <c r="L9" s="43">
        <f t="shared" si="6"/>
        <v>2.4880319021667106</v>
      </c>
      <c r="M9" s="43"/>
    </row>
    <row r="10" spans="1:18" x14ac:dyDescent="0.3">
      <c r="A10" s="51">
        <v>177.3</v>
      </c>
      <c r="B10" s="51">
        <f t="shared" si="1"/>
        <v>177300</v>
      </c>
      <c r="C10" s="52">
        <v>-32</v>
      </c>
      <c r="F10" s="52">
        <f t="shared" si="2"/>
        <v>5.1778432130801626</v>
      </c>
      <c r="G10" s="53">
        <f t="shared" si="3"/>
        <v>12.085598492062299</v>
      </c>
      <c r="H10" s="46">
        <f t="shared" si="4"/>
        <v>4.1467965996267887E-3</v>
      </c>
      <c r="I10" s="43"/>
      <c r="J10" s="43">
        <f t="shared" si="0"/>
        <v>-29.624800261139995</v>
      </c>
      <c r="K10" s="43">
        <f t="shared" si="5"/>
        <v>7.4224991839375143E-2</v>
      </c>
      <c r="L10" s="43">
        <f t="shared" si="6"/>
        <v>2.3751997388600046</v>
      </c>
      <c r="M10" s="43"/>
    </row>
    <row r="11" spans="1:18" x14ac:dyDescent="0.3">
      <c r="A11" s="51">
        <v>167</v>
      </c>
      <c r="B11" s="51">
        <f t="shared" si="1"/>
        <v>167000</v>
      </c>
      <c r="C11" s="52">
        <v>-31</v>
      </c>
      <c r="F11" s="52">
        <f t="shared" si="2"/>
        <v>5.1179938124167554</v>
      </c>
      <c r="G11" s="53">
        <f t="shared" si="3"/>
        <v>12.025749091398891</v>
      </c>
      <c r="H11" s="46">
        <f t="shared" si="4"/>
        <v>4.1296716911005575E-3</v>
      </c>
      <c r="I11" s="43"/>
      <c r="J11" s="43">
        <f t="shared" si="0"/>
        <v>-28.720215802509642</v>
      </c>
      <c r="K11" s="43">
        <f t="shared" si="5"/>
        <v>7.3541425725495407E-2</v>
      </c>
      <c r="L11" s="43">
        <f t="shared" si="6"/>
        <v>2.2797841974903577</v>
      </c>
      <c r="M11" s="43"/>
    </row>
    <row r="12" spans="1:18" x14ac:dyDescent="0.3">
      <c r="A12" s="51">
        <v>157.19999999999999</v>
      </c>
      <c r="B12" s="51">
        <f t="shared" si="1"/>
        <v>157200</v>
      </c>
      <c r="C12" s="52">
        <v>-30</v>
      </c>
      <c r="F12" s="52">
        <f t="shared" si="2"/>
        <v>5.0575188799951061</v>
      </c>
      <c r="G12" s="53">
        <f t="shared" si="3"/>
        <v>11.965274158977243</v>
      </c>
      <c r="H12" s="46">
        <f t="shared" si="4"/>
        <v>4.1126876413736376E-3</v>
      </c>
      <c r="I12" s="43"/>
      <c r="J12" s="43">
        <f t="shared" si="0"/>
        <v>-27.799325167076319</v>
      </c>
      <c r="K12" s="43">
        <f t="shared" si="5"/>
        <v>7.3355827764122708E-2</v>
      </c>
      <c r="L12" s="43">
        <f t="shared" si="6"/>
        <v>2.2006748329236814</v>
      </c>
      <c r="M12" s="43"/>
    </row>
    <row r="13" spans="1:18" x14ac:dyDescent="0.3">
      <c r="A13" s="51">
        <v>148.1</v>
      </c>
      <c r="B13" s="51">
        <f t="shared" si="1"/>
        <v>148100</v>
      </c>
      <c r="C13" s="52">
        <v>-29</v>
      </c>
      <c r="F13" s="52">
        <f t="shared" si="2"/>
        <v>4.9978877212737531</v>
      </c>
      <c r="G13" s="53">
        <f t="shared" si="3"/>
        <v>11.905643000255891</v>
      </c>
      <c r="H13" s="46">
        <f t="shared" si="4"/>
        <v>4.0958427196395664E-3</v>
      </c>
      <c r="I13" s="43"/>
      <c r="J13" s="43">
        <f t="shared" si="0"/>
        <v>-26.88446350628135</v>
      </c>
      <c r="K13" s="43">
        <f t="shared" si="5"/>
        <v>7.2949534266160368E-2</v>
      </c>
      <c r="L13" s="43">
        <f t="shared" si="6"/>
        <v>2.1155364937186505</v>
      </c>
      <c r="M13" s="43"/>
    </row>
    <row r="14" spans="1:18" x14ac:dyDescent="0.3">
      <c r="A14" s="51">
        <v>139.4</v>
      </c>
      <c r="B14" s="51">
        <f t="shared" si="1"/>
        <v>139400</v>
      </c>
      <c r="C14" s="52">
        <v>-28</v>
      </c>
      <c r="F14" s="52">
        <f t="shared" si="2"/>
        <v>4.9373474983264236</v>
      </c>
      <c r="G14" s="53">
        <f t="shared" si="3"/>
        <v>11.845102777308561</v>
      </c>
      <c r="H14" s="46">
        <f t="shared" si="4"/>
        <v>4.0791352233326538E-3</v>
      </c>
      <c r="I14" s="43"/>
      <c r="J14" s="43">
        <f t="shared" si="0"/>
        <v>-25.948648987921274</v>
      </c>
      <c r="K14" s="43">
        <f t="shared" si="5"/>
        <v>7.3262536145668786E-2</v>
      </c>
      <c r="L14" s="43">
        <f t="shared" si="6"/>
        <v>2.0513510120787259</v>
      </c>
      <c r="M14" s="43"/>
    </row>
    <row r="15" spans="1:18" x14ac:dyDescent="0.3">
      <c r="A15" s="51">
        <v>131.30000000000001</v>
      </c>
      <c r="B15" s="51">
        <f t="shared" si="1"/>
        <v>131300</v>
      </c>
      <c r="C15" s="52">
        <v>-27</v>
      </c>
      <c r="F15" s="52">
        <f t="shared" si="2"/>
        <v>4.877484781308751</v>
      </c>
      <c r="G15" s="53">
        <f t="shared" si="3"/>
        <v>11.785240060290887</v>
      </c>
      <c r="H15" s="46">
        <f t="shared" si="4"/>
        <v>4.0625634775543372E-3</v>
      </c>
      <c r="I15" s="43"/>
      <c r="J15" s="43">
        <f t="shared" si="0"/>
        <v>-25.016287510215278</v>
      </c>
      <c r="K15" s="43">
        <f t="shared" si="5"/>
        <v>7.3470832954989698E-2</v>
      </c>
      <c r="L15" s="43">
        <f t="shared" si="6"/>
        <v>1.9837124897847218</v>
      </c>
      <c r="M15" s="43"/>
    </row>
    <row r="16" spans="1:18" x14ac:dyDescent="0.3">
      <c r="A16" s="51">
        <v>123.7</v>
      </c>
      <c r="B16" s="51">
        <f t="shared" si="1"/>
        <v>123700</v>
      </c>
      <c r="C16" s="52">
        <v>-26</v>
      </c>
      <c r="F16" s="52">
        <f t="shared" si="2"/>
        <v>4.8178592793984425</v>
      </c>
      <c r="G16" s="53">
        <f t="shared" si="3"/>
        <v>11.725614558380579</v>
      </c>
      <c r="H16" s="46">
        <f t="shared" si="4"/>
        <v>4.0461258345134534E-3</v>
      </c>
      <c r="I16" s="43"/>
      <c r="J16" s="43">
        <f t="shared" si="0"/>
        <v>-24.080602925966389</v>
      </c>
      <c r="K16" s="43">
        <f t="shared" si="5"/>
        <v>7.382296438590813E-2</v>
      </c>
      <c r="L16" s="43">
        <f t="shared" si="6"/>
        <v>1.9193970740336113</v>
      </c>
      <c r="M16" s="43"/>
    </row>
    <row r="17" spans="1:13" x14ac:dyDescent="0.3">
      <c r="A17" s="51">
        <v>116.6</v>
      </c>
      <c r="B17" s="51">
        <f t="shared" si="1"/>
        <v>116600</v>
      </c>
      <c r="C17" s="52">
        <v>-25</v>
      </c>
      <c r="F17" s="52">
        <f t="shared" si="2"/>
        <v>4.7587492739163917</v>
      </c>
      <c r="G17" s="53">
        <f t="shared" si="3"/>
        <v>11.666504552898529</v>
      </c>
      <c r="H17" s="46">
        <f t="shared" si="4"/>
        <v>4.0298206729800527E-3</v>
      </c>
      <c r="I17" s="43"/>
      <c r="J17" s="43">
        <f t="shared" si="0"/>
        <v>-23.14601625702764</v>
      </c>
      <c r="K17" s="43">
        <f t="shared" si="5"/>
        <v>7.4159349718894416E-2</v>
      </c>
      <c r="L17" s="43">
        <f t="shared" si="6"/>
        <v>1.8539837429723605</v>
      </c>
      <c r="M17" s="43"/>
    </row>
    <row r="18" spans="1:13" x14ac:dyDescent="0.3">
      <c r="A18" s="51">
        <v>110</v>
      </c>
      <c r="B18" s="51">
        <f t="shared" si="1"/>
        <v>110000</v>
      </c>
      <c r="C18" s="52">
        <v>-24</v>
      </c>
      <c r="F18" s="52">
        <f t="shared" si="2"/>
        <v>4.7004803657924166</v>
      </c>
      <c r="G18" s="53">
        <f t="shared" si="3"/>
        <v>11.608235644774552</v>
      </c>
      <c r="H18" s="46">
        <f t="shared" si="4"/>
        <v>4.013646397752358E-3</v>
      </c>
      <c r="I18" s="43"/>
      <c r="J18" s="43">
        <f t="shared" si="0"/>
        <v>-22.217837934122542</v>
      </c>
      <c r="K18" s="43">
        <f t="shared" si="5"/>
        <v>7.4256752744894072E-2</v>
      </c>
      <c r="L18" s="43">
        <f t="shared" si="6"/>
        <v>1.7821620658774577</v>
      </c>
      <c r="M18" s="43"/>
    </row>
    <row r="19" spans="1:13" x14ac:dyDescent="0.3">
      <c r="A19" s="51">
        <v>103.7</v>
      </c>
      <c r="B19" s="51">
        <f t="shared" si="1"/>
        <v>103700</v>
      </c>
      <c r="C19" s="52">
        <v>-23</v>
      </c>
      <c r="F19" s="52">
        <f t="shared" si="2"/>
        <v>4.6415021152354816</v>
      </c>
      <c r="G19" s="53">
        <f t="shared" si="3"/>
        <v>11.549257394217619</v>
      </c>
      <c r="H19" s="46">
        <f t="shared" si="4"/>
        <v>3.9976014391365187E-3</v>
      </c>
      <c r="I19" s="43"/>
      <c r="J19" s="43">
        <f t="shared" si="0"/>
        <v>-21.271315493539106</v>
      </c>
      <c r="K19" s="43">
        <f t="shared" si="5"/>
        <v>7.5160195933082347E-2</v>
      </c>
      <c r="L19" s="43">
        <f t="shared" si="6"/>
        <v>1.728684506460894</v>
      </c>
      <c r="M19" s="43"/>
    </row>
    <row r="20" spans="1:13" x14ac:dyDescent="0.3">
      <c r="A20" s="51">
        <v>97.9</v>
      </c>
      <c r="B20" s="51">
        <f t="shared" si="1"/>
        <v>97900</v>
      </c>
      <c r="C20" s="52">
        <v>-22</v>
      </c>
      <c r="F20" s="52">
        <f t="shared" si="2"/>
        <v>4.5839465495364644</v>
      </c>
      <c r="G20" s="53">
        <f t="shared" si="3"/>
        <v>11.491701828518602</v>
      </c>
      <c r="H20" s="46">
        <f t="shared" si="4"/>
        <v>3.9816842524387818E-3</v>
      </c>
      <c r="I20" s="43"/>
      <c r="J20" s="43">
        <f t="shared" si="0"/>
        <v>-20.340715497129054</v>
      </c>
      <c r="K20" s="43">
        <f t="shared" si="5"/>
        <v>7.5422022857770277E-2</v>
      </c>
      <c r="L20" s="43">
        <f t="shared" si="6"/>
        <v>1.6592845028709462</v>
      </c>
      <c r="M20" s="43"/>
    </row>
    <row r="21" spans="1:13" x14ac:dyDescent="0.3">
      <c r="A21" s="51">
        <v>92.5</v>
      </c>
      <c r="B21" s="51">
        <f t="shared" si="1"/>
        <v>92500</v>
      </c>
      <c r="C21" s="52">
        <v>-21</v>
      </c>
      <c r="F21" s="52">
        <f t="shared" si="2"/>
        <v>4.5272086445183799</v>
      </c>
      <c r="G21" s="53">
        <f t="shared" si="3"/>
        <v>11.434963923500517</v>
      </c>
      <c r="H21" s="46">
        <f t="shared" si="4"/>
        <v>3.9658933174697604E-3</v>
      </c>
      <c r="I21" s="43"/>
      <c r="J21" s="43">
        <f t="shared" si="0"/>
        <v>-19.416580811378509</v>
      </c>
      <c r="K21" s="43">
        <f t="shared" si="5"/>
        <v>7.5400913743880527E-2</v>
      </c>
      <c r="L21" s="43">
        <f t="shared" si="6"/>
        <v>1.583419188621491</v>
      </c>
      <c r="M21" s="43"/>
    </row>
    <row r="22" spans="1:13" x14ac:dyDescent="0.3">
      <c r="A22" s="51">
        <v>87.43</v>
      </c>
      <c r="B22" s="51">
        <f t="shared" si="1"/>
        <v>87430</v>
      </c>
      <c r="C22" s="52">
        <v>-20</v>
      </c>
      <c r="F22" s="52">
        <f t="shared" si="2"/>
        <v>4.4708384731927993</v>
      </c>
      <c r="G22" s="53">
        <f t="shared" si="3"/>
        <v>11.378593752174936</v>
      </c>
      <c r="H22" s="46">
        <f t="shared" si="4"/>
        <v>3.9502271380604387E-3</v>
      </c>
      <c r="I22" s="43"/>
      <c r="J22" s="43">
        <f t="shared" si="0"/>
        <v>-18.491720568316538</v>
      </c>
      <c r="K22" s="43">
        <f t="shared" si="5"/>
        <v>7.5413971584173109E-2</v>
      </c>
      <c r="L22" s="43">
        <f t="shared" si="6"/>
        <v>1.5082794316834622</v>
      </c>
      <c r="M22" s="43"/>
    </row>
    <row r="23" spans="1:13" x14ac:dyDescent="0.3">
      <c r="A23" s="51">
        <v>82.79</v>
      </c>
      <c r="B23" s="51">
        <f t="shared" si="1"/>
        <v>82790</v>
      </c>
      <c r="C23" s="52">
        <v>-19</v>
      </c>
      <c r="F23" s="52">
        <f t="shared" si="2"/>
        <v>4.4163072811507149</v>
      </c>
      <c r="G23" s="53">
        <f t="shared" si="3"/>
        <v>11.324062560132852</v>
      </c>
      <c r="H23" s="46">
        <f t="shared" si="4"/>
        <v>3.9346842415896128E-3</v>
      </c>
      <c r="I23" s="43"/>
      <c r="J23" s="43">
        <f t="shared" si="0"/>
        <v>-17.590593685026278</v>
      </c>
      <c r="K23" s="43">
        <f t="shared" si="5"/>
        <v>7.4179279735459069E-2</v>
      </c>
      <c r="L23" s="43">
        <f t="shared" si="6"/>
        <v>1.4094063149737224</v>
      </c>
      <c r="M23" s="43"/>
    </row>
    <row r="24" spans="1:13" x14ac:dyDescent="0.3">
      <c r="A24" s="51">
        <v>78.44</v>
      </c>
      <c r="B24" s="51">
        <f t="shared" si="1"/>
        <v>78440</v>
      </c>
      <c r="C24" s="52">
        <v>-18</v>
      </c>
      <c r="F24" s="52">
        <f t="shared" si="2"/>
        <v>4.3623340013281453</v>
      </c>
      <c r="G24" s="53">
        <f t="shared" si="3"/>
        <v>11.270089280310282</v>
      </c>
      <c r="H24" s="46">
        <f t="shared" si="4"/>
        <v>3.9192631785224382E-3</v>
      </c>
      <c r="I24" s="43"/>
      <c r="J24" s="43">
        <f t="shared" si="0"/>
        <v>-16.692384349945883</v>
      </c>
      <c r="K24" s="43">
        <f t="shared" si="5"/>
        <v>7.2645313891895408E-2</v>
      </c>
      <c r="L24" s="43">
        <f t="shared" si="6"/>
        <v>1.3076156500541174</v>
      </c>
      <c r="M24" s="43"/>
    </row>
    <row r="25" spans="1:13" x14ac:dyDescent="0.3">
      <c r="A25" s="51">
        <v>74.36</v>
      </c>
      <c r="B25" s="51">
        <f t="shared" si="1"/>
        <v>74360</v>
      </c>
      <c r="C25" s="52">
        <v>-17</v>
      </c>
      <c r="F25" s="52">
        <f t="shared" si="2"/>
        <v>4.3089181628532431</v>
      </c>
      <c r="G25" s="53">
        <f t="shared" si="3"/>
        <v>11.216673441835381</v>
      </c>
      <c r="H25" s="46">
        <f t="shared" si="4"/>
        <v>3.9039625219597896E-3</v>
      </c>
      <c r="I25" s="43"/>
      <c r="J25" s="43">
        <f t="shared" si="0"/>
        <v>-15.797213753734297</v>
      </c>
      <c r="K25" s="43">
        <f t="shared" si="5"/>
        <v>7.0752132133276621E-2</v>
      </c>
      <c r="L25" s="43">
        <f t="shared" si="6"/>
        <v>1.2027862462657026</v>
      </c>
      <c r="M25" s="43"/>
    </row>
    <row r="26" spans="1:13" x14ac:dyDescent="0.3">
      <c r="A26" s="51">
        <v>70.53</v>
      </c>
      <c r="B26" s="51">
        <f t="shared" si="1"/>
        <v>70530</v>
      </c>
      <c r="C26" s="52">
        <v>-16</v>
      </c>
      <c r="F26" s="52">
        <f t="shared" si="2"/>
        <v>4.2560381512200882</v>
      </c>
      <c r="G26" s="53">
        <f t="shared" si="3"/>
        <v>11.163793430202224</v>
      </c>
      <c r="H26" s="46">
        <f t="shared" si="4"/>
        <v>3.8887808671981337E-3</v>
      </c>
      <c r="I26" s="43"/>
      <c r="J26" s="43">
        <f t="shared" si="0"/>
        <v>-14.904845974082775</v>
      </c>
      <c r="K26" s="43">
        <f t="shared" si="5"/>
        <v>6.8447126619826548E-2</v>
      </c>
      <c r="L26" s="43">
        <f t="shared" si="6"/>
        <v>1.0951540259172248</v>
      </c>
      <c r="M26" s="43"/>
    </row>
    <row r="27" spans="1:13" x14ac:dyDescent="0.3">
      <c r="A27" s="51">
        <v>66.92</v>
      </c>
      <c r="B27" s="51">
        <f t="shared" si="1"/>
        <v>66920</v>
      </c>
      <c r="C27" s="52">
        <v>-15</v>
      </c>
      <c r="F27" s="52">
        <f t="shared" si="2"/>
        <v>4.2034978761186235</v>
      </c>
      <c r="G27" s="53">
        <f t="shared" si="3"/>
        <v>11.11125315510076</v>
      </c>
      <c r="H27" s="46">
        <f t="shared" si="4"/>
        <v>3.8737168312996321E-3</v>
      </c>
      <c r="I27" s="43"/>
      <c r="J27" s="43">
        <f t="shared" si="0"/>
        <v>-14.012061134188116</v>
      </c>
      <c r="K27" s="43">
        <f t="shared" si="5"/>
        <v>6.5862591054125605E-2</v>
      </c>
      <c r="L27" s="43">
        <f t="shared" si="6"/>
        <v>0.98793886581188417</v>
      </c>
      <c r="M27" s="43"/>
    </row>
    <row r="28" spans="1:13" x14ac:dyDescent="0.3">
      <c r="A28" s="51">
        <v>63.54</v>
      </c>
      <c r="B28" s="51">
        <f t="shared" si="1"/>
        <v>63540</v>
      </c>
      <c r="C28" s="52">
        <v>-14</v>
      </c>
      <c r="F28" s="52">
        <f t="shared" si="2"/>
        <v>4.1516696288413701</v>
      </c>
      <c r="G28" s="53">
        <f t="shared" si="3"/>
        <v>11.059424907823507</v>
      </c>
      <c r="H28" s="46">
        <f t="shared" si="4"/>
        <v>3.8587690526721979E-3</v>
      </c>
      <c r="I28" s="43"/>
      <c r="J28" s="43">
        <f t="shared" si="0"/>
        <v>-13.125306638511859</v>
      </c>
      <c r="K28" s="43">
        <f t="shared" si="5"/>
        <v>6.2478097249152952E-2</v>
      </c>
      <c r="L28" s="43">
        <f t="shared" si="6"/>
        <v>0.87469336148814136</v>
      </c>
      <c r="M28" s="43"/>
    </row>
    <row r="29" spans="1:13" x14ac:dyDescent="0.3">
      <c r="A29" s="51">
        <v>60.34</v>
      </c>
      <c r="B29" s="51">
        <f t="shared" si="1"/>
        <v>60340</v>
      </c>
      <c r="C29" s="52">
        <v>-13</v>
      </c>
      <c r="F29" s="52">
        <f t="shared" si="2"/>
        <v>4.0999952337309153</v>
      </c>
      <c r="G29" s="53">
        <f t="shared" si="3"/>
        <v>11.007750512713052</v>
      </c>
      <c r="H29" s="46">
        <f t="shared" si="4"/>
        <v>3.8439361906592354E-3</v>
      </c>
      <c r="I29" s="43"/>
      <c r="J29" s="43">
        <f t="shared" si="0"/>
        <v>-12.235121944602042</v>
      </c>
      <c r="K29" s="43">
        <f t="shared" si="5"/>
        <v>5.8836773492150593E-2</v>
      </c>
      <c r="L29" s="43">
        <f t="shared" si="6"/>
        <v>0.76487805539795772</v>
      </c>
      <c r="M29" s="43"/>
    </row>
    <row r="30" spans="1:13" x14ac:dyDescent="0.3">
      <c r="A30" s="51">
        <v>57.33</v>
      </c>
      <c r="B30" s="51">
        <f t="shared" si="1"/>
        <v>57330</v>
      </c>
      <c r="C30" s="52">
        <v>-12</v>
      </c>
      <c r="F30" s="52">
        <f t="shared" si="2"/>
        <v>4.0488240469202914</v>
      </c>
      <c r="G30" s="53">
        <f t="shared" si="3"/>
        <v>10.956579325902428</v>
      </c>
      <c r="H30" s="46">
        <f t="shared" si="4"/>
        <v>3.8292169251388096E-3</v>
      </c>
      <c r="I30" s="43"/>
      <c r="J30" s="43">
        <f t="shared" si="0"/>
        <v>-11.347579204701788</v>
      </c>
      <c r="K30" s="43">
        <f t="shared" si="5"/>
        <v>5.4368399608184369E-2</v>
      </c>
      <c r="L30" s="43">
        <f t="shared" si="6"/>
        <v>0.6524207952982124</v>
      </c>
      <c r="M30" s="43"/>
    </row>
    <row r="31" spans="1:13" x14ac:dyDescent="0.3">
      <c r="A31" s="51">
        <v>54.5</v>
      </c>
      <c r="B31" s="51">
        <f t="shared" si="1"/>
        <v>54500</v>
      </c>
      <c r="C31" s="52">
        <v>-11</v>
      </c>
      <c r="F31" s="52">
        <f t="shared" si="2"/>
        <v>3.9982007016691985</v>
      </c>
      <c r="G31" s="53">
        <f t="shared" si="3"/>
        <v>10.905955980651335</v>
      </c>
      <c r="H31" s="46">
        <f t="shared" si="4"/>
        <v>3.8146099561319857E-3</v>
      </c>
      <c r="I31" s="43"/>
      <c r="J31" s="43">
        <f t="shared" si="0"/>
        <v>-10.463576875765682</v>
      </c>
      <c r="K31" s="43">
        <f t="shared" si="5"/>
        <v>4.8765738566756187E-2</v>
      </c>
      <c r="L31" s="43">
        <f t="shared" si="6"/>
        <v>0.53642312423431804</v>
      </c>
      <c r="M31" s="43"/>
    </row>
    <row r="32" spans="1:13" x14ac:dyDescent="0.3">
      <c r="A32" s="51">
        <v>51.82</v>
      </c>
      <c r="B32" s="51">
        <f t="shared" si="1"/>
        <v>51820</v>
      </c>
      <c r="C32" s="52">
        <v>-10</v>
      </c>
      <c r="F32" s="52">
        <f t="shared" si="2"/>
        <v>3.9477761751339639</v>
      </c>
      <c r="G32" s="53">
        <f t="shared" si="3"/>
        <v>10.8555314541161</v>
      </c>
      <c r="H32" s="46">
        <f t="shared" si="4"/>
        <v>3.800114003420103E-3</v>
      </c>
      <c r="I32" s="43"/>
      <c r="J32" s="43">
        <f t="shared" si="0"/>
        <v>-9.5770916366637948</v>
      </c>
      <c r="K32" s="43">
        <f t="shared" si="5"/>
        <v>4.2290836333620518E-2</v>
      </c>
      <c r="L32" s="43">
        <f t="shared" si="6"/>
        <v>0.42290836333620518</v>
      </c>
      <c r="M32" s="43"/>
    </row>
    <row r="33" spans="1:13" x14ac:dyDescent="0.3">
      <c r="A33" s="51">
        <v>49.28</v>
      </c>
      <c r="B33" s="51">
        <f t="shared" si="1"/>
        <v>49280</v>
      </c>
      <c r="C33" s="52">
        <v>-9</v>
      </c>
      <c r="F33" s="52">
        <f t="shared" si="2"/>
        <v>3.8975183192252643</v>
      </c>
      <c r="G33" s="53">
        <f t="shared" si="3"/>
        <v>10.805273598207402</v>
      </c>
      <c r="H33" s="46">
        <f t="shared" si="4"/>
        <v>3.7857278061707365E-3</v>
      </c>
      <c r="I33" s="43"/>
      <c r="J33" s="43">
        <f t="shared" si="0"/>
        <v>-8.6875628539780223</v>
      </c>
      <c r="K33" s="43">
        <f t="shared" si="5"/>
        <v>3.4715238446886412E-2</v>
      </c>
      <c r="L33" s="43">
        <f t="shared" si="6"/>
        <v>0.3124371460219777</v>
      </c>
      <c r="M33" s="43"/>
    </row>
    <row r="34" spans="1:13" x14ac:dyDescent="0.3">
      <c r="A34" s="51">
        <v>46.89</v>
      </c>
      <c r="B34" s="51">
        <f t="shared" si="1"/>
        <v>46890</v>
      </c>
      <c r="C34" s="52">
        <v>-8</v>
      </c>
      <c r="F34" s="52">
        <f t="shared" si="2"/>
        <v>3.8478044331014951</v>
      </c>
      <c r="G34" s="53">
        <f t="shared" si="3"/>
        <v>10.755559712083633</v>
      </c>
      <c r="H34" s="46">
        <f t="shared" si="4"/>
        <v>3.7714501225721295E-3</v>
      </c>
      <c r="I34" s="43"/>
      <c r="J34" s="43">
        <f t="shared" si="0"/>
        <v>-7.8017351781770117</v>
      </c>
      <c r="K34" s="43">
        <f t="shared" si="5"/>
        <v>2.4783102727873541E-2</v>
      </c>
      <c r="L34" s="43">
        <f t="shared" si="6"/>
        <v>0.19826482182298832</v>
      </c>
      <c r="M34" s="43"/>
    </row>
    <row r="35" spans="1:13" x14ac:dyDescent="0.3">
      <c r="A35" s="51">
        <v>44.62</v>
      </c>
      <c r="B35" s="51">
        <f t="shared" si="1"/>
        <v>44620</v>
      </c>
      <c r="C35" s="52">
        <v>-7</v>
      </c>
      <c r="F35" s="52">
        <f t="shared" si="2"/>
        <v>3.7981821890043865</v>
      </c>
      <c r="G35" s="53">
        <f t="shared" si="3"/>
        <v>10.705937467986523</v>
      </c>
      <c r="H35" s="46">
        <f t="shared" si="4"/>
        <v>3.75727972947586E-3</v>
      </c>
      <c r="I35" s="43"/>
      <c r="J35" s="43">
        <f t="shared" si="0"/>
        <v>-6.9116027424378217</v>
      </c>
      <c r="K35" s="43">
        <f t="shared" si="5"/>
        <v>1.2628179651739759E-2</v>
      </c>
      <c r="L35" s="43">
        <f t="shared" si="6"/>
        <v>8.8397257562178311E-2</v>
      </c>
      <c r="M35" s="43"/>
    </row>
    <row r="36" spans="1:13" x14ac:dyDescent="0.3">
      <c r="A36" s="51">
        <v>42.48</v>
      </c>
      <c r="B36" s="51">
        <f t="shared" si="1"/>
        <v>42480</v>
      </c>
      <c r="C36" s="52">
        <v>-6</v>
      </c>
      <c r="F36" s="52">
        <f t="shared" si="2"/>
        <v>3.7490333769336832</v>
      </c>
      <c r="G36" s="53">
        <f t="shared" si="3"/>
        <v>10.65678865591582</v>
      </c>
      <c r="H36" s="46">
        <f t="shared" si="4"/>
        <v>3.7432154220475391E-3</v>
      </c>
      <c r="I36" s="43"/>
      <c r="J36" s="43">
        <f t="shared" si="0"/>
        <v>-6.024056338563696</v>
      </c>
      <c r="K36" s="43">
        <f t="shared" si="5"/>
        <v>4.0093897606160072E-3</v>
      </c>
      <c r="L36" s="43">
        <f t="shared" si="6"/>
        <v>2.4056338563696045E-2</v>
      </c>
      <c r="M36" s="43"/>
    </row>
    <row r="37" spans="1:13" x14ac:dyDescent="0.3">
      <c r="A37" s="51">
        <v>40.450000000000003</v>
      </c>
      <c r="B37" s="51">
        <f t="shared" si="1"/>
        <v>40450</v>
      </c>
      <c r="C37" s="52">
        <v>-5</v>
      </c>
      <c r="F37" s="52">
        <f t="shared" si="2"/>
        <v>3.7000666435045009</v>
      </c>
      <c r="G37" s="53">
        <f t="shared" si="3"/>
        <v>10.607821922486638</v>
      </c>
      <c r="H37" s="46">
        <f t="shared" si="4"/>
        <v>3.7292560134253219E-3</v>
      </c>
      <c r="I37" s="43"/>
      <c r="J37" s="43">
        <f t="shared" si="0"/>
        <v>-5.1338936640135557</v>
      </c>
      <c r="K37" s="43">
        <f t="shared" si="5"/>
        <v>2.6778732802711147E-2</v>
      </c>
      <c r="L37" s="43">
        <f t="shared" si="6"/>
        <v>0.13389366401355574</v>
      </c>
      <c r="M37" s="43"/>
    </row>
    <row r="38" spans="1:13" x14ac:dyDescent="0.3">
      <c r="A38" s="51">
        <v>38.53</v>
      </c>
      <c r="B38" s="51">
        <f t="shared" si="1"/>
        <v>38530</v>
      </c>
      <c r="C38" s="52">
        <v>-4</v>
      </c>
      <c r="F38" s="52">
        <f t="shared" si="2"/>
        <v>3.6514371586380663</v>
      </c>
      <c r="G38" s="53">
        <f t="shared" si="3"/>
        <v>10.559192437620203</v>
      </c>
      <c r="H38" s="46">
        <f t="shared" si="4"/>
        <v>3.7154003343860304E-3</v>
      </c>
      <c r="I38" s="43"/>
      <c r="J38" s="43">
        <f t="shared" si="0"/>
        <v>-4.2439707562056697</v>
      </c>
      <c r="K38" s="43">
        <f t="shared" si="5"/>
        <v>6.0992689051417415E-2</v>
      </c>
      <c r="L38" s="43">
        <f t="shared" si="6"/>
        <v>0.24397075620566966</v>
      </c>
      <c r="M38" s="43"/>
    </row>
    <row r="39" spans="1:13" x14ac:dyDescent="0.3">
      <c r="A39" s="51">
        <v>36.700000000000003</v>
      </c>
      <c r="B39" s="51">
        <f t="shared" si="1"/>
        <v>36700</v>
      </c>
      <c r="C39" s="52">
        <v>-3</v>
      </c>
      <c r="F39" s="52">
        <f t="shared" si="2"/>
        <v>3.6027767550605247</v>
      </c>
      <c r="G39" s="53">
        <f t="shared" si="3"/>
        <v>10.510532034042662</v>
      </c>
      <c r="H39" s="46">
        <f t="shared" si="4"/>
        <v>3.7016472330186935E-3</v>
      </c>
      <c r="I39" s="43"/>
      <c r="J39" s="43">
        <f t="shared" si="0"/>
        <v>-3.3475468618956938</v>
      </c>
      <c r="K39" s="43">
        <f t="shared" si="5"/>
        <v>0.11584895396523127</v>
      </c>
      <c r="L39" s="43">
        <f t="shared" si="6"/>
        <v>0.34754686189569384</v>
      </c>
      <c r="M39" s="43"/>
    </row>
    <row r="40" spans="1:13" x14ac:dyDescent="0.3">
      <c r="A40" s="51">
        <v>34.97</v>
      </c>
      <c r="B40" s="51">
        <f t="shared" si="1"/>
        <v>34970</v>
      </c>
      <c r="C40" s="52">
        <v>-2</v>
      </c>
      <c r="F40" s="52">
        <f t="shared" si="2"/>
        <v>3.5544905510752844</v>
      </c>
      <c r="G40" s="53">
        <f t="shared" si="3"/>
        <v>10.462245830057421</v>
      </c>
      <c r="H40" s="46">
        <f t="shared" si="4"/>
        <v>3.687995574405311E-3</v>
      </c>
      <c r="I40" s="43"/>
      <c r="J40" s="43">
        <f t="shared" si="0"/>
        <v>-2.4520890143571705</v>
      </c>
      <c r="K40" s="43">
        <f t="shared" si="5"/>
        <v>0.22604450717858526</v>
      </c>
      <c r="L40" s="43">
        <f t="shared" si="6"/>
        <v>0.45208901435717053</v>
      </c>
      <c r="M40" s="43"/>
    </row>
    <row r="41" spans="1:13" x14ac:dyDescent="0.3">
      <c r="A41" s="51">
        <v>33.33</v>
      </c>
      <c r="B41" s="51">
        <f t="shared" si="1"/>
        <v>33330</v>
      </c>
      <c r="C41" s="52">
        <v>-1</v>
      </c>
      <c r="F41" s="52">
        <f t="shared" si="2"/>
        <v>3.5064578923196481</v>
      </c>
      <c r="G41" s="53">
        <f t="shared" si="3"/>
        <v>10.414213171301785</v>
      </c>
      <c r="H41" s="46">
        <f t="shared" si="4"/>
        <v>3.6744442403086534E-3</v>
      </c>
      <c r="I41" s="43"/>
      <c r="J41" s="43">
        <f t="shared" si="0"/>
        <v>-1.5554163721869827</v>
      </c>
      <c r="K41" s="43">
        <f t="shared" si="5"/>
        <v>0.5554163721869827</v>
      </c>
      <c r="L41" s="43">
        <f t="shared" si="6"/>
        <v>0.5554163721869827</v>
      </c>
      <c r="M41" s="43"/>
    </row>
    <row r="42" spans="1:13" x14ac:dyDescent="0.3">
      <c r="A42" s="51">
        <v>31.77</v>
      </c>
      <c r="B42" s="51">
        <f t="shared" si="1"/>
        <v>31770</v>
      </c>
      <c r="C42" s="52">
        <v>0</v>
      </c>
      <c r="F42" s="52">
        <f t="shared" si="2"/>
        <v>3.4585224482814247</v>
      </c>
      <c r="G42" s="53">
        <f t="shared" si="3"/>
        <v>10.366277727263562</v>
      </c>
      <c r="H42" s="46">
        <f t="shared" si="4"/>
        <v>3.6609921288669233E-3</v>
      </c>
      <c r="I42" s="43"/>
      <c r="J42" s="43">
        <f t="shared" si="0"/>
        <v>-0.65461654948808246</v>
      </c>
      <c r="K42" s="43" t="e">
        <f t="shared" si="5"/>
        <v>#DIV/0!</v>
      </c>
      <c r="L42" s="43">
        <f t="shared" si="6"/>
        <v>0.65461654948808246</v>
      </c>
      <c r="M42" s="43"/>
    </row>
    <row r="43" spans="1:13" x14ac:dyDescent="0.3">
      <c r="A43" s="52">
        <v>30.25</v>
      </c>
      <c r="B43" s="51">
        <f t="shared" si="1"/>
        <v>30250</v>
      </c>
      <c r="C43" s="54">
        <v>1</v>
      </c>
      <c r="F43" s="52">
        <f t="shared" si="2"/>
        <v>3.4094961844768505</v>
      </c>
      <c r="G43" s="53">
        <f t="shared" si="3"/>
        <v>10.317251463458987</v>
      </c>
      <c r="H43" s="46">
        <f t="shared" si="4"/>
        <v>3.6476381542950944E-3</v>
      </c>
      <c r="I43" s="43"/>
      <c r="J43" s="43">
        <f t="shared" si="0"/>
        <v>0.27288381725321642</v>
      </c>
      <c r="K43" s="43">
        <f t="shared" si="5"/>
        <v>0.72711618274678358</v>
      </c>
      <c r="L43" s="43">
        <f t="shared" si="6"/>
        <v>0.72711618274678358</v>
      </c>
      <c r="M43" s="43"/>
    </row>
    <row r="44" spans="1:13" x14ac:dyDescent="0.3">
      <c r="A44" s="52">
        <v>28.82</v>
      </c>
      <c r="B44" s="51">
        <f t="shared" si="1"/>
        <v>28820</v>
      </c>
      <c r="C44" s="54">
        <v>2</v>
      </c>
      <c r="F44" s="52">
        <f t="shared" si="2"/>
        <v>3.3610695905713759</v>
      </c>
      <c r="G44" s="53">
        <f t="shared" si="3"/>
        <v>10.268824869553512</v>
      </c>
      <c r="H44" s="46">
        <f t="shared" si="4"/>
        <v>3.6343812465927678E-3</v>
      </c>
      <c r="I44" s="43"/>
      <c r="J44" s="43">
        <f t="shared" si="0"/>
        <v>1.1952588237452915</v>
      </c>
      <c r="K44" s="43">
        <f t="shared" si="5"/>
        <v>0.40237058812735427</v>
      </c>
      <c r="L44" s="43">
        <f t="shared" si="6"/>
        <v>0.80474117625470853</v>
      </c>
      <c r="M44" s="43"/>
    </row>
    <row r="45" spans="1:13" x14ac:dyDescent="0.3">
      <c r="A45" s="52">
        <v>27.45</v>
      </c>
      <c r="B45" s="51">
        <f t="shared" si="1"/>
        <v>27450</v>
      </c>
      <c r="C45" s="54">
        <v>3</v>
      </c>
      <c r="F45" s="52">
        <f t="shared" si="2"/>
        <v>3.3123661679555396</v>
      </c>
      <c r="G45" s="53">
        <f t="shared" si="3"/>
        <v>10.220121446937677</v>
      </c>
      <c r="H45" s="46">
        <f t="shared" si="4"/>
        <v>3.6212203512583745E-3</v>
      </c>
      <c r="I45" s="43"/>
      <c r="J45" s="43">
        <f t="shared" si="0"/>
        <v>2.1292045299102256</v>
      </c>
      <c r="K45" s="43">
        <f t="shared" si="5"/>
        <v>0.29026515669659148</v>
      </c>
      <c r="L45" s="43">
        <f t="shared" si="6"/>
        <v>0.87079547008977443</v>
      </c>
      <c r="M45" s="43"/>
    </row>
    <row r="46" spans="1:13" x14ac:dyDescent="0.3">
      <c r="A46" s="52">
        <v>26.16</v>
      </c>
      <c r="B46" s="51">
        <f t="shared" si="1"/>
        <v>26160</v>
      </c>
      <c r="C46" s="54">
        <v>4</v>
      </c>
      <c r="F46" s="52">
        <f t="shared" si="2"/>
        <v>3.2642315265889978</v>
      </c>
      <c r="G46" s="53">
        <f t="shared" si="3"/>
        <v>10.171986805571136</v>
      </c>
      <c r="H46" s="46">
        <f t="shared" si="4"/>
        <v>3.608154429009562E-3</v>
      </c>
      <c r="I46" s="43"/>
      <c r="J46" s="43">
        <f t="shared" si="0"/>
        <v>3.0585121263095516</v>
      </c>
      <c r="K46" s="43">
        <f t="shared" si="5"/>
        <v>0.2353719684226121</v>
      </c>
      <c r="L46" s="43">
        <f t="shared" si="6"/>
        <v>0.9414878736904484</v>
      </c>
      <c r="M46" s="43"/>
    </row>
    <row r="47" spans="1:13" x14ac:dyDescent="0.3">
      <c r="A47" s="52">
        <v>24.94</v>
      </c>
      <c r="B47" s="51">
        <f t="shared" si="1"/>
        <v>24940</v>
      </c>
      <c r="C47" s="54">
        <v>5</v>
      </c>
      <c r="F47" s="52">
        <f t="shared" si="2"/>
        <v>3.2164729402518906</v>
      </c>
      <c r="G47" s="53">
        <f t="shared" si="3"/>
        <v>10.124228219234027</v>
      </c>
      <c r="H47" s="46">
        <f t="shared" si="4"/>
        <v>3.5951824555096176E-3</v>
      </c>
      <c r="I47" s="43"/>
      <c r="J47" s="43">
        <f t="shared" si="0"/>
        <v>3.9867813976019875</v>
      </c>
      <c r="K47" s="43">
        <f t="shared" si="5"/>
        <v>0.2026437204796025</v>
      </c>
      <c r="L47" s="43">
        <f t="shared" si="6"/>
        <v>1.0132186023980125</v>
      </c>
      <c r="M47" s="43"/>
    </row>
    <row r="48" spans="1:13" x14ac:dyDescent="0.3">
      <c r="A48" s="52">
        <v>23.77</v>
      </c>
      <c r="B48" s="51">
        <f t="shared" si="1"/>
        <v>23770</v>
      </c>
      <c r="C48" s="54">
        <v>6</v>
      </c>
      <c r="F48" s="52">
        <f t="shared" si="2"/>
        <v>3.1684242813721024</v>
      </c>
      <c r="G48" s="53">
        <f t="shared" si="3"/>
        <v>10.076179560354239</v>
      </c>
      <c r="H48" s="46">
        <f t="shared" si="4"/>
        <v>3.5823034210997673E-3</v>
      </c>
      <c r="I48" s="43"/>
      <c r="J48" s="43">
        <f t="shared" si="0"/>
        <v>4.9270064143179297</v>
      </c>
      <c r="K48" s="43">
        <f t="shared" si="5"/>
        <v>0.17883226428034504</v>
      </c>
      <c r="L48" s="43">
        <f t="shared" si="6"/>
        <v>1.0729935856820703</v>
      </c>
      <c r="M48" s="43"/>
    </row>
    <row r="49" spans="1:13" x14ac:dyDescent="0.3">
      <c r="A49" s="52">
        <v>22.67</v>
      </c>
      <c r="B49" s="51">
        <f t="shared" si="1"/>
        <v>22670</v>
      </c>
      <c r="C49" s="54">
        <v>7</v>
      </c>
      <c r="F49" s="52">
        <f t="shared" si="2"/>
        <v>3.1210424645194377</v>
      </c>
      <c r="G49" s="53">
        <f t="shared" si="3"/>
        <v>10.028797743501574</v>
      </c>
      <c r="H49" s="46">
        <f t="shared" si="4"/>
        <v>3.5695163305372126E-3</v>
      </c>
      <c r="I49" s="43"/>
      <c r="J49" s="43">
        <f t="shared" si="0"/>
        <v>5.860451006557355</v>
      </c>
      <c r="K49" s="43">
        <f t="shared" si="5"/>
        <v>0.16279271334894929</v>
      </c>
      <c r="L49" s="43">
        <f t="shared" si="6"/>
        <v>1.139548993442645</v>
      </c>
      <c r="M49" s="43"/>
    </row>
    <row r="50" spans="1:13" x14ac:dyDescent="0.3">
      <c r="A50" s="52">
        <v>21.62</v>
      </c>
      <c r="B50" s="51">
        <f t="shared" si="1"/>
        <v>21620</v>
      </c>
      <c r="C50" s="54">
        <v>8</v>
      </c>
      <c r="F50" s="52">
        <f t="shared" si="2"/>
        <v>3.0736188122110621</v>
      </c>
      <c r="G50" s="53">
        <f t="shared" si="3"/>
        <v>9.9813740911931994</v>
      </c>
      <c r="H50" s="46">
        <f t="shared" si="4"/>
        <v>3.556820202738752E-3</v>
      </c>
      <c r="I50" s="43"/>
      <c r="J50" s="43">
        <f t="shared" si="0"/>
        <v>6.8010159779948367</v>
      </c>
      <c r="K50" s="43">
        <f t="shared" si="5"/>
        <v>0.14987300275064541</v>
      </c>
      <c r="L50" s="43">
        <f t="shared" si="6"/>
        <v>1.1989840220051633</v>
      </c>
      <c r="M50" s="43"/>
    </row>
    <row r="51" spans="1:13" x14ac:dyDescent="0.3">
      <c r="A51" s="52">
        <v>20.63</v>
      </c>
      <c r="B51" s="51">
        <f t="shared" si="1"/>
        <v>20630</v>
      </c>
      <c r="C51" s="54">
        <v>9</v>
      </c>
      <c r="F51" s="52">
        <f t="shared" si="2"/>
        <v>3.0267463270831603</v>
      </c>
      <c r="G51" s="53">
        <f t="shared" si="3"/>
        <v>9.9345016060652966</v>
      </c>
      <c r="H51" s="46">
        <f t="shared" si="4"/>
        <v>3.5442140705298601E-3</v>
      </c>
      <c r="I51" s="43"/>
      <c r="J51" s="43">
        <f t="shared" si="0"/>
        <v>7.7369016516423699</v>
      </c>
      <c r="K51" s="43">
        <f t="shared" si="5"/>
        <v>0.14034426092862556</v>
      </c>
      <c r="L51" s="43">
        <f t="shared" si="6"/>
        <v>1.2630983483576301</v>
      </c>
      <c r="M51" s="43"/>
    </row>
    <row r="52" spans="1:13" x14ac:dyDescent="0.3">
      <c r="A52" s="52">
        <v>19.68</v>
      </c>
      <c r="B52" s="51">
        <f t="shared" si="1"/>
        <v>19680</v>
      </c>
      <c r="C52" s="54">
        <v>10</v>
      </c>
      <c r="F52" s="52">
        <f t="shared" si="2"/>
        <v>2.9796028916241073</v>
      </c>
      <c r="G52" s="53">
        <f t="shared" si="3"/>
        <v>9.8873581706062446</v>
      </c>
      <c r="H52" s="46">
        <f t="shared" si="4"/>
        <v>3.5316969803990822E-3</v>
      </c>
      <c r="I52" s="43"/>
      <c r="J52" s="43">
        <f t="shared" si="0"/>
        <v>8.6845303411799364</v>
      </c>
      <c r="K52" s="43">
        <f t="shared" si="5"/>
        <v>0.13154696588200637</v>
      </c>
      <c r="L52" s="43">
        <f t="shared" si="6"/>
        <v>1.3154696588200636</v>
      </c>
      <c r="M52" s="43"/>
    </row>
    <row r="53" spans="1:13" x14ac:dyDescent="0.3">
      <c r="A53" s="52">
        <v>18.78</v>
      </c>
      <c r="B53" s="51">
        <f t="shared" si="1"/>
        <v>18780</v>
      </c>
      <c r="C53" s="54">
        <v>11</v>
      </c>
      <c r="F53" s="52">
        <f t="shared" si="2"/>
        <v>2.932792473780117</v>
      </c>
      <c r="G53" s="53">
        <f t="shared" si="3"/>
        <v>9.8405477527622534</v>
      </c>
      <c r="H53" s="46">
        <f t="shared" si="4"/>
        <v>3.5192679922576107E-3</v>
      </c>
      <c r="I53" s="43"/>
      <c r="J53" s="43">
        <f t="shared" si="0"/>
        <v>9.6318127608850546</v>
      </c>
      <c r="K53" s="43">
        <f t="shared" si="5"/>
        <v>0.12438065810135868</v>
      </c>
      <c r="L53" s="43">
        <f t="shared" si="6"/>
        <v>1.3681872391149454</v>
      </c>
      <c r="M53" s="43"/>
    </row>
    <row r="54" spans="1:13" x14ac:dyDescent="0.3">
      <c r="A54" s="52">
        <v>17.93</v>
      </c>
      <c r="B54" s="51">
        <f t="shared" si="1"/>
        <v>17930</v>
      </c>
      <c r="C54" s="54">
        <v>12</v>
      </c>
      <c r="F54" s="52">
        <f t="shared" si="2"/>
        <v>2.8864752876170416</v>
      </c>
      <c r="G54" s="53">
        <f t="shared" si="3"/>
        <v>9.7942305665991789</v>
      </c>
      <c r="H54" s="46">
        <f t="shared" si="4"/>
        <v>3.5069261792039282E-3</v>
      </c>
      <c r="I54" s="43"/>
      <c r="J54" s="43">
        <f t="shared" si="0"/>
        <v>10.575402361803242</v>
      </c>
      <c r="K54" s="43">
        <f t="shared" si="5"/>
        <v>0.11871646984972983</v>
      </c>
      <c r="L54" s="43">
        <f t="shared" si="6"/>
        <v>1.424597638196758</v>
      </c>
      <c r="M54" s="43"/>
    </row>
    <row r="55" spans="1:13" x14ac:dyDescent="0.3">
      <c r="A55" s="52">
        <v>17.12</v>
      </c>
      <c r="B55" s="51">
        <f t="shared" si="1"/>
        <v>17120</v>
      </c>
      <c r="C55" s="54">
        <v>13</v>
      </c>
      <c r="F55" s="52">
        <f t="shared" si="2"/>
        <v>2.840247370713596</v>
      </c>
      <c r="G55" s="53">
        <f t="shared" si="3"/>
        <v>9.7480026496957333</v>
      </c>
      <c r="H55" s="46">
        <f t="shared" si="4"/>
        <v>3.4946706272933779E-3</v>
      </c>
      <c r="I55" s="43"/>
      <c r="J55" s="43">
        <f t="shared" si="0"/>
        <v>11.523473287692525</v>
      </c>
      <c r="K55" s="43">
        <f t="shared" si="5"/>
        <v>0.11357897786980577</v>
      </c>
      <c r="L55" s="43">
        <f t="shared" si="6"/>
        <v>1.476526712307475</v>
      </c>
      <c r="M55" s="43"/>
    </row>
    <row r="56" spans="1:13" x14ac:dyDescent="0.3">
      <c r="A56" s="52">
        <v>16.350000000000001</v>
      </c>
      <c r="B56" s="51">
        <f t="shared" si="1"/>
        <v>16350.000000000002</v>
      </c>
      <c r="C56" s="54">
        <v>14</v>
      </c>
      <c r="F56" s="52">
        <f t="shared" si="2"/>
        <v>2.7942278973432626</v>
      </c>
      <c r="G56" s="53">
        <f t="shared" si="3"/>
        <v>9.701983176325399</v>
      </c>
      <c r="H56" s="46">
        <f t="shared" si="4"/>
        <v>3.4825004353125546E-3</v>
      </c>
      <c r="I56" s="43"/>
      <c r="J56" s="43">
        <f t="shared" si="0"/>
        <v>12.473583512827702</v>
      </c>
      <c r="K56" s="43">
        <f t="shared" si="5"/>
        <v>0.1090297490837356</v>
      </c>
      <c r="L56" s="43">
        <f t="shared" si="6"/>
        <v>1.5264164871722983</v>
      </c>
      <c r="M56" s="43"/>
    </row>
    <row r="57" spans="1:13" x14ac:dyDescent="0.3">
      <c r="A57" s="52">
        <v>15.62</v>
      </c>
      <c r="B57" s="51">
        <f t="shared" si="1"/>
        <v>15620</v>
      </c>
      <c r="C57" s="54">
        <v>15</v>
      </c>
      <c r="F57" s="52">
        <f t="shared" si="2"/>
        <v>2.7485521444115397</v>
      </c>
      <c r="G57" s="53">
        <f t="shared" si="3"/>
        <v>9.6563074233936774</v>
      </c>
      <c r="H57" s="46">
        <f t="shared" si="4"/>
        <v>3.4704147145583901E-3</v>
      </c>
      <c r="I57" s="43"/>
      <c r="J57" s="43">
        <f t="shared" si="0"/>
        <v>13.422889379874391</v>
      </c>
      <c r="K57" s="43">
        <f t="shared" si="5"/>
        <v>0.10514070800837393</v>
      </c>
      <c r="L57" s="43">
        <f t="shared" si="6"/>
        <v>1.5771106201256089</v>
      </c>
      <c r="M57" s="43"/>
    </row>
    <row r="58" spans="1:13" x14ac:dyDescent="0.3">
      <c r="A58" s="52">
        <v>14.93</v>
      </c>
      <c r="B58" s="51">
        <f t="shared" si="1"/>
        <v>14930</v>
      </c>
      <c r="C58" s="54">
        <v>16</v>
      </c>
      <c r="F58" s="52">
        <f t="shared" si="2"/>
        <v>2.703372611551099</v>
      </c>
      <c r="G58" s="53">
        <f t="shared" si="3"/>
        <v>9.6111278905332362</v>
      </c>
      <c r="H58" s="46">
        <f t="shared" si="4"/>
        <v>3.4584125886218228E-3</v>
      </c>
      <c r="I58" s="43"/>
      <c r="J58" s="43">
        <f t="shared" si="0"/>
        <v>14.368110305868242</v>
      </c>
      <c r="K58" s="43">
        <f t="shared" si="5"/>
        <v>0.10199310588323485</v>
      </c>
      <c r="L58" s="43">
        <f t="shared" si="6"/>
        <v>1.6318896941317576</v>
      </c>
      <c r="M58" s="43"/>
    </row>
    <row r="59" spans="1:13" x14ac:dyDescent="0.3">
      <c r="A59" s="52">
        <v>14.26</v>
      </c>
      <c r="B59" s="51">
        <f t="shared" si="1"/>
        <v>14260</v>
      </c>
      <c r="C59" s="54">
        <v>17</v>
      </c>
      <c r="F59" s="52">
        <f t="shared" si="2"/>
        <v>2.65745841498615</v>
      </c>
      <c r="G59" s="53">
        <f t="shared" si="3"/>
        <v>9.5652136939682872</v>
      </c>
      <c r="H59" s="46">
        <f t="shared" si="4"/>
        <v>3.4464931931759437E-3</v>
      </c>
      <c r="I59" s="43"/>
      <c r="J59" s="43">
        <f t="shared" si="0"/>
        <v>15.335111214871233</v>
      </c>
      <c r="K59" s="43">
        <f t="shared" si="5"/>
        <v>9.7934634419339223E-2</v>
      </c>
      <c r="L59" s="43">
        <f t="shared" si="6"/>
        <v>1.6648887851287668</v>
      </c>
      <c r="M59" s="43"/>
    </row>
    <row r="60" spans="1:13" x14ac:dyDescent="0.3">
      <c r="A60" s="52">
        <v>13.63</v>
      </c>
      <c r="B60" s="51">
        <f t="shared" si="1"/>
        <v>13630</v>
      </c>
      <c r="C60" s="54">
        <v>18</v>
      </c>
      <c r="F60" s="52">
        <f t="shared" si="2"/>
        <v>2.6122732457084412</v>
      </c>
      <c r="G60" s="53">
        <f t="shared" si="3"/>
        <v>9.5200285246905789</v>
      </c>
      <c r="H60" s="46">
        <f t="shared" si="4"/>
        <v>3.4346556757685045E-3</v>
      </c>
      <c r="I60" s="43"/>
      <c r="J60" s="43">
        <f t="shared" si="0"/>
        <v>16.293129606897594</v>
      </c>
      <c r="K60" s="43">
        <f t="shared" si="5"/>
        <v>9.4826132950133674E-2</v>
      </c>
      <c r="L60" s="43">
        <f t="shared" si="6"/>
        <v>1.7068703931024061</v>
      </c>
      <c r="M60" s="43"/>
    </row>
    <row r="61" spans="1:13" x14ac:dyDescent="0.3">
      <c r="A61" s="52">
        <v>13.04</v>
      </c>
      <c r="B61" s="51">
        <f t="shared" si="1"/>
        <v>13040</v>
      </c>
      <c r="C61" s="51">
        <v>19</v>
      </c>
      <c r="F61" s="52">
        <f t="shared" si="2"/>
        <v>2.5680215564985067</v>
      </c>
      <c r="G61" s="53">
        <f t="shared" si="3"/>
        <v>9.4757768354806444</v>
      </c>
      <c r="H61" s="46">
        <f t="shared" si="4"/>
        <v>3.4228991956186893E-3</v>
      </c>
      <c r="I61" s="43"/>
      <c r="J61" s="43">
        <f t="shared" si="0"/>
        <v>17.237543496208332</v>
      </c>
      <c r="K61" s="43">
        <f t="shared" si="5"/>
        <v>9.2760868620614112E-2</v>
      </c>
      <c r="L61" s="43">
        <f t="shared" si="6"/>
        <v>1.7624565037916682</v>
      </c>
      <c r="M61" s="43"/>
    </row>
    <row r="62" spans="1:13" x14ac:dyDescent="0.3">
      <c r="A62" s="52">
        <v>12.47</v>
      </c>
      <c r="B62" s="51">
        <f t="shared" si="1"/>
        <v>12470</v>
      </c>
      <c r="C62" s="54">
        <v>20</v>
      </c>
      <c r="F62" s="52">
        <f t="shared" si="2"/>
        <v>2.5233257596919452</v>
      </c>
      <c r="G62" s="53">
        <f t="shared" si="3"/>
        <v>9.4310810386740815</v>
      </c>
      <c r="H62" s="46">
        <f t="shared" si="4"/>
        <v>3.4112229234180458E-3</v>
      </c>
      <c r="I62" s="43"/>
      <c r="J62" s="43">
        <f t="shared" si="0"/>
        <v>18.197712236588302</v>
      </c>
      <c r="K62" s="43">
        <f t="shared" si="5"/>
        <v>9.0114388170584897E-2</v>
      </c>
      <c r="L62" s="43">
        <f t="shared" si="6"/>
        <v>1.8022877634116981</v>
      </c>
      <c r="M62" s="43"/>
    </row>
    <row r="63" spans="1:13" x14ac:dyDescent="0.3">
      <c r="A63" s="52">
        <v>11.92</v>
      </c>
      <c r="B63" s="51">
        <f t="shared" si="1"/>
        <v>11920</v>
      </c>
      <c r="C63" s="54">
        <v>21</v>
      </c>
      <c r="F63" s="52">
        <f t="shared" si="2"/>
        <v>2.4782176616372036</v>
      </c>
      <c r="G63" s="53">
        <f t="shared" si="3"/>
        <v>9.3859729406193413</v>
      </c>
      <c r="H63" s="46">
        <f t="shared" si="4"/>
        <v>3.3996260411354754E-3</v>
      </c>
      <c r="I63" s="43"/>
      <c r="J63" s="43">
        <f t="shared" si="0"/>
        <v>19.173197453322871</v>
      </c>
      <c r="K63" s="43">
        <f t="shared" si="5"/>
        <v>8.699059746081568E-2</v>
      </c>
      <c r="L63" s="43">
        <f t="shared" si="6"/>
        <v>1.8268025466771292</v>
      </c>
      <c r="M63" s="43"/>
    </row>
    <row r="64" spans="1:13" x14ac:dyDescent="0.3">
      <c r="A64" s="52">
        <v>11.41</v>
      </c>
      <c r="B64" s="51">
        <f t="shared" si="1"/>
        <v>11410</v>
      </c>
      <c r="C64" s="54">
        <v>22</v>
      </c>
      <c r="F64" s="52">
        <f t="shared" si="2"/>
        <v>2.4344901638739844</v>
      </c>
      <c r="G64" s="53">
        <f t="shared" si="3"/>
        <v>9.3422454428561217</v>
      </c>
      <c r="H64" s="46">
        <f t="shared" si="4"/>
        <v>3.3881077418261903E-3</v>
      </c>
      <c r="I64" s="43"/>
      <c r="J64" s="43">
        <f t="shared" si="0"/>
        <v>20.125082173501255</v>
      </c>
      <c r="K64" s="43">
        <f t="shared" si="5"/>
        <v>8.5223537568124771E-2</v>
      </c>
      <c r="L64" s="43">
        <f t="shared" si="6"/>
        <v>1.8749178264987449</v>
      </c>
      <c r="M64" s="43"/>
    </row>
    <row r="65" spans="1:13" x14ac:dyDescent="0.3">
      <c r="A65" s="52">
        <v>10.91</v>
      </c>
      <c r="B65" s="51">
        <f t="shared" si="1"/>
        <v>10910</v>
      </c>
      <c r="C65" s="54">
        <v>23</v>
      </c>
      <c r="F65" s="52">
        <f t="shared" si="2"/>
        <v>2.3896797998449792</v>
      </c>
      <c r="G65" s="53">
        <f t="shared" si="3"/>
        <v>9.2974350788271156</v>
      </c>
      <c r="H65" s="46">
        <f t="shared" si="4"/>
        <v>3.3766672294445383E-3</v>
      </c>
      <c r="I65" s="43"/>
      <c r="J65" s="43">
        <f t="shared" si="0"/>
        <v>21.106992239993986</v>
      </c>
      <c r="K65" s="43">
        <f t="shared" si="5"/>
        <v>8.2304685217652801E-2</v>
      </c>
      <c r="L65" s="43">
        <f t="shared" si="6"/>
        <v>1.8930077600060145</v>
      </c>
      <c r="M65" s="43"/>
    </row>
    <row r="66" spans="1:13" x14ac:dyDescent="0.3">
      <c r="A66" s="52">
        <v>10.45</v>
      </c>
      <c r="B66" s="51">
        <f t="shared" si="1"/>
        <v>10450</v>
      </c>
      <c r="C66" s="54">
        <v>24</v>
      </c>
      <c r="F66" s="52">
        <f t="shared" si="2"/>
        <v>2.3466019784108201</v>
      </c>
      <c r="G66" s="53">
        <f t="shared" si="3"/>
        <v>9.2543572573929573</v>
      </c>
      <c r="H66" s="46">
        <f t="shared" si="4"/>
        <v>3.3653037186606094E-3</v>
      </c>
      <c r="I66" s="43"/>
      <c r="J66" s="43">
        <f t="shared" ref="J66:J129" si="7">(1/(O$3+LN(A66)*N$3))-273.15</f>
        <v>22.057156495392917</v>
      </c>
      <c r="K66" s="43">
        <f t="shared" si="5"/>
        <v>8.0951812691961791E-2</v>
      </c>
      <c r="L66" s="43">
        <f t="shared" si="6"/>
        <v>1.9428435046070831</v>
      </c>
      <c r="M66" s="43"/>
    </row>
    <row r="67" spans="1:13" x14ac:dyDescent="0.3">
      <c r="A67" s="52">
        <v>10</v>
      </c>
      <c r="B67" s="51">
        <f t="shared" ref="B67:B130" si="8">A67*1000</f>
        <v>10000</v>
      </c>
      <c r="C67" s="54">
        <v>25</v>
      </c>
      <c r="F67" s="52">
        <f t="shared" ref="F67:F130" si="9">LN(A67)</f>
        <v>2.3025850929940459</v>
      </c>
      <c r="G67" s="53">
        <f t="shared" ref="G67:G130" si="10">LN(B67)</f>
        <v>9.2103403719761836</v>
      </c>
      <c r="H67" s="46">
        <f t="shared" ref="H67:H130" si="11">1/(C67+273.15)</f>
        <v>3.3540164346805303E-3</v>
      </c>
      <c r="I67" s="43"/>
      <c r="J67" s="43">
        <f t="shared" si="7"/>
        <v>23.034392916629201</v>
      </c>
      <c r="K67" s="43">
        <f t="shared" ref="K67:K130" si="12">ABS(J67-C67)/ABS(C67)</f>
        <v>7.8624283334831943E-2</v>
      </c>
      <c r="L67" s="43">
        <f t="shared" ref="L67:L130" si="13">ABS(J67-C67)</f>
        <v>1.9656070833707986</v>
      </c>
      <c r="M67" s="43"/>
    </row>
    <row r="68" spans="1:13" x14ac:dyDescent="0.3">
      <c r="A68" s="52">
        <v>9.5749999999999993</v>
      </c>
      <c r="B68" s="51">
        <f t="shared" si="8"/>
        <v>9575</v>
      </c>
      <c r="C68" s="54">
        <v>26</v>
      </c>
      <c r="F68" s="52">
        <f t="shared" si="9"/>
        <v>2.2591555350667094</v>
      </c>
      <c r="G68" s="53">
        <f t="shared" si="10"/>
        <v>9.1669108140488476</v>
      </c>
      <c r="H68" s="46">
        <f t="shared" si="11"/>
        <v>3.3428046130703662E-3</v>
      </c>
      <c r="I68" s="43"/>
      <c r="J68" s="43">
        <f t="shared" si="7"/>
        <v>24.004951677443273</v>
      </c>
      <c r="K68" s="43">
        <f t="shared" si="12"/>
        <v>7.673262779064334E-2</v>
      </c>
      <c r="L68" s="43">
        <f t="shared" si="13"/>
        <v>1.9950483225567268</v>
      </c>
      <c r="M68" s="43"/>
    </row>
    <row r="69" spans="1:13" x14ac:dyDescent="0.3">
      <c r="A69" s="52">
        <v>9.17</v>
      </c>
      <c r="B69" s="51">
        <f t="shared" si="8"/>
        <v>9170</v>
      </c>
      <c r="C69" s="54">
        <v>27</v>
      </c>
      <c r="F69" s="52">
        <f t="shared" si="9"/>
        <v>2.2159372862683733</v>
      </c>
      <c r="G69" s="53">
        <f t="shared" si="10"/>
        <v>9.1236925652505114</v>
      </c>
      <c r="H69" s="46">
        <f t="shared" si="11"/>
        <v>3.331667499583542E-3</v>
      </c>
      <c r="I69" s="43"/>
      <c r="J69" s="43">
        <f t="shared" si="7"/>
        <v>24.977123232928193</v>
      </c>
      <c r="K69" s="43">
        <f t="shared" si="12"/>
        <v>7.4921361743400264E-2</v>
      </c>
      <c r="L69" s="43">
        <f t="shared" si="13"/>
        <v>2.0228767670718071</v>
      </c>
      <c r="M69" s="43"/>
    </row>
    <row r="70" spans="1:13" x14ac:dyDescent="0.3">
      <c r="A70" s="52">
        <v>8.7840000000000007</v>
      </c>
      <c r="B70" s="51">
        <f t="shared" si="8"/>
        <v>8784</v>
      </c>
      <c r="C70" s="54">
        <v>28</v>
      </c>
      <c r="F70" s="52">
        <f t="shared" si="9"/>
        <v>2.1729318847671748</v>
      </c>
      <c r="G70" s="53">
        <f t="shared" si="10"/>
        <v>9.0806871637493121</v>
      </c>
      <c r="H70" s="46">
        <f t="shared" si="11"/>
        <v>3.3206043499916988E-3</v>
      </c>
      <c r="I70" s="43"/>
      <c r="J70" s="43">
        <f t="shared" si="7"/>
        <v>25.950841718521133</v>
      </c>
      <c r="K70" s="43">
        <f t="shared" si="12"/>
        <v>7.3184224338530973E-2</v>
      </c>
      <c r="L70" s="43">
        <f t="shared" si="13"/>
        <v>2.0491582814788671</v>
      </c>
      <c r="M70" s="43"/>
    </row>
    <row r="71" spans="1:13" x14ac:dyDescent="0.3">
      <c r="A71" s="52">
        <v>8.4160000000000004</v>
      </c>
      <c r="B71" s="51">
        <f t="shared" si="8"/>
        <v>8416</v>
      </c>
      <c r="C71" s="54">
        <v>29</v>
      </c>
      <c r="F71" s="52">
        <f t="shared" si="9"/>
        <v>2.130134655995354</v>
      </c>
      <c r="G71" s="53">
        <f t="shared" si="10"/>
        <v>9.0378899349774908</v>
      </c>
      <c r="H71" s="46">
        <f t="shared" si="11"/>
        <v>3.3096144299189145E-3</v>
      </c>
      <c r="I71" s="43"/>
      <c r="J71" s="43">
        <f t="shared" si="7"/>
        <v>26.926181846225973</v>
      </c>
      <c r="K71" s="43">
        <f t="shared" si="12"/>
        <v>7.1510970819794045E-2</v>
      </c>
      <c r="L71" s="43">
        <f t="shared" si="13"/>
        <v>2.0738181537740275</v>
      </c>
      <c r="M71" s="43"/>
    </row>
    <row r="72" spans="1:13" x14ac:dyDescent="0.3">
      <c r="A72" s="52">
        <v>8.0640000000000001</v>
      </c>
      <c r="B72" s="51">
        <f t="shared" si="8"/>
        <v>8064</v>
      </c>
      <c r="C72" s="54">
        <v>30</v>
      </c>
      <c r="F72" s="52">
        <f t="shared" si="9"/>
        <v>2.0874097113290127</v>
      </c>
      <c r="G72" s="53">
        <f t="shared" si="10"/>
        <v>8.9951649903111495</v>
      </c>
      <c r="H72" s="46">
        <f t="shared" si="11"/>
        <v>3.298697014679202E-3</v>
      </c>
      <c r="I72" s="43"/>
      <c r="J72" s="43">
        <f t="shared" si="7"/>
        <v>27.90624023762274</v>
      </c>
      <c r="K72" s="43">
        <f t="shared" si="12"/>
        <v>6.9791992079242013E-2</v>
      </c>
      <c r="L72" s="43">
        <f t="shared" si="13"/>
        <v>2.0937597623772604</v>
      </c>
      <c r="M72" s="43"/>
    </row>
    <row r="73" spans="1:13" x14ac:dyDescent="0.3">
      <c r="A73" s="52">
        <v>7.73</v>
      </c>
      <c r="B73" s="51">
        <f t="shared" si="8"/>
        <v>7730</v>
      </c>
      <c r="C73" s="54">
        <v>31</v>
      </c>
      <c r="F73" s="52">
        <f t="shared" si="9"/>
        <v>2.0451088625993306</v>
      </c>
      <c r="G73" s="53">
        <f t="shared" si="10"/>
        <v>8.9528641415814683</v>
      </c>
      <c r="H73" s="46">
        <f t="shared" si="11"/>
        <v>3.287851389117212E-3</v>
      </c>
      <c r="I73" s="43"/>
      <c r="J73" s="43">
        <f t="shared" si="7"/>
        <v>28.882897643803858</v>
      </c>
      <c r="K73" s="43">
        <f t="shared" si="12"/>
        <v>6.829362439342393E-2</v>
      </c>
      <c r="L73" s="43">
        <f t="shared" si="13"/>
        <v>2.117102356196142</v>
      </c>
      <c r="M73" s="43"/>
    </row>
    <row r="74" spans="1:13" x14ac:dyDescent="0.3">
      <c r="A74" s="52">
        <v>7.41</v>
      </c>
      <c r="B74" s="51">
        <f t="shared" si="8"/>
        <v>7410</v>
      </c>
      <c r="C74" s="51">
        <v>32</v>
      </c>
      <c r="F74" s="52">
        <f t="shared" si="9"/>
        <v>2.0028304393079956</v>
      </c>
      <c r="G74" s="53">
        <f t="shared" si="10"/>
        <v>8.9105857182901325</v>
      </c>
      <c r="H74" s="46">
        <f t="shared" si="11"/>
        <v>3.2770768474520728E-3</v>
      </c>
      <c r="I74" s="43"/>
      <c r="J74" s="43">
        <f t="shared" si="7"/>
        <v>29.865389595894897</v>
      </c>
      <c r="K74" s="43">
        <f t="shared" si="12"/>
        <v>6.6706575128284484E-2</v>
      </c>
      <c r="L74" s="43">
        <f t="shared" si="13"/>
        <v>2.1346104041051035</v>
      </c>
      <c r="M74" s="43"/>
    </row>
    <row r="75" spans="1:13" x14ac:dyDescent="0.3">
      <c r="A75" s="52">
        <v>7.1059999999999999</v>
      </c>
      <c r="B75" s="51">
        <f t="shared" si="8"/>
        <v>7106</v>
      </c>
      <c r="C75" s="51">
        <v>33</v>
      </c>
      <c r="F75" s="52">
        <f t="shared" si="9"/>
        <v>1.9609394975988352</v>
      </c>
      <c r="G75" s="53">
        <f t="shared" si="10"/>
        <v>8.8686947765809716</v>
      </c>
      <c r="H75" s="46">
        <f t="shared" si="11"/>
        <v>3.2663726931242859E-3</v>
      </c>
      <c r="I75" s="43"/>
      <c r="J75" s="43">
        <f t="shared" si="7"/>
        <v>30.845201749180546</v>
      </c>
      <c r="K75" s="43">
        <f t="shared" si="12"/>
        <v>6.5296916691498591E-2</v>
      </c>
      <c r="L75" s="43">
        <f t="shared" si="13"/>
        <v>2.1547982508194536</v>
      </c>
      <c r="M75" s="43"/>
    </row>
    <row r="76" spans="1:13" x14ac:dyDescent="0.3">
      <c r="A76" s="52">
        <v>6.8150000000000004</v>
      </c>
      <c r="B76" s="51">
        <f t="shared" si="8"/>
        <v>6815</v>
      </c>
      <c r="C76" s="51">
        <v>34</v>
      </c>
      <c r="F76" s="52">
        <f t="shared" si="9"/>
        <v>1.919126065148496</v>
      </c>
      <c r="G76" s="53">
        <f t="shared" si="10"/>
        <v>8.8268813441306335</v>
      </c>
      <c r="H76" s="46">
        <f t="shared" si="11"/>
        <v>3.255738238645613E-3</v>
      </c>
      <c r="I76" s="43"/>
      <c r="J76" s="43">
        <f t="shared" si="7"/>
        <v>31.829540399695475</v>
      </c>
      <c r="K76" s="43">
        <f t="shared" si="12"/>
        <v>6.383704706778015E-2</v>
      </c>
      <c r="L76" s="43">
        <f t="shared" si="13"/>
        <v>2.1704596003045253</v>
      </c>
      <c r="M76" s="43"/>
    </row>
    <row r="77" spans="1:13" x14ac:dyDescent="0.3">
      <c r="A77" s="52">
        <v>6.5380000000000003</v>
      </c>
      <c r="B77" s="51">
        <f t="shared" si="8"/>
        <v>6538</v>
      </c>
      <c r="C77" s="51">
        <v>35</v>
      </c>
      <c r="F77" s="52">
        <f t="shared" si="9"/>
        <v>1.8776313083020189</v>
      </c>
      <c r="G77" s="53">
        <f t="shared" si="10"/>
        <v>8.7853865872841563</v>
      </c>
      <c r="H77" s="46">
        <f t="shared" si="11"/>
        <v>3.2451728054518907E-3</v>
      </c>
      <c r="I77" s="43"/>
      <c r="J77" s="43">
        <f t="shared" si="7"/>
        <v>32.812699259087651</v>
      </c>
      <c r="K77" s="43">
        <f t="shared" si="12"/>
        <v>6.249430688320997E-2</v>
      </c>
      <c r="L77" s="43">
        <f t="shared" si="13"/>
        <v>2.1873007409123488</v>
      </c>
      <c r="M77" s="43"/>
    </row>
    <row r="78" spans="1:13" x14ac:dyDescent="0.3">
      <c r="A78" s="52">
        <v>6.2729999999999997</v>
      </c>
      <c r="B78" s="51">
        <f t="shared" si="8"/>
        <v>6273</v>
      </c>
      <c r="C78" s="51">
        <v>36</v>
      </c>
      <c r="F78" s="52">
        <f t="shared" si="9"/>
        <v>1.8362547091146062</v>
      </c>
      <c r="G78" s="53">
        <f t="shared" si="10"/>
        <v>8.7440099880967441</v>
      </c>
      <c r="H78" s="46">
        <f t="shared" si="11"/>
        <v>3.2346757237586934E-3</v>
      </c>
      <c r="I78" s="43"/>
      <c r="J78" s="43">
        <f t="shared" si="7"/>
        <v>33.799390641978789</v>
      </c>
      <c r="K78" s="43">
        <f t="shared" si="12"/>
        <v>6.1128037722811418E-2</v>
      </c>
      <c r="L78" s="43">
        <f t="shared" si="13"/>
        <v>2.2006093580212109</v>
      </c>
      <c r="M78" s="43"/>
    </row>
    <row r="79" spans="1:13" x14ac:dyDescent="0.3">
      <c r="A79" s="52">
        <v>6.02</v>
      </c>
      <c r="B79" s="51">
        <f t="shared" si="8"/>
        <v>6020</v>
      </c>
      <c r="C79" s="51">
        <v>37</v>
      </c>
      <c r="F79" s="52">
        <f t="shared" si="9"/>
        <v>1.7950872593207297</v>
      </c>
      <c r="G79" s="53">
        <f t="shared" si="10"/>
        <v>8.7028425383028676</v>
      </c>
      <c r="H79" s="46">
        <f t="shared" si="11"/>
        <v>3.224246332419797E-3</v>
      </c>
      <c r="I79" s="43"/>
      <c r="J79" s="43">
        <f t="shared" si="7"/>
        <v>34.787430593157069</v>
      </c>
      <c r="K79" s="43">
        <f t="shared" si="12"/>
        <v>5.9799173157917059E-2</v>
      </c>
      <c r="L79" s="43">
        <f t="shared" si="13"/>
        <v>2.2125694068429311</v>
      </c>
      <c r="M79" s="43"/>
    </row>
    <row r="80" spans="1:13" x14ac:dyDescent="0.3">
      <c r="A80" s="52">
        <v>5.7779999999999996</v>
      </c>
      <c r="B80" s="51">
        <f t="shared" si="8"/>
        <v>5778</v>
      </c>
      <c r="C80" s="51">
        <v>38</v>
      </c>
      <c r="F80" s="52">
        <f t="shared" si="9"/>
        <v>1.7540576020440435</v>
      </c>
      <c r="G80" s="53">
        <f t="shared" si="10"/>
        <v>8.6618128810261812</v>
      </c>
      <c r="H80" s="46">
        <f t="shared" si="11"/>
        <v>3.2138839787883662E-3</v>
      </c>
      <c r="I80" s="43"/>
      <c r="J80" s="43">
        <f t="shared" si="7"/>
        <v>35.778512729613396</v>
      </c>
      <c r="K80" s="43">
        <f t="shared" si="12"/>
        <v>5.8460191325963251E-2</v>
      </c>
      <c r="L80" s="43">
        <f t="shared" si="13"/>
        <v>2.2214872703866035</v>
      </c>
      <c r="M80" s="43"/>
    </row>
    <row r="81" spans="1:13" x14ac:dyDescent="0.3">
      <c r="A81" s="52">
        <v>5.548</v>
      </c>
      <c r="B81" s="51">
        <f t="shared" si="8"/>
        <v>5548</v>
      </c>
      <c r="C81" s="51">
        <v>39</v>
      </c>
      <c r="F81" s="52">
        <f t="shared" si="9"/>
        <v>1.7134375024525852</v>
      </c>
      <c r="G81" s="53">
        <f t="shared" si="10"/>
        <v>8.621192781434722</v>
      </c>
      <c r="H81" s="46">
        <f t="shared" si="11"/>
        <v>3.2035880185808108E-3</v>
      </c>
      <c r="I81" s="43"/>
      <c r="J81" s="43">
        <f t="shared" si="7"/>
        <v>36.766006280665181</v>
      </c>
      <c r="K81" s="43">
        <f t="shared" si="12"/>
        <v>5.7281890239354337E-2</v>
      </c>
      <c r="L81" s="43">
        <f t="shared" si="13"/>
        <v>2.2339937193348192</v>
      </c>
      <c r="M81" s="43"/>
    </row>
    <row r="82" spans="1:13" x14ac:dyDescent="0.3">
      <c r="A82" s="55">
        <v>5.327</v>
      </c>
      <c r="B82" s="51">
        <f t="shared" si="8"/>
        <v>5327</v>
      </c>
      <c r="C82" s="51">
        <v>40</v>
      </c>
      <c r="F82" s="52">
        <f t="shared" si="9"/>
        <v>1.672788227934862</v>
      </c>
      <c r="G82" s="53">
        <f t="shared" si="10"/>
        <v>8.5805435069169995</v>
      </c>
      <c r="H82" s="46">
        <f t="shared" si="11"/>
        <v>3.1933578157432542E-3</v>
      </c>
      <c r="I82" s="43"/>
      <c r="J82" s="43">
        <f t="shared" si="7"/>
        <v>37.760549240794603</v>
      </c>
      <c r="K82" s="43">
        <f t="shared" si="12"/>
        <v>5.5986268980134923E-2</v>
      </c>
      <c r="L82" s="43">
        <f t="shared" si="13"/>
        <v>2.2394507592053969</v>
      </c>
      <c r="M82" s="43"/>
    </row>
    <row r="83" spans="1:13" x14ac:dyDescent="0.3">
      <c r="A83" s="55">
        <v>5.117</v>
      </c>
      <c r="B83" s="51">
        <f t="shared" si="8"/>
        <v>5117</v>
      </c>
      <c r="C83" s="54">
        <v>41</v>
      </c>
      <c r="F83" s="52">
        <f t="shared" si="9"/>
        <v>1.6325683298229547</v>
      </c>
      <c r="G83" s="53">
        <f t="shared" si="10"/>
        <v>8.5403236088050924</v>
      </c>
      <c r="H83" s="46">
        <f t="shared" si="11"/>
        <v>3.1831927423205475E-3</v>
      </c>
      <c r="I83" s="43"/>
      <c r="J83" s="43">
        <f t="shared" si="7"/>
        <v>38.750889241008622</v>
      </c>
      <c r="K83" s="43">
        <f t="shared" si="12"/>
        <v>5.485635997539947E-2</v>
      </c>
      <c r="L83" s="43">
        <f t="shared" si="13"/>
        <v>2.2491107589913781</v>
      </c>
      <c r="M83" s="43"/>
    </row>
    <row r="84" spans="1:13" x14ac:dyDescent="0.3">
      <c r="A84" s="51">
        <v>4.915</v>
      </c>
      <c r="B84" s="51">
        <f t="shared" si="8"/>
        <v>4915</v>
      </c>
      <c r="C84" s="54">
        <v>42</v>
      </c>
      <c r="F84" s="52">
        <f t="shared" si="9"/>
        <v>1.5922917535991299</v>
      </c>
      <c r="G84" s="53">
        <f t="shared" si="10"/>
        <v>8.5000470325812678</v>
      </c>
      <c r="H84" s="46">
        <f t="shared" si="11"/>
        <v>3.1730921783277807E-3</v>
      </c>
      <c r="I84" s="43"/>
      <c r="J84" s="43">
        <f t="shared" si="7"/>
        <v>39.748967446462473</v>
      </c>
      <c r="K84" s="43">
        <f t="shared" si="12"/>
        <v>5.3596013179464934E-2</v>
      </c>
      <c r="L84" s="43">
        <f t="shared" si="13"/>
        <v>2.2510325535375273</v>
      </c>
      <c r="M84" s="43"/>
    </row>
    <row r="85" spans="1:13" x14ac:dyDescent="0.3">
      <c r="A85" s="51">
        <v>4.7229999999999999</v>
      </c>
      <c r="B85" s="51">
        <f t="shared" si="8"/>
        <v>4723</v>
      </c>
      <c r="C85" s="54">
        <v>43</v>
      </c>
      <c r="F85" s="52">
        <f t="shared" si="9"/>
        <v>1.5524441909139801</v>
      </c>
      <c r="G85" s="53">
        <f t="shared" si="10"/>
        <v>8.4601994698961178</v>
      </c>
      <c r="H85" s="46">
        <f t="shared" si="11"/>
        <v>3.1630555116242292E-3</v>
      </c>
      <c r="I85" s="43"/>
      <c r="J85" s="43">
        <f t="shared" si="7"/>
        <v>40.742720371835389</v>
      </c>
      <c r="K85" s="43">
        <f t="shared" si="12"/>
        <v>5.2494875073595598E-2</v>
      </c>
      <c r="L85" s="43">
        <f t="shared" si="13"/>
        <v>2.2572796281646106</v>
      </c>
      <c r="M85" s="43"/>
    </row>
    <row r="86" spans="1:13" x14ac:dyDescent="0.3">
      <c r="A86" s="51">
        <v>4.5389999999999997</v>
      </c>
      <c r="B86" s="51">
        <f t="shared" si="8"/>
        <v>4539</v>
      </c>
      <c r="C86" s="54">
        <v>44</v>
      </c>
      <c r="F86" s="52">
        <f t="shared" si="9"/>
        <v>1.5127067234743286</v>
      </c>
      <c r="G86" s="53">
        <f t="shared" si="10"/>
        <v>8.4204620024564658</v>
      </c>
      <c r="H86" s="46">
        <f t="shared" si="11"/>
        <v>3.1530821377896896E-3</v>
      </c>
      <c r="I86" s="43"/>
      <c r="J86" s="43">
        <f t="shared" si="7"/>
        <v>41.740033711678393</v>
      </c>
      <c r="K86" s="43">
        <f t="shared" si="12"/>
        <v>5.1362870189127434E-2</v>
      </c>
      <c r="L86" s="43">
        <f t="shared" si="13"/>
        <v>2.259966288321607</v>
      </c>
      <c r="M86" s="43"/>
    </row>
    <row r="87" spans="1:13" x14ac:dyDescent="0.3">
      <c r="A87" s="51">
        <v>4.3630000000000004</v>
      </c>
      <c r="B87" s="51">
        <f t="shared" si="8"/>
        <v>4363</v>
      </c>
      <c r="C87" s="54">
        <v>45</v>
      </c>
      <c r="F87" s="52">
        <f t="shared" si="9"/>
        <v>1.4731598941414727</v>
      </c>
      <c r="G87" s="53">
        <f t="shared" si="10"/>
        <v>8.3809151731236096</v>
      </c>
      <c r="H87" s="46">
        <f t="shared" si="11"/>
        <v>3.1431714600031434E-3</v>
      </c>
      <c r="I87" s="43"/>
      <c r="J87" s="43">
        <f t="shared" si="7"/>
        <v>42.738874339731353</v>
      </c>
      <c r="K87" s="43">
        <f t="shared" si="12"/>
        <v>5.0247236894858813E-2</v>
      </c>
      <c r="L87" s="43">
        <f t="shared" si="13"/>
        <v>2.2611256602686467</v>
      </c>
      <c r="M87" s="43"/>
    </row>
    <row r="88" spans="1:13" x14ac:dyDescent="0.3">
      <c r="A88" s="51">
        <v>4.1950000000000003</v>
      </c>
      <c r="B88" s="51">
        <f t="shared" si="8"/>
        <v>4195</v>
      </c>
      <c r="C88" s="54">
        <v>46</v>
      </c>
      <c r="F88" s="52">
        <f t="shared" si="9"/>
        <v>1.4338933399191696</v>
      </c>
      <c r="G88" s="53">
        <f t="shared" si="10"/>
        <v>8.3416486189013064</v>
      </c>
      <c r="H88" s="46">
        <f t="shared" si="11"/>
        <v>3.1333228889237038E-3</v>
      </c>
      <c r="I88" s="43"/>
      <c r="J88" s="43">
        <f t="shared" si="7"/>
        <v>43.736925322753279</v>
      </c>
      <c r="K88" s="43">
        <f t="shared" si="12"/>
        <v>4.9197275592320011E-2</v>
      </c>
      <c r="L88" s="43">
        <f t="shared" si="13"/>
        <v>2.2630746772467205</v>
      </c>
      <c r="M88" s="43"/>
    </row>
    <row r="89" spans="1:13" x14ac:dyDescent="0.3">
      <c r="A89" s="51">
        <v>4.0339999999999998</v>
      </c>
      <c r="B89" s="51">
        <f t="shared" si="8"/>
        <v>4034</v>
      </c>
      <c r="C89" s="54">
        <v>47</v>
      </c>
      <c r="F89" s="52">
        <f t="shared" si="9"/>
        <v>1.3947584395320201</v>
      </c>
      <c r="G89" s="53">
        <f t="shared" si="10"/>
        <v>8.3025137185141578</v>
      </c>
      <c r="H89" s="46">
        <f t="shared" si="11"/>
        <v>3.1235358425737939E-3</v>
      </c>
      <c r="I89" s="43"/>
      <c r="J89" s="43">
        <f t="shared" si="7"/>
        <v>44.737924840903133</v>
      </c>
      <c r="K89" s="43">
        <f t="shared" si="12"/>
        <v>4.8129258704188653E-2</v>
      </c>
      <c r="L89" s="43">
        <f t="shared" si="13"/>
        <v>2.2620751590968666</v>
      </c>
      <c r="M89" s="43"/>
    </row>
    <row r="90" spans="1:13" x14ac:dyDescent="0.3">
      <c r="A90" s="51">
        <v>3.88</v>
      </c>
      <c r="B90" s="51">
        <f t="shared" si="8"/>
        <v>3880</v>
      </c>
      <c r="C90" s="54">
        <v>48</v>
      </c>
      <c r="F90" s="52">
        <f t="shared" si="9"/>
        <v>1.355835153635182</v>
      </c>
      <c r="G90" s="53">
        <f t="shared" si="10"/>
        <v>8.2635904326173186</v>
      </c>
      <c r="H90" s="46">
        <f t="shared" si="11"/>
        <v>3.1138097462245057E-3</v>
      </c>
      <c r="I90" s="43"/>
      <c r="J90" s="43">
        <f t="shared" si="7"/>
        <v>45.739804236585258</v>
      </c>
      <c r="K90" s="43">
        <f t="shared" si="12"/>
        <v>4.7087411737807137E-2</v>
      </c>
      <c r="L90" s="43">
        <f t="shared" si="13"/>
        <v>2.2601957634147425</v>
      </c>
      <c r="M90" s="43"/>
    </row>
    <row r="91" spans="1:13" x14ac:dyDescent="0.3">
      <c r="A91" s="51">
        <v>3.7330000000000001</v>
      </c>
      <c r="B91" s="51">
        <f t="shared" si="8"/>
        <v>3733</v>
      </c>
      <c r="C91" s="54">
        <v>49</v>
      </c>
      <c r="F91" s="52">
        <f t="shared" si="9"/>
        <v>1.3172121999324469</v>
      </c>
      <c r="G91" s="53">
        <f t="shared" si="10"/>
        <v>8.2249674789145839</v>
      </c>
      <c r="H91" s="46">
        <f t="shared" si="11"/>
        <v>3.1041440322830982E-3</v>
      </c>
      <c r="I91" s="43"/>
      <c r="J91" s="43">
        <f t="shared" si="7"/>
        <v>46.740215003057756</v>
      </c>
      <c r="K91" s="43">
        <f t="shared" si="12"/>
        <v>4.6118061162086617E-2</v>
      </c>
      <c r="L91" s="43">
        <f t="shared" si="13"/>
        <v>2.2597849969422441</v>
      </c>
      <c r="M91" s="43"/>
    </row>
    <row r="92" spans="1:13" x14ac:dyDescent="0.3">
      <c r="A92" s="51">
        <v>3.5920000000000001</v>
      </c>
      <c r="B92" s="51">
        <f t="shared" si="8"/>
        <v>3592</v>
      </c>
      <c r="C92" s="54">
        <v>50</v>
      </c>
      <c r="F92" s="52">
        <f t="shared" si="9"/>
        <v>1.2787091504399533</v>
      </c>
      <c r="G92" s="53">
        <f t="shared" si="10"/>
        <v>8.1864644294220899</v>
      </c>
      <c r="H92" s="46">
        <f t="shared" si="11"/>
        <v>3.0945381401825778E-3</v>
      </c>
      <c r="I92" s="43"/>
      <c r="J92" s="43">
        <f t="shared" si="7"/>
        <v>47.743787327227665</v>
      </c>
      <c r="K92" s="43">
        <f t="shared" si="12"/>
        <v>4.5124253455446704E-2</v>
      </c>
      <c r="L92" s="43">
        <f t="shared" si="13"/>
        <v>2.2562126727723353</v>
      </c>
      <c r="M92" s="43"/>
    </row>
    <row r="93" spans="1:13" x14ac:dyDescent="0.3">
      <c r="A93" s="54">
        <v>3.4569999999999999</v>
      </c>
      <c r="B93" s="51">
        <f t="shared" si="8"/>
        <v>3457</v>
      </c>
      <c r="C93" s="54">
        <v>51</v>
      </c>
      <c r="F93" s="52">
        <f t="shared" si="9"/>
        <v>1.2404011609394874</v>
      </c>
      <c r="G93" s="53">
        <f t="shared" si="10"/>
        <v>8.1481564399216246</v>
      </c>
      <c r="H93" s="46">
        <f t="shared" si="11"/>
        <v>3.0849915162733305E-3</v>
      </c>
      <c r="I93" s="43"/>
      <c r="J93" s="43">
        <f t="shared" si="7"/>
        <v>48.748544152378827</v>
      </c>
      <c r="K93" s="43">
        <f t="shared" si="12"/>
        <v>4.4146193090611241E-2</v>
      </c>
      <c r="L93" s="43">
        <f t="shared" si="13"/>
        <v>2.2514558476211732</v>
      </c>
      <c r="M93" s="43"/>
    </row>
    <row r="94" spans="1:13" x14ac:dyDescent="0.3">
      <c r="A94" s="54">
        <v>3.3279999999999998</v>
      </c>
      <c r="B94" s="51">
        <f t="shared" si="8"/>
        <v>3328</v>
      </c>
      <c r="C94" s="54">
        <v>52</v>
      </c>
      <c r="F94" s="52">
        <f t="shared" si="9"/>
        <v>1.2023715229589622</v>
      </c>
      <c r="G94" s="53">
        <f t="shared" si="10"/>
        <v>8.1101268019410995</v>
      </c>
      <c r="H94" s="46">
        <f t="shared" si="11"/>
        <v>3.0755036137167465E-3</v>
      </c>
      <c r="I94" s="43"/>
      <c r="J94" s="43">
        <f t="shared" si="7"/>
        <v>49.75224328683953</v>
      </c>
      <c r="K94" s="43">
        <f t="shared" si="12"/>
        <v>4.3226090637701345E-2</v>
      </c>
      <c r="L94" s="43">
        <f t="shared" si="13"/>
        <v>2.2477567131604701</v>
      </c>
      <c r="M94" s="43"/>
    </row>
    <row r="95" spans="1:13" x14ac:dyDescent="0.3">
      <c r="A95" s="54">
        <v>3.2040000000000002</v>
      </c>
      <c r="B95" s="51">
        <f t="shared" si="8"/>
        <v>3204</v>
      </c>
      <c r="C95" s="54">
        <v>53</v>
      </c>
      <c r="F95" s="52">
        <f t="shared" si="9"/>
        <v>1.1644000292061127</v>
      </c>
      <c r="G95" s="53">
        <f t="shared" si="10"/>
        <v>8.0721553081882504</v>
      </c>
      <c r="H95" s="46">
        <f t="shared" si="11"/>
        <v>3.0660738923808067E-3</v>
      </c>
      <c r="I95" s="43"/>
      <c r="J95" s="43">
        <f t="shared" si="7"/>
        <v>50.760672191457672</v>
      </c>
      <c r="K95" s="43">
        <f t="shared" si="12"/>
        <v>4.2251468085704291E-2</v>
      </c>
      <c r="L95" s="43">
        <f t="shared" si="13"/>
        <v>2.2393278085423276</v>
      </c>
      <c r="M95" s="43"/>
    </row>
    <row r="96" spans="1:13" x14ac:dyDescent="0.3">
      <c r="A96" s="54">
        <v>3.0859999999999999</v>
      </c>
      <c r="B96" s="51">
        <f t="shared" si="8"/>
        <v>3086</v>
      </c>
      <c r="C96" s="54">
        <v>54</v>
      </c>
      <c r="F96" s="52">
        <f t="shared" si="9"/>
        <v>1.1268757539409691</v>
      </c>
      <c r="G96" s="53">
        <f t="shared" si="10"/>
        <v>8.034631032923107</v>
      </c>
      <c r="H96" s="46">
        <f t="shared" si="11"/>
        <v>3.0567018187375823E-3</v>
      </c>
      <c r="I96" s="43"/>
      <c r="J96" s="43">
        <f t="shared" si="7"/>
        <v>51.763431075965684</v>
      </c>
      <c r="K96" s="43">
        <f t="shared" si="12"/>
        <v>4.1417943037672517E-2</v>
      </c>
      <c r="L96" s="43">
        <f t="shared" si="13"/>
        <v>2.2365689240343158</v>
      </c>
      <c r="M96" s="43"/>
    </row>
    <row r="97" spans="1:13" x14ac:dyDescent="0.3">
      <c r="A97" s="54">
        <v>2.972</v>
      </c>
      <c r="B97" s="51">
        <f t="shared" si="8"/>
        <v>2972</v>
      </c>
      <c r="C97" s="54">
        <v>55</v>
      </c>
      <c r="F97" s="52">
        <f t="shared" si="9"/>
        <v>1.0892351268555127</v>
      </c>
      <c r="G97" s="53">
        <f t="shared" si="10"/>
        <v>7.99699040583765</v>
      </c>
      <c r="H97" s="46">
        <f t="shared" si="11"/>
        <v>3.0473868657626088E-3</v>
      </c>
      <c r="I97" s="43"/>
      <c r="J97" s="43">
        <f t="shared" si="7"/>
        <v>52.775556218601082</v>
      </c>
      <c r="K97" s="43">
        <f t="shared" si="12"/>
        <v>4.0444432389071236E-2</v>
      </c>
      <c r="L97" s="43">
        <f t="shared" si="13"/>
        <v>2.224443781398918</v>
      </c>
      <c r="M97" s="43"/>
    </row>
    <row r="98" spans="1:13" x14ac:dyDescent="0.3">
      <c r="A98" s="54">
        <v>2.863</v>
      </c>
      <c r="B98" s="51">
        <f t="shared" si="8"/>
        <v>2863</v>
      </c>
      <c r="C98" s="54">
        <v>56</v>
      </c>
      <c r="F98" s="52">
        <f t="shared" si="9"/>
        <v>1.0518700261159779</v>
      </c>
      <c r="G98" s="53">
        <f t="shared" si="10"/>
        <v>7.9596253050981147</v>
      </c>
      <c r="H98" s="46">
        <f t="shared" si="11"/>
        <v>3.0381285128360932E-3</v>
      </c>
      <c r="I98" s="43"/>
      <c r="J98" s="43">
        <f t="shared" si="7"/>
        <v>53.786528628586268</v>
      </c>
      <c r="K98" s="43">
        <f t="shared" si="12"/>
        <v>3.952627448953093E-2</v>
      </c>
      <c r="L98" s="43">
        <f t="shared" si="13"/>
        <v>2.213471371413732</v>
      </c>
      <c r="M98" s="43"/>
    </row>
    <row r="99" spans="1:13" x14ac:dyDescent="0.3">
      <c r="A99" s="54">
        <v>2.7589999999999999</v>
      </c>
      <c r="B99" s="51">
        <f t="shared" si="8"/>
        <v>2759</v>
      </c>
      <c r="C99" s="54">
        <v>57</v>
      </c>
      <c r="F99" s="52">
        <f t="shared" si="9"/>
        <v>1.0148682952351491</v>
      </c>
      <c r="G99" s="53">
        <f t="shared" si="10"/>
        <v>7.9226235742172859</v>
      </c>
      <c r="H99" s="46">
        <f t="shared" si="11"/>
        <v>3.0289262456459189E-3</v>
      </c>
      <c r="I99" s="43"/>
      <c r="J99" s="43">
        <f t="shared" si="7"/>
        <v>54.79386911012665</v>
      </c>
      <c r="K99" s="43">
        <f t="shared" si="12"/>
        <v>3.8704050699532457E-2</v>
      </c>
      <c r="L99" s="43">
        <f t="shared" si="13"/>
        <v>2.20613088987335</v>
      </c>
      <c r="M99" s="43"/>
    </row>
    <row r="100" spans="1:13" x14ac:dyDescent="0.3">
      <c r="A100" s="54">
        <v>2.6589999999999998</v>
      </c>
      <c r="B100" s="51">
        <f t="shared" si="8"/>
        <v>2659</v>
      </c>
      <c r="C100" s="54">
        <v>58</v>
      </c>
      <c r="F100" s="52">
        <f t="shared" si="9"/>
        <v>0.97795011226088269</v>
      </c>
      <c r="G100" s="53">
        <f t="shared" si="10"/>
        <v>7.8857053912430199</v>
      </c>
      <c r="H100" s="46">
        <f t="shared" si="11"/>
        <v>3.0197795560924054E-3</v>
      </c>
      <c r="I100" s="43"/>
      <c r="J100" s="43">
        <f t="shared" si="7"/>
        <v>55.805140674212794</v>
      </c>
      <c r="K100" s="43">
        <f t="shared" si="12"/>
        <v>3.7842402168744932E-2</v>
      </c>
      <c r="L100" s="43">
        <f t="shared" si="13"/>
        <v>2.1948593257872062</v>
      </c>
      <c r="M100" s="43"/>
    </row>
    <row r="101" spans="1:13" x14ac:dyDescent="0.3">
      <c r="A101" s="54">
        <v>2.5640000000000001</v>
      </c>
      <c r="B101" s="51">
        <f t="shared" si="8"/>
        <v>2564</v>
      </c>
      <c r="C101" s="54">
        <v>59</v>
      </c>
      <c r="F101" s="52">
        <f t="shared" si="9"/>
        <v>0.94156853905842364</v>
      </c>
      <c r="G101" s="53">
        <f t="shared" si="10"/>
        <v>7.8493238180405607</v>
      </c>
      <c r="H101" s="46">
        <f t="shared" si="11"/>
        <v>3.0106879421947915E-3</v>
      </c>
      <c r="I101" s="43"/>
      <c r="J101" s="43">
        <f t="shared" si="7"/>
        <v>56.807833434952897</v>
      </c>
      <c r="K101" s="43">
        <f t="shared" si="12"/>
        <v>3.7155365509272925E-2</v>
      </c>
      <c r="L101" s="43">
        <f t="shared" si="13"/>
        <v>2.1921665650471027</v>
      </c>
      <c r="M101" s="43"/>
    </row>
    <row r="102" spans="1:13" x14ac:dyDescent="0.3">
      <c r="A102" s="51">
        <v>2.472</v>
      </c>
      <c r="B102" s="51">
        <f t="shared" si="8"/>
        <v>2472</v>
      </c>
      <c r="C102" s="54">
        <v>60</v>
      </c>
      <c r="F102" s="52">
        <f t="shared" si="9"/>
        <v>0.90502753959544435</v>
      </c>
      <c r="G102" s="53">
        <f t="shared" si="10"/>
        <v>7.8127828185775812</v>
      </c>
      <c r="H102" s="46">
        <f t="shared" si="11"/>
        <v>3.0016509079993999E-3</v>
      </c>
      <c r="I102" s="43"/>
      <c r="J102" s="43">
        <f t="shared" si="7"/>
        <v>57.821091832183356</v>
      </c>
      <c r="K102" s="43">
        <f t="shared" si="12"/>
        <v>3.6315136130277398E-2</v>
      </c>
      <c r="L102" s="43">
        <f t="shared" si="13"/>
        <v>2.178908167816644</v>
      </c>
      <c r="M102" s="43"/>
    </row>
    <row r="103" spans="1:13" x14ac:dyDescent="0.3">
      <c r="A103" s="54">
        <v>2.3839999999999999</v>
      </c>
      <c r="B103" s="51">
        <f t="shared" si="8"/>
        <v>2384</v>
      </c>
      <c r="C103" s="54">
        <v>61</v>
      </c>
      <c r="F103" s="52">
        <f t="shared" si="9"/>
        <v>0.8687797492031033</v>
      </c>
      <c r="G103" s="53">
        <f t="shared" si="10"/>
        <v>7.7765350281852408</v>
      </c>
      <c r="H103" s="46">
        <f t="shared" si="11"/>
        <v>2.9926679634894511E-3</v>
      </c>
      <c r="I103" s="43"/>
      <c r="J103" s="43">
        <f t="shared" si="7"/>
        <v>58.832386989114013</v>
      </c>
      <c r="K103" s="43">
        <f t="shared" si="12"/>
        <v>3.5534639522721088E-2</v>
      </c>
      <c r="L103" s="43">
        <f t="shared" si="13"/>
        <v>2.1676130108859866</v>
      </c>
      <c r="M103" s="43"/>
    </row>
    <row r="104" spans="1:13" x14ac:dyDescent="0.3">
      <c r="A104" s="54">
        <v>2.2989999999999999</v>
      </c>
      <c r="B104" s="51">
        <f t="shared" si="8"/>
        <v>2299</v>
      </c>
      <c r="C104" s="54">
        <v>62</v>
      </c>
      <c r="F104" s="52">
        <f t="shared" si="9"/>
        <v>0.83247424578104445</v>
      </c>
      <c r="G104" s="53">
        <f t="shared" si="10"/>
        <v>7.7402295247631816</v>
      </c>
      <c r="H104" s="46">
        <f t="shared" si="11"/>
        <v>2.9837386244964941E-3</v>
      </c>
      <c r="I104" s="43"/>
      <c r="J104" s="43">
        <f t="shared" si="7"/>
        <v>59.851506199272876</v>
      </c>
      <c r="K104" s="43">
        <f t="shared" si="12"/>
        <v>3.465312581817942E-2</v>
      </c>
      <c r="L104" s="43">
        <f t="shared" si="13"/>
        <v>2.1484938007271239</v>
      </c>
      <c r="M104" s="43"/>
    </row>
    <row r="105" spans="1:13" x14ac:dyDescent="0.3">
      <c r="A105" s="54">
        <v>2.218</v>
      </c>
      <c r="B105" s="51">
        <f t="shared" si="8"/>
        <v>2218</v>
      </c>
      <c r="C105" s="54">
        <v>63</v>
      </c>
      <c r="F105" s="52">
        <f t="shared" si="9"/>
        <v>0.7966058889281753</v>
      </c>
      <c r="G105" s="53">
        <f t="shared" si="10"/>
        <v>7.7043611679103128</v>
      </c>
      <c r="H105" s="46">
        <f t="shared" si="11"/>
        <v>2.974862412613417E-3</v>
      </c>
      <c r="I105" s="43"/>
      <c r="J105" s="43">
        <f t="shared" si="7"/>
        <v>60.864517538729331</v>
      </c>
      <c r="K105" s="43">
        <f t="shared" si="12"/>
        <v>3.389654700429634E-2</v>
      </c>
      <c r="L105" s="43">
        <f t="shared" si="13"/>
        <v>2.1354824612706693</v>
      </c>
      <c r="M105" s="43"/>
    </row>
    <row r="106" spans="1:13" x14ac:dyDescent="0.3">
      <c r="A106" s="54">
        <v>2.141</v>
      </c>
      <c r="B106" s="51">
        <f t="shared" si="8"/>
        <v>2141</v>
      </c>
      <c r="C106" s="54">
        <v>64</v>
      </c>
      <c r="F106" s="52">
        <f t="shared" si="9"/>
        <v>0.76127300960754574</v>
      </c>
      <c r="G106" s="53">
        <f t="shared" si="10"/>
        <v>7.6690282885896828</v>
      </c>
      <c r="H106" s="46">
        <f t="shared" si="11"/>
        <v>2.9660388551090021E-3</v>
      </c>
      <c r="I106" s="43"/>
      <c r="J106" s="43">
        <f t="shared" si="7"/>
        <v>61.868449733634293</v>
      </c>
      <c r="K106" s="43">
        <f t="shared" si="12"/>
        <v>3.3305472911964173E-2</v>
      </c>
      <c r="L106" s="43">
        <f t="shared" si="13"/>
        <v>2.1315502663657071</v>
      </c>
      <c r="M106" s="43"/>
    </row>
    <row r="107" spans="1:13" x14ac:dyDescent="0.3">
      <c r="A107" s="54">
        <v>2.0659999999999998</v>
      </c>
      <c r="B107" s="51">
        <f t="shared" si="8"/>
        <v>2066</v>
      </c>
      <c r="C107" s="54">
        <v>65</v>
      </c>
      <c r="F107" s="52">
        <f t="shared" si="9"/>
        <v>0.72561437069744672</v>
      </c>
      <c r="G107" s="53">
        <f t="shared" si="10"/>
        <v>7.633369649679584</v>
      </c>
      <c r="H107" s="46">
        <f t="shared" si="11"/>
        <v>2.9572674848440043E-3</v>
      </c>
      <c r="I107" s="43"/>
      <c r="J107" s="43">
        <f t="shared" si="7"/>
        <v>62.88777519215563</v>
      </c>
      <c r="K107" s="43">
        <f t="shared" si="12"/>
        <v>3.2495766274528777E-2</v>
      </c>
      <c r="L107" s="43">
        <f t="shared" si="13"/>
        <v>2.1122248078443704</v>
      </c>
      <c r="M107" s="43"/>
    </row>
    <row r="108" spans="1:13" x14ac:dyDescent="0.3">
      <c r="A108" s="54">
        <v>1.994</v>
      </c>
      <c r="B108" s="51">
        <f t="shared" si="8"/>
        <v>1994</v>
      </c>
      <c r="C108" s="54">
        <v>66</v>
      </c>
      <c r="F108" s="52">
        <f t="shared" si="9"/>
        <v>0.69014267153964659</v>
      </c>
      <c r="G108" s="53">
        <f t="shared" si="10"/>
        <v>7.5978979505217836</v>
      </c>
      <c r="H108" s="46">
        <f t="shared" si="11"/>
        <v>2.9485478401887074E-3</v>
      </c>
      <c r="I108" s="43"/>
      <c r="J108" s="43">
        <f t="shared" si="7"/>
        <v>63.907929636004383</v>
      </c>
      <c r="K108" s="43">
        <f t="shared" si="12"/>
        <v>3.1698035818115415E-2</v>
      </c>
      <c r="L108" s="43">
        <f t="shared" si="13"/>
        <v>2.0920703639956173</v>
      </c>
      <c r="M108" s="43"/>
    </row>
    <row r="109" spans="1:13" x14ac:dyDescent="0.3">
      <c r="A109" s="54">
        <v>1.9259999999999999</v>
      </c>
      <c r="B109" s="51">
        <f t="shared" si="8"/>
        <v>1926</v>
      </c>
      <c r="C109" s="54">
        <v>67</v>
      </c>
      <c r="F109" s="52">
        <f t="shared" si="9"/>
        <v>0.65544531337593381</v>
      </c>
      <c r="G109" s="53">
        <f t="shared" si="10"/>
        <v>7.5632005923580712</v>
      </c>
      <c r="H109" s="46">
        <f t="shared" si="11"/>
        <v>2.9398794649419377E-3</v>
      </c>
      <c r="I109" s="43"/>
      <c r="J109" s="43">
        <f t="shared" si="7"/>
        <v>64.911824825337021</v>
      </c>
      <c r="K109" s="43">
        <f t="shared" si="12"/>
        <v>3.1166793651686252E-2</v>
      </c>
      <c r="L109" s="43">
        <f t="shared" si="13"/>
        <v>2.0881751746629789</v>
      </c>
      <c r="M109" s="43"/>
    </row>
    <row r="110" spans="1:13" x14ac:dyDescent="0.3">
      <c r="A110" s="54">
        <v>1.86</v>
      </c>
      <c r="B110" s="51">
        <f t="shared" si="8"/>
        <v>1860</v>
      </c>
      <c r="C110" s="54">
        <v>68</v>
      </c>
      <c r="F110" s="52">
        <f t="shared" si="9"/>
        <v>0.62057648772510998</v>
      </c>
      <c r="G110" s="53">
        <f t="shared" si="10"/>
        <v>7.5283317667072467</v>
      </c>
      <c r="H110" s="46">
        <f t="shared" si="11"/>
        <v>2.9312619082515023E-3</v>
      </c>
      <c r="I110" s="43"/>
      <c r="J110" s="43">
        <f t="shared" si="7"/>
        <v>65.926723567244665</v>
      </c>
      <c r="K110" s="43">
        <f t="shared" si="12"/>
        <v>3.0489359305225523E-2</v>
      </c>
      <c r="L110" s="43">
        <f t="shared" si="13"/>
        <v>2.0732764327553355</v>
      </c>
      <c r="M110" s="43"/>
    </row>
    <row r="111" spans="1:13" x14ac:dyDescent="0.3">
      <c r="A111" s="54">
        <v>1.796</v>
      </c>
      <c r="B111" s="51">
        <f t="shared" si="8"/>
        <v>1796</v>
      </c>
      <c r="C111" s="54">
        <v>69</v>
      </c>
      <c r="F111" s="52">
        <f t="shared" si="9"/>
        <v>0.58556196988000786</v>
      </c>
      <c r="G111" s="53">
        <f t="shared" si="10"/>
        <v>7.4933172488621453</v>
      </c>
      <c r="H111" s="46">
        <f t="shared" si="11"/>
        <v>2.9226947245360223E-3</v>
      </c>
      <c r="I111" s="43"/>
      <c r="J111" s="43">
        <f t="shared" si="7"/>
        <v>66.952013315678869</v>
      </c>
      <c r="K111" s="43">
        <f t="shared" si="12"/>
        <v>2.9680966439436685E-2</v>
      </c>
      <c r="L111" s="43">
        <f t="shared" si="13"/>
        <v>2.0479866843211312</v>
      </c>
      <c r="M111" s="43"/>
    </row>
    <row r="112" spans="1:13" x14ac:dyDescent="0.3">
      <c r="A112" s="54">
        <v>1.7350000000000001</v>
      </c>
      <c r="B112" s="51">
        <f t="shared" si="8"/>
        <v>1735</v>
      </c>
      <c r="C112" s="54">
        <v>70</v>
      </c>
      <c r="F112" s="52">
        <f t="shared" si="9"/>
        <v>0.55100741339882253</v>
      </c>
      <c r="G112" s="53">
        <f t="shared" si="10"/>
        <v>7.4587626923809598</v>
      </c>
      <c r="H112" s="46">
        <f t="shared" si="11"/>
        <v>2.9141774734081308E-3</v>
      </c>
      <c r="I112" s="43"/>
      <c r="J112" s="43">
        <f t="shared" si="7"/>
        <v>67.969931576749445</v>
      </c>
      <c r="K112" s="43">
        <f t="shared" si="12"/>
        <v>2.9000977475007923E-2</v>
      </c>
      <c r="L112" s="43">
        <f t="shared" si="13"/>
        <v>2.0300684232505546</v>
      </c>
      <c r="M112" s="43"/>
    </row>
    <row r="113" spans="1:13" x14ac:dyDescent="0.3">
      <c r="A113" s="54">
        <v>1.677</v>
      </c>
      <c r="B113" s="51">
        <f t="shared" si="8"/>
        <v>1677</v>
      </c>
      <c r="C113" s="54">
        <v>71</v>
      </c>
      <c r="F113" s="52">
        <f t="shared" si="9"/>
        <v>0.51700648284107187</v>
      </c>
      <c r="G113" s="53">
        <f t="shared" si="10"/>
        <v>7.4247617618232091</v>
      </c>
      <c r="H113" s="46">
        <f t="shared" si="11"/>
        <v>2.9057097195990121E-3</v>
      </c>
      <c r="I113" s="43"/>
      <c r="J113" s="43">
        <f t="shared" si="7"/>
        <v>68.977506092538249</v>
      </c>
      <c r="K113" s="43">
        <f t="shared" si="12"/>
        <v>2.8485829682559874E-2</v>
      </c>
      <c r="L113" s="43">
        <f t="shared" si="13"/>
        <v>2.022493907461751</v>
      </c>
      <c r="M113" s="43"/>
    </row>
    <row r="114" spans="1:13" x14ac:dyDescent="0.3">
      <c r="A114" s="54">
        <v>1.621</v>
      </c>
      <c r="B114" s="51">
        <f t="shared" si="8"/>
        <v>1621</v>
      </c>
      <c r="C114" s="54">
        <v>72</v>
      </c>
      <c r="F114" s="52">
        <f t="shared" si="9"/>
        <v>0.48304324275353905</v>
      </c>
      <c r="G114" s="53">
        <f t="shared" si="10"/>
        <v>7.3907985217356762</v>
      </c>
      <c r="H114" s="46">
        <f t="shared" si="11"/>
        <v>2.8972910328842532E-3</v>
      </c>
      <c r="I114" s="43"/>
      <c r="J114" s="43">
        <f t="shared" si="7"/>
        <v>69.989923586202565</v>
      </c>
      <c r="K114" s="43">
        <f t="shared" si="12"/>
        <v>2.791772796940882E-2</v>
      </c>
      <c r="L114" s="43">
        <f t="shared" si="13"/>
        <v>2.0100764137974352</v>
      </c>
      <c r="M114" s="43"/>
    </row>
    <row r="115" spans="1:13" x14ac:dyDescent="0.3">
      <c r="A115" s="51">
        <v>1.5669999999999999</v>
      </c>
      <c r="B115" s="51">
        <f t="shared" si="8"/>
        <v>1567</v>
      </c>
      <c r="C115" s="54">
        <v>73</v>
      </c>
      <c r="F115" s="52">
        <f t="shared" si="9"/>
        <v>0.44916296337388373</v>
      </c>
      <c r="G115" s="53">
        <f t="shared" si="10"/>
        <v>7.3569182423560209</v>
      </c>
      <c r="H115" s="46">
        <f t="shared" si="11"/>
        <v>2.8889209880109783E-3</v>
      </c>
      <c r="I115" s="43"/>
      <c r="J115" s="43">
        <f t="shared" si="7"/>
        <v>71.005855680097966</v>
      </c>
      <c r="K115" s="43">
        <f t="shared" si="12"/>
        <v>2.7317045478110057E-2</v>
      </c>
      <c r="L115" s="43">
        <f t="shared" si="13"/>
        <v>1.9941443199020341</v>
      </c>
      <c r="M115" s="43"/>
    </row>
    <row r="116" spans="1:13" x14ac:dyDescent="0.3">
      <c r="A116" s="51">
        <v>1.5149999999999999</v>
      </c>
      <c r="B116" s="51">
        <f t="shared" si="8"/>
        <v>1515</v>
      </c>
      <c r="C116" s="54">
        <v>74</v>
      </c>
      <c r="F116" s="52">
        <f t="shared" si="9"/>
        <v>0.41541543896133237</v>
      </c>
      <c r="G116" s="53">
        <f t="shared" si="10"/>
        <v>7.3231707179434693</v>
      </c>
      <c r="H116" s="46">
        <f t="shared" si="11"/>
        <v>2.8805991646262425E-3</v>
      </c>
      <c r="I116" s="43"/>
      <c r="J116" s="43">
        <f t="shared" si="7"/>
        <v>72.023805095569799</v>
      </c>
      <c r="K116" s="43">
        <f t="shared" si="12"/>
        <v>2.6705336546354073E-2</v>
      </c>
      <c r="L116" s="43">
        <f t="shared" si="13"/>
        <v>1.9761949044302014</v>
      </c>
      <c r="M116" s="43"/>
    </row>
    <row r="117" spans="1:13" x14ac:dyDescent="0.3">
      <c r="A117" s="51">
        <v>1.4650000000000001</v>
      </c>
      <c r="B117" s="51">
        <f t="shared" si="8"/>
        <v>1465</v>
      </c>
      <c r="C117" s="54">
        <v>75</v>
      </c>
      <c r="F117" s="52">
        <f t="shared" si="9"/>
        <v>0.38185524246903069</v>
      </c>
      <c r="G117" s="53">
        <f t="shared" si="10"/>
        <v>7.2896105214511673</v>
      </c>
      <c r="H117" s="46">
        <f t="shared" si="11"/>
        <v>2.8723251472066642E-3</v>
      </c>
      <c r="I117" s="43"/>
      <c r="J117" s="43">
        <f t="shared" si="7"/>
        <v>73.042093395225208</v>
      </c>
      <c r="K117" s="43">
        <f t="shared" si="12"/>
        <v>2.610542139699722E-2</v>
      </c>
      <c r="L117" s="43">
        <f t="shared" si="13"/>
        <v>1.9579066047747915</v>
      </c>
      <c r="M117" s="43"/>
    </row>
    <row r="118" spans="1:13" x14ac:dyDescent="0.3">
      <c r="A118" s="51">
        <v>1.417</v>
      </c>
      <c r="B118" s="51">
        <f t="shared" si="8"/>
        <v>1417</v>
      </c>
      <c r="C118" s="54">
        <v>76</v>
      </c>
      <c r="F118" s="52">
        <f t="shared" si="9"/>
        <v>0.34854196070854343</v>
      </c>
      <c r="G118" s="53">
        <f t="shared" si="10"/>
        <v>7.2562972396906806</v>
      </c>
      <c r="H118" s="46">
        <f t="shared" si="11"/>
        <v>2.8640985249892598E-3</v>
      </c>
      <c r="I118" s="43"/>
      <c r="J118" s="43">
        <f t="shared" si="7"/>
        <v>74.058849133146282</v>
      </c>
      <c r="K118" s="43">
        <f t="shared" si="12"/>
        <v>2.5541458774391027E-2</v>
      </c>
      <c r="L118" s="43">
        <f t="shared" si="13"/>
        <v>1.9411508668537181</v>
      </c>
      <c r="M118" s="43"/>
    </row>
    <row r="119" spans="1:13" x14ac:dyDescent="0.3">
      <c r="A119" s="51">
        <v>1.371</v>
      </c>
      <c r="B119" s="51">
        <f t="shared" si="8"/>
        <v>1371</v>
      </c>
      <c r="C119" s="54">
        <v>77</v>
      </c>
      <c r="F119" s="52">
        <f t="shared" si="9"/>
        <v>0.31554040058017735</v>
      </c>
      <c r="G119" s="53">
        <f t="shared" si="10"/>
        <v>7.2232956795623142</v>
      </c>
      <c r="H119" s="46">
        <f t="shared" si="11"/>
        <v>2.8559188919034702E-3</v>
      </c>
      <c r="I119" s="43"/>
      <c r="J119" s="43">
        <f t="shared" si="7"/>
        <v>75.071996784309817</v>
      </c>
      <c r="K119" s="43">
        <f t="shared" si="12"/>
        <v>2.50390028011712E-2</v>
      </c>
      <c r="L119" s="43">
        <f t="shared" si="13"/>
        <v>1.9280032156901825</v>
      </c>
      <c r="M119" s="43"/>
    </row>
    <row r="120" spans="1:13" x14ac:dyDescent="0.3">
      <c r="A120" s="51">
        <v>1.3260000000000001</v>
      </c>
      <c r="B120" s="51">
        <f t="shared" si="8"/>
        <v>1326</v>
      </c>
      <c r="C120" s="54">
        <v>78</v>
      </c>
      <c r="F120" s="52">
        <f t="shared" si="9"/>
        <v>0.28216689176367082</v>
      </c>
      <c r="G120" s="53">
        <f t="shared" si="10"/>
        <v>7.1899221707458079</v>
      </c>
      <c r="H120" s="46">
        <f t="shared" si="11"/>
        <v>2.847785846504343E-3</v>
      </c>
      <c r="I120" s="43"/>
      <c r="J120" s="43">
        <f t="shared" si="7"/>
        <v>76.102594073043861</v>
      </c>
      <c r="K120" s="43">
        <f t="shared" si="12"/>
        <v>2.4325717012258198E-2</v>
      </c>
      <c r="L120" s="43">
        <f t="shared" si="13"/>
        <v>1.8974059269561394</v>
      </c>
      <c r="M120" s="43"/>
    </row>
    <row r="121" spans="1:13" x14ac:dyDescent="0.3">
      <c r="A121" s="51">
        <v>1.284</v>
      </c>
      <c r="B121" s="51">
        <f t="shared" si="8"/>
        <v>1284</v>
      </c>
      <c r="C121" s="54">
        <v>79</v>
      </c>
      <c r="F121" s="52">
        <f t="shared" si="9"/>
        <v>0.24998020526776946</v>
      </c>
      <c r="G121" s="53">
        <f t="shared" si="10"/>
        <v>7.1577354842499066</v>
      </c>
      <c r="H121" s="46">
        <f t="shared" si="11"/>
        <v>2.8396989919068582E-3</v>
      </c>
      <c r="I121" s="43"/>
      <c r="J121" s="43">
        <f t="shared" si="7"/>
        <v>77.10233675912383</v>
      </c>
      <c r="K121" s="43">
        <f t="shared" si="12"/>
        <v>2.4021053681976837E-2</v>
      </c>
      <c r="L121" s="43">
        <f t="shared" si="13"/>
        <v>1.8976632408761702</v>
      </c>
      <c r="M121" s="43"/>
    </row>
    <row r="122" spans="1:13" x14ac:dyDescent="0.3">
      <c r="A122" s="51">
        <v>1.2430000000000001</v>
      </c>
      <c r="B122" s="51">
        <f t="shared" si="8"/>
        <v>1243</v>
      </c>
      <c r="C122" s="54">
        <v>80</v>
      </c>
      <c r="F122" s="52">
        <f t="shared" si="9"/>
        <v>0.21752781252857414</v>
      </c>
      <c r="G122" s="53">
        <f t="shared" si="10"/>
        <v>7.1252830915107115</v>
      </c>
      <c r="H122" s="46">
        <f t="shared" si="11"/>
        <v>2.831657935721365E-3</v>
      </c>
      <c r="I122" s="43"/>
      <c r="J122" s="43">
        <f t="shared" si="7"/>
        <v>78.116143889730779</v>
      </c>
      <c r="K122" s="43">
        <f t="shared" si="12"/>
        <v>2.3548201378365264E-2</v>
      </c>
      <c r="L122" s="43">
        <f t="shared" si="13"/>
        <v>1.8838561102692211</v>
      </c>
      <c r="M122" s="43"/>
    </row>
    <row r="123" spans="1:13" x14ac:dyDescent="0.3">
      <c r="A123" s="51">
        <v>1.2030000000000001</v>
      </c>
      <c r="B123" s="51">
        <f t="shared" si="8"/>
        <v>1203</v>
      </c>
      <c r="C123" s="54">
        <v>81</v>
      </c>
      <c r="F123" s="52">
        <f t="shared" si="9"/>
        <v>0.18481843699254188</v>
      </c>
      <c r="G123" s="53">
        <f t="shared" si="10"/>
        <v>7.0925737159746784</v>
      </c>
      <c r="H123" s="46">
        <f t="shared" si="11"/>
        <v>2.8236622899901172E-3</v>
      </c>
      <c r="I123" s="43"/>
      <c r="J123" s="43">
        <f t="shared" si="7"/>
        <v>79.143935330910608</v>
      </c>
      <c r="K123" s="43">
        <f t="shared" si="12"/>
        <v>2.2914378630733232E-2</v>
      </c>
      <c r="L123" s="43">
        <f t="shared" si="13"/>
        <v>1.8560646690893918</v>
      </c>
      <c r="M123" s="43"/>
    </row>
    <row r="124" spans="1:13" x14ac:dyDescent="0.3">
      <c r="A124" s="51">
        <v>1.165</v>
      </c>
      <c r="B124" s="51">
        <f t="shared" si="8"/>
        <v>1165</v>
      </c>
      <c r="C124" s="54">
        <v>82</v>
      </c>
      <c r="F124" s="52">
        <f t="shared" si="9"/>
        <v>0.15272108701766393</v>
      </c>
      <c r="G124" s="53">
        <f t="shared" si="10"/>
        <v>7.0604763659998007</v>
      </c>
      <c r="H124" s="46">
        <f t="shared" si="11"/>
        <v>2.8157116711248768E-3</v>
      </c>
      <c r="I124" s="43"/>
      <c r="J124" s="43">
        <f t="shared" si="7"/>
        <v>80.158359391372016</v>
      </c>
      <c r="K124" s="43">
        <f t="shared" si="12"/>
        <v>2.2459031812536383E-2</v>
      </c>
      <c r="L124" s="43">
        <f t="shared" si="13"/>
        <v>1.8416406086279835</v>
      </c>
      <c r="M124" s="43"/>
    </row>
    <row r="125" spans="1:13" x14ac:dyDescent="0.3">
      <c r="A125" s="54">
        <v>1.1279999999999999</v>
      </c>
      <c r="B125" s="51">
        <f t="shared" si="8"/>
        <v>1128</v>
      </c>
      <c r="C125" s="54">
        <v>83</v>
      </c>
      <c r="F125" s="52">
        <f t="shared" si="9"/>
        <v>0.12044615307586706</v>
      </c>
      <c r="G125" s="53">
        <f t="shared" si="10"/>
        <v>7.0282014320580046</v>
      </c>
      <c r="H125" s="46">
        <f t="shared" si="11"/>
        <v>2.8078056998455708E-3</v>
      </c>
      <c r="I125" s="43"/>
      <c r="J125" s="43">
        <f t="shared" si="7"/>
        <v>81.184303632357341</v>
      </c>
      <c r="K125" s="43">
        <f t="shared" si="12"/>
        <v>2.1875859851116369E-2</v>
      </c>
      <c r="L125" s="43">
        <f t="shared" si="13"/>
        <v>1.8156963676426585</v>
      </c>
      <c r="M125" s="43"/>
    </row>
    <row r="126" spans="1:13" x14ac:dyDescent="0.3">
      <c r="A126" s="54">
        <v>1.093</v>
      </c>
      <c r="B126" s="51">
        <f t="shared" si="8"/>
        <v>1093</v>
      </c>
      <c r="C126" s="54">
        <v>84</v>
      </c>
      <c r="F126" s="52">
        <f t="shared" si="9"/>
        <v>8.8926209194401487E-2</v>
      </c>
      <c r="G126" s="53">
        <f t="shared" si="10"/>
        <v>6.9966814881765389</v>
      </c>
      <c r="H126" s="46">
        <f t="shared" si="11"/>
        <v>2.7999440011199778E-3</v>
      </c>
      <c r="I126" s="43"/>
      <c r="J126" s="43">
        <f t="shared" si="7"/>
        <v>82.19201574788201</v>
      </c>
      <c r="K126" s="43">
        <f t="shared" si="12"/>
        <v>2.1523622049023687E-2</v>
      </c>
      <c r="L126" s="43">
        <f t="shared" si="13"/>
        <v>1.8079842521179899</v>
      </c>
      <c r="M126" s="43"/>
    </row>
    <row r="127" spans="1:13" x14ac:dyDescent="0.3">
      <c r="A127" s="54">
        <v>1.0589999999999999</v>
      </c>
      <c r="B127" s="51">
        <f t="shared" si="8"/>
        <v>1059</v>
      </c>
      <c r="C127" s="54">
        <v>85</v>
      </c>
      <c r="F127" s="52">
        <f t="shared" si="9"/>
        <v>5.7325066619269352E-2</v>
      </c>
      <c r="G127" s="53">
        <f t="shared" si="10"/>
        <v>6.9650803456014065</v>
      </c>
      <c r="H127" s="46">
        <f t="shared" si="11"/>
        <v>2.7921262041044259E-3</v>
      </c>
      <c r="I127" s="43"/>
      <c r="J127" s="43">
        <f t="shared" si="7"/>
        <v>83.208094239721675</v>
      </c>
      <c r="K127" s="43">
        <f t="shared" si="12"/>
        <v>2.1081244238568535E-2</v>
      </c>
      <c r="L127" s="43">
        <f t="shared" si="13"/>
        <v>1.7919057602783255</v>
      </c>
      <c r="M127" s="43"/>
    </row>
    <row r="128" spans="1:13" x14ac:dyDescent="0.3">
      <c r="A128" s="54">
        <v>1.0269999999999999</v>
      </c>
      <c r="B128" s="51">
        <f t="shared" si="8"/>
        <v>1027</v>
      </c>
      <c r="C128" s="54">
        <v>86</v>
      </c>
      <c r="F128" s="52">
        <f t="shared" si="9"/>
        <v>2.6641930946421092E-2</v>
      </c>
      <c r="G128" s="53">
        <f t="shared" si="10"/>
        <v>6.9343972099285578</v>
      </c>
      <c r="H128" s="46">
        <f t="shared" si="11"/>
        <v>2.78435194208548E-3</v>
      </c>
      <c r="I128" s="43"/>
      <c r="J128" s="43">
        <f t="shared" si="7"/>
        <v>84.200231407277272</v>
      </c>
      <c r="K128" s="43">
        <f t="shared" si="12"/>
        <v>2.0927541775845673E-2</v>
      </c>
      <c r="L128" s="43">
        <f t="shared" si="13"/>
        <v>1.799768592722728</v>
      </c>
      <c r="M128" s="43"/>
    </row>
    <row r="129" spans="1:13" x14ac:dyDescent="0.3">
      <c r="A129" s="51">
        <v>0.99550000000000005</v>
      </c>
      <c r="B129" s="51">
        <f t="shared" si="8"/>
        <v>995.5</v>
      </c>
      <c r="C129" s="54">
        <v>87</v>
      </c>
      <c r="F129" s="52">
        <f t="shared" si="9"/>
        <v>-4.510155477886019E-3</v>
      </c>
      <c r="G129" s="53">
        <f t="shared" si="10"/>
        <v>6.9032451235042513</v>
      </c>
      <c r="H129" s="46">
        <f t="shared" si="11"/>
        <v>2.7766208524226017E-3</v>
      </c>
      <c r="I129" s="43"/>
      <c r="J129" s="43">
        <f t="shared" si="7"/>
        <v>85.21319980400358</v>
      </c>
      <c r="K129" s="43">
        <f t="shared" si="12"/>
        <v>2.0537933287315176E-2</v>
      </c>
      <c r="L129" s="43">
        <f t="shared" si="13"/>
        <v>1.7868001959964204</v>
      </c>
      <c r="M129" s="43"/>
    </row>
    <row r="130" spans="1:13" x14ac:dyDescent="0.3">
      <c r="A130" s="51">
        <v>0.96540000000000004</v>
      </c>
      <c r="B130" s="51">
        <f t="shared" si="8"/>
        <v>965.40000000000009</v>
      </c>
      <c r="C130" s="54">
        <v>88</v>
      </c>
      <c r="F130" s="52">
        <f t="shared" si="9"/>
        <v>-3.5212755755744486E-2</v>
      </c>
      <c r="G130" s="53">
        <f t="shared" si="10"/>
        <v>6.872542523226393</v>
      </c>
      <c r="H130" s="46">
        <f t="shared" si="11"/>
        <v>2.7689325764917627E-3</v>
      </c>
      <c r="I130" s="43"/>
      <c r="J130" s="43">
        <f t="shared" ref="J130:J193" si="14">(1/(O$3+LN(A130)*N$3))-273.15</f>
        <v>86.217187217619482</v>
      </c>
      <c r="K130" s="43">
        <f t="shared" si="12"/>
        <v>2.0259236163414972E-2</v>
      </c>
      <c r="L130" s="43">
        <f t="shared" si="13"/>
        <v>1.7828127823805175</v>
      </c>
      <c r="M130" s="43"/>
    </row>
    <row r="131" spans="1:13" x14ac:dyDescent="0.3">
      <c r="A131" s="51">
        <v>0.93630000000000002</v>
      </c>
      <c r="B131" s="51">
        <f t="shared" ref="B131:B194" si="15">A131*1000</f>
        <v>936.30000000000007</v>
      </c>
      <c r="C131" s="54">
        <v>89</v>
      </c>
      <c r="F131" s="52">
        <f t="shared" ref="F131:F194" si="16">LN(A131)</f>
        <v>-6.5819341037293588E-2</v>
      </c>
      <c r="G131" s="53">
        <f t="shared" ref="G131:G194" si="17">LN(B131)</f>
        <v>6.8419359379448439</v>
      </c>
      <c r="H131" s="46">
        <f t="shared" ref="H131:H194" si="18">1/(C131+273.15)</f>
        <v>2.7612867596299878E-3</v>
      </c>
      <c r="I131" s="43"/>
      <c r="J131" s="43">
        <f t="shared" si="14"/>
        <v>87.223649748105288</v>
      </c>
      <c r="K131" s="43">
        <f t="shared" ref="K131:K194" si="19">ABS(J131-C131)/ABS(C131)</f>
        <v>1.9958991594322607E-2</v>
      </c>
      <c r="L131" s="43">
        <f t="shared" ref="L131:L194" si="20">ABS(J131-C131)</f>
        <v>1.7763502518947121</v>
      </c>
      <c r="M131" s="43"/>
    </row>
    <row r="132" spans="1:13" x14ac:dyDescent="0.3">
      <c r="A132" s="51">
        <v>0.9083</v>
      </c>
      <c r="B132" s="51">
        <f t="shared" si="15"/>
        <v>908.3</v>
      </c>
      <c r="C132" s="54">
        <v>90</v>
      </c>
      <c r="F132" s="52">
        <f t="shared" si="16"/>
        <v>-9.6180558473969183E-2</v>
      </c>
      <c r="G132" s="53">
        <f t="shared" si="17"/>
        <v>6.811574720508168</v>
      </c>
      <c r="H132" s="46">
        <f t="shared" si="18"/>
        <v>2.7536830510808208E-3</v>
      </c>
      <c r="I132" s="43"/>
      <c r="J132" s="43">
        <f t="shared" si="14"/>
        <v>88.227629047137896</v>
      </c>
      <c r="K132" s="43">
        <f t="shared" si="19"/>
        <v>1.9693010587356716E-2</v>
      </c>
      <c r="L132" s="43">
        <f t="shared" si="20"/>
        <v>1.7723709528621043</v>
      </c>
      <c r="M132" s="43"/>
    </row>
    <row r="133" spans="1:13" x14ac:dyDescent="0.3">
      <c r="A133" s="51">
        <v>0.88119999999999998</v>
      </c>
      <c r="B133" s="51">
        <f t="shared" si="15"/>
        <v>881.19999999999993</v>
      </c>
      <c r="C133" s="54">
        <v>91</v>
      </c>
      <c r="F133" s="52">
        <f t="shared" si="16"/>
        <v>-0.12647066405394902</v>
      </c>
      <c r="G133" s="53">
        <f t="shared" si="17"/>
        <v>6.7812846149281878</v>
      </c>
      <c r="H133" s="46">
        <f t="shared" si="18"/>
        <v>2.746121103940684E-3</v>
      </c>
      <c r="I133" s="43"/>
      <c r="J133" s="43">
        <f t="shared" si="14"/>
        <v>89.234846782440911</v>
      </c>
      <c r="K133" s="43">
        <f t="shared" si="19"/>
        <v>1.939728810504493E-2</v>
      </c>
      <c r="L133" s="43">
        <f t="shared" si="20"/>
        <v>1.7651532175590887</v>
      </c>
      <c r="M133" s="43"/>
    </row>
    <row r="134" spans="1:13" x14ac:dyDescent="0.3">
      <c r="A134" s="51">
        <v>0.85499999999999998</v>
      </c>
      <c r="B134" s="51">
        <f t="shared" si="15"/>
        <v>855</v>
      </c>
      <c r="C134" s="54">
        <v>92</v>
      </c>
      <c r="F134" s="52">
        <f t="shared" si="16"/>
        <v>-0.15665381004537685</v>
      </c>
      <c r="G134" s="53">
        <f t="shared" si="17"/>
        <v>6.7511014689367599</v>
      </c>
      <c r="H134" s="46">
        <f t="shared" si="18"/>
        <v>2.738600575106121E-3</v>
      </c>
      <c r="I134" s="43"/>
      <c r="J134" s="43">
        <f t="shared" si="14"/>
        <v>90.244108264868373</v>
      </c>
      <c r="K134" s="43">
        <f t="shared" si="19"/>
        <v>1.9085779729691596E-2</v>
      </c>
      <c r="L134" s="43">
        <f t="shared" si="20"/>
        <v>1.7558917351316268</v>
      </c>
      <c r="M134" s="43"/>
    </row>
    <row r="135" spans="1:13" x14ac:dyDescent="0.3">
      <c r="A135" s="51">
        <v>0.82969999999999999</v>
      </c>
      <c r="B135" s="51">
        <f t="shared" si="15"/>
        <v>829.7</v>
      </c>
      <c r="C135" s="54">
        <v>93</v>
      </c>
      <c r="F135" s="52">
        <f t="shared" si="16"/>
        <v>-0.18669108931189746</v>
      </c>
      <c r="G135" s="53">
        <f t="shared" si="17"/>
        <v>6.7210641896702397</v>
      </c>
      <c r="H135" s="46">
        <f t="shared" si="18"/>
        <v>2.7311211252219036E-3</v>
      </c>
      <c r="I135" s="43"/>
      <c r="J135" s="43">
        <f t="shared" si="14"/>
        <v>91.2540887889906</v>
      </c>
      <c r="K135" s="43">
        <f t="shared" si="19"/>
        <v>1.8773238828058061E-2</v>
      </c>
      <c r="L135" s="43">
        <f t="shared" si="20"/>
        <v>1.7459112110093997</v>
      </c>
      <c r="M135" s="43"/>
    </row>
    <row r="136" spans="1:13" x14ac:dyDescent="0.3">
      <c r="A136" s="51">
        <v>0.80520000000000003</v>
      </c>
      <c r="B136" s="51">
        <f t="shared" si="15"/>
        <v>805.2</v>
      </c>
      <c r="C136" s="54">
        <v>94</v>
      </c>
      <c r="F136" s="52">
        <f t="shared" si="16"/>
        <v>-0.21666458521650059</v>
      </c>
      <c r="G136" s="53">
        <f t="shared" si="17"/>
        <v>6.691090693765636</v>
      </c>
      <c r="H136" s="46">
        <f t="shared" si="18"/>
        <v>2.7236824186299877E-3</v>
      </c>
      <c r="I136" s="43"/>
      <c r="J136" s="43">
        <f t="shared" si="14"/>
        <v>92.267536414433209</v>
      </c>
      <c r="K136" s="43">
        <f t="shared" si="19"/>
        <v>1.8430463676242455E-2</v>
      </c>
      <c r="L136" s="43">
        <f t="shared" si="20"/>
        <v>1.7324635855667907</v>
      </c>
      <c r="M136" s="43"/>
    </row>
    <row r="137" spans="1:13" x14ac:dyDescent="0.3">
      <c r="A137" s="51">
        <v>0.78159999999999996</v>
      </c>
      <c r="B137" s="51">
        <f t="shared" si="15"/>
        <v>781.59999999999991</v>
      </c>
      <c r="C137" s="54">
        <v>95</v>
      </c>
      <c r="F137" s="52">
        <f t="shared" si="16"/>
        <v>-0.24641217825356412</v>
      </c>
      <c r="G137" s="53">
        <f t="shared" si="17"/>
        <v>6.6613431007285726</v>
      </c>
      <c r="H137" s="46">
        <f t="shared" si="18"/>
        <v>2.7162841233192994E-3</v>
      </c>
      <c r="I137" s="43"/>
      <c r="J137" s="43">
        <f t="shared" si="14"/>
        <v>93.278934810731414</v>
      </c>
      <c r="K137" s="43">
        <f t="shared" si="19"/>
        <v>1.811647567651143E-2</v>
      </c>
      <c r="L137" s="43">
        <f t="shared" si="20"/>
        <v>1.721065189268586</v>
      </c>
      <c r="M137" s="43"/>
    </row>
    <row r="138" spans="1:13" x14ac:dyDescent="0.3">
      <c r="A138" s="51">
        <v>0.75870000000000004</v>
      </c>
      <c r="B138" s="51">
        <f t="shared" si="15"/>
        <v>758.7</v>
      </c>
      <c r="C138" s="54">
        <v>96</v>
      </c>
      <c r="F138" s="52">
        <f t="shared" si="16"/>
        <v>-0.27614883663810785</v>
      </c>
      <c r="G138" s="53">
        <f t="shared" si="17"/>
        <v>6.6316064423440295</v>
      </c>
      <c r="H138" s="46">
        <f t="shared" si="18"/>
        <v>2.7089259108763375E-3</v>
      </c>
      <c r="I138" s="43"/>
      <c r="J138" s="43">
        <f t="shared" si="14"/>
        <v>94.295572547574238</v>
      </c>
      <c r="K138" s="43">
        <f t="shared" si="19"/>
        <v>1.7754452629435018E-2</v>
      </c>
      <c r="L138" s="43">
        <f t="shared" si="20"/>
        <v>1.7044274524257617</v>
      </c>
      <c r="M138" s="43"/>
    </row>
    <row r="139" spans="1:13" x14ac:dyDescent="0.3">
      <c r="A139" s="51">
        <v>0.73660000000000003</v>
      </c>
      <c r="B139" s="51">
        <f t="shared" si="15"/>
        <v>736.6</v>
      </c>
      <c r="C139" s="54">
        <v>97</v>
      </c>
      <c r="F139" s="52">
        <f t="shared" si="16"/>
        <v>-0.30571027497117209</v>
      </c>
      <c r="G139" s="53">
        <f t="shared" si="17"/>
        <v>6.6020450040109653</v>
      </c>
      <c r="H139" s="46">
        <f t="shared" si="18"/>
        <v>2.7016074564365799E-3</v>
      </c>
      <c r="I139" s="43"/>
      <c r="J139" s="43">
        <f t="shared" si="14"/>
        <v>95.311826773686107</v>
      </c>
      <c r="K139" s="43">
        <f t="shared" si="19"/>
        <v>1.7403847693957659E-2</v>
      </c>
      <c r="L139" s="43">
        <f t="shared" si="20"/>
        <v>1.6881732263138929</v>
      </c>
      <c r="M139" s="43"/>
    </row>
    <row r="140" spans="1:13" x14ac:dyDescent="0.3">
      <c r="A140" s="51">
        <v>0.71519999999999995</v>
      </c>
      <c r="B140" s="51">
        <f t="shared" si="15"/>
        <v>715.19999999999993</v>
      </c>
      <c r="C140" s="54">
        <v>98</v>
      </c>
      <c r="F140" s="52">
        <f t="shared" si="16"/>
        <v>-0.33519305512283276</v>
      </c>
      <c r="G140" s="53">
        <f t="shared" si="17"/>
        <v>6.572562223859304</v>
      </c>
      <c r="H140" s="46">
        <f t="shared" si="18"/>
        <v>2.6943284386366701E-3</v>
      </c>
      <c r="I140" s="43"/>
      <c r="J140" s="43">
        <f t="shared" si="14"/>
        <v>96.330991346768883</v>
      </c>
      <c r="K140" s="43">
        <f t="shared" si="19"/>
        <v>1.7030700543174664E-2</v>
      </c>
      <c r="L140" s="43">
        <f t="shared" si="20"/>
        <v>1.669008653231117</v>
      </c>
      <c r="M140" s="43"/>
    </row>
    <row r="141" spans="1:13" x14ac:dyDescent="0.3">
      <c r="A141" s="51">
        <v>0.69450000000000001</v>
      </c>
      <c r="B141" s="51">
        <f t="shared" si="15"/>
        <v>694.5</v>
      </c>
      <c r="C141" s="54">
        <v>99</v>
      </c>
      <c r="F141" s="52">
        <f t="shared" si="16"/>
        <v>-0.36456311678773856</v>
      </c>
      <c r="G141" s="53">
        <f t="shared" si="17"/>
        <v>6.5431921621943987</v>
      </c>
      <c r="H141" s="46">
        <f t="shared" si="18"/>
        <v>2.6870885395673789E-3</v>
      </c>
      <c r="I141" s="43"/>
      <c r="J141" s="43">
        <f t="shared" si="14"/>
        <v>97.351880663494512</v>
      </c>
      <c r="K141" s="43">
        <f t="shared" si="19"/>
        <v>1.6647670065711998E-2</v>
      </c>
      <c r="L141" s="43">
        <f t="shared" si="20"/>
        <v>1.6481193365054878</v>
      </c>
      <c r="M141" s="43"/>
    </row>
    <row r="142" spans="1:13" x14ac:dyDescent="0.3">
      <c r="A142" s="54">
        <v>0.6744</v>
      </c>
      <c r="B142" s="51">
        <f t="shared" si="15"/>
        <v>674.4</v>
      </c>
      <c r="C142" s="54">
        <v>100</v>
      </c>
      <c r="F142" s="52">
        <f t="shared" si="16"/>
        <v>-0.39393187229449134</v>
      </c>
      <c r="G142" s="53">
        <f t="shared" si="17"/>
        <v>6.5138234066876457</v>
      </c>
      <c r="H142" s="46">
        <f t="shared" si="18"/>
        <v>2.6798874447273215E-3</v>
      </c>
      <c r="I142" s="43"/>
      <c r="J142" s="43">
        <f t="shared" si="14"/>
        <v>98.378381339663065</v>
      </c>
      <c r="K142" s="43">
        <f t="shared" si="19"/>
        <v>1.6216186603369351E-2</v>
      </c>
      <c r="L142" s="43">
        <f t="shared" si="20"/>
        <v>1.6216186603369351</v>
      </c>
      <c r="M142" s="43"/>
    </row>
    <row r="143" spans="1:13" x14ac:dyDescent="0.3">
      <c r="A143" s="51">
        <v>0.65580000000000005</v>
      </c>
      <c r="B143" s="51">
        <f t="shared" si="15"/>
        <v>655.80000000000007</v>
      </c>
      <c r="C143" s="54">
        <v>101</v>
      </c>
      <c r="F143" s="52">
        <f t="shared" si="16"/>
        <v>-0.42189941457158908</v>
      </c>
      <c r="G143" s="53">
        <f t="shared" si="17"/>
        <v>6.4858558644105484</v>
      </c>
      <c r="H143" s="46">
        <f t="shared" si="18"/>
        <v>2.6727248429774158E-3</v>
      </c>
      <c r="I143" s="43"/>
      <c r="J143" s="43">
        <f t="shared" si="14"/>
        <v>99.361207995277653</v>
      </c>
      <c r="K143" s="43">
        <f t="shared" si="19"/>
        <v>1.6225663413092548E-2</v>
      </c>
      <c r="L143" s="43">
        <f t="shared" si="20"/>
        <v>1.6387920047223474</v>
      </c>
      <c r="M143" s="43"/>
    </row>
    <row r="144" spans="1:13" x14ac:dyDescent="0.3">
      <c r="A144" s="54">
        <v>0.63759999999999994</v>
      </c>
      <c r="B144" s="51">
        <f t="shared" si="15"/>
        <v>637.59999999999991</v>
      </c>
      <c r="C144" s="54">
        <v>102</v>
      </c>
      <c r="F144" s="52">
        <f t="shared" si="16"/>
        <v>-0.45004415150613186</v>
      </c>
      <c r="G144" s="53">
        <f t="shared" si="17"/>
        <v>6.4577111274760055</v>
      </c>
      <c r="H144" s="46">
        <f t="shared" si="18"/>
        <v>2.6656004264960682E-3</v>
      </c>
      <c r="I144" s="43"/>
      <c r="J144" s="43">
        <f t="shared" si="14"/>
        <v>100.35552496626326</v>
      </c>
      <c r="K144" s="43">
        <f t="shared" si="19"/>
        <v>1.6122304252320977E-2</v>
      </c>
      <c r="L144" s="43">
        <f t="shared" si="20"/>
        <v>1.6444750337367395</v>
      </c>
      <c r="M144" s="43"/>
    </row>
    <row r="145" spans="1:13" x14ac:dyDescent="0.3">
      <c r="A145" s="54">
        <v>0.61990000000000001</v>
      </c>
      <c r="B145" s="51">
        <f t="shared" si="15"/>
        <v>619.9</v>
      </c>
      <c r="C145" s="54">
        <v>103</v>
      </c>
      <c r="F145" s="52">
        <f t="shared" si="16"/>
        <v>-0.47819710427426332</v>
      </c>
      <c r="G145" s="53">
        <f t="shared" si="17"/>
        <v>6.4295581747078741</v>
      </c>
      <c r="H145" s="46">
        <f t="shared" si="18"/>
        <v>2.6585138907350794E-3</v>
      </c>
      <c r="I145" s="43"/>
      <c r="J145" s="43">
        <f t="shared" si="14"/>
        <v>101.35545684872375</v>
      </c>
      <c r="K145" s="43">
        <f t="shared" si="19"/>
        <v>1.5966438361905363E-2</v>
      </c>
      <c r="L145" s="43">
        <f t="shared" si="20"/>
        <v>1.6445431512762525</v>
      </c>
      <c r="M145" s="43"/>
    </row>
    <row r="146" spans="1:13" x14ac:dyDescent="0.3">
      <c r="A146" s="54">
        <v>0.60260000000000002</v>
      </c>
      <c r="B146" s="51">
        <f t="shared" si="15"/>
        <v>602.6</v>
      </c>
      <c r="C146" s="54">
        <v>104</v>
      </c>
      <c r="F146" s="52">
        <f t="shared" si="16"/>
        <v>-0.50650165228593613</v>
      </c>
      <c r="G146" s="53">
        <f t="shared" si="17"/>
        <v>6.4012536266962012</v>
      </c>
      <c r="H146" s="46">
        <f t="shared" si="18"/>
        <v>2.6514649343762431E-3</v>
      </c>
      <c r="I146" s="43"/>
      <c r="J146" s="43">
        <f t="shared" si="14"/>
        <v>102.36618489745712</v>
      </c>
      <c r="K146" s="43">
        <f t="shared" si="19"/>
        <v>1.5709760601373874E-2</v>
      </c>
      <c r="L146" s="43">
        <f t="shared" si="20"/>
        <v>1.6338151025428829</v>
      </c>
      <c r="M146" s="43"/>
    </row>
    <row r="147" spans="1:13" x14ac:dyDescent="0.3">
      <c r="A147" s="54">
        <v>0.58579999999999999</v>
      </c>
      <c r="B147" s="51">
        <f t="shared" si="15"/>
        <v>585.79999999999995</v>
      </c>
      <c r="C147" s="54">
        <v>105</v>
      </c>
      <c r="F147" s="52">
        <f t="shared" si="16"/>
        <v>-0.53477684458850394</v>
      </c>
      <c r="G147" s="53">
        <f t="shared" si="17"/>
        <v>6.3729784343936329</v>
      </c>
      <c r="H147" s="46">
        <f t="shared" si="18"/>
        <v>2.6444532592886424E-3</v>
      </c>
      <c r="I147" s="43"/>
      <c r="J147" s="43">
        <f t="shared" si="14"/>
        <v>103.38132649748644</v>
      </c>
      <c r="K147" s="43">
        <f t="shared" si="19"/>
        <v>1.5415938119176752E-2</v>
      </c>
      <c r="L147" s="43">
        <f t="shared" si="20"/>
        <v>1.618673502513559</v>
      </c>
      <c r="M147" s="43"/>
    </row>
    <row r="148" spans="1:13" x14ac:dyDescent="0.3">
      <c r="A148" s="54">
        <v>0.56940000000000002</v>
      </c>
      <c r="B148" s="51">
        <f t="shared" si="15"/>
        <v>569.4</v>
      </c>
      <c r="C148" s="54">
        <v>106</v>
      </c>
      <c r="F148" s="52">
        <f t="shared" si="16"/>
        <v>-0.56317210413819985</v>
      </c>
      <c r="G148" s="53">
        <f t="shared" si="17"/>
        <v>6.3445831748439367</v>
      </c>
      <c r="H148" s="46">
        <f t="shared" si="18"/>
        <v>2.6374785704866149E-3</v>
      </c>
      <c r="I148" s="43"/>
      <c r="J148" s="43">
        <f t="shared" si="14"/>
        <v>104.40631733243606</v>
      </c>
      <c r="K148" s="43">
        <f t="shared" si="19"/>
        <v>1.5034742146829618E-2</v>
      </c>
      <c r="L148" s="43">
        <f t="shared" si="20"/>
        <v>1.5936826675639395</v>
      </c>
      <c r="M148" s="43"/>
    </row>
    <row r="149" spans="1:13" x14ac:dyDescent="0.3">
      <c r="A149" s="54">
        <v>0.55349999999999999</v>
      </c>
      <c r="B149" s="51">
        <f t="shared" si="15"/>
        <v>553.5</v>
      </c>
      <c r="C149" s="54">
        <v>107</v>
      </c>
      <c r="F149" s="52">
        <f t="shared" si="16"/>
        <v>-0.59149352683344547</v>
      </c>
      <c r="G149" s="53">
        <f t="shared" si="17"/>
        <v>6.3162617521486917</v>
      </c>
      <c r="H149" s="46">
        <f t="shared" si="18"/>
        <v>2.6305405760883864E-3</v>
      </c>
      <c r="I149" s="43"/>
      <c r="J149" s="43">
        <f t="shared" si="14"/>
        <v>105.43421669104106</v>
      </c>
      <c r="K149" s="43">
        <f t="shared" si="19"/>
        <v>1.4633488868775156E-2</v>
      </c>
      <c r="L149" s="43">
        <f t="shared" si="20"/>
        <v>1.5657833089589417</v>
      </c>
      <c r="M149" s="43"/>
    </row>
    <row r="150" spans="1:13" x14ac:dyDescent="0.3">
      <c r="A150" s="54">
        <v>0.53800000000000003</v>
      </c>
      <c r="B150" s="51">
        <f t="shared" si="15"/>
        <v>538</v>
      </c>
      <c r="C150" s="54">
        <v>108</v>
      </c>
      <c r="F150" s="52">
        <f t="shared" si="16"/>
        <v>-0.61989671882035258</v>
      </c>
      <c r="G150" s="53">
        <f t="shared" si="17"/>
        <v>6.2878585601617845</v>
      </c>
      <c r="H150" s="46">
        <f t="shared" si="18"/>
        <v>2.6236389872753511E-3</v>
      </c>
      <c r="I150" s="43"/>
      <c r="J150" s="43">
        <f t="shared" si="14"/>
        <v>106.47072036582296</v>
      </c>
      <c r="K150" s="43">
        <f t="shared" si="19"/>
        <v>1.4159996612750407E-2</v>
      </c>
      <c r="L150" s="43">
        <f t="shared" si="20"/>
        <v>1.529279634177044</v>
      </c>
      <c r="M150" s="43"/>
    </row>
    <row r="151" spans="1:13" x14ac:dyDescent="0.3">
      <c r="A151" s="54">
        <v>0.52290000000000003</v>
      </c>
      <c r="B151" s="51">
        <f t="shared" si="15"/>
        <v>522.9</v>
      </c>
      <c r="C151" s="54">
        <v>109</v>
      </c>
      <c r="F151" s="52">
        <f t="shared" si="16"/>
        <v>-0.6483650377880521</v>
      </c>
      <c r="G151" s="53">
        <f t="shared" si="17"/>
        <v>6.2593902411940849</v>
      </c>
      <c r="H151" s="46">
        <f t="shared" si="18"/>
        <v>2.6167735182519953E-3</v>
      </c>
      <c r="I151" s="43"/>
      <c r="J151" s="43">
        <f t="shared" si="14"/>
        <v>107.51531146007272</v>
      </c>
      <c r="K151" s="43">
        <f t="shared" si="19"/>
        <v>1.3620995779149325E-2</v>
      </c>
      <c r="L151" s="43">
        <f t="shared" si="20"/>
        <v>1.4846885399272765</v>
      </c>
      <c r="M151" s="43"/>
    </row>
    <row r="152" spans="1:13" x14ac:dyDescent="0.3">
      <c r="A152" s="54">
        <v>0.50829999999999997</v>
      </c>
      <c r="B152" s="51">
        <f t="shared" si="15"/>
        <v>508.29999999999995</v>
      </c>
      <c r="C152" s="54">
        <v>110</v>
      </c>
      <c r="F152" s="52">
        <f t="shared" si="16"/>
        <v>-0.67668345452928025</v>
      </c>
      <c r="G152" s="53">
        <f t="shared" si="17"/>
        <v>6.2310718244528571</v>
      </c>
      <c r="H152" s="46">
        <f t="shared" si="18"/>
        <v>2.6099438862064468E-3</v>
      </c>
      <c r="I152" s="43"/>
      <c r="J152" s="43">
        <f t="shared" si="14"/>
        <v>108.56012124467765</v>
      </c>
      <c r="K152" s="43">
        <f t="shared" si="19"/>
        <v>1.3089806866566857E-2</v>
      </c>
      <c r="L152" s="43">
        <f t="shared" si="20"/>
        <v>1.4398787553223542</v>
      </c>
      <c r="M152" s="43"/>
    </row>
    <row r="153" spans="1:13" x14ac:dyDescent="0.3">
      <c r="A153" s="54">
        <v>0.49409999999999998</v>
      </c>
      <c r="B153" s="51">
        <f t="shared" si="15"/>
        <v>494.09999999999997</v>
      </c>
      <c r="C153" s="54">
        <v>111</v>
      </c>
      <c r="F153" s="52">
        <f t="shared" si="16"/>
        <v>-0.70501735313043279</v>
      </c>
      <c r="G153" s="53">
        <f t="shared" si="17"/>
        <v>6.2027379258517046</v>
      </c>
      <c r="H153" s="46">
        <f t="shared" si="18"/>
        <v>2.6031498112716388E-3</v>
      </c>
      <c r="I153" s="43"/>
      <c r="J153" s="43">
        <f t="shared" si="14"/>
        <v>109.6112581106749</v>
      </c>
      <c r="K153" s="43">
        <f t="shared" si="19"/>
        <v>1.2511188192118052E-2</v>
      </c>
      <c r="L153" s="43">
        <f t="shared" si="20"/>
        <v>1.3887418893251038</v>
      </c>
      <c r="M153" s="43"/>
    </row>
    <row r="154" spans="1:13" x14ac:dyDescent="0.3">
      <c r="A154" s="54">
        <v>0.4803</v>
      </c>
      <c r="B154" s="51">
        <f t="shared" si="15"/>
        <v>480.3</v>
      </c>
      <c r="C154" s="54">
        <v>112</v>
      </c>
      <c r="F154" s="52">
        <f t="shared" si="16"/>
        <v>-0.73334437031135835</v>
      </c>
      <c r="G154" s="53">
        <f t="shared" si="17"/>
        <v>6.1744109086707786</v>
      </c>
      <c r="H154" s="46">
        <f t="shared" si="18"/>
        <v>2.5963910164870829E-3</v>
      </c>
      <c r="I154" s="43"/>
      <c r="J154" s="43">
        <f t="shared" si="14"/>
        <v>110.66794270641418</v>
      </c>
      <c r="K154" s="43">
        <f t="shared" si="19"/>
        <v>1.1893368692730531E-2</v>
      </c>
      <c r="L154" s="43">
        <f t="shared" si="20"/>
        <v>1.3320572935858195</v>
      </c>
      <c r="M154" s="43"/>
    </row>
    <row r="155" spans="1:13" x14ac:dyDescent="0.3">
      <c r="A155" s="54">
        <v>0.46689999999999998</v>
      </c>
      <c r="B155" s="51">
        <f t="shared" si="15"/>
        <v>466.9</v>
      </c>
      <c r="C155" s="54">
        <v>113</v>
      </c>
      <c r="F155" s="52">
        <f t="shared" si="16"/>
        <v>-0.76164017700524578</v>
      </c>
      <c r="G155" s="53">
        <f t="shared" si="17"/>
        <v>6.1461151019768909</v>
      </c>
      <c r="H155" s="46">
        <f t="shared" si="18"/>
        <v>2.589667227761233E-3</v>
      </c>
      <c r="I155" s="43"/>
      <c r="J155" s="43">
        <f t="shared" si="14"/>
        <v>111.7293038773679</v>
      </c>
      <c r="K155" s="43">
        <f t="shared" si="19"/>
        <v>1.124509843037259E-2</v>
      </c>
      <c r="L155" s="43">
        <f t="shared" si="20"/>
        <v>1.2706961226321027</v>
      </c>
      <c r="M155" s="43"/>
    </row>
    <row r="156" spans="1:13" x14ac:dyDescent="0.3">
      <c r="A156" s="51">
        <v>0.45390000000000003</v>
      </c>
      <c r="B156" s="51">
        <f t="shared" si="15"/>
        <v>453.90000000000003</v>
      </c>
      <c r="C156" s="54">
        <v>114</v>
      </c>
      <c r="F156" s="52">
        <f t="shared" si="16"/>
        <v>-0.78987836951971702</v>
      </c>
      <c r="G156" s="53">
        <f t="shared" si="17"/>
        <v>6.1178769094624199</v>
      </c>
      <c r="H156" s="46">
        <f t="shared" si="18"/>
        <v>2.5829781738344313E-3</v>
      </c>
      <c r="I156" s="43"/>
      <c r="J156" s="43">
        <f t="shared" si="14"/>
        <v>112.79437215394296</v>
      </c>
      <c r="K156" s="43">
        <f t="shared" si="19"/>
        <v>1.0575682860149484E-2</v>
      </c>
      <c r="L156" s="43">
        <f t="shared" si="20"/>
        <v>1.2056278460570411</v>
      </c>
      <c r="M156" s="43"/>
    </row>
    <row r="157" spans="1:13" x14ac:dyDescent="0.3">
      <c r="A157" s="51">
        <v>0.44119999999999998</v>
      </c>
      <c r="B157" s="51">
        <f t="shared" si="15"/>
        <v>441.2</v>
      </c>
      <c r="C157" s="54">
        <v>115</v>
      </c>
      <c r="F157" s="52">
        <f t="shared" si="16"/>
        <v>-0.81825699160278964</v>
      </c>
      <c r="G157" s="53">
        <f t="shared" si="17"/>
        <v>6.0894982873793477</v>
      </c>
      <c r="H157" s="46">
        <f t="shared" si="18"/>
        <v>2.5763235862424324E-3</v>
      </c>
      <c r="I157" s="43"/>
      <c r="J157" s="43">
        <f t="shared" si="14"/>
        <v>113.87069234205023</v>
      </c>
      <c r="K157" s="43">
        <f t="shared" si="19"/>
        <v>9.8200665908675343E-3</v>
      </c>
      <c r="L157" s="43">
        <f t="shared" si="20"/>
        <v>1.1293076579497665</v>
      </c>
      <c r="M157" s="43"/>
    </row>
    <row r="158" spans="1:13" x14ac:dyDescent="0.3">
      <c r="A158" s="51">
        <v>0.42899999999999999</v>
      </c>
      <c r="B158" s="51">
        <f t="shared" si="15"/>
        <v>429</v>
      </c>
      <c r="C158" s="54">
        <v>116</v>
      </c>
      <c r="F158" s="52">
        <f t="shared" si="16"/>
        <v>-0.84629836005412007</v>
      </c>
      <c r="G158" s="53">
        <f t="shared" si="17"/>
        <v>6.061456918928017</v>
      </c>
      <c r="H158" s="46">
        <f t="shared" si="18"/>
        <v>2.5697031992804832E-3</v>
      </c>
      <c r="I158" s="43"/>
      <c r="J158" s="43">
        <f t="shared" si="14"/>
        <v>114.94013444013484</v>
      </c>
      <c r="K158" s="43">
        <f t="shared" si="19"/>
        <v>9.1367720678030943E-3</v>
      </c>
      <c r="L158" s="43">
        <f t="shared" si="20"/>
        <v>1.059865559865159</v>
      </c>
      <c r="M158" s="43"/>
    </row>
    <row r="159" spans="1:13" x14ac:dyDescent="0.3">
      <c r="A159" s="51">
        <v>0.41710000000000003</v>
      </c>
      <c r="B159" s="51">
        <f t="shared" si="15"/>
        <v>417.1</v>
      </c>
      <c r="C159" s="54">
        <v>117</v>
      </c>
      <c r="F159" s="52">
        <f t="shared" si="16"/>
        <v>-0.8744292777792374</v>
      </c>
      <c r="G159" s="53">
        <f t="shared" si="17"/>
        <v>6.0333260012028997</v>
      </c>
      <c r="H159" s="46">
        <f t="shared" si="18"/>
        <v>2.5631167499679613E-3</v>
      </c>
      <c r="I159" s="43"/>
      <c r="J159" s="43">
        <f t="shared" si="14"/>
        <v>116.01894693104555</v>
      </c>
      <c r="K159" s="43">
        <f t="shared" si="19"/>
        <v>8.3850689654226679E-3</v>
      </c>
      <c r="L159" s="43">
        <f t="shared" si="20"/>
        <v>0.9810530689544521</v>
      </c>
      <c r="M159" s="43"/>
    </row>
    <row r="160" spans="1:13" x14ac:dyDescent="0.3">
      <c r="A160" s="51">
        <v>0.40550000000000003</v>
      </c>
      <c r="B160" s="51">
        <f t="shared" si="15"/>
        <v>405.5</v>
      </c>
      <c r="C160" s="54">
        <v>118</v>
      </c>
      <c r="F160" s="52">
        <f t="shared" si="16"/>
        <v>-0.9026344054266694</v>
      </c>
      <c r="G160" s="53">
        <f t="shared" si="17"/>
        <v>6.0051208735554678</v>
      </c>
      <c r="H160" s="46">
        <f t="shared" si="18"/>
        <v>2.5565639780135499E-3</v>
      </c>
      <c r="I160" s="43"/>
      <c r="J160" s="43">
        <f t="shared" si="14"/>
        <v>117.10664369804471</v>
      </c>
      <c r="K160" s="43">
        <f t="shared" si="19"/>
        <v>7.570816118265199E-3</v>
      </c>
      <c r="L160" s="43">
        <f t="shared" si="20"/>
        <v>0.89335630195529347</v>
      </c>
      <c r="M160" s="43"/>
    </row>
    <row r="161" spans="1:13" x14ac:dyDescent="0.3">
      <c r="A161" s="51">
        <v>0.39439999999999997</v>
      </c>
      <c r="B161" s="51">
        <f t="shared" si="15"/>
        <v>394.4</v>
      </c>
      <c r="C161" s="54">
        <v>119</v>
      </c>
      <c r="F161" s="52">
        <f t="shared" si="16"/>
        <v>-0.93038965625365677</v>
      </c>
      <c r="G161" s="53">
        <f t="shared" si="17"/>
        <v>5.9773656227284802</v>
      </c>
      <c r="H161" s="46">
        <f t="shared" si="18"/>
        <v>2.5500446257809514E-3</v>
      </c>
      <c r="I161" s="43"/>
      <c r="J161" s="43">
        <f t="shared" si="14"/>
        <v>118.18294323800222</v>
      </c>
      <c r="K161" s="43">
        <f t="shared" si="19"/>
        <v>6.8660232100653442E-3</v>
      </c>
      <c r="L161" s="43">
        <f t="shared" si="20"/>
        <v>0.81705676199777599</v>
      </c>
      <c r="M161" s="43"/>
    </row>
    <row r="162" spans="1:13" x14ac:dyDescent="0.3">
      <c r="A162" s="51">
        <v>0.38350000000000001</v>
      </c>
      <c r="B162" s="51">
        <f t="shared" si="15"/>
        <v>383.5</v>
      </c>
      <c r="C162" s="54">
        <v>120</v>
      </c>
      <c r="F162" s="52">
        <f t="shared" si="16"/>
        <v>-0.9584156581748261</v>
      </c>
      <c r="G162" s="53">
        <f t="shared" si="17"/>
        <v>5.9493396208073106</v>
      </c>
      <c r="H162" s="46">
        <f t="shared" si="18"/>
        <v>2.5435584382551188E-3</v>
      </c>
      <c r="I162" s="43"/>
      <c r="J162" s="43">
        <f t="shared" si="14"/>
        <v>119.27578271205942</v>
      </c>
      <c r="K162" s="43">
        <f t="shared" si="19"/>
        <v>6.0351440661714642E-3</v>
      </c>
      <c r="L162" s="43">
        <f t="shared" si="20"/>
        <v>0.72421728794057572</v>
      </c>
      <c r="M162" s="43"/>
    </row>
    <row r="163" spans="1:13" x14ac:dyDescent="0.3">
      <c r="A163" s="51">
        <v>0.373</v>
      </c>
      <c r="B163" s="51">
        <f t="shared" si="15"/>
        <v>373</v>
      </c>
      <c r="C163" s="54">
        <v>121</v>
      </c>
      <c r="F163" s="52">
        <f t="shared" si="16"/>
        <v>-0.98617685933832155</v>
      </c>
      <c r="G163" s="53">
        <f t="shared" si="17"/>
        <v>5.9215784196438159</v>
      </c>
      <c r="H163" s="46">
        <f t="shared" si="18"/>
        <v>2.5371051630090069E-3</v>
      </c>
      <c r="I163" s="43"/>
      <c r="J163" s="43">
        <f t="shared" si="14"/>
        <v>120.36433080909745</v>
      </c>
      <c r="K163" s="43">
        <f t="shared" si="19"/>
        <v>5.2534643876243564E-3</v>
      </c>
      <c r="L163" s="43">
        <f t="shared" si="20"/>
        <v>0.63566919090254714</v>
      </c>
      <c r="M163" s="43"/>
    </row>
    <row r="164" spans="1:13" x14ac:dyDescent="0.3">
      <c r="A164" s="51">
        <v>0.36280000000000001</v>
      </c>
      <c r="B164" s="51">
        <f t="shared" si="15"/>
        <v>362.8</v>
      </c>
      <c r="C164" s="54">
        <v>122</v>
      </c>
      <c r="F164" s="52">
        <f t="shared" si="16"/>
        <v>-1.0139035607411555</v>
      </c>
      <c r="G164" s="53">
        <f t="shared" si="17"/>
        <v>5.893851718240982</v>
      </c>
      <c r="H164" s="46">
        <f t="shared" si="18"/>
        <v>2.5306845501708213E-3</v>
      </c>
      <c r="I164" s="43"/>
      <c r="J164" s="43">
        <f t="shared" si="14"/>
        <v>121.45757066210371</v>
      </c>
      <c r="K164" s="43">
        <f t="shared" si="19"/>
        <v>4.4461421139040521E-3</v>
      </c>
      <c r="L164" s="43">
        <f t="shared" si="20"/>
        <v>0.54242933789629433</v>
      </c>
      <c r="M164" s="43"/>
    </row>
    <row r="165" spans="1:13" x14ac:dyDescent="0.3">
      <c r="A165" s="51">
        <v>0.35299999999999998</v>
      </c>
      <c r="B165" s="51">
        <f t="shared" si="15"/>
        <v>353</v>
      </c>
      <c r="C165" s="54">
        <v>123</v>
      </c>
      <c r="F165" s="52">
        <f t="shared" si="16"/>
        <v>-1.0412872220488403</v>
      </c>
      <c r="G165" s="53">
        <f t="shared" si="17"/>
        <v>5.8664680569332965</v>
      </c>
      <c r="H165" s="46">
        <f t="shared" si="18"/>
        <v>2.5242963523917708E-3</v>
      </c>
      <c r="I165" s="43"/>
      <c r="J165" s="43">
        <f t="shared" si="14"/>
        <v>122.54326323730822</v>
      </c>
      <c r="K165" s="43">
        <f t="shared" si="19"/>
        <v>3.7133070137542745E-3</v>
      </c>
      <c r="L165" s="43">
        <f t="shared" si="20"/>
        <v>0.45673676269177577</v>
      </c>
      <c r="M165" s="43"/>
    </row>
    <row r="166" spans="1:13" x14ac:dyDescent="0.3">
      <c r="A166" s="52">
        <v>0.34339999999999998</v>
      </c>
      <c r="B166" s="51">
        <f t="shared" si="15"/>
        <v>343.4</v>
      </c>
      <c r="C166" s="56">
        <v>124</v>
      </c>
      <c r="F166" s="52">
        <f t="shared" si="16"/>
        <v>-1.0688593305187619</v>
      </c>
      <c r="G166" s="53">
        <f t="shared" si="17"/>
        <v>5.8388959484633753</v>
      </c>
      <c r="H166" s="46">
        <f t="shared" si="18"/>
        <v>2.517940324814302E-3</v>
      </c>
      <c r="I166" s="43"/>
      <c r="J166" s="43">
        <f t="shared" si="14"/>
        <v>123.64248002201941</v>
      </c>
      <c r="K166" s="43">
        <f t="shared" si="19"/>
        <v>2.8832256288757025E-3</v>
      </c>
      <c r="L166" s="43">
        <f t="shared" si="20"/>
        <v>0.3575199779805871</v>
      </c>
      <c r="M166" s="43"/>
    </row>
    <row r="167" spans="1:13" x14ac:dyDescent="0.3">
      <c r="A167" s="52">
        <v>0.33410000000000001</v>
      </c>
      <c r="B167" s="51">
        <f t="shared" si="15"/>
        <v>334.1</v>
      </c>
      <c r="C167" s="56">
        <v>125</v>
      </c>
      <c r="F167" s="52">
        <f t="shared" si="16"/>
        <v>-1.0963149296194261</v>
      </c>
      <c r="G167" s="53">
        <f t="shared" si="17"/>
        <v>5.8114403493627105</v>
      </c>
      <c r="H167" s="46">
        <f t="shared" si="18"/>
        <v>2.511616225040814E-3</v>
      </c>
      <c r="I167" s="43"/>
      <c r="J167" s="43">
        <f t="shared" si="14"/>
        <v>124.7431372500854</v>
      </c>
      <c r="K167" s="43">
        <f t="shared" si="19"/>
        <v>2.0549019993168259E-3</v>
      </c>
      <c r="L167" s="43">
        <f t="shared" si="20"/>
        <v>0.25686274991460323</v>
      </c>
      <c r="M167" s="43"/>
    </row>
    <row r="168" spans="1:13" x14ac:dyDescent="0.3">
      <c r="A168" s="52">
        <v>0.32529999999999998</v>
      </c>
      <c r="B168" s="51">
        <f t="shared" si="15"/>
        <v>325.29999999999995</v>
      </c>
      <c r="C168" s="56">
        <v>126</v>
      </c>
      <c r="F168" s="52">
        <f t="shared" si="16"/>
        <v>-1.1230074455028314</v>
      </c>
      <c r="G168" s="53">
        <f t="shared" si="17"/>
        <v>5.7847478334793054</v>
      </c>
      <c r="H168" s="46">
        <f t="shared" si="18"/>
        <v>2.5053238131028436E-3</v>
      </c>
      <c r="I168" s="43"/>
      <c r="J168" s="43">
        <f t="shared" si="14"/>
        <v>125.81907333750502</v>
      </c>
      <c r="K168" s="43">
        <f t="shared" si="19"/>
        <v>1.4359258928173238E-3</v>
      </c>
      <c r="L168" s="43">
        <f t="shared" si="20"/>
        <v>0.18092666249498279</v>
      </c>
      <c r="M168" s="43"/>
    </row>
    <row r="169" spans="1:13" x14ac:dyDescent="0.3">
      <c r="A169" s="52">
        <v>0.31669999999999998</v>
      </c>
      <c r="B169" s="51">
        <f t="shared" si="15"/>
        <v>316.7</v>
      </c>
      <c r="C169" s="56">
        <v>127</v>
      </c>
      <c r="F169" s="52">
        <f t="shared" si="16"/>
        <v>-1.1498003254375431</v>
      </c>
      <c r="G169" s="53">
        <f t="shared" si="17"/>
        <v>5.7579549535445942</v>
      </c>
      <c r="H169" s="46">
        <f t="shared" si="18"/>
        <v>2.4990628514307135E-3</v>
      </c>
      <c r="I169" s="43"/>
      <c r="J169" s="43">
        <f t="shared" si="14"/>
        <v>126.90492257907249</v>
      </c>
      <c r="K169" s="43">
        <f t="shared" si="19"/>
        <v>7.4864110966542982E-4</v>
      </c>
      <c r="L169" s="43">
        <f t="shared" si="20"/>
        <v>9.5077420927509593E-2</v>
      </c>
      <c r="M169" s="43"/>
    </row>
    <row r="170" spans="1:13" x14ac:dyDescent="0.3">
      <c r="A170" s="52">
        <v>0.30830000000000002</v>
      </c>
      <c r="B170" s="51">
        <f t="shared" si="15"/>
        <v>308.3</v>
      </c>
      <c r="C170" s="56">
        <v>128</v>
      </c>
      <c r="F170" s="52">
        <f t="shared" si="16"/>
        <v>-1.1766819440900322</v>
      </c>
      <c r="G170" s="53">
        <f t="shared" si="17"/>
        <v>5.7310733348921046</v>
      </c>
      <c r="H170" s="46">
        <f t="shared" si="18"/>
        <v>2.4928331048236323E-3</v>
      </c>
      <c r="I170" s="43"/>
      <c r="J170" s="43">
        <f t="shared" si="14"/>
        <v>128.00032441878022</v>
      </c>
      <c r="K170" s="43">
        <f t="shared" si="19"/>
        <v>2.534521720498617E-6</v>
      </c>
      <c r="L170" s="43">
        <f t="shared" si="20"/>
        <v>3.2441878022382298E-4</v>
      </c>
      <c r="M170" s="43"/>
    </row>
    <row r="171" spans="1:13" x14ac:dyDescent="0.3">
      <c r="A171" s="52">
        <v>0.30020000000000002</v>
      </c>
      <c r="B171" s="51">
        <f t="shared" si="15"/>
        <v>300.20000000000005</v>
      </c>
      <c r="C171" s="56">
        <v>129</v>
      </c>
      <c r="F171" s="52">
        <f t="shared" si="16"/>
        <v>-1.2033063597827753</v>
      </c>
      <c r="G171" s="53">
        <f t="shared" si="17"/>
        <v>5.7044489191993621</v>
      </c>
      <c r="H171" s="46">
        <f t="shared" si="18"/>
        <v>2.4866343404202412E-3</v>
      </c>
      <c r="I171" s="43"/>
      <c r="J171" s="43">
        <f t="shared" si="14"/>
        <v>129.0911744312138</v>
      </c>
      <c r="K171" s="43">
        <f t="shared" si="19"/>
        <v>7.0677853654109457E-4</v>
      </c>
      <c r="L171" s="43">
        <f t="shared" si="20"/>
        <v>9.1174431213801199E-2</v>
      </c>
      <c r="M171" s="43"/>
    </row>
    <row r="172" spans="1:13" x14ac:dyDescent="0.3">
      <c r="A172" s="52">
        <v>0.29239999999999999</v>
      </c>
      <c r="B172" s="51">
        <f t="shared" si="15"/>
        <v>292.39999999999998</v>
      </c>
      <c r="C172" s="56">
        <v>130</v>
      </c>
      <c r="F172" s="52">
        <f t="shared" si="16"/>
        <v>-1.2296325511065136</v>
      </c>
      <c r="G172" s="53">
        <f t="shared" si="17"/>
        <v>5.678122727875623</v>
      </c>
      <c r="H172" s="46">
        <f t="shared" si="18"/>
        <v>2.4804663276696021E-3</v>
      </c>
      <c r="I172" s="43"/>
      <c r="J172" s="43">
        <f t="shared" si="14"/>
        <v>130.17565478409824</v>
      </c>
      <c r="K172" s="43">
        <f t="shared" si="19"/>
        <v>1.3511906469095545E-3</v>
      </c>
      <c r="L172" s="43">
        <f t="shared" si="20"/>
        <v>0.17565478409824209</v>
      </c>
      <c r="M172" s="43"/>
    </row>
    <row r="173" spans="1:13" x14ac:dyDescent="0.3">
      <c r="A173" s="52">
        <v>0.2848</v>
      </c>
      <c r="B173" s="51">
        <f t="shared" si="15"/>
        <v>284.8</v>
      </c>
      <c r="C173" s="56">
        <v>131</v>
      </c>
      <c r="F173" s="52">
        <f t="shared" si="16"/>
        <v>-1.2559680994443163</v>
      </c>
      <c r="G173" s="53">
        <f t="shared" si="17"/>
        <v>5.6517871795378207</v>
      </c>
      <c r="H173" s="46">
        <f t="shared" si="18"/>
        <v>2.4743288383026105E-3</v>
      </c>
      <c r="I173" s="43"/>
      <c r="J173" s="43">
        <f t="shared" si="14"/>
        <v>131.26638725402705</v>
      </c>
      <c r="K173" s="43">
        <f t="shared" si="19"/>
        <v>2.0334904887561204E-3</v>
      </c>
      <c r="L173" s="43">
        <f t="shared" si="20"/>
        <v>0.26638725402705177</v>
      </c>
      <c r="M173" s="43"/>
    </row>
    <row r="174" spans="1:13" x14ac:dyDescent="0.3">
      <c r="A174" s="52">
        <v>0.27739999999999998</v>
      </c>
      <c r="B174" s="51">
        <f t="shared" si="15"/>
        <v>277.39999999999998</v>
      </c>
      <c r="C174" s="56">
        <v>132</v>
      </c>
      <c r="F174" s="52">
        <f t="shared" si="16"/>
        <v>-1.2822947711014059</v>
      </c>
      <c r="G174" s="53">
        <f t="shared" si="17"/>
        <v>5.6254605078807307</v>
      </c>
      <c r="H174" s="46">
        <f t="shared" si="18"/>
        <v>2.4682216463038382E-3</v>
      </c>
      <c r="I174" s="43"/>
      <c r="J174" s="43">
        <f t="shared" si="14"/>
        <v>132.36266452020772</v>
      </c>
      <c r="K174" s="43">
        <f t="shared" si="19"/>
        <v>2.7474584864220883E-3</v>
      </c>
      <c r="L174" s="43">
        <f t="shared" si="20"/>
        <v>0.36266452020771567</v>
      </c>
      <c r="M174" s="43"/>
    </row>
    <row r="175" spans="1:13" x14ac:dyDescent="0.3">
      <c r="A175" s="52">
        <v>0.2702</v>
      </c>
      <c r="B175" s="51">
        <f t="shared" si="15"/>
        <v>270.2</v>
      </c>
      <c r="C175" s="56">
        <v>133</v>
      </c>
      <c r="F175" s="52">
        <f t="shared" si="16"/>
        <v>-1.3085928534560385</v>
      </c>
      <c r="G175" s="53">
        <f t="shared" si="17"/>
        <v>5.5991624255260986</v>
      </c>
      <c r="H175" s="46">
        <f t="shared" si="18"/>
        <v>2.4621445278837869E-3</v>
      </c>
      <c r="I175" s="43"/>
      <c r="J175" s="43">
        <f t="shared" si="14"/>
        <v>133.4637012208388</v>
      </c>
      <c r="K175" s="43">
        <f t="shared" si="19"/>
        <v>3.4864753446526321E-3</v>
      </c>
      <c r="L175" s="43">
        <f t="shared" si="20"/>
        <v>0.46370122083880005</v>
      </c>
      <c r="M175" s="43"/>
    </row>
    <row r="176" spans="1:13" x14ac:dyDescent="0.3">
      <c r="A176" s="52">
        <v>0.26329999999999998</v>
      </c>
      <c r="B176" s="51">
        <f t="shared" si="15"/>
        <v>263.29999999999995</v>
      </c>
      <c r="C176" s="56">
        <v>134</v>
      </c>
      <c r="F176" s="52">
        <f t="shared" si="16"/>
        <v>-1.3344612124798734</v>
      </c>
      <c r="G176" s="53">
        <f t="shared" si="17"/>
        <v>5.5732940665022639</v>
      </c>
      <c r="H176" s="46">
        <f t="shared" si="18"/>
        <v>2.4560972614515535E-3</v>
      </c>
      <c r="I176" s="43"/>
      <c r="J176" s="43">
        <f t="shared" si="14"/>
        <v>134.5525953295641</v>
      </c>
      <c r="K176" s="43">
        <f t="shared" si="19"/>
        <v>4.123845743015663E-3</v>
      </c>
      <c r="L176" s="43">
        <f t="shared" si="20"/>
        <v>0.55259532956409885</v>
      </c>
      <c r="M176" s="43"/>
    </row>
    <row r="177" spans="1:13" x14ac:dyDescent="0.3">
      <c r="A177" s="52">
        <v>0.25650000000000001</v>
      </c>
      <c r="B177" s="51">
        <f t="shared" si="15"/>
        <v>256.5</v>
      </c>
      <c r="C177" s="56">
        <v>135</v>
      </c>
      <c r="F177" s="52">
        <f t="shared" si="16"/>
        <v>-1.3606266143713128</v>
      </c>
      <c r="G177" s="53">
        <f t="shared" si="17"/>
        <v>5.547128664610824</v>
      </c>
      <c r="H177" s="46">
        <f t="shared" si="18"/>
        <v>2.4500796275878966E-3</v>
      </c>
      <c r="I177" s="43"/>
      <c r="J177" s="43">
        <f t="shared" si="14"/>
        <v>135.65994203683368</v>
      </c>
      <c r="K177" s="43">
        <f t="shared" si="19"/>
        <v>4.8884595321013607E-3</v>
      </c>
      <c r="L177" s="43">
        <f t="shared" si="20"/>
        <v>0.65994203683368369</v>
      </c>
      <c r="M177" s="43"/>
    </row>
    <row r="178" spans="1:13" x14ac:dyDescent="0.3">
      <c r="A178" s="52">
        <v>0.25</v>
      </c>
      <c r="B178" s="51">
        <f t="shared" si="15"/>
        <v>250</v>
      </c>
      <c r="C178" s="56">
        <v>136</v>
      </c>
      <c r="F178" s="52">
        <f t="shared" si="16"/>
        <v>-1.3862943611198906</v>
      </c>
      <c r="G178" s="53">
        <f t="shared" si="17"/>
        <v>5.521460917862246</v>
      </c>
      <c r="H178" s="46">
        <f t="shared" si="18"/>
        <v>2.4440914090186976E-3</v>
      </c>
      <c r="I178" s="43"/>
      <c r="J178" s="43">
        <f t="shared" si="14"/>
        <v>136.75208780882252</v>
      </c>
      <c r="K178" s="43">
        <f t="shared" si="19"/>
        <v>5.5300574178126704E-3</v>
      </c>
      <c r="L178" s="43">
        <f t="shared" si="20"/>
        <v>0.75208780882252313</v>
      </c>
      <c r="M178" s="43"/>
    </row>
    <row r="179" spans="1:13" x14ac:dyDescent="0.3">
      <c r="A179" s="52">
        <v>0.2437</v>
      </c>
      <c r="B179" s="51">
        <f t="shared" si="15"/>
        <v>243.7</v>
      </c>
      <c r="C179" s="56">
        <v>137</v>
      </c>
      <c r="F179" s="52">
        <f t="shared" si="16"/>
        <v>-1.4118173183509766</v>
      </c>
      <c r="G179" s="53">
        <f t="shared" si="17"/>
        <v>5.4959379606311609</v>
      </c>
      <c r="H179" s="46">
        <f t="shared" si="18"/>
        <v>2.4381323905888091E-3</v>
      </c>
      <c r="I179" s="43"/>
      <c r="J179" s="43">
        <f t="shared" si="14"/>
        <v>137.84387439919141</v>
      </c>
      <c r="K179" s="43">
        <f t="shared" si="19"/>
        <v>6.1596671473825304E-3</v>
      </c>
      <c r="L179" s="43">
        <f t="shared" si="20"/>
        <v>0.84387439919140661</v>
      </c>
      <c r="M179" s="43"/>
    </row>
    <row r="180" spans="1:13" x14ac:dyDescent="0.3">
      <c r="A180" s="52">
        <v>0.23749999999999999</v>
      </c>
      <c r="B180" s="51">
        <f t="shared" si="15"/>
        <v>237.5</v>
      </c>
      <c r="C180" s="56">
        <v>138</v>
      </c>
      <c r="F180" s="52">
        <f t="shared" si="16"/>
        <v>-1.4375876555074412</v>
      </c>
      <c r="G180" s="53">
        <f t="shared" si="17"/>
        <v>5.4701676234746959</v>
      </c>
      <c r="H180" s="46">
        <f t="shared" si="18"/>
        <v>2.4322023592362888E-3</v>
      </c>
      <c r="I180" s="43"/>
      <c r="J180" s="43">
        <f t="shared" si="14"/>
        <v>138.95215982948014</v>
      </c>
      <c r="K180" s="43">
        <f t="shared" si="19"/>
        <v>6.8997089092763617E-3</v>
      </c>
      <c r="L180" s="43">
        <f t="shared" si="20"/>
        <v>0.95215982948013789</v>
      </c>
      <c r="M180" s="43"/>
    </row>
    <row r="181" spans="1:13" x14ac:dyDescent="0.3">
      <c r="A181" s="52">
        <v>0.2316</v>
      </c>
      <c r="B181" s="51">
        <f t="shared" si="15"/>
        <v>231.6</v>
      </c>
      <c r="C181" s="56">
        <v>139</v>
      </c>
      <c r="F181" s="52">
        <f t="shared" si="16"/>
        <v>-1.462743533283297</v>
      </c>
      <c r="G181" s="53">
        <f t="shared" si="17"/>
        <v>5.4450117456988405</v>
      </c>
      <c r="H181" s="46">
        <f t="shared" si="18"/>
        <v>2.4263011039670026E-3</v>
      </c>
      <c r="I181" s="43"/>
      <c r="J181" s="43">
        <f t="shared" si="14"/>
        <v>140.03980000770764</v>
      </c>
      <c r="K181" s="43">
        <f t="shared" si="19"/>
        <v>7.4805755950189956E-3</v>
      </c>
      <c r="L181" s="43">
        <f t="shared" si="20"/>
        <v>1.0398000077076404</v>
      </c>
      <c r="M181" s="43"/>
    </row>
    <row r="182" spans="1:13" x14ac:dyDescent="0.3">
      <c r="A182" s="52">
        <v>0.2258</v>
      </c>
      <c r="B182" s="51">
        <f t="shared" si="15"/>
        <v>225.8</v>
      </c>
      <c r="C182" s="56">
        <v>140</v>
      </c>
      <c r="F182" s="52">
        <f t="shared" si="16"/>
        <v>-1.4881056272665754</v>
      </c>
      <c r="G182" s="53">
        <f t="shared" si="17"/>
        <v>5.4196496517155621</v>
      </c>
      <c r="H182" s="46">
        <f t="shared" si="18"/>
        <v>2.4204284158296022E-3</v>
      </c>
      <c r="I182" s="43"/>
      <c r="J182" s="43">
        <f t="shared" si="14"/>
        <v>141.14218355482399</v>
      </c>
      <c r="K182" s="43">
        <f t="shared" si="19"/>
        <v>8.1584539630284777E-3</v>
      </c>
      <c r="L182" s="43">
        <f t="shared" si="20"/>
        <v>1.1421835548239869</v>
      </c>
      <c r="M182" s="43"/>
    </row>
    <row r="183" spans="1:13" x14ac:dyDescent="0.3">
      <c r="A183" s="52">
        <v>0.22020000000000001</v>
      </c>
      <c r="B183" s="51">
        <f t="shared" si="15"/>
        <v>220.20000000000002</v>
      </c>
      <c r="C183" s="56">
        <v>141</v>
      </c>
      <c r="F183" s="52">
        <f t="shared" si="16"/>
        <v>-1.5132190546935573</v>
      </c>
      <c r="G183" s="53">
        <f t="shared" si="17"/>
        <v>5.3945362242885793</v>
      </c>
      <c r="H183" s="46">
        <f t="shared" si="18"/>
        <v>2.4145840878908608E-3</v>
      </c>
      <c r="I183" s="43"/>
      <c r="J183" s="43">
        <f t="shared" si="14"/>
        <v>142.23957001963851</v>
      </c>
      <c r="K183" s="43">
        <f t="shared" si="19"/>
        <v>8.791276735024868E-3</v>
      </c>
      <c r="L183" s="43">
        <f t="shared" si="20"/>
        <v>1.2395700196385064</v>
      </c>
      <c r="M183" s="43"/>
    </row>
    <row r="184" spans="1:13" x14ac:dyDescent="0.3">
      <c r="A184" s="52">
        <v>0.21479999999999999</v>
      </c>
      <c r="B184" s="51">
        <f t="shared" si="15"/>
        <v>214.79999999999998</v>
      </c>
      <c r="C184" s="56">
        <v>142</v>
      </c>
      <c r="F184" s="52">
        <f t="shared" si="16"/>
        <v>-1.5380479163474274</v>
      </c>
      <c r="G184" s="53">
        <f t="shared" si="17"/>
        <v>5.3697073626347098</v>
      </c>
      <c r="H184" s="46">
        <f t="shared" si="18"/>
        <v>2.4087679152113694E-3</v>
      </c>
      <c r="I184" s="43"/>
      <c r="J184" s="43">
        <f t="shared" si="14"/>
        <v>143.33025188804226</v>
      </c>
      <c r="K184" s="43">
        <f t="shared" si="19"/>
        <v>9.3679710425510938E-3</v>
      </c>
      <c r="L184" s="43">
        <f t="shared" si="20"/>
        <v>1.3302518880422554</v>
      </c>
      <c r="M184" s="43"/>
    </row>
    <row r="185" spans="1:13" x14ac:dyDescent="0.3">
      <c r="A185" s="52">
        <v>0.20949999999999999</v>
      </c>
      <c r="B185" s="51">
        <f t="shared" si="15"/>
        <v>209.5</v>
      </c>
      <c r="C185" s="56">
        <v>143</v>
      </c>
      <c r="F185" s="52">
        <f t="shared" si="16"/>
        <v>-1.5630315396199446</v>
      </c>
      <c r="G185" s="53">
        <f t="shared" si="17"/>
        <v>5.344723739362192</v>
      </c>
      <c r="H185" s="46">
        <f t="shared" si="18"/>
        <v>2.4029796948215787E-3</v>
      </c>
      <c r="I185" s="43"/>
      <c r="J185" s="43">
        <f t="shared" si="14"/>
        <v>144.43352867217192</v>
      </c>
      <c r="K185" s="43">
        <f t="shared" si="19"/>
        <v>1.0024676029174246E-2</v>
      </c>
      <c r="L185" s="43">
        <f t="shared" si="20"/>
        <v>1.4335286721719172</v>
      </c>
      <c r="M185" s="43"/>
    </row>
    <row r="186" spans="1:13" x14ac:dyDescent="0.3">
      <c r="A186" s="52">
        <v>0.2044</v>
      </c>
      <c r="B186" s="51">
        <f t="shared" si="15"/>
        <v>204.4</v>
      </c>
      <c r="C186" s="56">
        <v>144</v>
      </c>
      <c r="F186" s="52">
        <f t="shared" si="16"/>
        <v>-1.5876764206525877</v>
      </c>
      <c r="G186" s="53">
        <f t="shared" si="17"/>
        <v>5.3200788583295493</v>
      </c>
      <c r="H186" s="46">
        <f t="shared" si="18"/>
        <v>2.3972192256981901E-3</v>
      </c>
      <c r="I186" s="43"/>
      <c r="J186" s="43">
        <f t="shared" si="14"/>
        <v>145.52758853023101</v>
      </c>
      <c r="K186" s="43">
        <f t="shared" si="19"/>
        <v>1.0608253682159821E-2</v>
      </c>
      <c r="L186" s="43">
        <f t="shared" si="20"/>
        <v>1.5275885302310144</v>
      </c>
      <c r="M186" s="43"/>
    </row>
    <row r="187" spans="1:13" x14ac:dyDescent="0.3">
      <c r="A187" s="52">
        <v>0.19939999999999999</v>
      </c>
      <c r="B187" s="51">
        <f t="shared" si="15"/>
        <v>199.4</v>
      </c>
      <c r="C187" s="56">
        <v>145</v>
      </c>
      <c r="F187" s="52">
        <f t="shared" si="16"/>
        <v>-1.6124424214543991</v>
      </c>
      <c r="G187" s="53">
        <f t="shared" si="17"/>
        <v>5.2953128575277377</v>
      </c>
      <c r="H187" s="46">
        <f t="shared" si="18"/>
        <v>2.3914863087408826E-3</v>
      </c>
      <c r="I187" s="43"/>
      <c r="J187" s="43">
        <f t="shared" si="14"/>
        <v>146.6328156594281</v>
      </c>
      <c r="K187" s="43">
        <f t="shared" si="19"/>
        <v>1.1260797651228303E-2</v>
      </c>
      <c r="L187" s="43">
        <f t="shared" si="20"/>
        <v>1.632815659428104</v>
      </c>
      <c r="M187" s="43"/>
    </row>
    <row r="188" spans="1:13" x14ac:dyDescent="0.3">
      <c r="A188" s="52">
        <v>0.1946</v>
      </c>
      <c r="B188" s="51">
        <f t="shared" si="15"/>
        <v>194.6</v>
      </c>
      <c r="C188" s="56">
        <v>146</v>
      </c>
      <c r="F188" s="52">
        <f t="shared" si="16"/>
        <v>-1.6368091092302324</v>
      </c>
      <c r="G188" s="53">
        <f t="shared" si="17"/>
        <v>5.2709461697519044</v>
      </c>
      <c r="H188" s="46">
        <f t="shared" si="18"/>
        <v>2.3857807467493738E-3</v>
      </c>
      <c r="I188" s="43"/>
      <c r="J188" s="43">
        <f t="shared" si="14"/>
        <v>147.72593236107917</v>
      </c>
      <c r="K188" s="43">
        <f t="shared" si="19"/>
        <v>1.1821454527939547E-2</v>
      </c>
      <c r="L188" s="43">
        <f t="shared" si="20"/>
        <v>1.7259323610791739</v>
      </c>
      <c r="M188" s="43"/>
    </row>
    <row r="189" spans="1:13" x14ac:dyDescent="0.3">
      <c r="A189" s="52">
        <v>0.19</v>
      </c>
      <c r="B189" s="51">
        <f t="shared" si="15"/>
        <v>190</v>
      </c>
      <c r="C189" s="56">
        <v>147</v>
      </c>
      <c r="F189" s="52">
        <f t="shared" si="16"/>
        <v>-1.6607312068216509</v>
      </c>
      <c r="G189" s="53">
        <f t="shared" si="17"/>
        <v>5.2470240721604862</v>
      </c>
      <c r="H189" s="46">
        <f t="shared" si="18"/>
        <v>2.3801023444008093E-3</v>
      </c>
      <c r="I189" s="43"/>
      <c r="J189" s="43">
        <f t="shared" si="14"/>
        <v>148.80465654916657</v>
      </c>
      <c r="K189" s="43">
        <f t="shared" si="19"/>
        <v>1.2276575164398408E-2</v>
      </c>
      <c r="L189" s="43">
        <f t="shared" si="20"/>
        <v>1.804656549166566</v>
      </c>
      <c r="M189" s="43"/>
    </row>
    <row r="190" spans="1:13" x14ac:dyDescent="0.3">
      <c r="A190" s="52">
        <v>0.1855</v>
      </c>
      <c r="B190" s="51">
        <f t="shared" si="15"/>
        <v>185.5</v>
      </c>
      <c r="C190" s="56">
        <v>148</v>
      </c>
      <c r="F190" s="52">
        <f t="shared" si="16"/>
        <v>-1.6847003969346472</v>
      </c>
      <c r="G190" s="53">
        <f t="shared" si="17"/>
        <v>5.2230548820474896</v>
      </c>
      <c r="H190" s="46">
        <f t="shared" si="18"/>
        <v>2.3744509082274726E-3</v>
      </c>
      <c r="I190" s="43"/>
      <c r="J190" s="43">
        <f t="shared" si="14"/>
        <v>149.89106454697645</v>
      </c>
      <c r="K190" s="43">
        <f t="shared" si="19"/>
        <v>1.2777463155246296E-2</v>
      </c>
      <c r="L190" s="43">
        <f t="shared" si="20"/>
        <v>1.8910645469764518</v>
      </c>
      <c r="M190" s="43"/>
    </row>
    <row r="191" spans="1:13" x14ac:dyDescent="0.3">
      <c r="A191" s="52">
        <v>0.18110000000000001</v>
      </c>
      <c r="B191" s="51">
        <f t="shared" si="15"/>
        <v>181.10000000000002</v>
      </c>
      <c r="C191" s="56">
        <v>149</v>
      </c>
      <c r="F191" s="52">
        <f t="shared" si="16"/>
        <v>-1.7087059140927694</v>
      </c>
      <c r="G191" s="53">
        <f t="shared" si="17"/>
        <v>5.1990493648893681</v>
      </c>
      <c r="H191" s="46">
        <f t="shared" si="18"/>
        <v>2.3688262465948124E-3</v>
      </c>
      <c r="I191" s="43"/>
      <c r="J191" s="43">
        <f t="shared" si="14"/>
        <v>150.98474065135338</v>
      </c>
      <c r="K191" s="43">
        <f t="shared" si="19"/>
        <v>1.3320407056062933E-2</v>
      </c>
      <c r="L191" s="43">
        <f t="shared" si="20"/>
        <v>1.984740651353377</v>
      </c>
      <c r="M191" s="43"/>
    </row>
    <row r="192" spans="1:13" x14ac:dyDescent="0.3">
      <c r="A192" s="52">
        <v>0.1769</v>
      </c>
      <c r="B192" s="51">
        <f t="shared" si="15"/>
        <v>176.9</v>
      </c>
      <c r="C192" s="56">
        <v>150</v>
      </c>
      <c r="F192" s="52">
        <f t="shared" si="16"/>
        <v>-1.7321706778163974</v>
      </c>
      <c r="G192" s="53">
        <f t="shared" si="17"/>
        <v>5.17558460116574</v>
      </c>
      <c r="H192" s="46">
        <f t="shared" si="18"/>
        <v>2.3632281696797826E-3</v>
      </c>
      <c r="I192" s="43"/>
      <c r="J192" s="43">
        <f t="shared" si="14"/>
        <v>152.05925947816638</v>
      </c>
      <c r="K192" s="43">
        <f t="shared" si="19"/>
        <v>1.3728396521109213E-2</v>
      </c>
      <c r="L192" s="43">
        <f t="shared" si="20"/>
        <v>2.059259478166382</v>
      </c>
      <c r="M192" s="43"/>
    </row>
    <row r="193" spans="1:13" x14ac:dyDescent="0.3">
      <c r="A193" s="52">
        <v>0.17280000000000001</v>
      </c>
      <c r="B193" s="51">
        <f t="shared" si="15"/>
        <v>172.8</v>
      </c>
      <c r="C193" s="56">
        <v>151</v>
      </c>
      <c r="F193" s="52">
        <f t="shared" si="16"/>
        <v>-1.7556204226121817</v>
      </c>
      <c r="G193" s="53">
        <f t="shared" si="17"/>
        <v>5.1521348563699556</v>
      </c>
      <c r="H193" s="46">
        <f t="shared" si="18"/>
        <v>2.3576564894494875E-3</v>
      </c>
      <c r="I193" s="43"/>
      <c r="J193" s="43">
        <f t="shared" si="14"/>
        <v>153.1385435776275</v>
      </c>
      <c r="K193" s="43">
        <f t="shared" si="19"/>
        <v>1.4162540249188752E-2</v>
      </c>
      <c r="L193" s="43">
        <f t="shared" si="20"/>
        <v>2.1385435776275017</v>
      </c>
      <c r="M193" s="43"/>
    </row>
    <row r="194" spans="1:13" x14ac:dyDescent="0.3">
      <c r="A194" s="52">
        <v>0.16880000000000001</v>
      </c>
      <c r="B194" s="51">
        <f t="shared" si="15"/>
        <v>168.8</v>
      </c>
      <c r="C194" s="56">
        <v>152</v>
      </c>
      <c r="F194" s="52">
        <f t="shared" si="16"/>
        <v>-1.7790406968202803</v>
      </c>
      <c r="G194" s="53">
        <f t="shared" si="17"/>
        <v>5.1287145821618569</v>
      </c>
      <c r="H194" s="46">
        <f t="shared" si="18"/>
        <v>2.3521110196401272E-3</v>
      </c>
      <c r="I194" s="43"/>
      <c r="J194" s="43">
        <f t="shared" ref="J194:J242" si="21">(1/(O$3+LN(A194)*N$3))-273.15</f>
        <v>154.22195382446955</v>
      </c>
      <c r="K194" s="43">
        <f t="shared" si="19"/>
        <v>1.4618117266247049E-2</v>
      </c>
      <c r="L194" s="43">
        <f t="shared" si="20"/>
        <v>2.2219538244695514</v>
      </c>
      <c r="M194" s="43"/>
    </row>
    <row r="195" spans="1:13" x14ac:dyDescent="0.3">
      <c r="A195" s="52">
        <v>0.16500000000000001</v>
      </c>
      <c r="B195" s="51">
        <f t="shared" ref="B195:B242" si="22">A195*1000</f>
        <v>165</v>
      </c>
      <c r="C195" s="56">
        <v>153</v>
      </c>
      <c r="F195" s="52">
        <f t="shared" ref="F195:F242" si="23">LN(A195)</f>
        <v>-1.8018098050815563</v>
      </c>
      <c r="G195" s="53">
        <f t="shared" ref="G195:G242" si="24">LN(B195)</f>
        <v>5.1059454739005803</v>
      </c>
      <c r="H195" s="46">
        <f t="shared" ref="H195:H242" si="25">1/(C195+273.15)</f>
        <v>2.3465915757362433E-3</v>
      </c>
      <c r="I195" s="43"/>
      <c r="J195" s="43">
        <f t="shared" si="21"/>
        <v>155.28053395786628</v>
      </c>
      <c r="K195" s="43">
        <f t="shared" ref="K195:K242" si="26">ABS(J195-C195)/ABS(C195)</f>
        <v>1.4905450705008382E-2</v>
      </c>
      <c r="L195" s="43">
        <f t="shared" ref="L195:L242" si="27">ABS(J195-C195)</f>
        <v>2.2805339578662824</v>
      </c>
      <c r="M195" s="43"/>
    </row>
    <row r="196" spans="1:13" x14ac:dyDescent="0.3">
      <c r="A196" s="52">
        <v>0.16120000000000001</v>
      </c>
      <c r="B196" s="51">
        <f t="shared" si="22"/>
        <v>161.20000000000002</v>
      </c>
      <c r="C196" s="56">
        <v>154</v>
      </c>
      <c r="F196" s="52">
        <f t="shared" si="23"/>
        <v>-1.8251094489096091</v>
      </c>
      <c r="G196" s="53">
        <f t="shared" si="24"/>
        <v>5.0826458300725283</v>
      </c>
      <c r="H196" s="46">
        <f t="shared" si="25"/>
        <v>2.3410979749502519E-3</v>
      </c>
      <c r="I196" s="43"/>
      <c r="J196" s="43">
        <f t="shared" si="21"/>
        <v>156.36922233326976</v>
      </c>
      <c r="K196" s="43">
        <f t="shared" si="26"/>
        <v>1.5384560605647798E-2</v>
      </c>
      <c r="L196" s="43">
        <f t="shared" si="27"/>
        <v>2.3692223332697608</v>
      </c>
      <c r="M196" s="43"/>
    </row>
    <row r="197" spans="1:13" x14ac:dyDescent="0.3">
      <c r="A197" s="52">
        <v>0.15759999999999999</v>
      </c>
      <c r="B197" s="51">
        <f t="shared" si="22"/>
        <v>157.6</v>
      </c>
      <c r="C197" s="56">
        <v>155</v>
      </c>
      <c r="F197" s="52">
        <f t="shared" si="23"/>
        <v>-1.8476951015583583</v>
      </c>
      <c r="G197" s="53">
        <f t="shared" si="24"/>
        <v>5.0600601774237788</v>
      </c>
      <c r="H197" s="46">
        <f t="shared" si="25"/>
        <v>2.3356300362022656E-3</v>
      </c>
      <c r="I197" s="43"/>
      <c r="J197" s="43">
        <f t="shared" si="21"/>
        <v>157.42984334972039</v>
      </c>
      <c r="K197" s="43">
        <f t="shared" si="26"/>
        <v>1.5676408707873457E-2</v>
      </c>
      <c r="L197" s="43">
        <f t="shared" si="27"/>
        <v>2.429843349720386</v>
      </c>
      <c r="M197" s="43"/>
    </row>
    <row r="198" spans="1:13" x14ac:dyDescent="0.3">
      <c r="A198" s="52">
        <v>0.15409999999999999</v>
      </c>
      <c r="B198" s="51">
        <f t="shared" si="22"/>
        <v>154.1</v>
      </c>
      <c r="C198" s="56">
        <v>156</v>
      </c>
      <c r="F198" s="52">
        <f t="shared" si="23"/>
        <v>-1.8701535366560671</v>
      </c>
      <c r="G198" s="53">
        <f t="shared" si="24"/>
        <v>5.0376017423260704</v>
      </c>
      <c r="H198" s="46">
        <f t="shared" si="25"/>
        <v>2.3301875801001984E-3</v>
      </c>
      <c r="I198" s="43"/>
      <c r="J198" s="43">
        <f t="shared" si="21"/>
        <v>158.48969687671041</v>
      </c>
      <c r="K198" s="43">
        <f t="shared" si="26"/>
        <v>1.5959595363528277E-2</v>
      </c>
      <c r="L198" s="43">
        <f t="shared" si="27"/>
        <v>2.4896968767104113</v>
      </c>
      <c r="M198" s="43"/>
    </row>
    <row r="199" spans="1:13" x14ac:dyDescent="0.3">
      <c r="A199" s="52">
        <v>0.1507</v>
      </c>
      <c r="B199" s="51">
        <f t="shared" si="22"/>
        <v>150.69999999999999</v>
      </c>
      <c r="C199" s="56">
        <v>157</v>
      </c>
      <c r="F199" s="52">
        <f t="shared" si="23"/>
        <v>-1.8924641733496872</v>
      </c>
      <c r="G199" s="53">
        <f t="shared" si="24"/>
        <v>5.0152911056324498</v>
      </c>
      <c r="H199" s="46">
        <f t="shared" si="25"/>
        <v>2.3247704289201441E-3</v>
      </c>
      <c r="I199" s="43"/>
      <c r="J199" s="43">
        <f t="shared" si="21"/>
        <v>159.54775437207473</v>
      </c>
      <c r="K199" s="43">
        <f t="shared" si="26"/>
        <v>1.6227734853979204E-2</v>
      </c>
      <c r="L199" s="43">
        <f t="shared" si="27"/>
        <v>2.5477543720747349</v>
      </c>
      <c r="M199" s="43"/>
    </row>
    <row r="200" spans="1:13" x14ac:dyDescent="0.3">
      <c r="A200" s="52">
        <v>0.1474</v>
      </c>
      <c r="B200" s="51">
        <f t="shared" si="22"/>
        <v>147.4</v>
      </c>
      <c r="C200" s="56">
        <v>158</v>
      </c>
      <c r="F200" s="52">
        <f t="shared" si="23"/>
        <v>-1.9146052992269007</v>
      </c>
      <c r="G200" s="53">
        <f t="shared" si="24"/>
        <v>4.9931499797552359</v>
      </c>
      <c r="H200" s="46">
        <f t="shared" si="25"/>
        <v>2.3193784065870349E-3</v>
      </c>
      <c r="I200" s="43"/>
      <c r="J200" s="43">
        <f t="shared" si="21"/>
        <v>160.60291367219122</v>
      </c>
      <c r="K200" s="43">
        <f t="shared" si="26"/>
        <v>1.6474137165767223E-2</v>
      </c>
      <c r="L200" s="43">
        <f t="shared" si="27"/>
        <v>2.6029136721912209</v>
      </c>
      <c r="M200" s="43"/>
    </row>
    <row r="201" spans="1:13" x14ac:dyDescent="0.3">
      <c r="A201" s="52">
        <v>0.14410000000000001</v>
      </c>
      <c r="B201" s="51">
        <f t="shared" si="22"/>
        <v>144.1</v>
      </c>
      <c r="C201" s="56">
        <v>159</v>
      </c>
      <c r="F201" s="52">
        <f t="shared" si="23"/>
        <v>-1.9372477759766606</v>
      </c>
      <c r="G201" s="53">
        <f t="shared" si="24"/>
        <v>4.9705075030054759</v>
      </c>
      <c r="H201" s="46">
        <f t="shared" si="25"/>
        <v>2.3140113386555597E-3</v>
      </c>
      <c r="I201" s="43"/>
      <c r="J201" s="43">
        <f t="shared" si="21"/>
        <v>161.68730094244717</v>
      </c>
      <c r="K201" s="43">
        <f t="shared" si="26"/>
        <v>1.6901263788975888E-2</v>
      </c>
      <c r="L201" s="43">
        <f t="shared" si="27"/>
        <v>2.6873009424471661</v>
      </c>
      <c r="M201" s="43"/>
    </row>
    <row r="202" spans="1:13" x14ac:dyDescent="0.3">
      <c r="A202" s="52">
        <v>0.14099999999999999</v>
      </c>
      <c r="B202" s="51">
        <f t="shared" si="22"/>
        <v>141</v>
      </c>
      <c r="C202" s="56">
        <v>160</v>
      </c>
      <c r="F202" s="52">
        <f t="shared" si="23"/>
        <v>-1.9589953886039688</v>
      </c>
      <c r="G202" s="53">
        <f t="shared" si="24"/>
        <v>4.9487598903781684</v>
      </c>
      <c r="H202" s="46">
        <f t="shared" si="25"/>
        <v>2.3086690522913541E-3</v>
      </c>
      <c r="I202" s="43"/>
      <c r="J202" s="43">
        <f t="shared" si="21"/>
        <v>162.73394868314938</v>
      </c>
      <c r="K202" s="43">
        <f t="shared" si="26"/>
        <v>1.7087179269683617E-2</v>
      </c>
      <c r="L202" s="43">
        <f t="shared" si="27"/>
        <v>2.7339486831493787</v>
      </c>
      <c r="M202" s="43"/>
    </row>
    <row r="203" spans="1:13" x14ac:dyDescent="0.3">
      <c r="A203" s="52">
        <v>0.13789999999999999</v>
      </c>
      <c r="B203" s="51">
        <f t="shared" si="22"/>
        <v>137.9</v>
      </c>
      <c r="C203" s="56">
        <v>161</v>
      </c>
      <c r="F203" s="52">
        <f t="shared" si="23"/>
        <v>-1.981226494182881</v>
      </c>
      <c r="G203" s="53">
        <f t="shared" si="24"/>
        <v>4.926528784799256</v>
      </c>
      <c r="H203" s="46">
        <f t="shared" si="25"/>
        <v>2.3033513762524475E-3</v>
      </c>
      <c r="I203" s="43"/>
      <c r="J203" s="43">
        <f t="shared" si="21"/>
        <v>163.8090861484763</v>
      </c>
      <c r="K203" s="43">
        <f t="shared" si="26"/>
        <v>1.7447740052647806E-2</v>
      </c>
      <c r="L203" s="43">
        <f t="shared" si="27"/>
        <v>2.8090861484762968</v>
      </c>
      <c r="M203" s="43"/>
    </row>
    <row r="204" spans="1:13" x14ac:dyDescent="0.3">
      <c r="A204" s="52">
        <v>0.13500000000000001</v>
      </c>
      <c r="B204" s="51">
        <f t="shared" si="22"/>
        <v>135</v>
      </c>
      <c r="C204" s="56">
        <v>162</v>
      </c>
      <c r="F204" s="52">
        <f t="shared" si="23"/>
        <v>-2.0024805005437076</v>
      </c>
      <c r="G204" s="53">
        <f t="shared" si="24"/>
        <v>4.9052747784384296</v>
      </c>
      <c r="H204" s="46">
        <f t="shared" si="25"/>
        <v>2.2980581408709642E-3</v>
      </c>
      <c r="I204" s="43"/>
      <c r="J204" s="43">
        <f t="shared" si="21"/>
        <v>164.841940261616</v>
      </c>
      <c r="K204" s="43">
        <f t="shared" si="26"/>
        <v>1.7542841121086436E-2</v>
      </c>
      <c r="L204" s="43">
        <f t="shared" si="27"/>
        <v>2.8419402616160028</v>
      </c>
      <c r="M204" s="43"/>
    </row>
    <row r="205" spans="1:13" x14ac:dyDescent="0.3">
      <c r="A205" s="52">
        <v>0.1321</v>
      </c>
      <c r="B205" s="51">
        <f t="shared" si="22"/>
        <v>132.1</v>
      </c>
      <c r="C205" s="56">
        <v>163</v>
      </c>
      <c r="F205" s="52">
        <f t="shared" si="23"/>
        <v>-2.0241960674538575</v>
      </c>
      <c r="G205" s="53">
        <f t="shared" si="24"/>
        <v>4.8835592115282793</v>
      </c>
      <c r="H205" s="46">
        <f t="shared" si="25"/>
        <v>2.2927891780350797E-3</v>
      </c>
      <c r="I205" s="43"/>
      <c r="J205" s="43">
        <f t="shared" si="21"/>
        <v>165.90227944499475</v>
      </c>
      <c r="K205" s="43">
        <f t="shared" si="26"/>
        <v>1.780539536806593E-2</v>
      </c>
      <c r="L205" s="43">
        <f t="shared" si="27"/>
        <v>2.9022794449947469</v>
      </c>
      <c r="M205" s="43"/>
    </row>
    <row r="206" spans="1:13" x14ac:dyDescent="0.3">
      <c r="A206" s="52">
        <v>0.1293</v>
      </c>
      <c r="B206" s="51">
        <f t="shared" si="22"/>
        <v>129.30000000000001</v>
      </c>
      <c r="C206" s="56">
        <v>164</v>
      </c>
      <c r="F206" s="52">
        <f t="shared" si="23"/>
        <v>-2.0456199932043253</v>
      </c>
      <c r="G206" s="53">
        <f t="shared" si="24"/>
        <v>4.8621352857778115</v>
      </c>
      <c r="H206" s="46">
        <f t="shared" si="25"/>
        <v>2.2875443211712227E-3</v>
      </c>
      <c r="I206" s="43"/>
      <c r="J206" s="43">
        <f t="shared" si="21"/>
        <v>166.95342127520689</v>
      </c>
      <c r="K206" s="43">
        <f t="shared" si="26"/>
        <v>1.8008666312237149E-2</v>
      </c>
      <c r="L206" s="43">
        <f t="shared" si="27"/>
        <v>2.9534212752068925</v>
      </c>
      <c r="M206" s="43"/>
    </row>
    <row r="207" spans="1:13" x14ac:dyDescent="0.3">
      <c r="A207" s="56">
        <v>0.1265</v>
      </c>
      <c r="B207" s="51">
        <f t="shared" si="22"/>
        <v>126.5</v>
      </c>
      <c r="C207" s="56">
        <v>165</v>
      </c>
      <c r="F207" s="52">
        <f t="shared" si="23"/>
        <v>-2.0675129708145623</v>
      </c>
      <c r="G207" s="53">
        <f t="shared" si="24"/>
        <v>4.8402423081675749</v>
      </c>
      <c r="H207" s="46">
        <f t="shared" si="25"/>
        <v>2.2823234052265209E-3</v>
      </c>
      <c r="I207" s="43"/>
      <c r="J207" s="43">
        <f t="shared" si="21"/>
        <v>168.0327889887655</v>
      </c>
      <c r="K207" s="43">
        <f t="shared" si="26"/>
        <v>1.8380539325851535E-2</v>
      </c>
      <c r="L207" s="43">
        <f t="shared" si="27"/>
        <v>3.0327889887655033</v>
      </c>
      <c r="M207" s="43"/>
    </row>
    <row r="208" spans="1:13" x14ac:dyDescent="0.3">
      <c r="A208" s="56">
        <v>0.1239</v>
      </c>
      <c r="B208" s="51">
        <f t="shared" si="22"/>
        <v>123.89999999999999</v>
      </c>
      <c r="C208" s="56">
        <v>166</v>
      </c>
      <c r="F208" s="52">
        <f t="shared" si="23"/>
        <v>-2.0882804903470404</v>
      </c>
      <c r="G208" s="53">
        <f t="shared" si="24"/>
        <v>4.8194747886350964</v>
      </c>
      <c r="H208" s="46">
        <f t="shared" si="25"/>
        <v>2.277126266651486E-3</v>
      </c>
      <c r="I208" s="43"/>
      <c r="J208" s="43">
        <f t="shared" si="21"/>
        <v>169.06157388151956</v>
      </c>
      <c r="K208" s="43">
        <f t="shared" si="26"/>
        <v>1.8443216153732313E-2</v>
      </c>
      <c r="L208" s="43">
        <f t="shared" si="27"/>
        <v>3.0615738815195641</v>
      </c>
      <c r="M208" s="43"/>
    </row>
    <row r="209" spans="1:13" x14ac:dyDescent="0.3">
      <c r="A209" s="56">
        <v>0.12130000000000001</v>
      </c>
      <c r="B209" s="51">
        <f t="shared" si="22"/>
        <v>121.30000000000001</v>
      </c>
      <c r="C209" s="56">
        <v>167</v>
      </c>
      <c r="F209" s="52">
        <f t="shared" si="23"/>
        <v>-2.1094884630321324</v>
      </c>
      <c r="G209" s="53">
        <f t="shared" si="24"/>
        <v>4.7982668159500044</v>
      </c>
      <c r="H209" s="46">
        <f t="shared" si="25"/>
        <v>2.2719527433829379E-3</v>
      </c>
      <c r="I209" s="43"/>
      <c r="J209" s="43">
        <f t="shared" si="21"/>
        <v>170.11714155928297</v>
      </c>
      <c r="K209" s="43">
        <f t="shared" si="26"/>
        <v>1.8665518319059701E-2</v>
      </c>
      <c r="L209" s="43">
        <f t="shared" si="27"/>
        <v>3.1171415592829703</v>
      </c>
      <c r="M209" s="43"/>
    </row>
    <row r="210" spans="1:13" x14ac:dyDescent="0.3">
      <c r="A210" s="56">
        <v>0.1187</v>
      </c>
      <c r="B210" s="51">
        <f t="shared" si="22"/>
        <v>118.7</v>
      </c>
      <c r="C210" s="56">
        <v>168</v>
      </c>
      <c r="F210" s="52">
        <f t="shared" si="23"/>
        <v>-2.1311559773665145</v>
      </c>
      <c r="G210" s="53">
        <f t="shared" si="24"/>
        <v>4.7765993016156223</v>
      </c>
      <c r="H210" s="46">
        <f t="shared" si="25"/>
        <v>2.2668026748271564E-3</v>
      </c>
      <c r="I210" s="43"/>
      <c r="J210" s="43">
        <f t="shared" si="21"/>
        <v>171.20079865868803</v>
      </c>
      <c r="K210" s="43">
        <f t="shared" si="26"/>
        <v>1.9052372968381127E-2</v>
      </c>
      <c r="L210" s="43">
        <f t="shared" si="27"/>
        <v>3.2007986586880293</v>
      </c>
      <c r="M210" s="43"/>
    </row>
    <row r="211" spans="1:13" x14ac:dyDescent="0.3">
      <c r="A211" s="57">
        <v>0.1163</v>
      </c>
      <c r="B211" s="51">
        <f t="shared" si="22"/>
        <v>116.3</v>
      </c>
      <c r="C211" s="56">
        <v>169</v>
      </c>
      <c r="F211" s="52">
        <f t="shared" si="23"/>
        <v>-2.1515822194575183</v>
      </c>
      <c r="G211" s="53">
        <f t="shared" si="24"/>
        <v>4.7561730595246186</v>
      </c>
      <c r="H211" s="46">
        <f t="shared" si="25"/>
        <v>2.2616759018432662E-3</v>
      </c>
      <c r="I211" s="43"/>
      <c r="J211" s="43">
        <f t="shared" si="21"/>
        <v>172.2272390708444</v>
      </c>
      <c r="K211" s="43">
        <f t="shared" si="26"/>
        <v>1.9096089176594111E-2</v>
      </c>
      <c r="L211" s="43">
        <f t="shared" si="27"/>
        <v>3.227239070844405</v>
      </c>
      <c r="M211" s="43"/>
    </row>
    <row r="212" spans="1:13" x14ac:dyDescent="0.3">
      <c r="A212" s="57">
        <v>0.1139</v>
      </c>
      <c r="B212" s="51">
        <f t="shared" si="22"/>
        <v>113.9</v>
      </c>
      <c r="C212" s="56">
        <v>170</v>
      </c>
      <c r="F212" s="52">
        <f t="shared" si="23"/>
        <v>-2.1724344085290004</v>
      </c>
      <c r="G212" s="53">
        <f t="shared" si="24"/>
        <v>4.7353208704531369</v>
      </c>
      <c r="H212" s="46">
        <f t="shared" si="25"/>
        <v>2.2565722667268421E-3</v>
      </c>
      <c r="I212" s="43"/>
      <c r="J212" s="43">
        <f t="shared" si="21"/>
        <v>173.27998680447809</v>
      </c>
      <c r="K212" s="43">
        <f t="shared" si="26"/>
        <v>1.9294040026341677E-2</v>
      </c>
      <c r="L212" s="43">
        <f t="shared" si="27"/>
        <v>3.2799868044780851</v>
      </c>
      <c r="M212" s="43"/>
    </row>
    <row r="213" spans="1:13" x14ac:dyDescent="0.3">
      <c r="A213" s="57">
        <v>0.1115</v>
      </c>
      <c r="B213" s="51">
        <f t="shared" si="22"/>
        <v>111.5</v>
      </c>
      <c r="C213" s="56">
        <v>171</v>
      </c>
      <c r="F213" s="52">
        <f t="shared" si="23"/>
        <v>-2.1937306880819634</v>
      </c>
      <c r="G213" s="53">
        <f t="shared" si="24"/>
        <v>4.7140245909001735</v>
      </c>
      <c r="H213" s="46">
        <f t="shared" si="25"/>
        <v>2.251491613193741E-3</v>
      </c>
      <c r="I213" s="43"/>
      <c r="J213" s="43">
        <f t="shared" si="21"/>
        <v>174.36030432914993</v>
      </c>
      <c r="K213" s="43">
        <f t="shared" si="26"/>
        <v>1.9650902509648693E-2</v>
      </c>
      <c r="L213" s="43">
        <f t="shared" si="27"/>
        <v>3.3603043291499262</v>
      </c>
      <c r="M213" s="43"/>
    </row>
    <row r="214" spans="1:13" x14ac:dyDescent="0.3">
      <c r="A214" s="57">
        <v>0.10920000000000001</v>
      </c>
      <c r="B214" s="51">
        <f t="shared" si="22"/>
        <v>109.2</v>
      </c>
      <c r="C214" s="56">
        <v>172</v>
      </c>
      <c r="F214" s="52">
        <f t="shared" si="23"/>
        <v>-2.2145742156713322</v>
      </c>
      <c r="G214" s="53">
        <f t="shared" si="24"/>
        <v>4.6931810633108046</v>
      </c>
      <c r="H214" s="46">
        <f t="shared" si="25"/>
        <v>2.2464337863641469E-3</v>
      </c>
      <c r="I214" s="43"/>
      <c r="J214" s="43">
        <f t="shared" si="21"/>
        <v>175.42272965005071</v>
      </c>
      <c r="K214" s="43">
        <f t="shared" si="26"/>
        <v>1.9899590988666931E-2</v>
      </c>
      <c r="L214" s="43">
        <f t="shared" si="27"/>
        <v>3.4227296500507123</v>
      </c>
      <c r="M214" s="43"/>
    </row>
    <row r="215" spans="1:13" x14ac:dyDescent="0.3">
      <c r="A215" s="57">
        <v>0.107</v>
      </c>
      <c r="B215" s="51">
        <f t="shared" si="22"/>
        <v>107</v>
      </c>
      <c r="C215" s="56">
        <v>173</v>
      </c>
      <c r="F215" s="52">
        <f t="shared" si="23"/>
        <v>-2.234926444520231</v>
      </c>
      <c r="G215" s="53">
        <f t="shared" si="24"/>
        <v>4.6728288344619058</v>
      </c>
      <c r="H215" s="46">
        <f t="shared" si="25"/>
        <v>2.241398632746834E-3</v>
      </c>
      <c r="I215" s="43"/>
      <c r="J215" s="43">
        <f t="shared" si="21"/>
        <v>176.46499167029606</v>
      </c>
      <c r="K215" s="43">
        <f t="shared" si="26"/>
        <v>2.0028853585526349E-2</v>
      </c>
      <c r="L215" s="43">
        <f t="shared" si="27"/>
        <v>3.4649916702960581</v>
      </c>
      <c r="M215" s="43"/>
    </row>
    <row r="216" spans="1:13" x14ac:dyDescent="0.3">
      <c r="A216" s="57">
        <v>0.1048</v>
      </c>
      <c r="B216" s="51">
        <f t="shared" si="22"/>
        <v>104.80000000000001</v>
      </c>
      <c r="C216" s="56">
        <v>174</v>
      </c>
      <c r="F216" s="52">
        <f t="shared" si="23"/>
        <v>-2.2557015070951953</v>
      </c>
      <c r="G216" s="53">
        <f t="shared" si="24"/>
        <v>4.6520537718869415</v>
      </c>
      <c r="H216" s="46">
        <f t="shared" si="25"/>
        <v>2.2363860002236387E-3</v>
      </c>
      <c r="I216" s="43"/>
      <c r="J216" s="43">
        <f t="shared" si="21"/>
        <v>177.53391477891239</v>
      </c>
      <c r="K216" s="43">
        <f t="shared" si="26"/>
        <v>2.030985505122063E-2</v>
      </c>
      <c r="L216" s="43">
        <f t="shared" si="27"/>
        <v>3.5339147789123899</v>
      </c>
      <c r="M216" s="43"/>
    </row>
    <row r="217" spans="1:13" x14ac:dyDescent="0.3">
      <c r="A217" s="57">
        <v>0.1027</v>
      </c>
      <c r="B217" s="51">
        <f t="shared" si="22"/>
        <v>102.7</v>
      </c>
      <c r="C217" s="56">
        <v>175</v>
      </c>
      <c r="F217" s="52">
        <f t="shared" si="23"/>
        <v>-2.2759431620476245</v>
      </c>
      <c r="G217" s="53">
        <f t="shared" si="24"/>
        <v>4.6318121169345128</v>
      </c>
      <c r="H217" s="46">
        <f t="shared" si="25"/>
        <v>2.2313957380341405E-3</v>
      </c>
      <c r="I217" s="43"/>
      <c r="J217" s="43">
        <f t="shared" si="21"/>
        <v>178.58029271670108</v>
      </c>
      <c r="K217" s="43">
        <f t="shared" si="26"/>
        <v>2.0458815524006177E-2</v>
      </c>
      <c r="L217" s="43">
        <f t="shared" si="27"/>
        <v>3.5802927167010807</v>
      </c>
      <c r="M217" s="43"/>
    </row>
    <row r="218" spans="1:13" x14ac:dyDescent="0.3">
      <c r="A218" s="57">
        <v>0.10059999999999999</v>
      </c>
      <c r="B218" s="51">
        <f t="shared" si="22"/>
        <v>100.6</v>
      </c>
      <c r="C218" s="56">
        <v>176</v>
      </c>
      <c r="F218" s="52">
        <f t="shared" si="23"/>
        <v>-2.2966030213164981</v>
      </c>
      <c r="G218" s="53">
        <f t="shared" si="24"/>
        <v>4.6111522576656387</v>
      </c>
      <c r="H218" s="46">
        <f t="shared" si="25"/>
        <v>2.2264276967605477E-3</v>
      </c>
      <c r="I218" s="43"/>
      <c r="J218" s="43">
        <f t="shared" si="21"/>
        <v>179.65331181587862</v>
      </c>
      <c r="K218" s="43">
        <f t="shared" si="26"/>
        <v>2.0757453499310363E-2</v>
      </c>
      <c r="L218" s="43">
        <f t="shared" si="27"/>
        <v>3.6533118158786237</v>
      </c>
      <c r="M218" s="43"/>
    </row>
    <row r="219" spans="1:13" x14ac:dyDescent="0.3">
      <c r="A219" s="57">
        <v>9.8599999999999993E-2</v>
      </c>
      <c r="B219" s="51">
        <f t="shared" si="22"/>
        <v>98.6</v>
      </c>
      <c r="C219" s="56">
        <v>177</v>
      </c>
      <c r="F219" s="52">
        <f t="shared" si="23"/>
        <v>-2.3166840173735475</v>
      </c>
      <c r="G219" s="53">
        <f t="shared" si="24"/>
        <v>4.5910712616085894</v>
      </c>
      <c r="H219" s="46">
        <f t="shared" si="25"/>
        <v>2.2214817283127846E-3</v>
      </c>
      <c r="I219" s="43"/>
      <c r="J219" s="43">
        <f t="shared" si="21"/>
        <v>180.70116293568191</v>
      </c>
      <c r="K219" s="43">
        <f t="shared" si="26"/>
        <v>2.0910525060349759E-2</v>
      </c>
      <c r="L219" s="43">
        <f t="shared" si="27"/>
        <v>3.7011629356819071</v>
      </c>
      <c r="M219" s="43"/>
    </row>
    <row r="220" spans="1:13" x14ac:dyDescent="0.3">
      <c r="A220" s="57">
        <v>9.6600000000000005E-2</v>
      </c>
      <c r="B220" s="51">
        <f t="shared" si="22"/>
        <v>96.600000000000009</v>
      </c>
      <c r="C220" s="56">
        <v>178</v>
      </c>
      <c r="F220" s="52">
        <f t="shared" si="23"/>
        <v>-2.3371765377636646</v>
      </c>
      <c r="G220" s="53">
        <f t="shared" si="24"/>
        <v>4.5705787412184726</v>
      </c>
      <c r="H220" s="46">
        <f t="shared" si="25"/>
        <v>2.2165576859137759E-3</v>
      </c>
      <c r="I220" s="43"/>
      <c r="J220" s="43">
        <f t="shared" si="21"/>
        <v>181.77549958907611</v>
      </c>
      <c r="K220" s="43">
        <f t="shared" si="26"/>
        <v>2.1210671848742164E-2</v>
      </c>
      <c r="L220" s="43">
        <f t="shared" si="27"/>
        <v>3.7754995890761052</v>
      </c>
      <c r="M220" s="43"/>
    </row>
    <row r="221" spans="1:13" x14ac:dyDescent="0.3">
      <c r="A221" s="57">
        <v>9.4700000000000006E-2</v>
      </c>
      <c r="B221" s="51">
        <f t="shared" si="22"/>
        <v>94.7</v>
      </c>
      <c r="C221" s="56">
        <v>179</v>
      </c>
      <c r="F221" s="52">
        <f t="shared" si="23"/>
        <v>-2.3570412787901045</v>
      </c>
      <c r="G221" s="53">
        <f t="shared" si="24"/>
        <v>4.5507140001920323</v>
      </c>
      <c r="H221" s="46">
        <f t="shared" si="25"/>
        <v>2.2116554240849276E-3</v>
      </c>
      <c r="I221" s="43"/>
      <c r="J221" s="43">
        <f t="shared" si="21"/>
        <v>182.82179048666467</v>
      </c>
      <c r="K221" s="43">
        <f t="shared" si="26"/>
        <v>2.1350784841702053E-2</v>
      </c>
      <c r="L221" s="43">
        <f t="shared" si="27"/>
        <v>3.8217904866646677</v>
      </c>
      <c r="M221" s="43"/>
    </row>
    <row r="222" spans="1:13" x14ac:dyDescent="0.3">
      <c r="A222" s="57">
        <v>9.2799999999999994E-2</v>
      </c>
      <c r="B222" s="51">
        <f t="shared" si="22"/>
        <v>92.8</v>
      </c>
      <c r="C222" s="56">
        <v>180</v>
      </c>
      <c r="F222" s="52">
        <f t="shared" si="23"/>
        <v>-2.377308639189982</v>
      </c>
      <c r="G222" s="53">
        <f t="shared" si="24"/>
        <v>4.5304466397921548</v>
      </c>
      <c r="H222" s="46">
        <f t="shared" si="25"/>
        <v>2.2067747986317999E-3</v>
      </c>
      <c r="I222" s="43"/>
      <c r="J222" s="43">
        <f t="shared" si="21"/>
        <v>183.89425938772558</v>
      </c>
      <c r="K222" s="43">
        <f t="shared" si="26"/>
        <v>2.1634774376253239E-2</v>
      </c>
      <c r="L222" s="43">
        <f t="shared" si="27"/>
        <v>3.8942593877255831</v>
      </c>
      <c r="M222" s="43"/>
    </row>
    <row r="223" spans="1:13" x14ac:dyDescent="0.3">
      <c r="A223" s="57">
        <v>9.0899999999999995E-2</v>
      </c>
      <c r="B223" s="51">
        <f t="shared" si="22"/>
        <v>90.899999999999991</v>
      </c>
      <c r="C223" s="56">
        <v>181</v>
      </c>
      <c r="F223" s="52">
        <f t="shared" si="23"/>
        <v>-2.3979952777987039</v>
      </c>
      <c r="G223" s="53">
        <f t="shared" si="24"/>
        <v>4.5097600011834329</v>
      </c>
      <c r="H223" s="46">
        <f t="shared" si="25"/>
        <v>2.2019156666299683E-3</v>
      </c>
      <c r="I223" s="43"/>
      <c r="J223" s="43">
        <f t="shared" si="21"/>
        <v>184.99412999491011</v>
      </c>
      <c r="K223" s="43">
        <f t="shared" si="26"/>
        <v>2.2067016546464702E-2</v>
      </c>
      <c r="L223" s="43">
        <f t="shared" si="27"/>
        <v>3.9941299949101108</v>
      </c>
      <c r="M223" s="43"/>
    </row>
    <row r="224" spans="1:13" x14ac:dyDescent="0.3">
      <c r="A224" s="57">
        <v>8.9099999999999999E-2</v>
      </c>
      <c r="B224" s="51">
        <f t="shared" si="22"/>
        <v>89.1</v>
      </c>
      <c r="C224" s="56">
        <v>182</v>
      </c>
      <c r="F224" s="52">
        <f t="shared" si="23"/>
        <v>-2.4179959445053734</v>
      </c>
      <c r="G224" s="53">
        <f t="shared" si="24"/>
        <v>4.4897593344767639</v>
      </c>
      <c r="H224" s="46">
        <f t="shared" si="25"/>
        <v>2.1970778864110734E-3</v>
      </c>
      <c r="I224" s="43"/>
      <c r="J224" s="43">
        <f t="shared" si="21"/>
        <v>186.06257372291805</v>
      </c>
      <c r="K224" s="43">
        <f t="shared" si="26"/>
        <v>2.2321833642406846E-2</v>
      </c>
      <c r="L224" s="43">
        <f t="shared" si="27"/>
        <v>4.0625737229180459</v>
      </c>
      <c r="M224" s="43"/>
    </row>
    <row r="225" spans="1:13" x14ac:dyDescent="0.3">
      <c r="A225" s="57">
        <v>8.7300000000000003E-2</v>
      </c>
      <c r="B225" s="51">
        <f t="shared" si="22"/>
        <v>87.3</v>
      </c>
      <c r="C225" s="56">
        <v>183</v>
      </c>
      <c r="F225" s="52">
        <f t="shared" si="23"/>
        <v>-2.4384048161365803</v>
      </c>
      <c r="G225" s="53">
        <f t="shared" si="24"/>
        <v>4.4693504628455569</v>
      </c>
      <c r="H225" s="46">
        <f t="shared" si="25"/>
        <v>2.1922613175490518E-3</v>
      </c>
      <c r="I225" s="43"/>
      <c r="J225" s="43">
        <f t="shared" si="21"/>
        <v>187.15797324314048</v>
      </c>
      <c r="K225" s="43">
        <f t="shared" si="26"/>
        <v>2.2721165263062705E-2</v>
      </c>
      <c r="L225" s="43">
        <f t="shared" si="27"/>
        <v>4.157973243140475</v>
      </c>
      <c r="M225" s="43"/>
    </row>
    <row r="226" spans="1:13" x14ac:dyDescent="0.3">
      <c r="A226" s="57">
        <v>8.5599999999999996E-2</v>
      </c>
      <c r="B226" s="51">
        <f t="shared" si="22"/>
        <v>85.6</v>
      </c>
      <c r="C226" s="56">
        <v>184</v>
      </c>
      <c r="F226" s="52">
        <f t="shared" si="23"/>
        <v>-2.4580699958344407</v>
      </c>
      <c r="G226" s="53">
        <f t="shared" si="24"/>
        <v>4.4496852831476961</v>
      </c>
      <c r="H226" s="46">
        <f t="shared" si="25"/>
        <v>2.1874658208465496E-3</v>
      </c>
      <c r="I226" s="43"/>
      <c r="J226" s="43">
        <f t="shared" si="21"/>
        <v>188.21841191569649</v>
      </c>
      <c r="K226" s="43">
        <f t="shared" si="26"/>
        <v>2.2926151715741808E-2</v>
      </c>
      <c r="L226" s="43">
        <f t="shared" si="27"/>
        <v>4.2184119156964925</v>
      </c>
      <c r="M226" s="43"/>
    </row>
    <row r="227" spans="1:13" x14ac:dyDescent="0.3">
      <c r="A227" s="57">
        <v>8.3900000000000002E-2</v>
      </c>
      <c r="B227" s="51">
        <f t="shared" si="22"/>
        <v>83.9</v>
      </c>
      <c r="C227" s="56">
        <v>185</v>
      </c>
      <c r="F227" s="52">
        <f t="shared" si="23"/>
        <v>-2.4781296655089764</v>
      </c>
      <c r="G227" s="53">
        <f t="shared" si="24"/>
        <v>4.4296256134731609</v>
      </c>
      <c r="H227" s="46">
        <f t="shared" si="25"/>
        <v>2.1826912583215105E-3</v>
      </c>
      <c r="I227" s="43"/>
      <c r="J227" s="43">
        <f t="shared" si="21"/>
        <v>189.3051691900468</v>
      </c>
      <c r="K227" s="43">
        <f t="shared" si="26"/>
        <v>2.3271184811063769E-2</v>
      </c>
      <c r="L227" s="43">
        <f t="shared" si="27"/>
        <v>4.3051691900467972</v>
      </c>
      <c r="M227" s="43"/>
    </row>
    <row r="228" spans="1:13" x14ac:dyDescent="0.3">
      <c r="A228" s="57">
        <v>8.2199999999999995E-2</v>
      </c>
      <c r="B228" s="51">
        <f t="shared" si="22"/>
        <v>82.199999999999989</v>
      </c>
      <c r="C228" s="56">
        <v>186</v>
      </c>
      <c r="F228" s="52">
        <f t="shared" si="23"/>
        <v>-2.4985999769200027</v>
      </c>
      <c r="G228" s="53">
        <f t="shared" si="24"/>
        <v>4.4091553020621337</v>
      </c>
      <c r="H228" s="46">
        <f t="shared" si="25"/>
        <v>2.1779374931939453E-3</v>
      </c>
      <c r="I228" s="43"/>
      <c r="J228" s="43">
        <f t="shared" si="21"/>
        <v>190.41946421713067</v>
      </c>
      <c r="K228" s="43">
        <f t="shared" si="26"/>
        <v>2.3760560307154122E-2</v>
      </c>
      <c r="L228" s="43">
        <f t="shared" si="27"/>
        <v>4.4194642171306668</v>
      </c>
      <c r="M228" s="43"/>
    </row>
    <row r="229" spans="1:13" x14ac:dyDescent="0.3">
      <c r="A229" s="57">
        <v>8.0600000000000005E-2</v>
      </c>
      <c r="B229" s="51">
        <f t="shared" si="22"/>
        <v>80.600000000000009</v>
      </c>
      <c r="C229" s="56">
        <v>187</v>
      </c>
      <c r="F229" s="52">
        <f t="shared" si="23"/>
        <v>-2.5182566294695543</v>
      </c>
      <c r="G229" s="53">
        <f t="shared" si="24"/>
        <v>4.389498649512583</v>
      </c>
      <c r="H229" s="46">
        <f t="shared" si="25"/>
        <v>2.1732043898728677E-3</v>
      </c>
      <c r="I229" s="43"/>
      <c r="J229" s="43">
        <f t="shared" si="21"/>
        <v>191.49453361046079</v>
      </c>
      <c r="K229" s="43">
        <f t="shared" si="26"/>
        <v>2.4034939093373217E-2</v>
      </c>
      <c r="L229" s="43">
        <f t="shared" si="27"/>
        <v>4.4945336104607918</v>
      </c>
      <c r="M229" s="43"/>
    </row>
    <row r="230" spans="1:13" x14ac:dyDescent="0.3">
      <c r="A230" s="57">
        <v>7.9000000000000001E-2</v>
      </c>
      <c r="B230" s="51">
        <f t="shared" si="22"/>
        <v>79</v>
      </c>
      <c r="C230" s="56">
        <v>188</v>
      </c>
      <c r="F230" s="52">
        <f t="shared" si="23"/>
        <v>-2.5383074265151158</v>
      </c>
      <c r="G230" s="53">
        <f t="shared" si="24"/>
        <v>4.3694478524670215</v>
      </c>
      <c r="H230" s="46">
        <f t="shared" si="25"/>
        <v>2.1684918139434025E-3</v>
      </c>
      <c r="I230" s="43"/>
      <c r="J230" s="43">
        <f t="shared" si="21"/>
        <v>192.59630928369347</v>
      </c>
      <c r="K230" s="43">
        <f t="shared" si="26"/>
        <v>2.4448453636667405E-2</v>
      </c>
      <c r="L230" s="43">
        <f t="shared" si="27"/>
        <v>4.596309283693472</v>
      </c>
      <c r="M230" s="43"/>
    </row>
    <row r="231" spans="1:13" x14ac:dyDescent="0.3">
      <c r="A231" s="57">
        <v>7.7399999999999997E-2</v>
      </c>
      <c r="B231" s="51">
        <f t="shared" si="22"/>
        <v>77.399999999999991</v>
      </c>
      <c r="C231" s="56">
        <v>189</v>
      </c>
      <c r="F231" s="52">
        <f t="shared" si="23"/>
        <v>-2.5587684983864558</v>
      </c>
      <c r="G231" s="53">
        <f t="shared" si="24"/>
        <v>4.3489867805956814</v>
      </c>
      <c r="H231" s="46">
        <f t="shared" si="25"/>
        <v>2.1637996321540627E-3</v>
      </c>
      <c r="I231" s="43"/>
      <c r="J231" s="43">
        <f t="shared" si="21"/>
        <v>193.72602888202942</v>
      </c>
      <c r="K231" s="43">
        <f t="shared" si="26"/>
        <v>2.5005443820261507E-2</v>
      </c>
      <c r="L231" s="43">
        <f t="shared" si="27"/>
        <v>4.7260288820294249</v>
      </c>
      <c r="M231" s="43"/>
    </row>
    <row r="232" spans="1:13" x14ac:dyDescent="0.3">
      <c r="A232" s="57">
        <v>7.5899999999999995E-2</v>
      </c>
      <c r="B232" s="51">
        <f t="shared" si="22"/>
        <v>75.899999999999991</v>
      </c>
      <c r="C232" s="56">
        <v>190</v>
      </c>
      <c r="F232" s="52">
        <f t="shared" si="23"/>
        <v>-2.5783385945805528</v>
      </c>
      <c r="G232" s="53">
        <f t="shared" si="24"/>
        <v>4.3294166844015844</v>
      </c>
      <c r="H232" s="46">
        <f t="shared" si="25"/>
        <v>2.1591277124041889E-3</v>
      </c>
      <c r="I232" s="43"/>
      <c r="J232" s="43">
        <f t="shared" si="21"/>
        <v>194.81169460249754</v>
      </c>
      <c r="K232" s="43">
        <f t="shared" si="26"/>
        <v>2.5324708434197575E-2</v>
      </c>
      <c r="L232" s="43">
        <f t="shared" si="27"/>
        <v>4.8116946024975391</v>
      </c>
      <c r="M232" s="43"/>
    </row>
    <row r="233" spans="1:13" x14ac:dyDescent="0.3">
      <c r="A233" s="57">
        <v>7.4300000000000005E-2</v>
      </c>
      <c r="B233" s="51">
        <f t="shared" si="22"/>
        <v>74.300000000000011</v>
      </c>
      <c r="C233" s="56">
        <v>191</v>
      </c>
      <c r="F233" s="52">
        <f t="shared" si="23"/>
        <v>-2.5996443272584235</v>
      </c>
      <c r="G233" s="53">
        <f t="shared" si="24"/>
        <v>4.3081109517237133</v>
      </c>
      <c r="H233" s="46">
        <f t="shared" si="25"/>
        <v>2.1544759237315525E-3</v>
      </c>
      <c r="I233" s="43"/>
      <c r="J233" s="43">
        <f t="shared" si="21"/>
        <v>195.99940136397987</v>
      </c>
      <c r="K233" s="43">
        <f t="shared" si="26"/>
        <v>2.6174876251203513E-2</v>
      </c>
      <c r="L233" s="43">
        <f t="shared" si="27"/>
        <v>4.9994013639798709</v>
      </c>
      <c r="M233" s="43"/>
    </row>
    <row r="234" spans="1:13" x14ac:dyDescent="0.3">
      <c r="A234" s="57">
        <v>7.2900000000000006E-2</v>
      </c>
      <c r="B234" s="51">
        <f t="shared" si="22"/>
        <v>72.900000000000006</v>
      </c>
      <c r="C234" s="56">
        <v>192</v>
      </c>
      <c r="F234" s="52">
        <f t="shared" si="23"/>
        <v>-2.6186666399675245</v>
      </c>
      <c r="G234" s="53">
        <f t="shared" si="24"/>
        <v>4.2890886390146123</v>
      </c>
      <c r="H234" s="46">
        <f t="shared" si="25"/>
        <v>2.1498441363001185E-3</v>
      </c>
      <c r="I234" s="43"/>
      <c r="J234" s="43">
        <f t="shared" si="21"/>
        <v>197.06492275977814</v>
      </c>
      <c r="K234" s="43">
        <f t="shared" si="26"/>
        <v>2.6379806040511156E-2</v>
      </c>
      <c r="L234" s="43">
        <f t="shared" si="27"/>
        <v>5.0649227597781419</v>
      </c>
      <c r="M234" s="43"/>
    </row>
    <row r="235" spans="1:13" x14ac:dyDescent="0.3">
      <c r="A235" s="57">
        <v>7.1400000000000005E-2</v>
      </c>
      <c r="B235" s="51">
        <f t="shared" si="22"/>
        <v>71.400000000000006</v>
      </c>
      <c r="C235" s="56">
        <v>193</v>
      </c>
      <c r="F235" s="52">
        <f t="shared" si="23"/>
        <v>-2.6394574096365981</v>
      </c>
      <c r="G235" s="53">
        <f t="shared" si="24"/>
        <v>4.2682978693455391</v>
      </c>
      <c r="H235" s="46">
        <f t="shared" si="25"/>
        <v>2.1452322213879652E-3</v>
      </c>
      <c r="I235" s="43"/>
      <c r="J235" s="43">
        <f t="shared" si="21"/>
        <v>198.23505262986072</v>
      </c>
      <c r="K235" s="43">
        <f t="shared" si="26"/>
        <v>2.7124625025185065E-2</v>
      </c>
      <c r="L235" s="43">
        <f t="shared" si="27"/>
        <v>5.2350526298607178</v>
      </c>
      <c r="M235" s="43"/>
    </row>
    <row r="236" spans="1:13" x14ac:dyDescent="0.3">
      <c r="A236" s="57">
        <v>7.0000000000000007E-2</v>
      </c>
      <c r="B236" s="51">
        <f t="shared" si="22"/>
        <v>70</v>
      </c>
      <c r="C236" s="56">
        <v>194</v>
      </c>
      <c r="F236" s="52">
        <f t="shared" si="23"/>
        <v>-2.6592600369327779</v>
      </c>
      <c r="G236" s="53">
        <f t="shared" si="24"/>
        <v>4.2484952420493594</v>
      </c>
      <c r="H236" s="46">
        <f t="shared" si="25"/>
        <v>2.1406400513753615E-3</v>
      </c>
      <c r="I236" s="43"/>
      <c r="J236" s="43">
        <f t="shared" si="21"/>
        <v>199.35499663669628</v>
      </c>
      <c r="K236" s="43">
        <f t="shared" si="26"/>
        <v>2.7603075446888066E-2</v>
      </c>
      <c r="L236" s="43">
        <f t="shared" si="27"/>
        <v>5.3549966366962849</v>
      </c>
      <c r="M236" s="43"/>
    </row>
    <row r="237" spans="1:13" x14ac:dyDescent="0.3">
      <c r="A237" s="57">
        <v>6.8599999999999994E-2</v>
      </c>
      <c r="B237" s="51">
        <f t="shared" si="22"/>
        <v>68.599999999999994</v>
      </c>
      <c r="C237" s="56">
        <v>195</v>
      </c>
      <c r="F237" s="52">
        <f t="shared" si="23"/>
        <v>-2.6794627442502974</v>
      </c>
      <c r="G237" s="53">
        <f t="shared" si="24"/>
        <v>4.2282925347318399</v>
      </c>
      <c r="H237" s="46">
        <f t="shared" si="25"/>
        <v>2.1360674997329917E-3</v>
      </c>
      <c r="I237" s="43"/>
      <c r="J237" s="43">
        <f t="shared" si="21"/>
        <v>200.5030646390116</v>
      </c>
      <c r="K237" s="43">
        <f t="shared" si="26"/>
        <v>2.8220844302623577E-2</v>
      </c>
      <c r="L237" s="43">
        <f t="shared" si="27"/>
        <v>5.5030646390115976</v>
      </c>
      <c r="M237" s="43"/>
    </row>
    <row r="238" spans="1:13" x14ac:dyDescent="0.3">
      <c r="A238" s="57">
        <v>6.7199999999999996E-2</v>
      </c>
      <c r="B238" s="51">
        <f t="shared" si="22"/>
        <v>67.2</v>
      </c>
      <c r="C238" s="56">
        <v>196</v>
      </c>
      <c r="F238" s="52">
        <f t="shared" si="23"/>
        <v>-2.7000820314530332</v>
      </c>
      <c r="G238" s="53">
        <f t="shared" si="24"/>
        <v>4.2076732475291037</v>
      </c>
      <c r="H238" s="46">
        <f t="shared" si="25"/>
        <v>2.1315144410103378E-3</v>
      </c>
      <c r="I238" s="43"/>
      <c r="J238" s="43">
        <f t="shared" si="21"/>
        <v>201.68057288551091</v>
      </c>
      <c r="K238" s="43">
        <f t="shared" si="26"/>
        <v>2.8982514721994451E-2</v>
      </c>
      <c r="L238" s="43">
        <f t="shared" si="27"/>
        <v>5.6805728855109123</v>
      </c>
      <c r="M238" s="43"/>
    </row>
    <row r="239" spans="1:13" x14ac:dyDescent="0.3">
      <c r="A239" s="57">
        <v>6.5799999999999997E-2</v>
      </c>
      <c r="B239" s="51">
        <f t="shared" si="22"/>
        <v>65.8</v>
      </c>
      <c r="C239" s="56">
        <v>197</v>
      </c>
      <c r="F239" s="52">
        <f t="shared" si="23"/>
        <v>-2.7211354406508654</v>
      </c>
      <c r="G239" s="53">
        <f t="shared" si="24"/>
        <v>4.1866198383312714</v>
      </c>
      <c r="H239" s="46">
        <f t="shared" si="25"/>
        <v>2.126980750824205E-3</v>
      </c>
      <c r="I239" s="43"/>
      <c r="J239" s="43">
        <f t="shared" si="21"/>
        <v>202.88892876231893</v>
      </c>
      <c r="K239" s="43">
        <f t="shared" si="26"/>
        <v>2.9893039402634144E-2</v>
      </c>
      <c r="L239" s="43">
        <f t="shared" si="27"/>
        <v>5.8889287623189261</v>
      </c>
      <c r="M239" s="43"/>
    </row>
    <row r="240" spans="1:13" x14ac:dyDescent="0.3">
      <c r="A240" s="57">
        <v>6.4500000000000002E-2</v>
      </c>
      <c r="B240" s="51">
        <f t="shared" si="22"/>
        <v>64.5</v>
      </c>
      <c r="C240" s="56">
        <v>198</v>
      </c>
      <c r="F240" s="52">
        <f t="shared" si="23"/>
        <v>-2.7410900551804103</v>
      </c>
      <c r="G240" s="53">
        <f t="shared" si="24"/>
        <v>4.1666652238017265</v>
      </c>
      <c r="H240" s="46">
        <f t="shared" si="25"/>
        <v>2.1224663058473947E-3</v>
      </c>
      <c r="I240" s="43"/>
      <c r="J240" s="43">
        <f t="shared" si="21"/>
        <v>204.03991027536335</v>
      </c>
      <c r="K240" s="43">
        <f t="shared" si="26"/>
        <v>3.0504597350319972E-2</v>
      </c>
      <c r="L240" s="43">
        <f t="shared" si="27"/>
        <v>6.0399102753633542</v>
      </c>
      <c r="M240" s="43"/>
    </row>
    <row r="241" spans="1:13" x14ac:dyDescent="0.3">
      <c r="A241" s="57">
        <v>6.3100000000000003E-2</v>
      </c>
      <c r="B241" s="51">
        <f t="shared" si="22"/>
        <v>63.1</v>
      </c>
      <c r="C241" s="56">
        <v>199</v>
      </c>
      <c r="F241" s="52">
        <f t="shared" si="23"/>
        <v>-2.7630345094349695</v>
      </c>
      <c r="G241" s="53">
        <f t="shared" si="24"/>
        <v>4.1447207695471677</v>
      </c>
      <c r="H241" s="46">
        <f t="shared" si="25"/>
        <v>2.117970983797522E-3</v>
      </c>
      <c r="I241" s="43"/>
      <c r="J241" s="43">
        <f t="shared" si="21"/>
        <v>205.31210875077687</v>
      </c>
      <c r="K241" s="43">
        <f t="shared" si="26"/>
        <v>3.1719139451140063E-2</v>
      </c>
      <c r="L241" s="43">
        <f t="shared" si="27"/>
        <v>6.3121087507768721</v>
      </c>
      <c r="M241" s="43"/>
    </row>
    <row r="242" spans="1:13" x14ac:dyDescent="0.3">
      <c r="A242" s="57">
        <v>6.1899999999999997E-2</v>
      </c>
      <c r="B242" s="51">
        <f t="shared" si="22"/>
        <v>61.9</v>
      </c>
      <c r="C242" s="56">
        <v>200</v>
      </c>
      <c r="F242" s="52">
        <f t="shared" si="23"/>
        <v>-2.7822350992915865</v>
      </c>
      <c r="G242" s="53">
        <f t="shared" si="24"/>
        <v>4.1255201796905503</v>
      </c>
      <c r="H242" s="46">
        <f t="shared" si="25"/>
        <v>2.1134946634259748E-3</v>
      </c>
      <c r="I242" s="43"/>
      <c r="J242" s="43">
        <f t="shared" si="21"/>
        <v>206.43081278421556</v>
      </c>
      <c r="K242" s="43">
        <f t="shared" si="26"/>
        <v>3.2154063921077808E-2</v>
      </c>
      <c r="L242" s="43">
        <f t="shared" si="27"/>
        <v>6.4308127842155614</v>
      </c>
      <c r="M242" s="4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Liste grandeur</vt:lpstr>
      <vt:lpstr>Achat</vt:lpstr>
      <vt:lpstr>conso</vt:lpstr>
      <vt:lpstr>Pin des Arduino</vt:lpstr>
      <vt:lpstr>Radio</vt:lpstr>
      <vt:lpstr>Ordre execution tache</vt:lpstr>
      <vt:lpstr>Test mesure frequence</vt:lpstr>
      <vt:lpstr>Direction Vent</vt:lpstr>
      <vt:lpstr>dew frost point</vt:lpstr>
      <vt:lpstr>thermistance etalonnage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2019-11-26T21:26:46Z</dcterms:created>
  <dcterms:modified xsi:type="dcterms:W3CDTF">2020-03-14T18:58:28Z</dcterms:modified>
</cp:coreProperties>
</file>