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d16467d0539cb/Documents/5.Bricolage/5.StationMeteo/StationMeteo/"/>
    </mc:Choice>
  </mc:AlternateContent>
  <xr:revisionPtr revIDLastSave="580" documentId="13_ncr:1_{49D4E897-6CFC-4372-BC7E-4324AD2FDE63}" xr6:coauthVersionLast="45" xr6:coauthVersionMax="45" xr10:uidLastSave="{DD4BB472-C5A0-4A48-829D-470B3A7BEF1D}"/>
  <bookViews>
    <workbookView xWindow="12300" yWindow="3324" windowWidth="15240" windowHeight="8964" firstSheet="1" activeTab="3" xr2:uid="{700A1A7B-3F76-47D1-986E-B358D29F4025}"/>
  </bookViews>
  <sheets>
    <sheet name="Achat a faire" sheetId="1" r:id="rId1"/>
    <sheet name="Achat fait" sheetId="11" r:id="rId2"/>
    <sheet name="conso" sheetId="3" r:id="rId3"/>
    <sheet name="Pin des Arduino" sheetId="4" r:id="rId4"/>
    <sheet name="Radio" sheetId="9" r:id="rId5"/>
    <sheet name="Test mesure frequence" sheetId="5" r:id="rId6"/>
    <sheet name="Direction Vent" sheetId="6" r:id="rId7"/>
    <sheet name="dew frost point" sheetId="12" r:id="rId8"/>
    <sheet name="thermistance etalonnage" sheetId="13" r:id="rId9"/>
    <sheet name="thermistance etalonnage (2)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14" l="1"/>
  <c r="L9" i="14"/>
  <c r="K10" i="14"/>
  <c r="L10" i="14"/>
  <c r="K17" i="14"/>
  <c r="L17" i="14"/>
  <c r="K18" i="14"/>
  <c r="L18" i="14"/>
  <c r="K25" i="14"/>
  <c r="L25" i="14"/>
  <c r="K26" i="14"/>
  <c r="L26" i="14"/>
  <c r="K33" i="14"/>
  <c r="L33" i="14"/>
  <c r="K34" i="14"/>
  <c r="L34" i="14"/>
  <c r="K41" i="14"/>
  <c r="L41" i="14"/>
  <c r="K42" i="14"/>
  <c r="L42" i="14"/>
  <c r="K49" i="14"/>
  <c r="L49" i="14"/>
  <c r="K50" i="14"/>
  <c r="L50" i="14"/>
  <c r="K57" i="14"/>
  <c r="L57" i="14"/>
  <c r="K58" i="14"/>
  <c r="L58" i="14"/>
  <c r="K65" i="14"/>
  <c r="L65" i="14"/>
  <c r="K66" i="14"/>
  <c r="L66" i="14"/>
  <c r="K73" i="14"/>
  <c r="L73" i="14"/>
  <c r="K74" i="14"/>
  <c r="L74" i="14"/>
  <c r="K81" i="14"/>
  <c r="L81" i="14"/>
  <c r="K82" i="14"/>
  <c r="L82" i="14"/>
  <c r="K89" i="14"/>
  <c r="L89" i="14"/>
  <c r="K90" i="14"/>
  <c r="L90" i="14"/>
  <c r="K97" i="14"/>
  <c r="L97" i="14"/>
  <c r="K98" i="14"/>
  <c r="L98" i="14"/>
  <c r="K105" i="14"/>
  <c r="L105" i="14"/>
  <c r="K106" i="14"/>
  <c r="L106" i="14"/>
  <c r="K113" i="14"/>
  <c r="L113" i="14"/>
  <c r="K114" i="14"/>
  <c r="L114" i="14"/>
  <c r="K121" i="14"/>
  <c r="L121" i="14"/>
  <c r="K122" i="14"/>
  <c r="L122" i="14"/>
  <c r="K129" i="14"/>
  <c r="L129" i="14"/>
  <c r="K130" i="14"/>
  <c r="L130" i="14"/>
  <c r="K137" i="14"/>
  <c r="L137" i="14"/>
  <c r="K138" i="14"/>
  <c r="L138" i="14"/>
  <c r="K145" i="14"/>
  <c r="L145" i="14"/>
  <c r="K146" i="14"/>
  <c r="L146" i="14"/>
  <c r="K153" i="14"/>
  <c r="L153" i="14"/>
  <c r="K154" i="14"/>
  <c r="L154" i="14"/>
  <c r="K161" i="14"/>
  <c r="L161" i="14"/>
  <c r="K162" i="14"/>
  <c r="L162" i="14"/>
  <c r="K169" i="14"/>
  <c r="L169" i="14"/>
  <c r="K170" i="14"/>
  <c r="L170" i="14"/>
  <c r="K177" i="14"/>
  <c r="L177" i="14"/>
  <c r="K178" i="14"/>
  <c r="L178" i="14"/>
  <c r="K185" i="14"/>
  <c r="L185" i="14"/>
  <c r="K186" i="14"/>
  <c r="L186" i="14"/>
  <c r="K193" i="14"/>
  <c r="L193" i="14"/>
  <c r="K194" i="14"/>
  <c r="L194" i="14"/>
  <c r="K201" i="14"/>
  <c r="L201" i="14"/>
  <c r="K202" i="14"/>
  <c r="L202" i="14"/>
  <c r="K209" i="14"/>
  <c r="L209" i="14"/>
  <c r="K210" i="14"/>
  <c r="L210" i="14"/>
  <c r="K217" i="14"/>
  <c r="L217" i="14"/>
  <c r="K218" i="14"/>
  <c r="L218" i="14"/>
  <c r="K225" i="14"/>
  <c r="L225" i="14"/>
  <c r="K226" i="14"/>
  <c r="L226" i="14"/>
  <c r="K233" i="14"/>
  <c r="L233" i="14"/>
  <c r="K234" i="14"/>
  <c r="L234" i="14"/>
  <c r="K241" i="14"/>
  <c r="L241" i="14"/>
  <c r="K242" i="14"/>
  <c r="L242" i="14"/>
  <c r="J3" i="14"/>
  <c r="K3" i="14" s="1"/>
  <c r="J4" i="14"/>
  <c r="K4" i="14" s="1"/>
  <c r="J5" i="14"/>
  <c r="K5" i="14" s="1"/>
  <c r="J6" i="14"/>
  <c r="K6" i="14" s="1"/>
  <c r="J7" i="14"/>
  <c r="K7" i="14" s="1"/>
  <c r="J8" i="14"/>
  <c r="K8" i="14" s="1"/>
  <c r="J9" i="14"/>
  <c r="J10" i="14"/>
  <c r="J11" i="14"/>
  <c r="K11" i="14" s="1"/>
  <c r="J12" i="14"/>
  <c r="K12" i="14" s="1"/>
  <c r="J13" i="14"/>
  <c r="K13" i="14" s="1"/>
  <c r="J14" i="14"/>
  <c r="K14" i="14" s="1"/>
  <c r="J15" i="14"/>
  <c r="K15" i="14" s="1"/>
  <c r="J16" i="14"/>
  <c r="K16" i="14" s="1"/>
  <c r="J17" i="14"/>
  <c r="J18" i="14"/>
  <c r="J19" i="14"/>
  <c r="K19" i="14" s="1"/>
  <c r="J20" i="14"/>
  <c r="K20" i="14" s="1"/>
  <c r="J21" i="14"/>
  <c r="K21" i="14" s="1"/>
  <c r="J22" i="14"/>
  <c r="K22" i="14" s="1"/>
  <c r="J23" i="14"/>
  <c r="K23" i="14" s="1"/>
  <c r="J24" i="14"/>
  <c r="K24" i="14" s="1"/>
  <c r="J25" i="14"/>
  <c r="J26" i="14"/>
  <c r="J27" i="14"/>
  <c r="K27" i="14" s="1"/>
  <c r="J28" i="14"/>
  <c r="K28" i="14" s="1"/>
  <c r="J29" i="14"/>
  <c r="K29" i="14" s="1"/>
  <c r="J30" i="14"/>
  <c r="K30" i="14" s="1"/>
  <c r="J31" i="14"/>
  <c r="K31" i="14" s="1"/>
  <c r="J32" i="14"/>
  <c r="K32" i="14" s="1"/>
  <c r="J33" i="14"/>
  <c r="J34" i="14"/>
  <c r="J35" i="14"/>
  <c r="K35" i="14" s="1"/>
  <c r="J36" i="14"/>
  <c r="K36" i="14" s="1"/>
  <c r="J37" i="14"/>
  <c r="K37" i="14" s="1"/>
  <c r="J38" i="14"/>
  <c r="K38" i="14" s="1"/>
  <c r="J39" i="14"/>
  <c r="K39" i="14" s="1"/>
  <c r="J40" i="14"/>
  <c r="K40" i="14" s="1"/>
  <c r="J41" i="14"/>
  <c r="J42" i="14"/>
  <c r="J43" i="14"/>
  <c r="K43" i="14" s="1"/>
  <c r="J44" i="14"/>
  <c r="K44" i="14" s="1"/>
  <c r="J45" i="14"/>
  <c r="K45" i="14" s="1"/>
  <c r="J46" i="14"/>
  <c r="K46" i="14" s="1"/>
  <c r="J47" i="14"/>
  <c r="K47" i="14" s="1"/>
  <c r="J48" i="14"/>
  <c r="K48" i="14" s="1"/>
  <c r="J49" i="14"/>
  <c r="J50" i="14"/>
  <c r="J51" i="14"/>
  <c r="K51" i="14" s="1"/>
  <c r="J52" i="14"/>
  <c r="K52" i="14" s="1"/>
  <c r="J53" i="14"/>
  <c r="K53" i="14" s="1"/>
  <c r="J54" i="14"/>
  <c r="K54" i="14" s="1"/>
  <c r="J55" i="14"/>
  <c r="K55" i="14" s="1"/>
  <c r="J56" i="14"/>
  <c r="K56" i="14" s="1"/>
  <c r="J57" i="14"/>
  <c r="J58" i="14"/>
  <c r="J59" i="14"/>
  <c r="K59" i="14" s="1"/>
  <c r="J60" i="14"/>
  <c r="K60" i="14" s="1"/>
  <c r="J61" i="14"/>
  <c r="K61" i="14" s="1"/>
  <c r="J62" i="14"/>
  <c r="K62" i="14" s="1"/>
  <c r="J63" i="14"/>
  <c r="K63" i="14" s="1"/>
  <c r="J64" i="14"/>
  <c r="K64" i="14" s="1"/>
  <c r="J65" i="14"/>
  <c r="J66" i="14"/>
  <c r="J67" i="14"/>
  <c r="K67" i="14" s="1"/>
  <c r="J68" i="14"/>
  <c r="K68" i="14" s="1"/>
  <c r="J69" i="14"/>
  <c r="K69" i="14" s="1"/>
  <c r="J70" i="14"/>
  <c r="K70" i="14" s="1"/>
  <c r="J71" i="14"/>
  <c r="K71" i="14" s="1"/>
  <c r="J72" i="14"/>
  <c r="K72" i="14" s="1"/>
  <c r="J73" i="14"/>
  <c r="J74" i="14"/>
  <c r="J75" i="14"/>
  <c r="K75" i="14" s="1"/>
  <c r="J76" i="14"/>
  <c r="K76" i="14" s="1"/>
  <c r="J77" i="14"/>
  <c r="K77" i="14" s="1"/>
  <c r="J78" i="14"/>
  <c r="K78" i="14" s="1"/>
  <c r="J79" i="14"/>
  <c r="K79" i="14" s="1"/>
  <c r="J80" i="14"/>
  <c r="K80" i="14" s="1"/>
  <c r="J81" i="14"/>
  <c r="J82" i="14"/>
  <c r="J83" i="14"/>
  <c r="K83" i="14" s="1"/>
  <c r="J84" i="14"/>
  <c r="K84" i="14" s="1"/>
  <c r="J85" i="14"/>
  <c r="K85" i="14" s="1"/>
  <c r="J86" i="14"/>
  <c r="K86" i="14" s="1"/>
  <c r="J87" i="14"/>
  <c r="K87" i="14" s="1"/>
  <c r="J88" i="14"/>
  <c r="K88" i="14" s="1"/>
  <c r="J89" i="14"/>
  <c r="J90" i="14"/>
  <c r="J91" i="14"/>
  <c r="K91" i="14" s="1"/>
  <c r="J92" i="14"/>
  <c r="K92" i="14" s="1"/>
  <c r="J93" i="14"/>
  <c r="K93" i="14" s="1"/>
  <c r="J94" i="14"/>
  <c r="K94" i="14" s="1"/>
  <c r="J95" i="14"/>
  <c r="K95" i="14" s="1"/>
  <c r="J96" i="14"/>
  <c r="K96" i="14" s="1"/>
  <c r="J97" i="14"/>
  <c r="J98" i="14"/>
  <c r="J99" i="14"/>
  <c r="K99" i="14" s="1"/>
  <c r="J100" i="14"/>
  <c r="K100" i="14" s="1"/>
  <c r="J101" i="14"/>
  <c r="K101" i="14" s="1"/>
  <c r="J102" i="14"/>
  <c r="K102" i="14" s="1"/>
  <c r="J103" i="14"/>
  <c r="K103" i="14" s="1"/>
  <c r="J104" i="14"/>
  <c r="K104" i="14" s="1"/>
  <c r="J105" i="14"/>
  <c r="J106" i="14"/>
  <c r="J107" i="14"/>
  <c r="K107" i="14" s="1"/>
  <c r="J108" i="14"/>
  <c r="K108" i="14" s="1"/>
  <c r="J109" i="14"/>
  <c r="K109" i="14" s="1"/>
  <c r="J110" i="14"/>
  <c r="K110" i="14" s="1"/>
  <c r="J111" i="14"/>
  <c r="K111" i="14" s="1"/>
  <c r="J112" i="14"/>
  <c r="K112" i="14" s="1"/>
  <c r="J113" i="14"/>
  <c r="J114" i="14"/>
  <c r="J115" i="14"/>
  <c r="K115" i="14" s="1"/>
  <c r="J116" i="14"/>
  <c r="K116" i="14" s="1"/>
  <c r="J117" i="14"/>
  <c r="K117" i="14" s="1"/>
  <c r="J118" i="14"/>
  <c r="K118" i="14" s="1"/>
  <c r="J119" i="14"/>
  <c r="K119" i="14" s="1"/>
  <c r="J120" i="14"/>
  <c r="K120" i="14" s="1"/>
  <c r="J121" i="14"/>
  <c r="J122" i="14"/>
  <c r="J123" i="14"/>
  <c r="K123" i="14" s="1"/>
  <c r="J124" i="14"/>
  <c r="K124" i="14" s="1"/>
  <c r="J125" i="14"/>
  <c r="K125" i="14" s="1"/>
  <c r="J126" i="14"/>
  <c r="K126" i="14" s="1"/>
  <c r="J127" i="14"/>
  <c r="K127" i="14" s="1"/>
  <c r="J128" i="14"/>
  <c r="K128" i="14" s="1"/>
  <c r="J129" i="14"/>
  <c r="J130" i="14"/>
  <c r="J131" i="14"/>
  <c r="K131" i="14" s="1"/>
  <c r="J132" i="14"/>
  <c r="K132" i="14" s="1"/>
  <c r="J133" i="14"/>
  <c r="K133" i="14" s="1"/>
  <c r="J134" i="14"/>
  <c r="K134" i="14" s="1"/>
  <c r="J135" i="14"/>
  <c r="K135" i="14" s="1"/>
  <c r="J136" i="14"/>
  <c r="K136" i="14" s="1"/>
  <c r="J137" i="14"/>
  <c r="J138" i="14"/>
  <c r="J139" i="14"/>
  <c r="K139" i="14" s="1"/>
  <c r="J140" i="14"/>
  <c r="K140" i="14" s="1"/>
  <c r="J141" i="14"/>
  <c r="K141" i="14" s="1"/>
  <c r="J142" i="14"/>
  <c r="K142" i="14" s="1"/>
  <c r="J143" i="14"/>
  <c r="K143" i="14" s="1"/>
  <c r="J144" i="14"/>
  <c r="K144" i="14" s="1"/>
  <c r="J145" i="14"/>
  <c r="J146" i="14"/>
  <c r="J147" i="14"/>
  <c r="K147" i="14" s="1"/>
  <c r="J148" i="14"/>
  <c r="K148" i="14" s="1"/>
  <c r="J149" i="14"/>
  <c r="K149" i="14" s="1"/>
  <c r="J150" i="14"/>
  <c r="K150" i="14" s="1"/>
  <c r="J151" i="14"/>
  <c r="K151" i="14" s="1"/>
  <c r="J152" i="14"/>
  <c r="K152" i="14" s="1"/>
  <c r="J153" i="14"/>
  <c r="J154" i="14"/>
  <c r="J155" i="14"/>
  <c r="K155" i="14" s="1"/>
  <c r="J156" i="14"/>
  <c r="K156" i="14" s="1"/>
  <c r="J157" i="14"/>
  <c r="K157" i="14" s="1"/>
  <c r="J158" i="14"/>
  <c r="K158" i="14" s="1"/>
  <c r="J159" i="14"/>
  <c r="K159" i="14" s="1"/>
  <c r="J160" i="14"/>
  <c r="K160" i="14" s="1"/>
  <c r="J161" i="14"/>
  <c r="J162" i="14"/>
  <c r="J163" i="14"/>
  <c r="K163" i="14" s="1"/>
  <c r="J164" i="14"/>
  <c r="K164" i="14" s="1"/>
  <c r="J165" i="14"/>
  <c r="K165" i="14" s="1"/>
  <c r="J166" i="14"/>
  <c r="K166" i="14" s="1"/>
  <c r="J167" i="14"/>
  <c r="K167" i="14" s="1"/>
  <c r="J168" i="14"/>
  <c r="K168" i="14" s="1"/>
  <c r="J169" i="14"/>
  <c r="J170" i="14"/>
  <c r="J171" i="14"/>
  <c r="K171" i="14" s="1"/>
  <c r="J172" i="14"/>
  <c r="K172" i="14" s="1"/>
  <c r="J173" i="14"/>
  <c r="K173" i="14" s="1"/>
  <c r="J174" i="14"/>
  <c r="K174" i="14" s="1"/>
  <c r="J175" i="14"/>
  <c r="K175" i="14" s="1"/>
  <c r="J176" i="14"/>
  <c r="K176" i="14" s="1"/>
  <c r="J177" i="14"/>
  <c r="J178" i="14"/>
  <c r="J179" i="14"/>
  <c r="K179" i="14" s="1"/>
  <c r="J180" i="14"/>
  <c r="K180" i="14" s="1"/>
  <c r="J181" i="14"/>
  <c r="K181" i="14" s="1"/>
  <c r="J182" i="14"/>
  <c r="K182" i="14" s="1"/>
  <c r="J183" i="14"/>
  <c r="K183" i="14" s="1"/>
  <c r="J184" i="14"/>
  <c r="K184" i="14" s="1"/>
  <c r="J185" i="14"/>
  <c r="J186" i="14"/>
  <c r="J187" i="14"/>
  <c r="K187" i="14" s="1"/>
  <c r="J188" i="14"/>
  <c r="K188" i="14" s="1"/>
  <c r="J189" i="14"/>
  <c r="K189" i="14" s="1"/>
  <c r="J190" i="14"/>
  <c r="K190" i="14" s="1"/>
  <c r="J191" i="14"/>
  <c r="K191" i="14" s="1"/>
  <c r="J192" i="14"/>
  <c r="K192" i="14" s="1"/>
  <c r="J193" i="14"/>
  <c r="J194" i="14"/>
  <c r="J195" i="14"/>
  <c r="K195" i="14" s="1"/>
  <c r="J196" i="14"/>
  <c r="K196" i="14" s="1"/>
  <c r="J197" i="14"/>
  <c r="K197" i="14" s="1"/>
  <c r="J198" i="14"/>
  <c r="K198" i="14" s="1"/>
  <c r="J199" i="14"/>
  <c r="K199" i="14" s="1"/>
  <c r="J200" i="14"/>
  <c r="K200" i="14" s="1"/>
  <c r="J201" i="14"/>
  <c r="J202" i="14"/>
  <c r="J203" i="14"/>
  <c r="K203" i="14" s="1"/>
  <c r="J204" i="14"/>
  <c r="K204" i="14" s="1"/>
  <c r="J205" i="14"/>
  <c r="K205" i="14" s="1"/>
  <c r="J206" i="14"/>
  <c r="K206" i="14" s="1"/>
  <c r="J207" i="14"/>
  <c r="K207" i="14" s="1"/>
  <c r="J208" i="14"/>
  <c r="K208" i="14" s="1"/>
  <c r="J209" i="14"/>
  <c r="J210" i="14"/>
  <c r="J211" i="14"/>
  <c r="K211" i="14" s="1"/>
  <c r="J212" i="14"/>
  <c r="K212" i="14" s="1"/>
  <c r="J213" i="14"/>
  <c r="K213" i="14" s="1"/>
  <c r="J214" i="14"/>
  <c r="K214" i="14" s="1"/>
  <c r="J215" i="14"/>
  <c r="K215" i="14" s="1"/>
  <c r="J216" i="14"/>
  <c r="K216" i="14" s="1"/>
  <c r="J217" i="14"/>
  <c r="J218" i="14"/>
  <c r="J219" i="14"/>
  <c r="K219" i="14" s="1"/>
  <c r="J220" i="14"/>
  <c r="K220" i="14" s="1"/>
  <c r="J221" i="14"/>
  <c r="K221" i="14" s="1"/>
  <c r="J222" i="14"/>
  <c r="K222" i="14" s="1"/>
  <c r="J223" i="14"/>
  <c r="K223" i="14" s="1"/>
  <c r="J224" i="14"/>
  <c r="K224" i="14" s="1"/>
  <c r="J225" i="14"/>
  <c r="J226" i="14"/>
  <c r="J227" i="14"/>
  <c r="K227" i="14" s="1"/>
  <c r="J228" i="14"/>
  <c r="K228" i="14" s="1"/>
  <c r="J229" i="14"/>
  <c r="K229" i="14" s="1"/>
  <c r="J230" i="14"/>
  <c r="K230" i="14" s="1"/>
  <c r="J231" i="14"/>
  <c r="K231" i="14" s="1"/>
  <c r="J232" i="14"/>
  <c r="K232" i="14" s="1"/>
  <c r="J233" i="14"/>
  <c r="J234" i="14"/>
  <c r="J235" i="14"/>
  <c r="K235" i="14" s="1"/>
  <c r="J236" i="14"/>
  <c r="K236" i="14" s="1"/>
  <c r="J237" i="14"/>
  <c r="K237" i="14" s="1"/>
  <c r="J238" i="14"/>
  <c r="K238" i="14" s="1"/>
  <c r="J239" i="14"/>
  <c r="K239" i="14" s="1"/>
  <c r="J240" i="14"/>
  <c r="K240" i="14" s="1"/>
  <c r="J241" i="14"/>
  <c r="J242" i="14"/>
  <c r="J2" i="14"/>
  <c r="L2" i="14" s="1"/>
  <c r="G3" i="14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101" i="14"/>
  <c r="B102" i="14"/>
  <c r="B103" i="14"/>
  <c r="B104" i="14"/>
  <c r="B105" i="14"/>
  <c r="B106" i="14"/>
  <c r="B107" i="14"/>
  <c r="B108" i="14"/>
  <c r="B109" i="14"/>
  <c r="B110" i="14"/>
  <c r="B111" i="14"/>
  <c r="B112" i="14"/>
  <c r="B113" i="14"/>
  <c r="B114" i="14"/>
  <c r="B115" i="14"/>
  <c r="B116" i="14"/>
  <c r="B117" i="14"/>
  <c r="B118" i="14"/>
  <c r="B119" i="14"/>
  <c r="B120" i="14"/>
  <c r="B121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B201" i="14"/>
  <c r="B202" i="14"/>
  <c r="B203" i="14"/>
  <c r="B204" i="14"/>
  <c r="B205" i="14"/>
  <c r="B206" i="14"/>
  <c r="B207" i="14"/>
  <c r="B208" i="14"/>
  <c r="B209" i="14"/>
  <c r="B210" i="14"/>
  <c r="B211" i="14"/>
  <c r="B212" i="14"/>
  <c r="B213" i="14"/>
  <c r="B214" i="14"/>
  <c r="B215" i="14"/>
  <c r="B216" i="14"/>
  <c r="B217" i="14"/>
  <c r="B218" i="14"/>
  <c r="B219" i="14"/>
  <c r="B220" i="14"/>
  <c r="B221" i="14"/>
  <c r="B222" i="14"/>
  <c r="B223" i="14"/>
  <c r="B224" i="14"/>
  <c r="B225" i="14"/>
  <c r="B226" i="14"/>
  <c r="B227" i="14"/>
  <c r="B228" i="14"/>
  <c r="B229" i="14"/>
  <c r="B230" i="14"/>
  <c r="B231" i="14"/>
  <c r="B232" i="14"/>
  <c r="B233" i="14"/>
  <c r="B234" i="14"/>
  <c r="B235" i="14"/>
  <c r="B236" i="14"/>
  <c r="B237" i="14"/>
  <c r="B238" i="14"/>
  <c r="B239" i="14"/>
  <c r="B240" i="14"/>
  <c r="B241" i="14"/>
  <c r="B242" i="14"/>
  <c r="B2" i="14"/>
  <c r="H2" i="14"/>
  <c r="N3" i="14" a="1"/>
  <c r="N3" i="14" s="1"/>
  <c r="H3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103" i="14"/>
  <c r="F104" i="14"/>
  <c r="F105" i="14"/>
  <c r="F106" i="14"/>
  <c r="F107" i="14"/>
  <c r="F108" i="14"/>
  <c r="F109" i="14"/>
  <c r="F110" i="14"/>
  <c r="F111" i="14"/>
  <c r="F112" i="14"/>
  <c r="F113" i="14"/>
  <c r="F114" i="14"/>
  <c r="F115" i="14"/>
  <c r="F116" i="14"/>
  <c r="F117" i="14"/>
  <c r="F118" i="14"/>
  <c r="F119" i="14"/>
  <c r="F120" i="14"/>
  <c r="F121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F201" i="14"/>
  <c r="F202" i="14"/>
  <c r="F203" i="14"/>
  <c r="F204" i="14"/>
  <c r="F205" i="14"/>
  <c r="F206" i="14"/>
  <c r="F207" i="14"/>
  <c r="F208" i="14"/>
  <c r="F209" i="14"/>
  <c r="F210" i="14"/>
  <c r="F211" i="14"/>
  <c r="F212" i="14"/>
  <c r="F213" i="14"/>
  <c r="F214" i="14"/>
  <c r="F215" i="14"/>
  <c r="F216" i="14"/>
  <c r="F217" i="14"/>
  <c r="F218" i="14"/>
  <c r="F219" i="14"/>
  <c r="F220" i="14"/>
  <c r="F221" i="14"/>
  <c r="F222" i="14"/>
  <c r="F223" i="14"/>
  <c r="F224" i="14"/>
  <c r="F225" i="14"/>
  <c r="F226" i="14"/>
  <c r="F227" i="14"/>
  <c r="F228" i="14"/>
  <c r="F229" i="14"/>
  <c r="F230" i="14"/>
  <c r="F231" i="14"/>
  <c r="F232" i="14"/>
  <c r="F233" i="14"/>
  <c r="F234" i="14"/>
  <c r="F235" i="14"/>
  <c r="F236" i="14"/>
  <c r="F237" i="14"/>
  <c r="F238" i="14"/>
  <c r="F239" i="14"/>
  <c r="F240" i="14"/>
  <c r="F241" i="14"/>
  <c r="F242" i="14"/>
  <c r="F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194" i="13"/>
  <c r="K195" i="13"/>
  <c r="K196" i="13"/>
  <c r="K197" i="13"/>
  <c r="K198" i="13"/>
  <c r="K199" i="13"/>
  <c r="K200" i="13"/>
  <c r="K201" i="13"/>
  <c r="K202" i="13"/>
  <c r="K203" i="13"/>
  <c r="K204" i="13"/>
  <c r="K205" i="13"/>
  <c r="K206" i="13"/>
  <c r="K207" i="13"/>
  <c r="K208" i="13"/>
  <c r="K209" i="13"/>
  <c r="K210" i="13"/>
  <c r="K211" i="13"/>
  <c r="K212" i="13"/>
  <c r="K213" i="13"/>
  <c r="K214" i="13"/>
  <c r="K215" i="13"/>
  <c r="K216" i="13"/>
  <c r="K217" i="13"/>
  <c r="K218" i="13"/>
  <c r="K219" i="13"/>
  <c r="K220" i="13"/>
  <c r="K221" i="13"/>
  <c r="K222" i="13"/>
  <c r="K223" i="13"/>
  <c r="K224" i="13"/>
  <c r="K225" i="13"/>
  <c r="K226" i="13"/>
  <c r="K227" i="13"/>
  <c r="K228" i="13"/>
  <c r="K229" i="13"/>
  <c r="K230" i="13"/>
  <c r="K231" i="13"/>
  <c r="K232" i="13"/>
  <c r="K233" i="13"/>
  <c r="K234" i="13"/>
  <c r="K235" i="13"/>
  <c r="K236" i="13"/>
  <c r="K237" i="13"/>
  <c r="K238" i="13"/>
  <c r="K239" i="13"/>
  <c r="K240" i="13"/>
  <c r="K241" i="13"/>
  <c r="K242" i="13"/>
  <c r="K2" i="13"/>
  <c r="I3" i="13"/>
  <c r="J3" i="13" s="1"/>
  <c r="I4" i="13"/>
  <c r="J4" i="13"/>
  <c r="I5" i="13"/>
  <c r="J5" i="13" s="1"/>
  <c r="I6" i="13"/>
  <c r="J6" i="13" s="1"/>
  <c r="I7" i="13"/>
  <c r="J7" i="13"/>
  <c r="I8" i="13"/>
  <c r="J8" i="13"/>
  <c r="I9" i="13"/>
  <c r="J9" i="13" s="1"/>
  <c r="I10" i="13"/>
  <c r="J10" i="13" s="1"/>
  <c r="I11" i="13"/>
  <c r="J11" i="13"/>
  <c r="I12" i="13"/>
  <c r="J12" i="13"/>
  <c r="I13" i="13"/>
  <c r="J13" i="13" s="1"/>
  <c r="I14" i="13"/>
  <c r="J14" i="13" s="1"/>
  <c r="I15" i="13"/>
  <c r="J15" i="13"/>
  <c r="I16" i="13"/>
  <c r="J16" i="13"/>
  <c r="I17" i="13"/>
  <c r="J17" i="13" s="1"/>
  <c r="I18" i="13"/>
  <c r="J18" i="13" s="1"/>
  <c r="I19" i="13"/>
  <c r="J19" i="13"/>
  <c r="I20" i="13"/>
  <c r="J20" i="13"/>
  <c r="I21" i="13"/>
  <c r="J21" i="13" s="1"/>
  <c r="I22" i="13"/>
  <c r="J22" i="13" s="1"/>
  <c r="I23" i="13"/>
  <c r="J23" i="13"/>
  <c r="I24" i="13"/>
  <c r="J24" i="13"/>
  <c r="I25" i="13"/>
  <c r="J25" i="13" s="1"/>
  <c r="I26" i="13"/>
  <c r="J26" i="13" s="1"/>
  <c r="I27" i="13"/>
  <c r="J27" i="13"/>
  <c r="I28" i="13"/>
  <c r="J28" i="13"/>
  <c r="I29" i="13"/>
  <c r="J29" i="13" s="1"/>
  <c r="I30" i="13"/>
  <c r="J30" i="13" s="1"/>
  <c r="I31" i="13"/>
  <c r="J31" i="13"/>
  <c r="I32" i="13"/>
  <c r="J32" i="13"/>
  <c r="I33" i="13"/>
  <c r="J33" i="13" s="1"/>
  <c r="I34" i="13"/>
  <c r="J34" i="13" s="1"/>
  <c r="I35" i="13"/>
  <c r="J35" i="13"/>
  <c r="I36" i="13"/>
  <c r="J36" i="13"/>
  <c r="I37" i="13"/>
  <c r="J37" i="13" s="1"/>
  <c r="I38" i="13"/>
  <c r="J38" i="13" s="1"/>
  <c r="I39" i="13"/>
  <c r="J39" i="13"/>
  <c r="I40" i="13"/>
  <c r="J40" i="13"/>
  <c r="I41" i="13"/>
  <c r="J41" i="13" s="1"/>
  <c r="I42" i="13"/>
  <c r="J42" i="13" s="1"/>
  <c r="I43" i="13"/>
  <c r="J43" i="13"/>
  <c r="I44" i="13"/>
  <c r="J44" i="13"/>
  <c r="I45" i="13"/>
  <c r="J45" i="13" s="1"/>
  <c r="I46" i="13"/>
  <c r="J46" i="13" s="1"/>
  <c r="I47" i="13"/>
  <c r="J47" i="13"/>
  <c r="I48" i="13"/>
  <c r="J48" i="13"/>
  <c r="I49" i="13"/>
  <c r="J49" i="13" s="1"/>
  <c r="I50" i="13"/>
  <c r="J50" i="13" s="1"/>
  <c r="I51" i="13"/>
  <c r="J51" i="13"/>
  <c r="I52" i="13"/>
  <c r="J52" i="13"/>
  <c r="I53" i="13"/>
  <c r="J53" i="13" s="1"/>
  <c r="I54" i="13"/>
  <c r="J54" i="13" s="1"/>
  <c r="I55" i="13"/>
  <c r="J55" i="13"/>
  <c r="I56" i="13"/>
  <c r="J56" i="13"/>
  <c r="I57" i="13"/>
  <c r="J57" i="13" s="1"/>
  <c r="I58" i="13"/>
  <c r="J58" i="13" s="1"/>
  <c r="I59" i="13"/>
  <c r="J59" i="13"/>
  <c r="I60" i="13"/>
  <c r="J60" i="13"/>
  <c r="I61" i="13"/>
  <c r="J61" i="13" s="1"/>
  <c r="I62" i="13"/>
  <c r="J62" i="13" s="1"/>
  <c r="I63" i="13"/>
  <c r="J63" i="13"/>
  <c r="I64" i="13"/>
  <c r="J64" i="13"/>
  <c r="I65" i="13"/>
  <c r="J65" i="13" s="1"/>
  <c r="I66" i="13"/>
  <c r="J66" i="13" s="1"/>
  <c r="I67" i="13"/>
  <c r="J67" i="13"/>
  <c r="I68" i="13"/>
  <c r="J68" i="13"/>
  <c r="I69" i="13"/>
  <c r="J69" i="13" s="1"/>
  <c r="I70" i="13"/>
  <c r="J70" i="13" s="1"/>
  <c r="I71" i="13"/>
  <c r="J71" i="13"/>
  <c r="I72" i="13"/>
  <c r="J72" i="13"/>
  <c r="I73" i="13"/>
  <c r="J73" i="13" s="1"/>
  <c r="I74" i="13"/>
  <c r="J74" i="13" s="1"/>
  <c r="I75" i="13"/>
  <c r="J75" i="13"/>
  <c r="I76" i="13"/>
  <c r="J76" i="13"/>
  <c r="I77" i="13"/>
  <c r="J77" i="13" s="1"/>
  <c r="I78" i="13"/>
  <c r="J78" i="13" s="1"/>
  <c r="I79" i="13"/>
  <c r="J79" i="13"/>
  <c r="I80" i="13"/>
  <c r="J80" i="13"/>
  <c r="I81" i="13"/>
  <c r="J81" i="13" s="1"/>
  <c r="I82" i="13"/>
  <c r="J82" i="13" s="1"/>
  <c r="I83" i="13"/>
  <c r="J83" i="13"/>
  <c r="I84" i="13"/>
  <c r="J84" i="13"/>
  <c r="I85" i="13"/>
  <c r="J85" i="13" s="1"/>
  <c r="I86" i="13"/>
  <c r="J86" i="13" s="1"/>
  <c r="I87" i="13"/>
  <c r="J87" i="13"/>
  <c r="I88" i="13"/>
  <c r="J88" i="13"/>
  <c r="I89" i="13"/>
  <c r="J89" i="13" s="1"/>
  <c r="I90" i="13"/>
  <c r="J90" i="13" s="1"/>
  <c r="I91" i="13"/>
  <c r="J91" i="13"/>
  <c r="I92" i="13"/>
  <c r="J92" i="13"/>
  <c r="I93" i="13"/>
  <c r="J93" i="13" s="1"/>
  <c r="I94" i="13"/>
  <c r="J94" i="13" s="1"/>
  <c r="I95" i="13"/>
  <c r="J95" i="13"/>
  <c r="I96" i="13"/>
  <c r="J96" i="13"/>
  <c r="I97" i="13"/>
  <c r="J97" i="13" s="1"/>
  <c r="I98" i="13"/>
  <c r="J98" i="13" s="1"/>
  <c r="I99" i="13"/>
  <c r="J99" i="13"/>
  <c r="I100" i="13"/>
  <c r="J100" i="13"/>
  <c r="I101" i="13"/>
  <c r="J101" i="13" s="1"/>
  <c r="I102" i="13"/>
  <c r="J102" i="13" s="1"/>
  <c r="I103" i="13"/>
  <c r="J103" i="13"/>
  <c r="I104" i="13"/>
  <c r="J104" i="13"/>
  <c r="I105" i="13"/>
  <c r="J105" i="13" s="1"/>
  <c r="I106" i="13"/>
  <c r="J106" i="13" s="1"/>
  <c r="I107" i="13"/>
  <c r="J107" i="13"/>
  <c r="I108" i="13"/>
  <c r="J108" i="13"/>
  <c r="I109" i="13"/>
  <c r="J109" i="13" s="1"/>
  <c r="I110" i="13"/>
  <c r="J110" i="13" s="1"/>
  <c r="I111" i="13"/>
  <c r="J111" i="13"/>
  <c r="I112" i="13"/>
  <c r="J112" i="13"/>
  <c r="I113" i="13"/>
  <c r="J113" i="13" s="1"/>
  <c r="I114" i="13"/>
  <c r="J114" i="13" s="1"/>
  <c r="I115" i="13"/>
  <c r="J115" i="13"/>
  <c r="I116" i="13"/>
  <c r="J116" i="13"/>
  <c r="I117" i="13"/>
  <c r="J117" i="13" s="1"/>
  <c r="I118" i="13"/>
  <c r="J118" i="13" s="1"/>
  <c r="I119" i="13"/>
  <c r="J119" i="13"/>
  <c r="I120" i="13"/>
  <c r="J120" i="13"/>
  <c r="I121" i="13"/>
  <c r="J121" i="13" s="1"/>
  <c r="I122" i="13"/>
  <c r="J122" i="13" s="1"/>
  <c r="I123" i="13"/>
  <c r="J123" i="13"/>
  <c r="I124" i="13"/>
  <c r="J124" i="13"/>
  <c r="I125" i="13"/>
  <c r="J125" i="13" s="1"/>
  <c r="I126" i="13"/>
  <c r="J126" i="13" s="1"/>
  <c r="I127" i="13"/>
  <c r="J127" i="13"/>
  <c r="I128" i="13"/>
  <c r="J128" i="13"/>
  <c r="I129" i="13"/>
  <c r="J129" i="13" s="1"/>
  <c r="I130" i="13"/>
  <c r="J130" i="13" s="1"/>
  <c r="I131" i="13"/>
  <c r="J131" i="13"/>
  <c r="I132" i="13"/>
  <c r="J132" i="13"/>
  <c r="I133" i="13"/>
  <c r="J133" i="13" s="1"/>
  <c r="I134" i="13"/>
  <c r="J134" i="13" s="1"/>
  <c r="I135" i="13"/>
  <c r="J135" i="13"/>
  <c r="I136" i="13"/>
  <c r="J136" i="13"/>
  <c r="I137" i="13"/>
  <c r="J137" i="13" s="1"/>
  <c r="I138" i="13"/>
  <c r="J138" i="13" s="1"/>
  <c r="I139" i="13"/>
  <c r="J139" i="13"/>
  <c r="I140" i="13"/>
  <c r="J140" i="13"/>
  <c r="I141" i="13"/>
  <c r="J141" i="13" s="1"/>
  <c r="I142" i="13"/>
  <c r="J142" i="13" s="1"/>
  <c r="I143" i="13"/>
  <c r="J143" i="13"/>
  <c r="I144" i="13"/>
  <c r="J144" i="13"/>
  <c r="I145" i="13"/>
  <c r="J145" i="13" s="1"/>
  <c r="I146" i="13"/>
  <c r="J146" i="13" s="1"/>
  <c r="I147" i="13"/>
  <c r="J147" i="13"/>
  <c r="I148" i="13"/>
  <c r="J148" i="13"/>
  <c r="I149" i="13"/>
  <c r="J149" i="13" s="1"/>
  <c r="I150" i="13"/>
  <c r="J150" i="13" s="1"/>
  <c r="I151" i="13"/>
  <c r="J151" i="13"/>
  <c r="I152" i="13"/>
  <c r="J152" i="13"/>
  <c r="I153" i="13"/>
  <c r="J153" i="13" s="1"/>
  <c r="I154" i="13"/>
  <c r="J154" i="13" s="1"/>
  <c r="I155" i="13"/>
  <c r="J155" i="13"/>
  <c r="I156" i="13"/>
  <c r="J156" i="13"/>
  <c r="I157" i="13"/>
  <c r="J157" i="13" s="1"/>
  <c r="I158" i="13"/>
  <c r="J158" i="13" s="1"/>
  <c r="I159" i="13"/>
  <c r="J159" i="13"/>
  <c r="I160" i="13"/>
  <c r="J160" i="13"/>
  <c r="I161" i="13"/>
  <c r="J161" i="13" s="1"/>
  <c r="I162" i="13"/>
  <c r="J162" i="13" s="1"/>
  <c r="I163" i="13"/>
  <c r="J163" i="13"/>
  <c r="I164" i="13"/>
  <c r="J164" i="13"/>
  <c r="I165" i="13"/>
  <c r="J165" i="13" s="1"/>
  <c r="I166" i="13"/>
  <c r="J166" i="13" s="1"/>
  <c r="I167" i="13"/>
  <c r="J167" i="13"/>
  <c r="I168" i="13"/>
  <c r="J168" i="13"/>
  <c r="I169" i="13"/>
  <c r="J169" i="13" s="1"/>
  <c r="I170" i="13"/>
  <c r="J170" i="13" s="1"/>
  <c r="I171" i="13"/>
  <c r="J171" i="13"/>
  <c r="I172" i="13"/>
  <c r="J172" i="13"/>
  <c r="I173" i="13"/>
  <c r="J173" i="13" s="1"/>
  <c r="I174" i="13"/>
  <c r="J174" i="13" s="1"/>
  <c r="I175" i="13"/>
  <c r="J175" i="13"/>
  <c r="I176" i="13"/>
  <c r="J176" i="13"/>
  <c r="I177" i="13"/>
  <c r="J177" i="13" s="1"/>
  <c r="I178" i="13"/>
  <c r="J178" i="13" s="1"/>
  <c r="I179" i="13"/>
  <c r="J179" i="13"/>
  <c r="I180" i="13"/>
  <c r="J180" i="13"/>
  <c r="I181" i="13"/>
  <c r="J181" i="13" s="1"/>
  <c r="I182" i="13"/>
  <c r="J182" i="13" s="1"/>
  <c r="I183" i="13"/>
  <c r="J183" i="13"/>
  <c r="I184" i="13"/>
  <c r="J184" i="13"/>
  <c r="I185" i="13"/>
  <c r="J185" i="13" s="1"/>
  <c r="I186" i="13"/>
  <c r="J186" i="13" s="1"/>
  <c r="I187" i="13"/>
  <c r="J187" i="13"/>
  <c r="I188" i="13"/>
  <c r="J188" i="13"/>
  <c r="I189" i="13"/>
  <c r="J189" i="13" s="1"/>
  <c r="I190" i="13"/>
  <c r="J190" i="13" s="1"/>
  <c r="I191" i="13"/>
  <c r="J191" i="13"/>
  <c r="I192" i="13"/>
  <c r="J192" i="13"/>
  <c r="I193" i="13"/>
  <c r="J193" i="13" s="1"/>
  <c r="I194" i="13"/>
  <c r="J194" i="13" s="1"/>
  <c r="I195" i="13"/>
  <c r="J195" i="13"/>
  <c r="I196" i="13"/>
  <c r="J196" i="13"/>
  <c r="I197" i="13"/>
  <c r="J197" i="13" s="1"/>
  <c r="I198" i="13"/>
  <c r="J198" i="13" s="1"/>
  <c r="I199" i="13"/>
  <c r="J199" i="13"/>
  <c r="I200" i="13"/>
  <c r="J200" i="13"/>
  <c r="I201" i="13"/>
  <c r="J201" i="13" s="1"/>
  <c r="I202" i="13"/>
  <c r="J202" i="13" s="1"/>
  <c r="I203" i="13"/>
  <c r="J203" i="13"/>
  <c r="I204" i="13"/>
  <c r="J204" i="13"/>
  <c r="I205" i="13"/>
  <c r="J205" i="13" s="1"/>
  <c r="I206" i="13"/>
  <c r="J206" i="13" s="1"/>
  <c r="I207" i="13"/>
  <c r="J207" i="13"/>
  <c r="I208" i="13"/>
  <c r="J208" i="13"/>
  <c r="I209" i="13"/>
  <c r="J209" i="13" s="1"/>
  <c r="I210" i="13"/>
  <c r="J210" i="13" s="1"/>
  <c r="I211" i="13"/>
  <c r="J211" i="13"/>
  <c r="I212" i="13"/>
  <c r="J212" i="13"/>
  <c r="I213" i="13"/>
  <c r="J213" i="13" s="1"/>
  <c r="I214" i="13"/>
  <c r="J214" i="13" s="1"/>
  <c r="I215" i="13"/>
  <c r="J215" i="13"/>
  <c r="I216" i="13"/>
  <c r="J216" i="13"/>
  <c r="I217" i="13"/>
  <c r="J217" i="13" s="1"/>
  <c r="I218" i="13"/>
  <c r="J218" i="13" s="1"/>
  <c r="I219" i="13"/>
  <c r="J219" i="13"/>
  <c r="I220" i="13"/>
  <c r="J220" i="13"/>
  <c r="I221" i="13"/>
  <c r="J221" i="13" s="1"/>
  <c r="I222" i="13"/>
  <c r="J222" i="13" s="1"/>
  <c r="I223" i="13"/>
  <c r="J223" i="13"/>
  <c r="I224" i="13"/>
  <c r="J224" i="13"/>
  <c r="I225" i="13"/>
  <c r="J225" i="13" s="1"/>
  <c r="I226" i="13"/>
  <c r="J226" i="13" s="1"/>
  <c r="I227" i="13"/>
  <c r="J227" i="13"/>
  <c r="I228" i="13"/>
  <c r="J228" i="13"/>
  <c r="I229" i="13"/>
  <c r="J229" i="13" s="1"/>
  <c r="I230" i="13"/>
  <c r="J230" i="13" s="1"/>
  <c r="I231" i="13"/>
  <c r="J231" i="13"/>
  <c r="I232" i="13"/>
  <c r="J232" i="13"/>
  <c r="I233" i="13"/>
  <c r="J233" i="13" s="1"/>
  <c r="I234" i="13"/>
  <c r="J234" i="13" s="1"/>
  <c r="I235" i="13"/>
  <c r="J235" i="13"/>
  <c r="I236" i="13"/>
  <c r="J236" i="13"/>
  <c r="I237" i="13"/>
  <c r="J237" i="13" s="1"/>
  <c r="I238" i="13"/>
  <c r="J238" i="13" s="1"/>
  <c r="I239" i="13"/>
  <c r="J239" i="13"/>
  <c r="I240" i="13"/>
  <c r="J240" i="13"/>
  <c r="I241" i="13"/>
  <c r="J241" i="13" s="1"/>
  <c r="I242" i="13"/>
  <c r="J242" i="13" s="1"/>
  <c r="J2" i="13"/>
  <c r="I2" i="13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" i="13"/>
  <c r="T20" i="13"/>
  <c r="Q2" i="13"/>
  <c r="Q3" i="13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120" i="13"/>
  <c r="Q121" i="13"/>
  <c r="Q122" i="13"/>
  <c r="Q123" i="13"/>
  <c r="Q124" i="13"/>
  <c r="Q125" i="13"/>
  <c r="Q126" i="13"/>
  <c r="Q127" i="13"/>
  <c r="Q128" i="13"/>
  <c r="Q129" i="13"/>
  <c r="Q130" i="13"/>
  <c r="Q131" i="13"/>
  <c r="Q132" i="13"/>
  <c r="Q133" i="13"/>
  <c r="Q134" i="13"/>
  <c r="Q135" i="13"/>
  <c r="Q136" i="13"/>
  <c r="Q137" i="13"/>
  <c r="Q138" i="13"/>
  <c r="Q139" i="13"/>
  <c r="Q140" i="13"/>
  <c r="Q141" i="13"/>
  <c r="Q142" i="13"/>
  <c r="Q143" i="13"/>
  <c r="Q144" i="13"/>
  <c r="Q145" i="13"/>
  <c r="Q146" i="13"/>
  <c r="Q147" i="13"/>
  <c r="Q148" i="13"/>
  <c r="Q149" i="13"/>
  <c r="Q150" i="13"/>
  <c r="Q151" i="13"/>
  <c r="Q152" i="13"/>
  <c r="Q153" i="13"/>
  <c r="Q154" i="13"/>
  <c r="Q155" i="13"/>
  <c r="Q156" i="13"/>
  <c r="Q157" i="13"/>
  <c r="Q158" i="13"/>
  <c r="Q159" i="13"/>
  <c r="Q160" i="13"/>
  <c r="Q161" i="13"/>
  <c r="Q162" i="13"/>
  <c r="Q163" i="13"/>
  <c r="Q164" i="13"/>
  <c r="Q165" i="13"/>
  <c r="Q166" i="13"/>
  <c r="Q167" i="13"/>
  <c r="Q168" i="13"/>
  <c r="Q169" i="13"/>
  <c r="Q170" i="13"/>
  <c r="Q171" i="13"/>
  <c r="Q172" i="13"/>
  <c r="Q173" i="13"/>
  <c r="Q174" i="13"/>
  <c r="Q175" i="13"/>
  <c r="Q176" i="13"/>
  <c r="Q177" i="13"/>
  <c r="Q178" i="13"/>
  <c r="Q179" i="13"/>
  <c r="Q180" i="13"/>
  <c r="Q181" i="13"/>
  <c r="Q182" i="13"/>
  <c r="Q183" i="13"/>
  <c r="Q184" i="13"/>
  <c r="Q185" i="13"/>
  <c r="Q186" i="13"/>
  <c r="Q187" i="13"/>
  <c r="Q188" i="13"/>
  <c r="Q189" i="13"/>
  <c r="Q190" i="13"/>
  <c r="Q191" i="13"/>
  <c r="Q192" i="13"/>
  <c r="Q193" i="13"/>
  <c r="Q194" i="13"/>
  <c r="Q195" i="13"/>
  <c r="Q196" i="13"/>
  <c r="Q197" i="13"/>
  <c r="Q198" i="13"/>
  <c r="Q199" i="13"/>
  <c r="Q200" i="13"/>
  <c r="Q201" i="13"/>
  <c r="Q202" i="13"/>
  <c r="Q203" i="13"/>
  <c r="Q204" i="13"/>
  <c r="Q205" i="13"/>
  <c r="Q206" i="13"/>
  <c r="Q207" i="13"/>
  <c r="Q208" i="13"/>
  <c r="Q209" i="13"/>
  <c r="Q210" i="13"/>
  <c r="Q211" i="13"/>
  <c r="Q212" i="13"/>
  <c r="Q213" i="13"/>
  <c r="Q214" i="13"/>
  <c r="Q215" i="13"/>
  <c r="Q216" i="13"/>
  <c r="Q217" i="13"/>
  <c r="Q218" i="13"/>
  <c r="Q219" i="13"/>
  <c r="Q220" i="13"/>
  <c r="Q221" i="13"/>
  <c r="Q222" i="13"/>
  <c r="Q223" i="13"/>
  <c r="Q224" i="13"/>
  <c r="Q225" i="13"/>
  <c r="Q226" i="13"/>
  <c r="Q227" i="13"/>
  <c r="Q228" i="13"/>
  <c r="Q229" i="13"/>
  <c r="Q230" i="13"/>
  <c r="Q231" i="13"/>
  <c r="Q232" i="13"/>
  <c r="Q233" i="13"/>
  <c r="Q234" i="13"/>
  <c r="Q235" i="13"/>
  <c r="Q236" i="13"/>
  <c r="Q237" i="13"/>
  <c r="Q238" i="13"/>
  <c r="Q239" i="13"/>
  <c r="Q240" i="13"/>
  <c r="Q241" i="13"/>
  <c r="Q242" i="13"/>
  <c r="L2" i="13"/>
  <c r="N2" i="13"/>
  <c r="M2" i="13"/>
  <c r="L3" i="13"/>
  <c r="L4" i="13"/>
  <c r="L5" i="13"/>
  <c r="N5" i="13" s="1"/>
  <c r="L6" i="13"/>
  <c r="N6" i="13" s="1"/>
  <c r="L7" i="13"/>
  <c r="L8" i="13"/>
  <c r="M8" i="13" s="1"/>
  <c r="L9" i="13"/>
  <c r="M9" i="13" s="1"/>
  <c r="L10" i="13"/>
  <c r="M10" i="13" s="1"/>
  <c r="L11" i="13"/>
  <c r="L12" i="13"/>
  <c r="L13" i="13"/>
  <c r="N13" i="13" s="1"/>
  <c r="L14" i="13"/>
  <c r="N14" i="13" s="1"/>
  <c r="L15" i="13"/>
  <c r="L16" i="13"/>
  <c r="M16" i="13" s="1"/>
  <c r="L17" i="13"/>
  <c r="M17" i="13" s="1"/>
  <c r="L18" i="13"/>
  <c r="M18" i="13" s="1"/>
  <c r="L19" i="13"/>
  <c r="L20" i="13"/>
  <c r="L21" i="13"/>
  <c r="N21" i="13" s="1"/>
  <c r="L22" i="13"/>
  <c r="N22" i="13" s="1"/>
  <c r="L23" i="13"/>
  <c r="L24" i="13"/>
  <c r="M24" i="13" s="1"/>
  <c r="L25" i="13"/>
  <c r="M25" i="13" s="1"/>
  <c r="L26" i="13"/>
  <c r="M26" i="13" s="1"/>
  <c r="L27" i="13"/>
  <c r="L28" i="13"/>
  <c r="L29" i="13"/>
  <c r="N29" i="13" s="1"/>
  <c r="L30" i="13"/>
  <c r="N30" i="13" s="1"/>
  <c r="L31" i="13"/>
  <c r="L32" i="13"/>
  <c r="M32" i="13" s="1"/>
  <c r="L33" i="13"/>
  <c r="M33" i="13" s="1"/>
  <c r="L34" i="13"/>
  <c r="M34" i="13" s="1"/>
  <c r="L35" i="13"/>
  <c r="L36" i="13"/>
  <c r="L37" i="13"/>
  <c r="N37" i="13" s="1"/>
  <c r="L38" i="13"/>
  <c r="N38" i="13" s="1"/>
  <c r="L39" i="13"/>
  <c r="L40" i="13"/>
  <c r="M40" i="13" s="1"/>
  <c r="L41" i="13"/>
  <c r="M41" i="13" s="1"/>
  <c r="L42" i="13"/>
  <c r="M42" i="13" s="1"/>
  <c r="L43" i="13"/>
  <c r="L44" i="13"/>
  <c r="L45" i="13"/>
  <c r="N45" i="13" s="1"/>
  <c r="L46" i="13"/>
  <c r="N46" i="13" s="1"/>
  <c r="L47" i="13"/>
  <c r="L48" i="13"/>
  <c r="M48" i="13" s="1"/>
  <c r="L49" i="13"/>
  <c r="M49" i="13" s="1"/>
  <c r="L50" i="13"/>
  <c r="M50" i="13" s="1"/>
  <c r="L51" i="13"/>
  <c r="L52" i="13"/>
  <c r="L53" i="13"/>
  <c r="N53" i="13" s="1"/>
  <c r="L54" i="13"/>
  <c r="N54" i="13" s="1"/>
  <c r="L55" i="13"/>
  <c r="L56" i="13"/>
  <c r="M56" i="13" s="1"/>
  <c r="L57" i="13"/>
  <c r="M57" i="13" s="1"/>
  <c r="L58" i="13"/>
  <c r="M58" i="13" s="1"/>
  <c r="L59" i="13"/>
  <c r="L60" i="13"/>
  <c r="L61" i="13"/>
  <c r="N61" i="13" s="1"/>
  <c r="L62" i="13"/>
  <c r="N62" i="13" s="1"/>
  <c r="L63" i="13"/>
  <c r="L64" i="13"/>
  <c r="M64" i="13" s="1"/>
  <c r="L65" i="13"/>
  <c r="M65" i="13" s="1"/>
  <c r="L66" i="13"/>
  <c r="M66" i="13" s="1"/>
  <c r="L67" i="13"/>
  <c r="L68" i="13"/>
  <c r="L69" i="13"/>
  <c r="N69" i="13" s="1"/>
  <c r="L70" i="13"/>
  <c r="N70" i="13" s="1"/>
  <c r="L71" i="13"/>
  <c r="L72" i="13"/>
  <c r="M72" i="13" s="1"/>
  <c r="L73" i="13"/>
  <c r="M73" i="13" s="1"/>
  <c r="L74" i="13"/>
  <c r="M74" i="13" s="1"/>
  <c r="L75" i="13"/>
  <c r="L76" i="13"/>
  <c r="L77" i="13"/>
  <c r="N77" i="13" s="1"/>
  <c r="L78" i="13"/>
  <c r="N78" i="13" s="1"/>
  <c r="L79" i="13"/>
  <c r="L80" i="13"/>
  <c r="M80" i="13" s="1"/>
  <c r="L81" i="13"/>
  <c r="M81" i="13" s="1"/>
  <c r="L82" i="13"/>
  <c r="M82" i="13" s="1"/>
  <c r="L83" i="13"/>
  <c r="L84" i="13"/>
  <c r="L85" i="13"/>
  <c r="N85" i="13" s="1"/>
  <c r="L86" i="13"/>
  <c r="N86" i="13" s="1"/>
  <c r="L87" i="13"/>
  <c r="L88" i="13"/>
  <c r="M88" i="13" s="1"/>
  <c r="L89" i="13"/>
  <c r="M89" i="13" s="1"/>
  <c r="L90" i="13"/>
  <c r="M90" i="13" s="1"/>
  <c r="L91" i="13"/>
  <c r="L92" i="13"/>
  <c r="L93" i="13"/>
  <c r="N93" i="13" s="1"/>
  <c r="L94" i="13"/>
  <c r="N94" i="13" s="1"/>
  <c r="L95" i="13"/>
  <c r="L96" i="13"/>
  <c r="M96" i="13" s="1"/>
  <c r="L97" i="13"/>
  <c r="M97" i="13" s="1"/>
  <c r="L98" i="13"/>
  <c r="M98" i="13" s="1"/>
  <c r="L99" i="13"/>
  <c r="L100" i="13"/>
  <c r="L101" i="13"/>
  <c r="N101" i="13" s="1"/>
  <c r="L102" i="13"/>
  <c r="N102" i="13" s="1"/>
  <c r="L103" i="13"/>
  <c r="L104" i="13"/>
  <c r="M104" i="13" s="1"/>
  <c r="L105" i="13"/>
  <c r="M105" i="13" s="1"/>
  <c r="L106" i="13"/>
  <c r="L107" i="13"/>
  <c r="L108" i="13"/>
  <c r="L109" i="13"/>
  <c r="N109" i="13" s="1"/>
  <c r="L110" i="13"/>
  <c r="N110" i="13" s="1"/>
  <c r="L111" i="13"/>
  <c r="L112" i="13"/>
  <c r="M112" i="13" s="1"/>
  <c r="L113" i="13"/>
  <c r="M113" i="13" s="1"/>
  <c r="L114" i="13"/>
  <c r="L115" i="13"/>
  <c r="L116" i="13"/>
  <c r="L117" i="13"/>
  <c r="N117" i="13" s="1"/>
  <c r="L118" i="13"/>
  <c r="N118" i="13" s="1"/>
  <c r="L119" i="13"/>
  <c r="L120" i="13"/>
  <c r="M120" i="13" s="1"/>
  <c r="L121" i="13"/>
  <c r="M121" i="13" s="1"/>
  <c r="L122" i="13"/>
  <c r="L123" i="13"/>
  <c r="L124" i="13"/>
  <c r="L125" i="13"/>
  <c r="N125" i="13" s="1"/>
  <c r="L126" i="13"/>
  <c r="N126" i="13" s="1"/>
  <c r="L127" i="13"/>
  <c r="L128" i="13"/>
  <c r="M128" i="13" s="1"/>
  <c r="L129" i="13"/>
  <c r="M129" i="13" s="1"/>
  <c r="L130" i="13"/>
  <c r="L131" i="13"/>
  <c r="L132" i="13"/>
  <c r="L133" i="13"/>
  <c r="N133" i="13" s="1"/>
  <c r="L134" i="13"/>
  <c r="N134" i="13" s="1"/>
  <c r="L135" i="13"/>
  <c r="L136" i="13"/>
  <c r="M136" i="13" s="1"/>
  <c r="L137" i="13"/>
  <c r="M137" i="13" s="1"/>
  <c r="L138" i="13"/>
  <c r="L139" i="13"/>
  <c r="L140" i="13"/>
  <c r="L141" i="13"/>
  <c r="N141" i="13" s="1"/>
  <c r="L142" i="13"/>
  <c r="N142" i="13" s="1"/>
  <c r="L143" i="13"/>
  <c r="L144" i="13"/>
  <c r="M144" i="13" s="1"/>
  <c r="L145" i="13"/>
  <c r="L146" i="13"/>
  <c r="L147" i="13"/>
  <c r="L148" i="13"/>
  <c r="L149" i="13"/>
  <c r="L150" i="13"/>
  <c r="N150" i="13" s="1"/>
  <c r="L151" i="13"/>
  <c r="L152" i="13"/>
  <c r="M152" i="13" s="1"/>
  <c r="L153" i="13"/>
  <c r="L154" i="13"/>
  <c r="L155" i="13"/>
  <c r="L156" i="13"/>
  <c r="L157" i="13"/>
  <c r="L158" i="13"/>
  <c r="N158" i="13" s="1"/>
  <c r="L159" i="13"/>
  <c r="L160" i="13"/>
  <c r="M160" i="13" s="1"/>
  <c r="L161" i="13"/>
  <c r="L162" i="13"/>
  <c r="L163" i="13"/>
  <c r="L164" i="13"/>
  <c r="L165" i="13"/>
  <c r="L166" i="13"/>
  <c r="N166" i="13" s="1"/>
  <c r="L167" i="13"/>
  <c r="L168" i="13"/>
  <c r="M168" i="13" s="1"/>
  <c r="L169" i="13"/>
  <c r="L170" i="13"/>
  <c r="L171" i="13"/>
  <c r="L172" i="13"/>
  <c r="L173" i="13"/>
  <c r="L174" i="13"/>
  <c r="N174" i="13" s="1"/>
  <c r="L175" i="13"/>
  <c r="L176" i="13"/>
  <c r="M176" i="13" s="1"/>
  <c r="L177" i="13"/>
  <c r="L178" i="13"/>
  <c r="L179" i="13"/>
  <c r="L180" i="13"/>
  <c r="L181" i="13"/>
  <c r="L182" i="13"/>
  <c r="N182" i="13" s="1"/>
  <c r="L183" i="13"/>
  <c r="L184" i="13"/>
  <c r="M184" i="13" s="1"/>
  <c r="L185" i="13"/>
  <c r="L186" i="13"/>
  <c r="L187" i="13"/>
  <c r="L188" i="13"/>
  <c r="L189" i="13"/>
  <c r="L190" i="13"/>
  <c r="N190" i="13" s="1"/>
  <c r="L191" i="13"/>
  <c r="L192" i="13"/>
  <c r="M192" i="13" s="1"/>
  <c r="L193" i="13"/>
  <c r="L194" i="13"/>
  <c r="L195" i="13"/>
  <c r="L196" i="13"/>
  <c r="L197" i="13"/>
  <c r="L198" i="13"/>
  <c r="N198" i="13" s="1"/>
  <c r="L199" i="13"/>
  <c r="L200" i="13"/>
  <c r="M200" i="13" s="1"/>
  <c r="L201" i="13"/>
  <c r="L202" i="13"/>
  <c r="L203" i="13"/>
  <c r="L204" i="13"/>
  <c r="L205" i="13"/>
  <c r="L206" i="13"/>
  <c r="N206" i="13" s="1"/>
  <c r="L207" i="13"/>
  <c r="L208" i="13"/>
  <c r="M208" i="13" s="1"/>
  <c r="L209" i="13"/>
  <c r="L210" i="13"/>
  <c r="L211" i="13"/>
  <c r="L212" i="13"/>
  <c r="L213" i="13"/>
  <c r="L214" i="13"/>
  <c r="N214" i="13" s="1"/>
  <c r="L215" i="13"/>
  <c r="L216" i="13"/>
  <c r="L217" i="13"/>
  <c r="L218" i="13"/>
  <c r="L219" i="13"/>
  <c r="L220" i="13"/>
  <c r="L221" i="13"/>
  <c r="L222" i="13"/>
  <c r="N222" i="13" s="1"/>
  <c r="L223" i="13"/>
  <c r="L224" i="13"/>
  <c r="L225" i="13"/>
  <c r="L226" i="13"/>
  <c r="L227" i="13"/>
  <c r="L228" i="13"/>
  <c r="L229" i="13"/>
  <c r="L230" i="13"/>
  <c r="N230" i="13" s="1"/>
  <c r="L231" i="13"/>
  <c r="L232" i="13"/>
  <c r="L233" i="13"/>
  <c r="L234" i="13"/>
  <c r="L235" i="13"/>
  <c r="L236" i="13"/>
  <c r="L237" i="13"/>
  <c r="L238" i="13"/>
  <c r="L239" i="13"/>
  <c r="L240" i="13"/>
  <c r="L241" i="13"/>
  <c r="L242" i="13"/>
  <c r="P2" i="13"/>
  <c r="T12" i="13"/>
  <c r="T11" i="13"/>
  <c r="T6" i="13"/>
  <c r="T7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" i="13"/>
  <c r="L238" i="14" l="1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4" i="14"/>
  <c r="L6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1" i="14"/>
  <c r="L13" i="14"/>
  <c r="L5" i="14"/>
  <c r="L240" i="14"/>
  <c r="L236" i="14"/>
  <c r="L232" i="14"/>
  <c r="L228" i="14"/>
  <c r="L224" i="14"/>
  <c r="L220" i="14"/>
  <c r="L216" i="14"/>
  <c r="L212" i="14"/>
  <c r="L208" i="14"/>
  <c r="L204" i="14"/>
  <c r="L200" i="14"/>
  <c r="L196" i="14"/>
  <c r="L192" i="14"/>
  <c r="L188" i="14"/>
  <c r="L184" i="14"/>
  <c r="L180" i="14"/>
  <c r="L176" i="14"/>
  <c r="L172" i="14"/>
  <c r="L168" i="14"/>
  <c r="L164" i="14"/>
  <c r="L160" i="14"/>
  <c r="L156" i="14"/>
  <c r="L152" i="14"/>
  <c r="L148" i="14"/>
  <c r="L144" i="14"/>
  <c r="L140" i="14"/>
  <c r="L136" i="14"/>
  <c r="L132" i="14"/>
  <c r="L128" i="14"/>
  <c r="L124" i="14"/>
  <c r="L120" i="14"/>
  <c r="L116" i="14"/>
  <c r="L112" i="14"/>
  <c r="L108" i="14"/>
  <c r="L104" i="14"/>
  <c r="L100" i="14"/>
  <c r="L96" i="14"/>
  <c r="L92" i="14"/>
  <c r="L88" i="14"/>
  <c r="L84" i="14"/>
  <c r="L80" i="14"/>
  <c r="L76" i="14"/>
  <c r="L72" i="14"/>
  <c r="L68" i="14"/>
  <c r="L64" i="14"/>
  <c r="L60" i="14"/>
  <c r="L56" i="14"/>
  <c r="L52" i="14"/>
  <c r="L48" i="14"/>
  <c r="L44" i="14"/>
  <c r="L40" i="14"/>
  <c r="L36" i="14"/>
  <c r="L32" i="14"/>
  <c r="L28" i="14"/>
  <c r="L24" i="14"/>
  <c r="L20" i="14"/>
  <c r="L16" i="14"/>
  <c r="L12" i="14"/>
  <c r="L8" i="14"/>
  <c r="L4" i="14"/>
  <c r="K2" i="14"/>
  <c r="L239" i="14"/>
  <c r="L235" i="14"/>
  <c r="L231" i="14"/>
  <c r="L227" i="14"/>
  <c r="L223" i="14"/>
  <c r="L219" i="14"/>
  <c r="L215" i="14"/>
  <c r="L211" i="14"/>
  <c r="L207" i="14"/>
  <c r="L203" i="14"/>
  <c r="L199" i="14"/>
  <c r="L195" i="14"/>
  <c r="L191" i="14"/>
  <c r="L187" i="14"/>
  <c r="L183" i="14"/>
  <c r="L179" i="14"/>
  <c r="L175" i="14"/>
  <c r="L171" i="14"/>
  <c r="L167" i="14"/>
  <c r="L163" i="14"/>
  <c r="L159" i="14"/>
  <c r="L155" i="14"/>
  <c r="L151" i="14"/>
  <c r="L147" i="14"/>
  <c r="L143" i="14"/>
  <c r="L139" i="14"/>
  <c r="L135" i="14"/>
  <c r="L131" i="14"/>
  <c r="L127" i="14"/>
  <c r="L123" i="14"/>
  <c r="L119" i="14"/>
  <c r="L115" i="14"/>
  <c r="L111" i="14"/>
  <c r="L107" i="14"/>
  <c r="L103" i="14"/>
  <c r="L99" i="14"/>
  <c r="L95" i="14"/>
  <c r="L91" i="14"/>
  <c r="L87" i="14"/>
  <c r="L83" i="14"/>
  <c r="L79" i="14"/>
  <c r="L75" i="14"/>
  <c r="L71" i="14"/>
  <c r="L67" i="14"/>
  <c r="L63" i="14"/>
  <c r="L59" i="14"/>
  <c r="L55" i="14"/>
  <c r="L51" i="14"/>
  <c r="L47" i="14"/>
  <c r="L43" i="14"/>
  <c r="L39" i="14"/>
  <c r="L35" i="14"/>
  <c r="L31" i="14"/>
  <c r="L27" i="14"/>
  <c r="L23" i="14"/>
  <c r="L19" i="14"/>
  <c r="L15" i="14"/>
  <c r="L11" i="14"/>
  <c r="L7" i="14"/>
  <c r="L3" i="14"/>
  <c r="M207" i="13"/>
  <c r="N207" i="13"/>
  <c r="P207" i="13" s="1"/>
  <c r="M199" i="13"/>
  <c r="N199" i="13"/>
  <c r="P199" i="13" s="1"/>
  <c r="P191" i="13"/>
  <c r="M191" i="13"/>
  <c r="N191" i="13"/>
  <c r="P183" i="13"/>
  <c r="M183" i="13"/>
  <c r="N183" i="13"/>
  <c r="M229" i="13"/>
  <c r="N229" i="13"/>
  <c r="P229" i="13" s="1"/>
  <c r="M205" i="13"/>
  <c r="N205" i="13"/>
  <c r="P205" i="13" s="1"/>
  <c r="P189" i="13"/>
  <c r="M189" i="13"/>
  <c r="N189" i="13"/>
  <c r="P165" i="13"/>
  <c r="M165" i="13"/>
  <c r="O165" i="13" s="1"/>
  <c r="N165" i="13"/>
  <c r="M149" i="13"/>
  <c r="N149" i="13"/>
  <c r="P149" i="13" s="1"/>
  <c r="M223" i="13"/>
  <c r="N223" i="13"/>
  <c r="P223" i="13" s="1"/>
  <c r="P221" i="13"/>
  <c r="M221" i="13"/>
  <c r="N221" i="13"/>
  <c r="P213" i="13"/>
  <c r="M213" i="13"/>
  <c r="N213" i="13"/>
  <c r="M197" i="13"/>
  <c r="N197" i="13"/>
  <c r="P197" i="13" s="1"/>
  <c r="M181" i="13"/>
  <c r="N181" i="13"/>
  <c r="P181" i="13" s="1"/>
  <c r="P173" i="13"/>
  <c r="M173" i="13"/>
  <c r="N173" i="13"/>
  <c r="P157" i="13"/>
  <c r="M157" i="13"/>
  <c r="O157" i="13" s="1"/>
  <c r="N157" i="13"/>
  <c r="M228" i="13"/>
  <c r="N228" i="13"/>
  <c r="P228" i="13" s="1"/>
  <c r="M220" i="13"/>
  <c r="N220" i="13"/>
  <c r="P220" i="13" s="1"/>
  <c r="P231" i="13"/>
  <c r="M231" i="13"/>
  <c r="N231" i="13"/>
  <c r="M227" i="13"/>
  <c r="N227" i="13"/>
  <c r="M219" i="13"/>
  <c r="N219" i="13"/>
  <c r="M211" i="13"/>
  <c r="N211" i="13"/>
  <c r="P211" i="13" s="1"/>
  <c r="M203" i="13"/>
  <c r="N203" i="13"/>
  <c r="M195" i="13"/>
  <c r="N195" i="13"/>
  <c r="M187" i="13"/>
  <c r="N187" i="13"/>
  <c r="P179" i="13"/>
  <c r="M179" i="13"/>
  <c r="O179" i="13" s="1"/>
  <c r="N179" i="13"/>
  <c r="M171" i="13"/>
  <c r="N171" i="13"/>
  <c r="P171" i="13" s="1"/>
  <c r="M163" i="13"/>
  <c r="N163" i="13"/>
  <c r="P163" i="13" s="1"/>
  <c r="P155" i="13"/>
  <c r="M155" i="13"/>
  <c r="N155" i="13"/>
  <c r="P147" i="13"/>
  <c r="M147" i="13"/>
  <c r="N147" i="13"/>
  <c r="M139" i="13"/>
  <c r="N139" i="13"/>
  <c r="P139" i="13" s="1"/>
  <c r="M131" i="13"/>
  <c r="N131" i="13"/>
  <c r="P131" i="13" s="1"/>
  <c r="P123" i="13"/>
  <c r="M123" i="13"/>
  <c r="N123" i="13"/>
  <c r="P115" i="13"/>
  <c r="M115" i="13"/>
  <c r="O115" i="13" s="1"/>
  <c r="N115" i="13"/>
  <c r="M107" i="13"/>
  <c r="N107" i="13"/>
  <c r="P107" i="13" s="1"/>
  <c r="M215" i="13"/>
  <c r="N215" i="13"/>
  <c r="P215" i="13" s="1"/>
  <c r="O234" i="13"/>
  <c r="N234" i="13"/>
  <c r="M234" i="13"/>
  <c r="O226" i="13"/>
  <c r="N226" i="13"/>
  <c r="M226" i="13"/>
  <c r="N218" i="13"/>
  <c r="M218" i="13"/>
  <c r="O218" i="13" s="1"/>
  <c r="N210" i="13"/>
  <c r="M210" i="13"/>
  <c r="O210" i="13" s="1"/>
  <c r="O202" i="13"/>
  <c r="N202" i="13"/>
  <c r="M202" i="13"/>
  <c r="O194" i="13"/>
  <c r="N194" i="13"/>
  <c r="P194" i="13" s="1"/>
  <c r="M194" i="13"/>
  <c r="N186" i="13"/>
  <c r="M186" i="13"/>
  <c r="O186" i="13" s="1"/>
  <c r="N178" i="13"/>
  <c r="M178" i="13"/>
  <c r="O178" i="13" s="1"/>
  <c r="O170" i="13"/>
  <c r="N170" i="13"/>
  <c r="M170" i="13"/>
  <c r="O162" i="13"/>
  <c r="N162" i="13"/>
  <c r="M162" i="13"/>
  <c r="N154" i="13"/>
  <c r="M154" i="13"/>
  <c r="O154" i="13" s="1"/>
  <c r="N146" i="13"/>
  <c r="M146" i="13"/>
  <c r="O146" i="13" s="1"/>
  <c r="O138" i="13"/>
  <c r="N138" i="13"/>
  <c r="M138" i="13"/>
  <c r="O130" i="13"/>
  <c r="N130" i="13"/>
  <c r="P130" i="13" s="1"/>
  <c r="M130" i="13"/>
  <c r="N122" i="13"/>
  <c r="M122" i="13"/>
  <c r="O122" i="13" s="1"/>
  <c r="N114" i="13"/>
  <c r="M114" i="13"/>
  <c r="O114" i="13" s="1"/>
  <c r="O106" i="13"/>
  <c r="N106" i="13"/>
  <c r="M106" i="13"/>
  <c r="M225" i="13"/>
  <c r="O225" i="13" s="1"/>
  <c r="N225" i="13"/>
  <c r="M201" i="13"/>
  <c r="O201" i="13" s="1"/>
  <c r="N201" i="13"/>
  <c r="P201" i="13" s="1"/>
  <c r="O185" i="13"/>
  <c r="M185" i="13"/>
  <c r="N185" i="13"/>
  <c r="O161" i="13"/>
  <c r="M161" i="13"/>
  <c r="N161" i="13"/>
  <c r="O233" i="13"/>
  <c r="M233" i="13"/>
  <c r="N233" i="13"/>
  <c r="M217" i="13"/>
  <c r="O217" i="13" s="1"/>
  <c r="N217" i="13"/>
  <c r="M209" i="13"/>
  <c r="O209" i="13" s="1"/>
  <c r="N209" i="13"/>
  <c r="P209" i="13" s="1"/>
  <c r="O193" i="13"/>
  <c r="M193" i="13"/>
  <c r="N193" i="13"/>
  <c r="O177" i="13"/>
  <c r="M177" i="13"/>
  <c r="N177" i="13"/>
  <c r="M169" i="13"/>
  <c r="O169" i="13" s="1"/>
  <c r="N169" i="13"/>
  <c r="M153" i="13"/>
  <c r="O153" i="13" s="1"/>
  <c r="N153" i="13"/>
  <c r="M232" i="13"/>
  <c r="N232" i="13"/>
  <c r="P232" i="13" s="1"/>
  <c r="O224" i="13"/>
  <c r="M224" i="13"/>
  <c r="N224" i="13"/>
  <c r="P216" i="13"/>
  <c r="P79" i="13"/>
  <c r="P15" i="13"/>
  <c r="M230" i="13"/>
  <c r="M222" i="13"/>
  <c r="M214" i="13"/>
  <c r="M206" i="13"/>
  <c r="M198" i="13"/>
  <c r="M190" i="13"/>
  <c r="M182" i="13"/>
  <c r="O182" i="13" s="1"/>
  <c r="M174" i="13"/>
  <c r="M166" i="13"/>
  <c r="M158" i="13"/>
  <c r="M150" i="13"/>
  <c r="M142" i="13"/>
  <c r="M134" i="13"/>
  <c r="M126" i="13"/>
  <c r="M118" i="13"/>
  <c r="O118" i="13" s="1"/>
  <c r="M110" i="13"/>
  <c r="M102" i="13"/>
  <c r="M94" i="13"/>
  <c r="M86" i="13"/>
  <c r="M78" i="13"/>
  <c r="M70" i="13"/>
  <c r="M62" i="13"/>
  <c r="M54" i="13"/>
  <c r="O54" i="13" s="1"/>
  <c r="M46" i="13"/>
  <c r="M38" i="13"/>
  <c r="M30" i="13"/>
  <c r="M22" i="13"/>
  <c r="M14" i="13"/>
  <c r="M6" i="13"/>
  <c r="N145" i="13"/>
  <c r="N137" i="13"/>
  <c r="P137" i="13" s="1"/>
  <c r="N129" i="13"/>
  <c r="N121" i="13"/>
  <c r="N113" i="13"/>
  <c r="N105" i="13"/>
  <c r="N97" i="13"/>
  <c r="N89" i="13"/>
  <c r="N81" i="13"/>
  <c r="N73" i="13"/>
  <c r="P73" i="13" s="1"/>
  <c r="N65" i="13"/>
  <c r="N57" i="13"/>
  <c r="N49" i="13"/>
  <c r="N41" i="13"/>
  <c r="N33" i="13"/>
  <c r="N25" i="13"/>
  <c r="N17" i="13"/>
  <c r="N9" i="13"/>
  <c r="P9" i="13" s="1"/>
  <c r="P141" i="13"/>
  <c r="P133" i="13"/>
  <c r="P125" i="13"/>
  <c r="P117" i="13"/>
  <c r="P109" i="13"/>
  <c r="P101" i="13"/>
  <c r="P93" i="13"/>
  <c r="P85" i="13"/>
  <c r="P77" i="13"/>
  <c r="P69" i="13"/>
  <c r="P61" i="13"/>
  <c r="P53" i="13"/>
  <c r="P45" i="13"/>
  <c r="P37" i="13"/>
  <c r="P29" i="13"/>
  <c r="P21" i="13"/>
  <c r="P13" i="13"/>
  <c r="P5" i="13"/>
  <c r="M145" i="13"/>
  <c r="O145" i="13" s="1"/>
  <c r="M141" i="13"/>
  <c r="M133" i="13"/>
  <c r="M125" i="13"/>
  <c r="M117" i="13"/>
  <c r="M109" i="13"/>
  <c r="O109" i="13" s="1"/>
  <c r="M101" i="13"/>
  <c r="M93" i="13"/>
  <c r="M85" i="13"/>
  <c r="M77" i="13"/>
  <c r="M69" i="13"/>
  <c r="M61" i="13"/>
  <c r="M53" i="13"/>
  <c r="M45" i="13"/>
  <c r="O45" i="13" s="1"/>
  <c r="M37" i="13"/>
  <c r="M29" i="13"/>
  <c r="M21" i="13"/>
  <c r="M13" i="13"/>
  <c r="M5" i="13"/>
  <c r="P204" i="13"/>
  <c r="P196" i="13"/>
  <c r="P164" i="13"/>
  <c r="P140" i="13"/>
  <c r="P132" i="13"/>
  <c r="P100" i="13"/>
  <c r="P76" i="13"/>
  <c r="P68" i="13"/>
  <c r="P36" i="13"/>
  <c r="P12" i="13"/>
  <c r="P4" i="13"/>
  <c r="N216" i="13"/>
  <c r="N212" i="13"/>
  <c r="P212" i="13" s="1"/>
  <c r="N208" i="13"/>
  <c r="N204" i="13"/>
  <c r="N200" i="13"/>
  <c r="N196" i="13"/>
  <c r="N192" i="13"/>
  <c r="N188" i="13"/>
  <c r="P188" i="13" s="1"/>
  <c r="N184" i="13"/>
  <c r="N180" i="13"/>
  <c r="P180" i="13" s="1"/>
  <c r="N176" i="13"/>
  <c r="N172" i="13"/>
  <c r="P172" i="13" s="1"/>
  <c r="N168" i="13"/>
  <c r="N164" i="13"/>
  <c r="N160" i="13"/>
  <c r="N156" i="13"/>
  <c r="P156" i="13" s="1"/>
  <c r="N152" i="13"/>
  <c r="N148" i="13"/>
  <c r="P148" i="13" s="1"/>
  <c r="N144" i="13"/>
  <c r="N140" i="13"/>
  <c r="N136" i="13"/>
  <c r="N132" i="13"/>
  <c r="N128" i="13"/>
  <c r="N124" i="13"/>
  <c r="P124" i="13" s="1"/>
  <c r="N120" i="13"/>
  <c r="N116" i="13"/>
  <c r="P116" i="13" s="1"/>
  <c r="N112" i="13"/>
  <c r="N108" i="13"/>
  <c r="P108" i="13" s="1"/>
  <c r="N104" i="13"/>
  <c r="N100" i="13"/>
  <c r="N96" i="13"/>
  <c r="P96" i="13" s="1"/>
  <c r="N92" i="13"/>
  <c r="P92" i="13" s="1"/>
  <c r="N88" i="13"/>
  <c r="N84" i="13"/>
  <c r="P84" i="13" s="1"/>
  <c r="N80" i="13"/>
  <c r="N76" i="13"/>
  <c r="N72" i="13"/>
  <c r="N68" i="13"/>
  <c r="N64" i="13"/>
  <c r="N60" i="13"/>
  <c r="P60" i="13" s="1"/>
  <c r="N56" i="13"/>
  <c r="N52" i="13"/>
  <c r="P52" i="13" s="1"/>
  <c r="N48" i="13"/>
  <c r="N44" i="13"/>
  <c r="P44" i="13" s="1"/>
  <c r="N40" i="13"/>
  <c r="N36" i="13"/>
  <c r="N32" i="13"/>
  <c r="N28" i="13"/>
  <c r="P28" i="13" s="1"/>
  <c r="N24" i="13"/>
  <c r="N20" i="13"/>
  <c r="P20" i="13" s="1"/>
  <c r="N16" i="13"/>
  <c r="N12" i="13"/>
  <c r="N8" i="13"/>
  <c r="N4" i="13"/>
  <c r="P99" i="13"/>
  <c r="P67" i="13"/>
  <c r="P35" i="13"/>
  <c r="P3" i="13"/>
  <c r="M216" i="13"/>
  <c r="M212" i="13"/>
  <c r="M204" i="13"/>
  <c r="M196" i="13"/>
  <c r="M188" i="13"/>
  <c r="M180" i="13"/>
  <c r="M172" i="13"/>
  <c r="M164" i="13"/>
  <c r="M156" i="13"/>
  <c r="M148" i="13"/>
  <c r="M140" i="13"/>
  <c r="M132" i="13"/>
  <c r="M124" i="13"/>
  <c r="M116" i="13"/>
  <c r="M108" i="13"/>
  <c r="M100" i="13"/>
  <c r="M92" i="13"/>
  <c r="M84" i="13"/>
  <c r="M76" i="13"/>
  <c r="M68" i="13"/>
  <c r="M60" i="13"/>
  <c r="M52" i="13"/>
  <c r="M44" i="13"/>
  <c r="M36" i="13"/>
  <c r="M28" i="13"/>
  <c r="M20" i="13"/>
  <c r="M12" i="13"/>
  <c r="M4" i="13"/>
  <c r="O98" i="13"/>
  <c r="O90" i="13"/>
  <c r="O82" i="13"/>
  <c r="O74" i="13"/>
  <c r="O66" i="13"/>
  <c r="O58" i="13"/>
  <c r="O50" i="13"/>
  <c r="O42" i="13"/>
  <c r="O34" i="13"/>
  <c r="O26" i="13"/>
  <c r="O18" i="13"/>
  <c r="O10" i="13"/>
  <c r="N175" i="13"/>
  <c r="P175" i="13" s="1"/>
  <c r="N167" i="13"/>
  <c r="P167" i="13" s="1"/>
  <c r="N159" i="13"/>
  <c r="P159" i="13" s="1"/>
  <c r="N151" i="13"/>
  <c r="P151" i="13" s="1"/>
  <c r="N143" i="13"/>
  <c r="P143" i="13" s="1"/>
  <c r="N135" i="13"/>
  <c r="P135" i="13" s="1"/>
  <c r="N127" i="13"/>
  <c r="P127" i="13" s="1"/>
  <c r="N119" i="13"/>
  <c r="P119" i="13" s="1"/>
  <c r="N111" i="13"/>
  <c r="P111" i="13" s="1"/>
  <c r="N103" i="13"/>
  <c r="P103" i="13" s="1"/>
  <c r="N99" i="13"/>
  <c r="N95" i="13"/>
  <c r="P95" i="13" s="1"/>
  <c r="N91" i="13"/>
  <c r="P91" i="13" s="1"/>
  <c r="N87" i="13"/>
  <c r="P87" i="13" s="1"/>
  <c r="N83" i="13"/>
  <c r="P83" i="13" s="1"/>
  <c r="N79" i="13"/>
  <c r="N75" i="13"/>
  <c r="P75" i="13" s="1"/>
  <c r="N71" i="13"/>
  <c r="P71" i="13" s="1"/>
  <c r="N67" i="13"/>
  <c r="N63" i="13"/>
  <c r="P63" i="13" s="1"/>
  <c r="N59" i="13"/>
  <c r="P59" i="13" s="1"/>
  <c r="N55" i="13"/>
  <c r="P55" i="13" s="1"/>
  <c r="N51" i="13"/>
  <c r="P51" i="13" s="1"/>
  <c r="N47" i="13"/>
  <c r="P47" i="13" s="1"/>
  <c r="N43" i="13"/>
  <c r="P43" i="13" s="1"/>
  <c r="N39" i="13"/>
  <c r="P39" i="13" s="1"/>
  <c r="N35" i="13"/>
  <c r="N31" i="13"/>
  <c r="P31" i="13" s="1"/>
  <c r="N27" i="13"/>
  <c r="P27" i="13" s="1"/>
  <c r="N23" i="13"/>
  <c r="P23" i="13" s="1"/>
  <c r="N19" i="13"/>
  <c r="P19" i="13" s="1"/>
  <c r="N15" i="13"/>
  <c r="N11" i="13"/>
  <c r="P11" i="13" s="1"/>
  <c r="N7" i="13"/>
  <c r="P7" i="13" s="1"/>
  <c r="N3" i="13"/>
  <c r="O137" i="13"/>
  <c r="O129" i="13"/>
  <c r="O121" i="13"/>
  <c r="O113" i="13"/>
  <c r="O105" i="13"/>
  <c r="O97" i="13"/>
  <c r="O89" i="13"/>
  <c r="O81" i="13"/>
  <c r="O73" i="13"/>
  <c r="O65" i="13"/>
  <c r="O57" i="13"/>
  <c r="O49" i="13"/>
  <c r="O41" i="13"/>
  <c r="O33" i="13"/>
  <c r="O25" i="13"/>
  <c r="O17" i="13"/>
  <c r="O9" i="13"/>
  <c r="M175" i="13"/>
  <c r="O175" i="13" s="1"/>
  <c r="M167" i="13"/>
  <c r="M159" i="13"/>
  <c r="M151" i="13"/>
  <c r="O151" i="13" s="1"/>
  <c r="M143" i="13"/>
  <c r="M135" i="13"/>
  <c r="M127" i="13"/>
  <c r="M119" i="13"/>
  <c r="O119" i="13" s="1"/>
  <c r="M111" i="13"/>
  <c r="O111" i="13" s="1"/>
  <c r="M103" i="13"/>
  <c r="M99" i="13"/>
  <c r="M95" i="13"/>
  <c r="O95" i="13" s="1"/>
  <c r="M91" i="13"/>
  <c r="M87" i="13"/>
  <c r="M83" i="13"/>
  <c r="M79" i="13"/>
  <c r="M75" i="13"/>
  <c r="M71" i="13"/>
  <c r="M67" i="13"/>
  <c r="M63" i="13"/>
  <c r="O63" i="13" s="1"/>
  <c r="M59" i="13"/>
  <c r="M55" i="13"/>
  <c r="M51" i="13"/>
  <c r="M47" i="13"/>
  <c r="O47" i="13" s="1"/>
  <c r="M43" i="13"/>
  <c r="O43" i="13" s="1"/>
  <c r="M39" i="13"/>
  <c r="M35" i="13"/>
  <c r="M31" i="13"/>
  <c r="O31" i="13" s="1"/>
  <c r="M27" i="13"/>
  <c r="M23" i="13"/>
  <c r="M19" i="13"/>
  <c r="M15" i="13"/>
  <c r="M11" i="13"/>
  <c r="O11" i="13" s="1"/>
  <c r="M7" i="13"/>
  <c r="M3" i="13"/>
  <c r="O208" i="13"/>
  <c r="P200" i="13"/>
  <c r="O192" i="13"/>
  <c r="O184" i="13"/>
  <c r="O176" i="13"/>
  <c r="P168" i="13"/>
  <c r="O160" i="13"/>
  <c r="P152" i="13"/>
  <c r="O144" i="13"/>
  <c r="P136" i="13"/>
  <c r="O128" i="13"/>
  <c r="O120" i="13"/>
  <c r="P112" i="13"/>
  <c r="O104" i="13"/>
  <c r="O88" i="13"/>
  <c r="O80" i="13"/>
  <c r="P72" i="13"/>
  <c r="O64" i="13"/>
  <c r="O56" i="13"/>
  <c r="P48" i="13"/>
  <c r="O40" i="13"/>
  <c r="O32" i="13"/>
  <c r="O24" i="13"/>
  <c r="O16" i="13"/>
  <c r="O8" i="13"/>
  <c r="N98" i="13"/>
  <c r="N90" i="13"/>
  <c r="N82" i="13"/>
  <c r="P82" i="13" s="1"/>
  <c r="N74" i="13"/>
  <c r="P74" i="13" s="1"/>
  <c r="N66" i="13"/>
  <c r="N58" i="13"/>
  <c r="N50" i="13"/>
  <c r="N42" i="13"/>
  <c r="N34" i="13"/>
  <c r="N26" i="13"/>
  <c r="N18" i="13"/>
  <c r="N10" i="13"/>
  <c r="P10" i="13" s="1"/>
  <c r="P230" i="13"/>
  <c r="P222" i="13"/>
  <c r="P214" i="13"/>
  <c r="P206" i="13"/>
  <c r="P198" i="13"/>
  <c r="P190" i="13"/>
  <c r="P182" i="13"/>
  <c r="P174" i="13"/>
  <c r="P166" i="13"/>
  <c r="P158" i="13"/>
  <c r="P150" i="13"/>
  <c r="P142" i="13"/>
  <c r="P134" i="13"/>
  <c r="P126" i="13"/>
  <c r="P118" i="13"/>
  <c r="P110" i="13"/>
  <c r="P102" i="13"/>
  <c r="P94" i="13"/>
  <c r="P86" i="13"/>
  <c r="P78" i="13"/>
  <c r="P70" i="13"/>
  <c r="P62" i="13"/>
  <c r="P54" i="13"/>
  <c r="P46" i="13"/>
  <c r="P38" i="13"/>
  <c r="P30" i="13"/>
  <c r="P22" i="13"/>
  <c r="P14" i="13"/>
  <c r="P6" i="13"/>
  <c r="P195" i="13"/>
  <c r="P227" i="13"/>
  <c r="P219" i="13"/>
  <c r="P203" i="13"/>
  <c r="P187" i="13"/>
  <c r="O3" i="13"/>
  <c r="P178" i="13"/>
  <c r="P114" i="13"/>
  <c r="P50" i="13"/>
  <c r="P234" i="13"/>
  <c r="P170" i="13"/>
  <c r="P106" i="13"/>
  <c r="P42" i="13"/>
  <c r="P226" i="13"/>
  <c r="P162" i="13"/>
  <c r="P98" i="13"/>
  <c r="P34" i="13"/>
  <c r="P218" i="13"/>
  <c r="P154" i="13"/>
  <c r="P90" i="13"/>
  <c r="P26" i="13"/>
  <c r="P210" i="13"/>
  <c r="P146" i="13"/>
  <c r="P18" i="13"/>
  <c r="P202" i="13"/>
  <c r="P138" i="13"/>
  <c r="P66" i="13"/>
  <c r="P186" i="13"/>
  <c r="P122" i="13"/>
  <c r="P58" i="13"/>
  <c r="O232" i="13"/>
  <c r="O216" i="13"/>
  <c r="O200" i="13"/>
  <c r="O168" i="13"/>
  <c r="O152" i="13"/>
  <c r="O136" i="13"/>
  <c r="O112" i="13"/>
  <c r="O96" i="13"/>
  <c r="O72" i="13"/>
  <c r="O48" i="13"/>
  <c r="O231" i="13"/>
  <c r="O223" i="13"/>
  <c r="O215" i="13"/>
  <c r="O207" i="13"/>
  <c r="O199" i="13"/>
  <c r="O191" i="13"/>
  <c r="O183" i="13"/>
  <c r="O167" i="13"/>
  <c r="O159" i="13"/>
  <c r="O143" i="13"/>
  <c r="O135" i="13"/>
  <c r="O127" i="13"/>
  <c r="O103" i="13"/>
  <c r="O87" i="13"/>
  <c r="O79" i="13"/>
  <c r="O71" i="13"/>
  <c r="O55" i="13"/>
  <c r="O39" i="13"/>
  <c r="O23" i="13"/>
  <c r="O15" i="13"/>
  <c r="O7" i="13"/>
  <c r="P233" i="13"/>
  <c r="P225" i="13"/>
  <c r="P217" i="13"/>
  <c r="P193" i="13"/>
  <c r="P185" i="13"/>
  <c r="P177" i="13"/>
  <c r="P169" i="13"/>
  <c r="P161" i="13"/>
  <c r="P153" i="13"/>
  <c r="P145" i="13"/>
  <c r="P129" i="13"/>
  <c r="P121" i="13"/>
  <c r="P113" i="13"/>
  <c r="P105" i="13"/>
  <c r="P97" i="13"/>
  <c r="P89" i="13"/>
  <c r="P81" i="13"/>
  <c r="P65" i="13"/>
  <c r="P57" i="13"/>
  <c r="P49" i="13"/>
  <c r="P41" i="13"/>
  <c r="P33" i="13"/>
  <c r="P25" i="13"/>
  <c r="P17" i="13"/>
  <c r="O230" i="13"/>
  <c r="O222" i="13"/>
  <c r="O214" i="13"/>
  <c r="O206" i="13"/>
  <c r="O198" i="13"/>
  <c r="O190" i="13"/>
  <c r="O174" i="13"/>
  <c r="O166" i="13"/>
  <c r="O158" i="13"/>
  <c r="O150" i="13"/>
  <c r="O142" i="13"/>
  <c r="O134" i="13"/>
  <c r="O126" i="13"/>
  <c r="O110" i="13"/>
  <c r="O102" i="13"/>
  <c r="O94" i="13"/>
  <c r="O86" i="13"/>
  <c r="O78" i="13"/>
  <c r="O70" i="13"/>
  <c r="O62" i="13"/>
  <c r="O46" i="13"/>
  <c r="O38" i="13"/>
  <c r="O30" i="13"/>
  <c r="O22" i="13"/>
  <c r="O14" i="13"/>
  <c r="O6" i="13"/>
  <c r="P224" i="13"/>
  <c r="P208" i="13"/>
  <c r="P192" i="13"/>
  <c r="P184" i="13"/>
  <c r="P176" i="13"/>
  <c r="P160" i="13"/>
  <c r="P144" i="13"/>
  <c r="P128" i="13"/>
  <c r="P120" i="13"/>
  <c r="P104" i="13"/>
  <c r="P88" i="13"/>
  <c r="P80" i="13"/>
  <c r="P64" i="13"/>
  <c r="P56" i="13"/>
  <c r="P40" i="13"/>
  <c r="P32" i="13"/>
  <c r="P24" i="13"/>
  <c r="P16" i="13"/>
  <c r="P8" i="13"/>
  <c r="O229" i="13"/>
  <c r="O221" i="13"/>
  <c r="O213" i="13"/>
  <c r="O205" i="13"/>
  <c r="O197" i="13"/>
  <c r="O189" i="13"/>
  <c r="O181" i="13"/>
  <c r="O173" i="13"/>
  <c r="O149" i="13"/>
  <c r="O141" i="13"/>
  <c r="O133" i="13"/>
  <c r="O125" i="13"/>
  <c r="O117" i="13"/>
  <c r="O101" i="13"/>
  <c r="O93" i="13"/>
  <c r="O85" i="13"/>
  <c r="O77" i="13"/>
  <c r="O69" i="13"/>
  <c r="O61" i="13"/>
  <c r="O53" i="13"/>
  <c r="O37" i="13"/>
  <c r="O29" i="13"/>
  <c r="O21" i="13"/>
  <c r="O13" i="13"/>
  <c r="O5" i="13"/>
  <c r="O228" i="13"/>
  <c r="O220" i="13"/>
  <c r="O212" i="13"/>
  <c r="O204" i="13"/>
  <c r="O196" i="13"/>
  <c r="O188" i="13"/>
  <c r="O180" i="13"/>
  <c r="O172" i="13"/>
  <c r="O164" i="13"/>
  <c r="O156" i="13"/>
  <c r="O148" i="13"/>
  <c r="O140" i="13"/>
  <c r="O132" i="13"/>
  <c r="O124" i="13"/>
  <c r="O116" i="13"/>
  <c r="O108" i="13"/>
  <c r="O100" i="13"/>
  <c r="O92" i="13"/>
  <c r="O84" i="13"/>
  <c r="O76" i="13"/>
  <c r="O68" i="13"/>
  <c r="O60" i="13"/>
  <c r="O52" i="13"/>
  <c r="O44" i="13"/>
  <c r="O36" i="13"/>
  <c r="O28" i="13"/>
  <c r="O20" i="13"/>
  <c r="O12" i="13"/>
  <c r="O4" i="13"/>
  <c r="O227" i="13"/>
  <c r="O211" i="13"/>
  <c r="O195" i="13"/>
  <c r="O163" i="13"/>
  <c r="O147" i="13"/>
  <c r="O131" i="13"/>
  <c r="O99" i="13"/>
  <c r="O83" i="13"/>
  <c r="O67" i="13"/>
  <c r="O51" i="13"/>
  <c r="O27" i="13"/>
  <c r="O2" i="13"/>
  <c r="O219" i="13"/>
  <c r="O203" i="13"/>
  <c r="O187" i="13"/>
  <c r="O171" i="13"/>
  <c r="O155" i="13"/>
  <c r="O139" i="13"/>
  <c r="O123" i="13"/>
  <c r="O107" i="13"/>
  <c r="O91" i="13"/>
  <c r="O75" i="13"/>
  <c r="O59" i="13"/>
  <c r="O35" i="13"/>
  <c r="O19" i="13"/>
  <c r="H9" i="1"/>
  <c r="H17" i="1"/>
  <c r="H18" i="1"/>
  <c r="T17" i="13" l="1"/>
  <c r="T16" i="13"/>
  <c r="B24" i="9"/>
  <c r="C24" i="9" s="1"/>
  <c r="B25" i="9" s="1"/>
  <c r="C25" i="9" s="1"/>
  <c r="B26" i="9" s="1"/>
  <c r="C26" i="9" s="1"/>
  <c r="B27" i="9" s="1"/>
  <c r="C27" i="9" s="1"/>
  <c r="B20" i="9"/>
  <c r="C20" i="9"/>
  <c r="B21" i="9" s="1"/>
  <c r="C21" i="9" s="1"/>
  <c r="B22" i="9" s="1"/>
  <c r="C22" i="9" s="1"/>
  <c r="B23" i="9" s="1"/>
  <c r="C23" i="9" s="1"/>
  <c r="B15" i="9"/>
  <c r="C15" i="9"/>
  <c r="B16" i="9" s="1"/>
  <c r="C16" i="9" s="1"/>
  <c r="B17" i="9" s="1"/>
  <c r="C17" i="9" s="1"/>
  <c r="B18" i="9" s="1"/>
  <c r="C18" i="9" s="1"/>
  <c r="B19" i="9" s="1"/>
  <c r="C19" i="9" s="1"/>
  <c r="C14" i="9"/>
  <c r="B14" i="9"/>
  <c r="F8" i="1" l="1"/>
  <c r="F4" i="1"/>
  <c r="F3" i="1"/>
  <c r="E5" i="12" l="1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4" i="12"/>
  <c r="H4" i="1" l="1"/>
  <c r="H5" i="1"/>
  <c r="H8" i="1"/>
  <c r="H25" i="1"/>
  <c r="H11" i="1"/>
  <c r="H12" i="1"/>
  <c r="H14" i="1"/>
  <c r="H15" i="1"/>
  <c r="H16" i="1"/>
  <c r="H3" i="1"/>
  <c r="F2" i="11"/>
  <c r="J3" i="5"/>
  <c r="J5" i="5" s="1"/>
  <c r="G3" i="3"/>
  <c r="B4" i="3"/>
  <c r="E20" i="3"/>
  <c r="B5" i="3" s="1"/>
  <c r="D27" i="3"/>
  <c r="F12" i="3"/>
  <c r="F15" i="3"/>
  <c r="F16" i="3"/>
  <c r="F11" i="3"/>
  <c r="B16" i="3" s="1"/>
  <c r="B3" i="3" s="1"/>
  <c r="J1" i="1" l="1"/>
  <c r="G4" i="3"/>
  <c r="G5" i="3" s="1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22" i="6"/>
  <c r="N21" i="9" l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43" i="6"/>
  <c r="B57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4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3" i="6"/>
  <c r="G31" i="6"/>
  <c r="G34" i="6"/>
  <c r="G2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3" i="6"/>
  <c r="D23" i="6"/>
  <c r="D24" i="6"/>
  <c r="G24" i="6" s="1"/>
  <c r="D25" i="6"/>
  <c r="G25" i="6" s="1"/>
  <c r="D26" i="6"/>
  <c r="G26" i="6" s="1"/>
  <c r="D27" i="6"/>
  <c r="G27" i="6" s="1"/>
  <c r="D28" i="6"/>
  <c r="G28" i="6" s="1"/>
  <c r="D29" i="6"/>
  <c r="G29" i="6" s="1"/>
  <c r="D30" i="6"/>
  <c r="G30" i="6" s="1"/>
  <c r="D31" i="6"/>
  <c r="D32" i="6"/>
  <c r="G32" i="6" s="1"/>
  <c r="D33" i="6"/>
  <c r="G33" i="6" s="1"/>
  <c r="D34" i="6"/>
  <c r="D35" i="6"/>
  <c r="G35" i="6" s="1"/>
  <c r="D36" i="6"/>
  <c r="G36" i="6" s="1"/>
  <c r="D37" i="6"/>
  <c r="G37" i="6" s="1"/>
  <c r="D22" i="6"/>
  <c r="G22" i="6" s="1"/>
  <c r="B18" i="6"/>
  <c r="S3" i="6" l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H4" i="6" l="1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3" i="6"/>
  <c r="F2" i="5"/>
  <c r="B3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J4" i="6" l="1"/>
  <c r="J6" i="6" s="1"/>
  <c r="J8" i="6" s="1"/>
  <c r="J10" i="6" s="1"/>
  <c r="J12" i="6" s="1"/>
  <c r="J14" i="6" s="1"/>
  <c r="J16" i="6" s="1"/>
  <c r="J18" i="6" s="1"/>
  <c r="C26" i="5"/>
  <c r="C9" i="5"/>
  <c r="C8" i="5"/>
  <c r="C10" i="5"/>
  <c r="C24" i="5"/>
  <c r="C25" i="5"/>
  <c r="C15" i="5"/>
  <c r="C13" i="5"/>
  <c r="C18" i="5"/>
  <c r="C17" i="5"/>
  <c r="C16" i="5"/>
  <c r="C23" i="5"/>
  <c r="C22" i="5"/>
  <c r="C14" i="5"/>
  <c r="C21" i="5"/>
  <c r="C20" i="5"/>
  <c r="C12" i="5"/>
  <c r="C19" i="5"/>
  <c r="C11" i="5"/>
  <c r="F6" i="5" l="1"/>
  <c r="F7" i="5" l="1"/>
  <c r="F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<sst xmlns="http://schemas.openxmlformats.org/spreadsheetml/2006/main" count="359" uniqueCount="279">
  <si>
    <t>Produit</t>
  </si>
  <si>
    <t>vendeur</t>
  </si>
  <si>
    <t>PU</t>
  </si>
  <si>
    <t>quatité</t>
  </si>
  <si>
    <t>Prix total</t>
  </si>
  <si>
    <t>Amazon</t>
  </si>
  <si>
    <t>Baterie</t>
  </si>
  <si>
    <t>Pile AA</t>
  </si>
  <si>
    <t>Traitement</t>
  </si>
  <si>
    <t>A0</t>
  </si>
  <si>
    <t>A1</t>
  </si>
  <si>
    <t>A2</t>
  </si>
  <si>
    <t>A3</t>
  </si>
  <si>
    <t>A4</t>
  </si>
  <si>
    <t>A5</t>
  </si>
  <si>
    <t>Capteur</t>
  </si>
  <si>
    <t>SPI clock</t>
  </si>
  <si>
    <t>SPI MISO</t>
  </si>
  <si>
    <t>SPI MOSI</t>
  </si>
  <si>
    <t>CS cart SD</t>
  </si>
  <si>
    <t>CS radio</t>
  </si>
  <si>
    <t>DIO0</t>
  </si>
  <si>
    <t>Reset</t>
  </si>
  <si>
    <t>Change Ecran</t>
  </si>
  <si>
    <t>Pour la communication radio :</t>
  </si>
  <si>
    <t>Network ID</t>
  </si>
  <si>
    <t>Nœud Emeteur</t>
  </si>
  <si>
    <t>Nœud Recepteur</t>
  </si>
  <si>
    <t>decryptage</t>
  </si>
  <si>
    <t>message Type</t>
  </si>
  <si>
    <t>Compteur pluie</t>
  </si>
  <si>
    <t>XXXXvalueXXXXvalueXXXXvalue</t>
  </si>
  <si>
    <t>identifiant (XXXX)</t>
  </si>
  <si>
    <t>int</t>
  </si>
  <si>
    <t>Direction Vent</t>
  </si>
  <si>
    <t>Temperature</t>
  </si>
  <si>
    <t>Pluie</t>
  </si>
  <si>
    <t>Direction</t>
  </si>
  <si>
    <t>Anenometre</t>
  </si>
  <si>
    <t>Temp</t>
  </si>
  <si>
    <t>respecter cet ordre</t>
  </si>
  <si>
    <t>Lecture des données</t>
  </si>
  <si>
    <t>protocole</t>
  </si>
  <si>
    <t>traitement envoie "COUCOU" aux capteurs avec vérifications</t>
  </si>
  <si>
    <t>Capteurs envoie les données</t>
  </si>
  <si>
    <t>Capteurs réinnitialise les variables</t>
  </si>
  <si>
    <t xml:space="preserve">frequence </t>
  </si>
  <si>
    <t>Hz</t>
  </si>
  <si>
    <t>Periode</t>
  </si>
  <si>
    <t>s</t>
  </si>
  <si>
    <t>Vitesse</t>
  </si>
  <si>
    <t>intervalles entre 2 mesures</t>
  </si>
  <si>
    <t>erreur</t>
  </si>
  <si>
    <t>Mesure</t>
  </si>
  <si>
    <t>km/h</t>
  </si>
  <si>
    <t>erreur relative</t>
  </si>
  <si>
    <t>Voltage</t>
  </si>
  <si>
    <t>Valeur Analog</t>
  </si>
  <si>
    <t>Degré</t>
  </si>
  <si>
    <t>.5</t>
  </si>
  <si>
    <t>N</t>
  </si>
  <si>
    <t>NNE</t>
  </si>
  <si>
    <t>NE</t>
  </si>
  <si>
    <t>E</t>
  </si>
  <si>
    <t>ESE</t>
  </si>
  <si>
    <t>SE</t>
  </si>
  <si>
    <t>ENE</t>
  </si>
  <si>
    <t>SSE</t>
  </si>
  <si>
    <t>S</t>
  </si>
  <si>
    <t>SSW</t>
  </si>
  <si>
    <t>SW</t>
  </si>
  <si>
    <t>WSW</t>
  </si>
  <si>
    <t>WNW</t>
  </si>
  <si>
    <t>NW</t>
  </si>
  <si>
    <t>NNW</t>
  </si>
  <si>
    <t>RAINZ</t>
  </si>
  <si>
    <t>SENSZ</t>
  </si>
  <si>
    <t>SPEEDZ</t>
  </si>
  <si>
    <t>TEMPZ</t>
  </si>
  <si>
    <t>Bus I2C</t>
  </si>
  <si>
    <t>Pression</t>
  </si>
  <si>
    <t>Vitesse Vent</t>
  </si>
  <si>
    <t>Humidité</t>
  </si>
  <si>
    <t>batterie</t>
  </si>
  <si>
    <t>10*vitesse en km/h</t>
  </si>
  <si>
    <t>Mesure voltage</t>
  </si>
  <si>
    <t>valeur analog</t>
  </si>
  <si>
    <t>moyenne deux valeurs successives</t>
  </si>
  <si>
    <t>100*nbre de mm</t>
  </si>
  <si>
    <t>Angle mesuré avec le nord *10</t>
  </si>
  <si>
    <t>Valeur</t>
  </si>
  <si>
    <t>nbre de chiffre max</t>
  </si>
  <si>
    <t>Total</t>
  </si>
  <si>
    <t>Nord</t>
  </si>
  <si>
    <t>Nord-Est</t>
  </si>
  <si>
    <t>Est</t>
  </si>
  <si>
    <t>Sud-Est</t>
  </si>
  <si>
    <t>Sud</t>
  </si>
  <si>
    <t>Sud-Ouest</t>
  </si>
  <si>
    <t>Ouest</t>
  </si>
  <si>
    <t>Nord-Ouest</t>
  </si>
  <si>
    <t>RTC</t>
  </si>
  <si>
    <t>LCD</t>
  </si>
  <si>
    <t>Temp et humidité</t>
  </si>
  <si>
    <t>Projet mono carte</t>
  </si>
  <si>
    <t>Anemometre</t>
  </si>
  <si>
    <t>Temp humidité</t>
  </si>
  <si>
    <t>Détails :</t>
  </si>
  <si>
    <t>Résumé :</t>
  </si>
  <si>
    <t>Consommation</t>
  </si>
  <si>
    <t>Stockage</t>
  </si>
  <si>
    <t>Production</t>
  </si>
  <si>
    <t>Courant (mA)</t>
  </si>
  <si>
    <t>Nombre d'utilisation par heure</t>
  </si>
  <si>
    <t>Temps d'utilisation (s)</t>
  </si>
  <si>
    <t>% d'utilisation par heure</t>
  </si>
  <si>
    <t>Energie stockée (mAH)</t>
  </si>
  <si>
    <t>Nombre</t>
  </si>
  <si>
    <t>Autonomie :</t>
  </si>
  <si>
    <t>Panneau solaire</t>
  </si>
  <si>
    <t>En heures :</t>
  </si>
  <si>
    <t>En jours :</t>
  </si>
  <si>
    <t>Puissance (W)</t>
  </si>
  <si>
    <t>Pertes (5% de la conso)</t>
  </si>
  <si>
    <t>En année :</t>
  </si>
  <si>
    <t>Voltage (V)</t>
  </si>
  <si>
    <t>Consomation moyenne (J)</t>
  </si>
  <si>
    <t>Production moyenne (J)</t>
  </si>
  <si>
    <t>Stockage (J)</t>
  </si>
  <si>
    <t>Temps de fonctionnement par jour (heure)</t>
  </si>
  <si>
    <t>Energie produite (kJ)</t>
  </si>
  <si>
    <t>Energie totale (kJ)</t>
  </si>
  <si>
    <t>kJ</t>
  </si>
  <si>
    <t>fréquence</t>
  </si>
  <si>
    <t>Periode de mesure</t>
  </si>
  <si>
    <t>nombre de mesure</t>
  </si>
  <si>
    <t>Vendeur</t>
  </si>
  <si>
    <t xml:space="preserve">Mouser </t>
  </si>
  <si>
    <t>electronique diverse</t>
  </si>
  <si>
    <t>capteur temp ds18b20</t>
  </si>
  <si>
    <t>Cavalier</t>
  </si>
  <si>
    <t>Pile cr 1220</t>
  </si>
  <si>
    <t>tresse à dessouder</t>
  </si>
  <si>
    <t>Header</t>
  </si>
  <si>
    <t>grande breadboard, I2C LCD, Mega, Jumper</t>
  </si>
  <si>
    <t>Convertisseur de niveau logique</t>
  </si>
  <si>
    <t>petite breadboard</t>
  </si>
  <si>
    <t>Alimentation solaire</t>
  </si>
  <si>
    <t>panneau solaire</t>
  </si>
  <si>
    <t>convertisseur</t>
  </si>
  <si>
    <t>capteur</t>
  </si>
  <si>
    <t>adafruit</t>
  </si>
  <si>
    <t>capteur temp/hum/pression</t>
  </si>
  <si>
    <t>total</t>
  </si>
  <si>
    <t>divers</t>
  </si>
  <si>
    <t>capteur luminosité</t>
  </si>
  <si>
    <t>sparkfun</t>
  </si>
  <si>
    <t>capteur d'éclair</t>
  </si>
  <si>
    <t>??</t>
  </si>
  <si>
    <t>https://www.sparkfun.com/products/15441</t>
  </si>
  <si>
    <t>humidity</t>
  </si>
  <si>
    <t>%</t>
  </si>
  <si>
    <t>Frost point</t>
  </si>
  <si>
    <t>Temp (°C)</t>
  </si>
  <si>
    <t>Temp(K)</t>
  </si>
  <si>
    <t>Dew Point (K)</t>
  </si>
  <si>
    <t>Dew Point (°C)</t>
  </si>
  <si>
    <t>shield ethernet</t>
  </si>
  <si>
    <t>ref</t>
  </si>
  <si>
    <t>fabricant</t>
  </si>
  <si>
    <t>AS3935</t>
  </si>
  <si>
    <t>BME280</t>
  </si>
  <si>
    <t>SI1145</t>
  </si>
  <si>
    <t>fer à souder</t>
  </si>
  <si>
    <t>sunfounder</t>
  </si>
  <si>
    <t>Travailler avec les byte d'un char[61]</t>
  </si>
  <si>
    <t>Communication radio avec utilisation des bytes</t>
  </si>
  <si>
    <t>message</t>
  </si>
  <si>
    <t>char</t>
  </si>
  <si>
    <t>mais</t>
  </si>
  <si>
    <t>d'utilisables</t>
  </si>
  <si>
    <t>debut</t>
  </si>
  <si>
    <t>fin</t>
  </si>
  <si>
    <t>mode de représentation</t>
  </si>
  <si>
    <t>donnees</t>
  </si>
  <si>
    <t>stockage des int sur arduino</t>
  </si>
  <si>
    <t>Uno, mega</t>
  </si>
  <si>
    <t>bytes</t>
  </si>
  <si>
    <t>MKR</t>
  </si>
  <si>
    <t>choix de travailler avec 4 bytes pour si le code passe sur mkr</t>
  </si>
  <si>
    <t>pluviométrie</t>
  </si>
  <si>
    <t>angle * 10</t>
  </si>
  <si>
    <t>Direction vent</t>
  </si>
  <si>
    <t>vitesse vent</t>
  </si>
  <si>
    <t>vitesse(km/h) * 10</t>
  </si>
  <si>
    <t>Temperature (DS18B20)</t>
  </si>
  <si>
    <t>(température + 40) *10  pour avoir entier positif</t>
  </si>
  <si>
    <t>(Temp + 40) *10</t>
  </si>
  <si>
    <t>Temperature (BME280)</t>
  </si>
  <si>
    <t>Humidité (BME280)</t>
  </si>
  <si>
    <t>Humidité * 10</t>
  </si>
  <si>
    <t>Pression (BME280)</t>
  </si>
  <si>
    <t>Pression (Pa)</t>
  </si>
  <si>
    <t>Luminosité UV</t>
  </si>
  <si>
    <t>Luminosité Visible</t>
  </si>
  <si>
    <t>Luminosité IR</t>
  </si>
  <si>
    <t>Altitude (BME280)</t>
  </si>
  <si>
    <t>m</t>
  </si>
  <si>
    <t>indexUV * 100</t>
  </si>
  <si>
    <t>mm d'eau * 10</t>
  </si>
  <si>
    <t>idem pour unsigned int</t>
  </si>
  <si>
    <t>V * 100</t>
  </si>
  <si>
    <t>value</t>
  </si>
  <si>
    <t>chinois</t>
  </si>
  <si>
    <t>antenne</t>
  </si>
  <si>
    <t>connecteur SMA pcb</t>
  </si>
  <si>
    <t>Aliexpress</t>
  </si>
  <si>
    <t>amazon</t>
  </si>
  <si>
    <t>batterie 5Ah</t>
  </si>
  <si>
    <t>ebay</t>
  </si>
  <si>
    <t>Mouser</t>
  </si>
  <si>
    <r>
      <rPr>
        <i/>
        <sz val="10"/>
        <rFont val="Arial"/>
        <family val="2"/>
      </rPr>
      <t>T(°C)</t>
    </r>
  </si>
  <si>
    <r>
      <rPr>
        <i/>
        <sz val="10"/>
        <rFont val="Arial"/>
        <family val="2"/>
      </rPr>
      <t>R(KΩ)</t>
    </r>
  </si>
  <si>
    <t>log10 ( R )</t>
  </si>
  <si>
    <t>a</t>
  </si>
  <si>
    <t>b</t>
  </si>
  <si>
    <t>c</t>
  </si>
  <si>
    <t>log10R min</t>
  </si>
  <si>
    <t>log10R max</t>
  </si>
  <si>
    <t>delta max</t>
  </si>
  <si>
    <t>delta min</t>
  </si>
  <si>
    <t>delta</t>
  </si>
  <si>
    <t>racine 1</t>
  </si>
  <si>
    <t>T(°C)</t>
  </si>
  <si>
    <t>R(KΩ)</t>
  </si>
  <si>
    <t>racine 2</t>
  </si>
  <si>
    <t>ecart avec racine 1</t>
  </si>
  <si>
    <t>ecart avec racine 2</t>
  </si>
  <si>
    <t>decalage</t>
  </si>
  <si>
    <t>min</t>
  </si>
  <si>
    <t>max</t>
  </si>
  <si>
    <t>sans decalage</t>
  </si>
  <si>
    <t>log10(log10 ( r)+2)</t>
  </si>
  <si>
    <t>erreur absolue</t>
  </si>
  <si>
    <t>lnRt</t>
  </si>
  <si>
    <t>1/T</t>
  </si>
  <si>
    <t>T</t>
  </si>
  <si>
    <t>R(Ω)</t>
  </si>
  <si>
    <t xml:space="preserve">erreur </t>
  </si>
  <si>
    <t>Sensor arduino mega</t>
  </si>
  <si>
    <t>Batterie temp</t>
  </si>
  <si>
    <t>Batterie voltage</t>
  </si>
  <si>
    <t>transformation en int</t>
  </si>
  <si>
    <t>si temp</t>
  </si>
  <si>
    <t>=(temp + 40)*10</t>
  </si>
  <si>
    <t>sinon</t>
  </si>
  <si>
    <t>=value*10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</si>
  <si>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</si>
  <si>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</si>
  <si>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</si>
  <si>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</si>
  <si>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</si>
  <si>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</si>
  <si>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</si>
  <si>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</si>
  <si>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</si>
  <si>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</si>
  <si>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</si>
  <si>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windDir</t>
  </si>
  <si>
    <t>batteryTemp</t>
  </si>
  <si>
    <t>batteryVoltage</t>
  </si>
  <si>
    <t>MISO</t>
  </si>
  <si>
    <t>MOSI</t>
  </si>
  <si>
    <t>SCK</t>
  </si>
  <si>
    <t>SS radio</t>
  </si>
  <si>
    <t>SDA</t>
  </si>
  <si>
    <t>SCL</t>
  </si>
  <si>
    <t>I²C</t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</si>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</sst>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"/>
    <numFmt numFmtId="165" formatCode="0.000"/>
    <numFmt numFmtId="166" formatCode="0.0000"/>
    <numFmt numFmtId="167" formatCode="0.000000E+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i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10" fillId="0" borderId="0"/>
  </cellStyleXfs>
  <cellXfs count="91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2"/>
    <xf numFmtId="0" fontId="4" fillId="0" borderId="0" xfId="0" applyFont="1"/>
    <xf numFmtId="0" fontId="5" fillId="0" borderId="0" xfId="0" applyFont="1"/>
    <xf numFmtId="9" fontId="0" fillId="0" borderId="0" xfId="3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0" fillId="3" borderId="0" xfId="0" applyFill="1"/>
    <xf numFmtId="1" fontId="0" fillId="3" borderId="0" xfId="0" applyNumberFormat="1" applyFill="1"/>
    <xf numFmtId="9" fontId="0" fillId="3" borderId="0" xfId="3" applyFont="1" applyFill="1"/>
    <xf numFmtId="0" fontId="0" fillId="0" borderId="0" xfId="0" applyAlignment="1">
      <alignment wrapText="1"/>
    </xf>
    <xf numFmtId="0" fontId="5" fillId="0" borderId="0" xfId="0" applyFont="1" applyAlignment="1">
      <alignment horizontal="right"/>
    </xf>
    <xf numFmtId="0" fontId="8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5" fillId="0" borderId="8" xfId="0" applyFont="1" applyBorder="1"/>
    <xf numFmtId="0" fontId="5" fillId="0" borderId="8" xfId="0" applyFont="1" applyBorder="1" applyAlignment="1">
      <alignment horizontal="right"/>
    </xf>
    <xf numFmtId="0" fontId="5" fillId="0" borderId="9" xfId="0" applyFont="1" applyBorder="1" applyAlignment="1">
      <alignment horizontal="right"/>
    </xf>
    <xf numFmtId="0" fontId="5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" xfId="0" applyFont="1" applyBorder="1"/>
    <xf numFmtId="0" fontId="7" fillId="0" borderId="14" xfId="0" applyFont="1" applyBorder="1"/>
    <xf numFmtId="0" fontId="7" fillId="0" borderId="15" xfId="0" applyFont="1" applyBorder="1"/>
    <xf numFmtId="0" fontId="5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0" borderId="10" xfId="0" applyFont="1" applyBorder="1" applyAlignment="1">
      <alignment horizontal="right"/>
    </xf>
    <xf numFmtId="0" fontId="5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16" xfId="0" applyFont="1" applyBorder="1" applyAlignment="1">
      <alignment wrapText="1"/>
    </xf>
    <xf numFmtId="0" fontId="9" fillId="0" borderId="0" xfId="0" applyFont="1"/>
    <xf numFmtId="0" fontId="11" fillId="0" borderId="24" xfId="4" applyFont="1" applyFill="1" applyBorder="1" applyAlignment="1">
      <alignment horizontal="center" vertical="top" wrapText="1"/>
    </xf>
    <xf numFmtId="0" fontId="11" fillId="0" borderId="24" xfId="4" applyFont="1" applyFill="1" applyBorder="1" applyAlignment="1">
      <alignment horizontal="left" vertical="top" wrapText="1"/>
    </xf>
    <xf numFmtId="1" fontId="12" fillId="0" borderId="24" xfId="4" applyNumberFormat="1" applyFont="1" applyFill="1" applyBorder="1" applyAlignment="1">
      <alignment horizontal="center" vertical="top" shrinkToFit="1"/>
    </xf>
    <xf numFmtId="164" fontId="12" fillId="0" borderId="24" xfId="4" applyNumberFormat="1" applyFont="1" applyFill="1" applyBorder="1" applyAlignment="1">
      <alignment horizontal="left" vertical="top" shrinkToFit="1"/>
    </xf>
    <xf numFmtId="1" fontId="12" fillId="0" borderId="24" xfId="4" applyNumberFormat="1" applyFont="1" applyFill="1" applyBorder="1" applyAlignment="1">
      <alignment horizontal="left" vertical="top" indent="1" shrinkToFit="1"/>
    </xf>
    <xf numFmtId="2" fontId="12" fillId="0" borderId="24" xfId="4" applyNumberFormat="1" applyFont="1" applyFill="1" applyBorder="1" applyAlignment="1">
      <alignment horizontal="center" vertical="top" shrinkToFit="1"/>
    </xf>
    <xf numFmtId="165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center" vertical="top" shrinkToFit="1"/>
    </xf>
    <xf numFmtId="166" fontId="12" fillId="0" borderId="24" xfId="4" applyNumberFormat="1" applyFont="1" applyFill="1" applyBorder="1" applyAlignment="1">
      <alignment horizontal="right" vertical="top" indent="1" shrinkToFit="1"/>
    </xf>
    <xf numFmtId="166" fontId="12" fillId="0" borderId="24" xfId="4" applyNumberFormat="1" applyFont="1" applyFill="1" applyBorder="1" applyAlignment="1">
      <alignment horizontal="left" vertical="top" shrinkToFit="1"/>
    </xf>
    <xf numFmtId="166" fontId="12" fillId="0" borderId="24" xfId="4" applyNumberFormat="1" applyFont="1" applyFill="1" applyBorder="1" applyAlignment="1">
      <alignment horizontal="right" vertical="top" shrinkToFit="1"/>
    </xf>
    <xf numFmtId="166" fontId="12" fillId="0" borderId="24" xfId="4" applyNumberFormat="1" applyFont="1" applyFill="1" applyBorder="1" applyAlignment="1">
      <alignment horizontal="left" vertical="top" indent="1" shrinkToFit="1"/>
    </xf>
    <xf numFmtId="1" fontId="12" fillId="0" borderId="24" xfId="4" applyNumberFormat="1" applyFont="1" applyFill="1" applyBorder="1" applyAlignment="1">
      <alignment horizontal="left" vertical="top" shrinkToFit="1"/>
    </xf>
    <xf numFmtId="2" fontId="12" fillId="0" borderId="24" xfId="4" applyNumberFormat="1" applyFont="1" applyFill="1" applyBorder="1" applyAlignment="1">
      <alignment horizontal="left" vertical="top" shrinkToFit="1"/>
    </xf>
    <xf numFmtId="165" fontId="12" fillId="0" borderId="24" xfId="4" applyNumberFormat="1" applyFont="1" applyFill="1" applyBorder="1" applyAlignment="1">
      <alignment horizontal="center" vertical="top" shrinkToFit="1"/>
    </xf>
    <xf numFmtId="165" fontId="13" fillId="0" borderId="24" xfId="4" applyNumberFormat="1" applyFont="1" applyFill="1" applyBorder="1" applyAlignment="1">
      <alignment horizontal="center" vertical="top" shrinkToFit="1"/>
    </xf>
    <xf numFmtId="0" fontId="11" fillId="0" borderId="0" xfId="4" applyFont="1" applyFill="1" applyBorder="1" applyAlignment="1">
      <alignment horizontal="left" vertical="top" wrapText="1"/>
    </xf>
    <xf numFmtId="11" fontId="0" fillId="0" borderId="0" xfId="0" applyNumberFormat="1"/>
    <xf numFmtId="0" fontId="14" fillId="0" borderId="0" xfId="4" applyFont="1" applyFill="1" applyBorder="1" applyAlignment="1">
      <alignment horizontal="left" vertical="top" wrapText="1" indent="1"/>
    </xf>
    <xf numFmtId="0" fontId="14" fillId="0" borderId="24" xfId="4" applyFont="1" applyFill="1" applyBorder="1" applyAlignment="1">
      <alignment horizontal="left" vertical="top" wrapText="1"/>
    </xf>
    <xf numFmtId="0" fontId="14" fillId="0" borderId="0" xfId="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1" fontId="11" fillId="0" borderId="0" xfId="4" applyNumberFormat="1" applyFont="1" applyFill="1" applyBorder="1" applyAlignment="1">
      <alignment horizontal="left" vertical="top" wrapText="1"/>
    </xf>
    <xf numFmtId="9" fontId="11" fillId="0" borderId="0" xfId="3" applyFont="1" applyFill="1" applyBorder="1" applyAlignment="1">
      <alignment horizontal="left" vertical="top" wrapText="1"/>
    </xf>
    <xf numFmtId="0" fontId="11" fillId="0" borderId="0" xfId="3" applyNumberFormat="1" applyFont="1" applyFill="1" applyBorder="1" applyAlignment="1">
      <alignment horizontal="left" vertical="top" wrapText="1"/>
    </xf>
    <xf numFmtId="1" fontId="11" fillId="0" borderId="0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left" vertical="top" wrapText="1"/>
    </xf>
    <xf numFmtId="0" fontId="11" fillId="0" borderId="24" xfId="3" applyNumberFormat="1" applyFont="1" applyFill="1" applyBorder="1" applyAlignment="1">
      <alignment horizontal="center" vertical="top" wrapText="1"/>
    </xf>
    <xf numFmtId="0" fontId="0" fillId="0" borderId="0" xfId="3" applyNumberFormat="1" applyFont="1"/>
    <xf numFmtId="0" fontId="0" fillId="0" borderId="0" xfId="3" applyNumberFormat="1" applyFont="1" applyAlignment="1">
      <alignment horizontal="left"/>
    </xf>
    <xf numFmtId="0" fontId="14" fillId="0" borderId="24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/>
    </xf>
    <xf numFmtId="0" fontId="14" fillId="0" borderId="0" xfId="3" applyNumberFormat="1" applyFont="1" applyFill="1" applyBorder="1" applyAlignment="1">
      <alignment horizontal="left" vertical="top" wrapText="1" indent="1"/>
    </xf>
    <xf numFmtId="0" fontId="12" fillId="0" borderId="24" xfId="3" applyNumberFormat="1" applyFont="1" applyFill="1" applyBorder="1" applyAlignment="1">
      <alignment horizontal="left" vertical="top" shrinkToFit="1"/>
    </xf>
    <xf numFmtId="0" fontId="12" fillId="0" borderId="24" xfId="3" applyNumberFormat="1" applyFont="1" applyFill="1" applyBorder="1" applyAlignment="1">
      <alignment horizontal="center" vertical="top" shrinkToFit="1"/>
    </xf>
    <xf numFmtId="0" fontId="12" fillId="0" borderId="0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left" vertical="top" indent="1" shrinkToFit="1"/>
    </xf>
    <xf numFmtId="0" fontId="13" fillId="0" borderId="24" xfId="3" applyNumberFormat="1" applyFont="1" applyFill="1" applyBorder="1" applyAlignment="1">
      <alignment horizontal="center" vertical="top" shrinkToFit="1"/>
    </xf>
    <xf numFmtId="0" fontId="12" fillId="0" borderId="24" xfId="3" applyNumberFormat="1" applyFont="1" applyFill="1" applyBorder="1" applyAlignment="1">
      <alignment horizontal="right" vertical="top" indent="1" shrinkToFit="1"/>
    </xf>
    <xf numFmtId="0" fontId="12" fillId="0" borderId="24" xfId="3" applyNumberFormat="1" applyFont="1" applyFill="1" applyBorder="1" applyAlignment="1">
      <alignment horizontal="right" vertical="top" shrinkToFit="1"/>
    </xf>
    <xf numFmtId="167" fontId="11" fillId="0" borderId="0" xfId="3" applyNumberFormat="1" applyFont="1" applyFill="1" applyBorder="1" applyAlignment="1">
      <alignment horizontal="left" vertical="top" wrapText="1"/>
    </xf>
    <xf numFmtId="0" fontId="0" fillId="0" borderId="0" xfId="0" quotePrefix="1"/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/>
  </cellXfs>
  <cellStyles count="5">
    <cellStyle name="Lien hypertexte" xfId="2" builtinId="8"/>
    <cellStyle name="Monétaire" xfId="1" builtinId="4"/>
    <cellStyle name="Normal" xfId="0" builtinId="0"/>
    <cellStyle name="Normal 2" xfId="4" xr:uid="{8224FC39-9A96-4EC5-882B-B0053D1383BC}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etalonnage'!$G$1</c:f>
              <c:strCache>
                <c:ptCount val="1"/>
                <c:pt idx="0">
                  <c:v>log10 ( R 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etalonnage'!$G$2:$G$242</c:f>
              <c:numCache>
                <c:formatCode>General</c:formatCode>
                <c:ptCount val="241"/>
                <c:pt idx="0">
                  <c:v>2.4427932259397691</c:v>
                </c:pt>
                <c:pt idx="1">
                  <c:v>2.4209454059219722</c:v>
                </c:pt>
                <c:pt idx="2">
                  <c:v>2.3981136917305026</c:v>
                </c:pt>
                <c:pt idx="3">
                  <c:v>2.3743816980508821</c:v>
                </c:pt>
                <c:pt idx="4">
                  <c:v>2.3502480183341627</c:v>
                </c:pt>
                <c:pt idx="5">
                  <c:v>2.325310371711061</c:v>
                </c:pt>
                <c:pt idx="6">
                  <c:v>2.3001605369513523</c:v>
                </c:pt>
                <c:pt idx="7">
                  <c:v>2.274388795550379</c:v>
                </c:pt>
                <c:pt idx="8">
                  <c:v>2.2487087356009177</c:v>
                </c:pt>
                <c:pt idx="9">
                  <c:v>2.2227164711475833</c:v>
                </c:pt>
                <c:pt idx="10">
                  <c:v>2.1964525417033891</c:v>
                </c:pt>
                <c:pt idx="11">
                  <c:v>2.1705550585212086</c:v>
                </c:pt>
                <c:pt idx="12">
                  <c:v>2.1442627737619908</c:v>
                </c:pt>
                <c:pt idx="13">
                  <c:v>2.1182647260894796</c:v>
                </c:pt>
                <c:pt idx="14">
                  <c:v>2.0923696996291206</c:v>
                </c:pt>
                <c:pt idx="15">
                  <c:v>2.0666985504229953</c:v>
                </c:pt>
                <c:pt idx="16">
                  <c:v>2.0413926851582249</c:v>
                </c:pt>
                <c:pt idx="17">
                  <c:v>2.0157787563890408</c:v>
                </c:pt>
                <c:pt idx="18">
                  <c:v>1.9907826918031379</c:v>
                </c:pt>
                <c:pt idx="19">
                  <c:v>1.9661417327390327</c:v>
                </c:pt>
                <c:pt idx="20">
                  <c:v>1.9416604783883924</c:v>
                </c:pt>
                <c:pt idx="21">
                  <c:v>1.9179778825929084</c:v>
                </c:pt>
                <c:pt idx="22">
                  <c:v>1.8945375849957464</c:v>
                </c:pt>
                <c:pt idx="23">
                  <c:v>1.8713393810998609</c:v>
                </c:pt>
                <c:pt idx="24">
                  <c:v>1.8483738838446018</c:v>
                </c:pt>
                <c:pt idx="25">
                  <c:v>1.825555932290357</c:v>
                </c:pt>
                <c:pt idx="26">
                  <c:v>1.8030472104911286</c:v>
                </c:pt>
                <c:pt idx="27">
                  <c:v>1.7806053058389697</c:v>
                </c:pt>
                <c:pt idx="28">
                  <c:v>1.7583819417746753</c:v>
                </c:pt>
                <c:pt idx="29">
                  <c:v>1.7363965022766426</c:v>
                </c:pt>
                <c:pt idx="30">
                  <c:v>1.7144974086498059</c:v>
                </c:pt>
                <c:pt idx="31">
                  <c:v>1.6926706991563691</c:v>
                </c:pt>
                <c:pt idx="32">
                  <c:v>1.6710802327388494</c:v>
                </c:pt>
                <c:pt idx="33">
                  <c:v>1.6495295659478189</c:v>
                </c:pt>
                <c:pt idx="34">
                  <c:v>1.6281845080734125</c:v>
                </c:pt>
                <c:pt idx="35">
                  <c:v>1.6069185259482912</c:v>
                </c:pt>
                <c:pt idx="36">
                  <c:v>1.585799009013001</c:v>
                </c:pt>
                <c:pt idx="37">
                  <c:v>1.5646660642520893</c:v>
                </c:pt>
                <c:pt idx="38">
                  <c:v>1.5436956323092448</c:v>
                </c:pt>
                <c:pt idx="39">
                  <c:v>1.5228353136605299</c:v>
                </c:pt>
                <c:pt idx="40">
                  <c:v>1.5020172148271473</c:v>
                </c:pt>
                <c:pt idx="41">
                  <c:v>1.4807253789884878</c:v>
                </c:pt>
                <c:pt idx="42">
                  <c:v>1.4596939764779706</c:v>
                </c:pt>
                <c:pt idx="43">
                  <c:v>1.4385423487861106</c:v>
                </c:pt>
                <c:pt idx="44">
                  <c:v>1.4176377396522297</c:v>
                </c:pt>
                <c:pt idx="45">
                  <c:v>1.3968964491425238</c:v>
                </c:pt>
                <c:pt idx="46">
                  <c:v>1.3760291817281802</c:v>
                </c:pt>
                <c:pt idx="47">
                  <c:v>1.3554515201265174</c:v>
                </c:pt>
                <c:pt idx="48">
                  <c:v>1.3348556896172916</c:v>
                </c:pt>
                <c:pt idx="49">
                  <c:v>1.3144992279731516</c:v>
                </c:pt>
                <c:pt idx="50">
                  <c:v>1.2940250940953226</c:v>
                </c:pt>
                <c:pt idx="51">
                  <c:v>1.2736955879300922</c:v>
                </c:pt>
                <c:pt idx="52">
                  <c:v>1.2535802895621828</c:v>
                </c:pt>
                <c:pt idx="53">
                  <c:v>1.2335037603411345</c:v>
                </c:pt>
                <c:pt idx="54">
                  <c:v>1.2135177569963049</c:v>
                </c:pt>
                <c:pt idx="55">
                  <c:v>1.1936810295412814</c:v>
                </c:pt>
                <c:pt idx="56">
                  <c:v>1.1740598077250255</c:v>
                </c:pt>
                <c:pt idx="57">
                  <c:v>1.1541195255158467</c:v>
                </c:pt>
                <c:pt idx="58">
                  <c:v>1.1344958558346736</c:v>
                </c:pt>
                <c:pt idx="59">
                  <c:v>1.1152775913959014</c:v>
                </c:pt>
                <c:pt idx="60">
                  <c:v>1.0958664534785427</c:v>
                </c:pt>
                <c:pt idx="61">
                  <c:v>1.0762762554042176</c:v>
                </c:pt>
                <c:pt idx="62">
                  <c:v>1.0572856444182146</c:v>
                </c:pt>
                <c:pt idx="63">
                  <c:v>1.0378247505883418</c:v>
                </c:pt>
                <c:pt idx="64">
                  <c:v>1.0191162904470727</c:v>
                </c:pt>
                <c:pt idx="65">
                  <c:v>1</c:v>
                </c:pt>
                <c:pt idx="66">
                  <c:v>0.98113878264066035</c:v>
                </c:pt>
                <c:pt idx="67">
                  <c:v>0.96236933567002114</c:v>
                </c:pt>
                <c:pt idx="68">
                  <c:v>0.94369232710601669</c:v>
                </c:pt>
                <c:pt idx="69">
                  <c:v>0.92510572680966385</c:v>
                </c:pt>
                <c:pt idx="70">
                  <c:v>0.90655051910145013</c:v>
                </c:pt>
                <c:pt idx="71">
                  <c:v>0.88817949391832496</c:v>
                </c:pt>
                <c:pt idx="72">
                  <c:v>0.86981820797932818</c:v>
                </c:pt>
                <c:pt idx="73">
                  <c:v>0.85162520315330914</c:v>
                </c:pt>
                <c:pt idx="74">
                  <c:v>0.83346586017069235</c:v>
                </c:pt>
                <c:pt idx="75">
                  <c:v>0.81544491624435023</c:v>
                </c:pt>
                <c:pt idx="76">
                  <c:v>0.79747528753733432</c:v>
                </c:pt>
                <c:pt idx="77">
                  <c:v>0.77959649125782449</c:v>
                </c:pt>
                <c:pt idx="78">
                  <c:v>0.76177753750817812</c:v>
                </c:pt>
                <c:pt idx="79">
                  <c:v>0.74413645240124726</c:v>
                </c:pt>
                <c:pt idx="80">
                  <c:v>0.72648269678482968</c:v>
                </c:pt>
                <c:pt idx="81">
                  <c:v>0.70901541697211734</c:v>
                </c:pt>
                <c:pt idx="82">
                  <c:v>0.69152352216815438</c:v>
                </c:pt>
                <c:pt idx="83">
                  <c:v>0.6742179455766999</c:v>
                </c:pt>
                <c:pt idx="84">
                  <c:v>0.65696018274284917</c:v>
                </c:pt>
                <c:pt idx="85">
                  <c:v>0.63978521298682012</c:v>
                </c:pt>
                <c:pt idx="86">
                  <c:v>0.62273196516471907</c:v>
                </c:pt>
                <c:pt idx="87">
                  <c:v>0.60573589387674664</c:v>
                </c:pt>
                <c:pt idx="88">
                  <c:v>0.58883172559420727</c:v>
                </c:pt>
                <c:pt idx="89">
                  <c:v>0.57205798992630452</c:v>
                </c:pt>
                <c:pt idx="90">
                  <c:v>0.55533632799526678</c:v>
                </c:pt>
                <c:pt idx="91">
                  <c:v>0.53869937954240676</c:v>
                </c:pt>
                <c:pt idx="92">
                  <c:v>0.5221833176186863</c:v>
                </c:pt>
                <c:pt idx="93">
                  <c:v>0.50569250741220007</c:v>
                </c:pt>
                <c:pt idx="94">
                  <c:v>0.48939592172712942</c:v>
                </c:pt>
                <c:pt idx="95">
                  <c:v>0.47304880508853769</c:v>
                </c:pt>
                <c:pt idx="96">
                  <c:v>0.45682134802159863</c:v>
                </c:pt>
                <c:pt idx="97">
                  <c:v>0.44075170047918544</c:v>
                </c:pt>
                <c:pt idx="98">
                  <c:v>0.424718337331567</c:v>
                </c:pt>
                <c:pt idx="99">
                  <c:v>0.40891802084677981</c:v>
                </c:pt>
                <c:pt idx="100">
                  <c:v>0.39304846641677821</c:v>
                </c:pt>
                <c:pt idx="101">
                  <c:v>0.37730625106819882</c:v>
                </c:pt>
                <c:pt idx="102">
                  <c:v>0.36153897126927903</c:v>
                </c:pt>
                <c:pt idx="103">
                  <c:v>0.34596154181314126</c:v>
                </c:pt>
                <c:pt idx="104">
                  <c:v>0.33061666729443834</c:v>
                </c:pt>
                <c:pt idx="105">
                  <c:v>0.31513031718360174</c:v>
                </c:pt>
                <c:pt idx="106">
                  <c:v>0.29972515397563693</c:v>
                </c:pt>
                <c:pt idx="107">
                  <c:v>0.28465628278851568</c:v>
                </c:pt>
                <c:pt idx="108">
                  <c:v>0.26951294421791633</c:v>
                </c:pt>
                <c:pt idx="109">
                  <c:v>0.25430633233128558</c:v>
                </c:pt>
                <c:pt idx="110">
                  <c:v>0.23929947912689256</c:v>
                </c:pt>
                <c:pt idx="111">
                  <c:v>0.22453306260608574</c:v>
                </c:pt>
                <c:pt idx="112">
                  <c:v>0.20978301484851494</c:v>
                </c:pt>
                <c:pt idx="113">
                  <c:v>0.19506899646859011</c:v>
                </c:pt>
                <c:pt idx="114">
                  <c:v>0.18041263283832379</c:v>
                </c:pt>
                <c:pt idx="115">
                  <c:v>0.16583762469012828</c:v>
                </c:pt>
                <c:pt idx="116">
                  <c:v>0.15136985024746041</c:v>
                </c:pt>
                <c:pt idx="117">
                  <c:v>0.13703745478951265</c:v>
                </c:pt>
                <c:pt idx="118">
                  <c:v>0.12254352406875435</c:v>
                </c:pt>
                <c:pt idx="119">
                  <c:v>0.10856502373283448</c:v>
                </c:pt>
                <c:pt idx="120">
                  <c:v>9.4471128641644794E-2</c:v>
                </c:pt>
                <c:pt idx="121">
                  <c:v>8.0265627339844769E-2</c:v>
                </c:pt>
                <c:pt idx="122">
                  <c:v>6.6325925362037796E-2</c:v>
                </c:pt>
                <c:pt idx="123">
                  <c:v>5.2309099647323443E-2</c:v>
                </c:pt>
                <c:pt idx="124">
                  <c:v>3.8620161949702782E-2</c:v>
                </c:pt>
                <c:pt idx="125">
                  <c:v>2.4895960107484977E-2</c:v>
                </c:pt>
                <c:pt idx="126">
                  <c:v>1.1570443597278161E-2</c:v>
                </c:pt>
                <c:pt idx="127">
                  <c:v>-1.9587356365716219E-3</c:v>
                </c:pt>
                <c:pt idx="128">
                  <c:v>-1.5292705517326801E-2</c:v>
                </c:pt>
                <c:pt idx="129">
                  <c:v>-2.8584976615004861E-2</c:v>
                </c:pt>
                <c:pt idx="130">
                  <c:v>-4.1770685811617865E-2</c:v>
                </c:pt>
                <c:pt idx="131">
                  <c:v>-5.4925511521270003E-2</c:v>
                </c:pt>
                <c:pt idx="132">
                  <c:v>-6.8033885271827368E-2</c:v>
                </c:pt>
                <c:pt idx="133">
                  <c:v>-8.1078909908664218E-2</c:v>
                </c:pt>
                <c:pt idx="134">
                  <c:v>-9.4096233783383082E-2</c:v>
                </c:pt>
                <c:pt idx="135">
                  <c:v>-0.10701544928928336</c:v>
                </c:pt>
                <c:pt idx="136">
                  <c:v>-0.11992991593593277</c:v>
                </c:pt>
                <c:pt idx="137">
                  <c:v>-0.13276828548110584</c:v>
                </c:pt>
                <c:pt idx="138">
                  <c:v>-0.14557249421213878</c:v>
                </c:pt>
                <c:pt idx="139">
                  <c:v>-0.15832774992636561</c:v>
                </c:pt>
                <c:pt idx="140">
                  <c:v>-0.17108243838331408</c:v>
                </c:pt>
                <c:pt idx="141">
                  <c:v>-0.18322858766665354</c:v>
                </c:pt>
                <c:pt idx="142">
                  <c:v>-0.19545169161194412</c:v>
                </c:pt>
                <c:pt idx="143">
                  <c:v>-0.20767836364842648</c:v>
                </c:pt>
                <c:pt idx="144">
                  <c:v>-0.21997087266266166</c:v>
                </c:pt>
                <c:pt idx="145">
                  <c:v>-0.23225063265442014</c:v>
                </c:pt>
                <c:pt idx="146">
                  <c:v>-0.2445825371890637</c:v>
                </c:pt>
                <c:pt idx="147">
                  <c:v>-0.25688237478525838</c:v>
                </c:pt>
                <c:pt idx="148">
                  <c:v>-0.2692177243336108</c:v>
                </c:pt>
                <c:pt idx="149">
                  <c:v>-0.28158135817034435</c:v>
                </c:pt>
                <c:pt idx="150">
                  <c:v>-0.29387989029729644</c:v>
                </c:pt>
                <c:pt idx="151">
                  <c:v>-0.30618514611058323</c:v>
                </c:pt>
                <c:pt idx="152">
                  <c:v>-0.31848741336103781</c:v>
                </c:pt>
                <c:pt idx="153">
                  <c:v>-0.33077612606919421</c:v>
                </c:pt>
                <c:pt idx="154">
                  <c:v>-0.34303981725715083</c:v>
                </c:pt>
                <c:pt idx="155">
                  <c:v>-0.35536449623184702</c:v>
                </c:pt>
                <c:pt idx="156">
                  <c:v>-0.36754270781527576</c:v>
                </c:pt>
                <c:pt idx="157">
                  <c:v>-0.3797598101541686</c:v>
                </c:pt>
                <c:pt idx="158">
                  <c:v>-0.39200914145282512</c:v>
                </c:pt>
                <c:pt idx="159">
                  <c:v>-0.40406309373082644</c:v>
                </c:pt>
                <c:pt idx="160">
                  <c:v>-0.41623463171500025</c:v>
                </c:pt>
                <c:pt idx="161">
                  <c:v>-0.42829116819131241</c:v>
                </c:pt>
                <c:pt idx="162">
                  <c:v>-0.44033272161194231</c:v>
                </c:pt>
                <c:pt idx="163">
                  <c:v>-0.45222529461217748</c:v>
                </c:pt>
                <c:pt idx="164">
                  <c:v>-0.46419970917510234</c:v>
                </c:pt>
                <c:pt idx="165">
                  <c:v>-0.47612352436186867</c:v>
                </c:pt>
                <c:pt idx="166">
                  <c:v>-0.48771593671814645</c:v>
                </c:pt>
                <c:pt idx="167">
                  <c:v>-0.49935193662808808</c:v>
                </c:pt>
                <c:pt idx="168">
                  <c:v>-0.51102647527349176</c:v>
                </c:pt>
                <c:pt idx="169">
                  <c:v>-0.52258931209274839</c:v>
                </c:pt>
                <c:pt idx="170">
                  <c:v>-0.53402263171417719</c:v>
                </c:pt>
                <c:pt idx="171">
                  <c:v>-0.54546001503518127</c:v>
                </c:pt>
                <c:pt idx="172">
                  <c:v>-0.55689354326273399</c:v>
                </c:pt>
                <c:pt idx="173">
                  <c:v>-0.56831465531398817</c:v>
                </c:pt>
                <c:pt idx="174">
                  <c:v>-0.57954914089393184</c:v>
                </c:pt>
                <c:pt idx="175">
                  <c:v>-0.59091263055216492</c:v>
                </c:pt>
                <c:pt idx="176">
                  <c:v>-0.6020599913279624</c:v>
                </c:pt>
                <c:pt idx="177">
                  <c:v>-0.61314447081527568</c:v>
                </c:pt>
                <c:pt idx="178">
                  <c:v>-0.62433638603911468</c:v>
                </c:pt>
                <c:pt idx="179">
                  <c:v>-0.63526144494460146</c:v>
                </c:pt>
                <c:pt idx="180">
                  <c:v>-0.64627606241105096</c:v>
                </c:pt>
                <c:pt idx="181">
                  <c:v>-0.65718268536426705</c:v>
                </c:pt>
                <c:pt idx="182">
                  <c:v>-0.66796572297248202</c:v>
                </c:pt>
                <c:pt idx="183">
                  <c:v>-0.6788159726976859</c:v>
                </c:pt>
                <c:pt idx="184">
                  <c:v>-0.6895191085373249</c:v>
                </c:pt>
                <c:pt idx="185">
                  <c:v>-0.70027484602436307</c:v>
                </c:pt>
                <c:pt idx="186">
                  <c:v>-0.71085716406766686</c:v>
                </c:pt>
                <c:pt idx="187">
                  <c:v>-0.72124639904717103</c:v>
                </c:pt>
                <c:pt idx="188">
                  <c:v>-0.73165608604893528</c:v>
                </c:pt>
                <c:pt idx="189">
                  <c:v>-0.74208154968594153</c:v>
                </c:pt>
                <c:pt idx="190">
                  <c:v>-0.75227216709027689</c:v>
                </c:pt>
                <c:pt idx="191">
                  <c:v>-0.76245626185712545</c:v>
                </c:pt>
                <c:pt idx="192">
                  <c:v>-0.77262755771036373</c:v>
                </c:pt>
                <c:pt idx="193">
                  <c:v>-0.78251605578609373</c:v>
                </c:pt>
                <c:pt idx="194">
                  <c:v>-0.79263496253092813</c:v>
                </c:pt>
                <c:pt idx="195">
                  <c:v>-0.80244378684646356</c:v>
                </c:pt>
                <c:pt idx="196">
                  <c:v>-0.81219736128158071</c:v>
                </c:pt>
                <c:pt idx="197">
                  <c:v>-0.82188674768536818</c:v>
                </c:pt>
                <c:pt idx="198">
                  <c:v>-0.83150251647696727</c:v>
                </c:pt>
                <c:pt idx="199">
                  <c:v>-0.84133601918601064</c:v>
                </c:pt>
                <c:pt idx="200">
                  <c:v>-0.8507808873446201</c:v>
                </c:pt>
                <c:pt idx="201">
                  <c:v>-0.86043573382415028</c:v>
                </c:pt>
                <c:pt idx="202">
                  <c:v>-0.86966623150499389</c:v>
                </c:pt>
                <c:pt idx="203">
                  <c:v>-0.87909718238547285</c:v>
                </c:pt>
                <c:pt idx="204">
                  <c:v>-0.88840147511960599</c:v>
                </c:pt>
                <c:pt idx="205">
                  <c:v>-0.89790947448816327</c:v>
                </c:pt>
                <c:pt idx="206">
                  <c:v>-0.90692869362393658</c:v>
                </c:pt>
                <c:pt idx="207">
                  <c:v>-0.91613919913342701</c:v>
                </c:pt>
                <c:pt idx="208">
                  <c:v>-0.92554928104540879</c:v>
                </c:pt>
                <c:pt idx="209">
                  <c:v>-0.93442028527155163</c:v>
                </c:pt>
                <c:pt idx="210">
                  <c:v>-0.94347627592089967</c:v>
                </c:pt>
                <c:pt idx="211">
                  <c:v>-0.95272513261582048</c:v>
                </c:pt>
                <c:pt idx="212">
                  <c:v>-0.96177736163128158</c:v>
                </c:pt>
                <c:pt idx="213">
                  <c:v>-0.97061622231479039</c:v>
                </c:pt>
                <c:pt idx="214">
                  <c:v>-0.97963871735229213</c:v>
                </c:pt>
                <c:pt idx="215">
                  <c:v>-0.98842955640272179</c:v>
                </c:pt>
                <c:pt idx="216">
                  <c:v>-0.99740201928009142</c:v>
                </c:pt>
                <c:pt idx="217">
                  <c:v>-1.0061230850587888</c:v>
                </c:pt>
                <c:pt idx="218">
                  <c:v>-1.0150228735845066</c:v>
                </c:pt>
                <c:pt idx="219">
                  <c:v>-1.0236500209967265</c:v>
                </c:pt>
                <c:pt idx="220">
                  <c:v>-1.0324520237811379</c:v>
                </c:pt>
                <c:pt idx="221">
                  <c:v>-1.0414361167780326</c:v>
                </c:pt>
                <c:pt idx="222">
                  <c:v>-1.0501222959631251</c:v>
                </c:pt>
                <c:pt idx="223">
                  <c:v>-1.0589857562944303</c:v>
                </c:pt>
                <c:pt idx="224">
                  <c:v>-1.0675262353228467</c:v>
                </c:pt>
                <c:pt idx="225">
                  <c:v>-1.0762380391712998</c:v>
                </c:pt>
                <c:pt idx="226">
                  <c:v>-1.0851281824599497</c:v>
                </c:pt>
                <c:pt idx="227">
                  <c:v>-1.0936649581949094</c:v>
                </c:pt>
                <c:pt idx="228">
                  <c:v>-1.1023729087095586</c:v>
                </c:pt>
                <c:pt idx="229">
                  <c:v>-1.1112590393171073</c:v>
                </c:pt>
                <c:pt idx="230">
                  <c:v>-1.1197582241045196</c:v>
                </c:pt>
                <c:pt idx="231">
                  <c:v>-1.1290111862394248</c:v>
                </c:pt>
                <c:pt idx="232">
                  <c:v>-1.1372724716820253</c:v>
                </c:pt>
                <c:pt idx="233">
                  <c:v>-1.1463017882238256</c:v>
                </c:pt>
                <c:pt idx="234">
                  <c:v>-1.1549019599857431</c:v>
                </c:pt>
                <c:pt idx="235">
                  <c:v>-1.1636758842932484</c:v>
                </c:pt>
                <c:pt idx="236">
                  <c:v>-1.1726307269461749</c:v>
                </c:pt>
                <c:pt idx="237">
                  <c:v>-1.1817741063860445</c:v>
                </c:pt>
                <c:pt idx="238">
                  <c:v>-1.1904402853647322</c:v>
                </c:pt>
                <c:pt idx="239">
                  <c:v>-1.1999706407558657</c:v>
                </c:pt>
                <c:pt idx="240">
                  <c:v>-1.2083093509798821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2-414C-A616-428A79EBD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etalonnage'!$A$2:$A$242</c:f>
              <c:numCache>
                <c:formatCode>0.0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 formatCode="0.00">
                  <c:v>92.5</c:v>
                </c:pt>
                <c:pt idx="20" formatCode="0.00">
                  <c:v>87.43</c:v>
                </c:pt>
                <c:pt idx="21" formatCode="0.00">
                  <c:v>82.79</c:v>
                </c:pt>
                <c:pt idx="22" formatCode="0.00">
                  <c:v>78.44</c:v>
                </c:pt>
                <c:pt idx="23" formatCode="0.00">
                  <c:v>74.36</c:v>
                </c:pt>
                <c:pt idx="24" formatCode="0.00">
                  <c:v>70.53</c:v>
                </c:pt>
                <c:pt idx="25" formatCode="0.00">
                  <c:v>66.92</c:v>
                </c:pt>
                <c:pt idx="26" formatCode="0.00">
                  <c:v>63.54</c:v>
                </c:pt>
                <c:pt idx="27" formatCode="0.00">
                  <c:v>60.34</c:v>
                </c:pt>
                <c:pt idx="28" formatCode="0.00">
                  <c:v>57.33</c:v>
                </c:pt>
                <c:pt idx="29" formatCode="0.00">
                  <c:v>54.5</c:v>
                </c:pt>
                <c:pt idx="30" formatCode="0.00">
                  <c:v>51.82</c:v>
                </c:pt>
                <c:pt idx="31" formatCode="0.00">
                  <c:v>49.28</c:v>
                </c:pt>
                <c:pt idx="32" formatCode="0.00">
                  <c:v>46.89</c:v>
                </c:pt>
                <c:pt idx="33" formatCode="0.00">
                  <c:v>44.62</c:v>
                </c:pt>
                <c:pt idx="34" formatCode="0.00">
                  <c:v>42.48</c:v>
                </c:pt>
                <c:pt idx="35" formatCode="0.00">
                  <c:v>40.450000000000003</c:v>
                </c:pt>
                <c:pt idx="36" formatCode="0.00">
                  <c:v>38.53</c:v>
                </c:pt>
                <c:pt idx="37" formatCode="0.00">
                  <c:v>36.700000000000003</c:v>
                </c:pt>
                <c:pt idx="38" formatCode="0.00">
                  <c:v>34.97</c:v>
                </c:pt>
                <c:pt idx="39" formatCode="0.00">
                  <c:v>33.33</c:v>
                </c:pt>
                <c:pt idx="40" formatCode="0.00">
                  <c:v>31.77</c:v>
                </c:pt>
                <c:pt idx="41" formatCode="0.00">
                  <c:v>30.25</c:v>
                </c:pt>
                <c:pt idx="42" formatCode="0.00">
                  <c:v>28.82</c:v>
                </c:pt>
                <c:pt idx="43" formatCode="0.00">
                  <c:v>27.45</c:v>
                </c:pt>
                <c:pt idx="44" formatCode="0.00">
                  <c:v>26.16</c:v>
                </c:pt>
                <c:pt idx="45" formatCode="0.00">
                  <c:v>24.94</c:v>
                </c:pt>
                <c:pt idx="46" formatCode="0.00">
                  <c:v>23.77</c:v>
                </c:pt>
                <c:pt idx="47" formatCode="0.00">
                  <c:v>22.67</c:v>
                </c:pt>
                <c:pt idx="48" formatCode="0.00">
                  <c:v>21.62</c:v>
                </c:pt>
                <c:pt idx="49" formatCode="0.00">
                  <c:v>20.63</c:v>
                </c:pt>
                <c:pt idx="50" formatCode="0.00">
                  <c:v>19.68</c:v>
                </c:pt>
                <c:pt idx="51" formatCode="0.00">
                  <c:v>18.78</c:v>
                </c:pt>
                <c:pt idx="52" formatCode="0.00">
                  <c:v>17.93</c:v>
                </c:pt>
                <c:pt idx="53" formatCode="0.00">
                  <c:v>17.12</c:v>
                </c:pt>
                <c:pt idx="54" formatCode="0.00">
                  <c:v>16.350000000000001</c:v>
                </c:pt>
                <c:pt idx="55" formatCode="0.00">
                  <c:v>15.62</c:v>
                </c:pt>
                <c:pt idx="56" formatCode="0.00">
                  <c:v>14.93</c:v>
                </c:pt>
                <c:pt idx="57" formatCode="0.00">
                  <c:v>14.26</c:v>
                </c:pt>
                <c:pt idx="58" formatCode="0.00">
                  <c:v>13.63</c:v>
                </c:pt>
                <c:pt idx="59" formatCode="0.00">
                  <c:v>13.04</c:v>
                </c:pt>
                <c:pt idx="60" formatCode="0.00">
                  <c:v>12.47</c:v>
                </c:pt>
                <c:pt idx="61" formatCode="0.00">
                  <c:v>11.92</c:v>
                </c:pt>
                <c:pt idx="62" formatCode="0.00">
                  <c:v>11.41</c:v>
                </c:pt>
                <c:pt idx="63" formatCode="0.00">
                  <c:v>10.91</c:v>
                </c:pt>
                <c:pt idx="64" formatCode="0.00">
                  <c:v>10.45</c:v>
                </c:pt>
                <c:pt idx="65" formatCode="0.00">
                  <c:v>10</c:v>
                </c:pt>
                <c:pt idx="66" formatCode="0.000">
                  <c:v>9.5749999999999993</c:v>
                </c:pt>
                <c:pt idx="67" formatCode="0.000">
                  <c:v>9.17</c:v>
                </c:pt>
                <c:pt idx="68" formatCode="0.000">
                  <c:v>8.7840000000000007</c:v>
                </c:pt>
                <c:pt idx="69" formatCode="0.000">
                  <c:v>8.4160000000000004</c:v>
                </c:pt>
                <c:pt idx="70" formatCode="0.000">
                  <c:v>8.0640000000000001</c:v>
                </c:pt>
                <c:pt idx="71" formatCode="0.000">
                  <c:v>7.73</c:v>
                </c:pt>
                <c:pt idx="72" formatCode="0.000">
                  <c:v>7.41</c:v>
                </c:pt>
                <c:pt idx="73" formatCode="0.000">
                  <c:v>7.1059999999999999</c:v>
                </c:pt>
                <c:pt idx="74" formatCode="0.000">
                  <c:v>6.8150000000000004</c:v>
                </c:pt>
                <c:pt idx="75" formatCode="0.000">
                  <c:v>6.5380000000000003</c:v>
                </c:pt>
                <c:pt idx="76" formatCode="0.000">
                  <c:v>6.2729999999999997</c:v>
                </c:pt>
                <c:pt idx="77" formatCode="0.000">
                  <c:v>6.02</c:v>
                </c:pt>
                <c:pt idx="78" formatCode="0.000">
                  <c:v>5.7779999999999996</c:v>
                </c:pt>
                <c:pt idx="79" formatCode="0.000">
                  <c:v>5.548</c:v>
                </c:pt>
                <c:pt idx="80" formatCode="0.000">
                  <c:v>5.327</c:v>
                </c:pt>
                <c:pt idx="81" formatCode="0.000">
                  <c:v>5.117</c:v>
                </c:pt>
                <c:pt idx="82" formatCode="0.000">
                  <c:v>4.915</c:v>
                </c:pt>
                <c:pt idx="83" formatCode="0.000">
                  <c:v>4.7229999999999999</c:v>
                </c:pt>
                <c:pt idx="84" formatCode="0.000">
                  <c:v>4.5389999999999997</c:v>
                </c:pt>
                <c:pt idx="85" formatCode="0.000">
                  <c:v>4.3630000000000004</c:v>
                </c:pt>
                <c:pt idx="86" formatCode="0.000">
                  <c:v>4.1950000000000003</c:v>
                </c:pt>
                <c:pt idx="87" formatCode="0.000">
                  <c:v>4.0339999999999998</c:v>
                </c:pt>
                <c:pt idx="88" formatCode="0.000">
                  <c:v>3.88</c:v>
                </c:pt>
                <c:pt idx="89" formatCode="0.000">
                  <c:v>3.7330000000000001</c:v>
                </c:pt>
                <c:pt idx="90" formatCode="0.000">
                  <c:v>3.5920000000000001</c:v>
                </c:pt>
                <c:pt idx="91" formatCode="0.000">
                  <c:v>3.4569999999999999</c:v>
                </c:pt>
                <c:pt idx="92" formatCode="0.000">
                  <c:v>3.3279999999999998</c:v>
                </c:pt>
                <c:pt idx="93" formatCode="0.000">
                  <c:v>3.2040000000000002</c:v>
                </c:pt>
                <c:pt idx="94" formatCode="0.000">
                  <c:v>3.0859999999999999</c:v>
                </c:pt>
                <c:pt idx="95" formatCode="0.000">
                  <c:v>2.972</c:v>
                </c:pt>
                <c:pt idx="96" formatCode="0.000">
                  <c:v>2.863</c:v>
                </c:pt>
                <c:pt idx="97" formatCode="0.000">
                  <c:v>2.7589999999999999</c:v>
                </c:pt>
                <c:pt idx="98" formatCode="0.000">
                  <c:v>2.6589999999999998</c:v>
                </c:pt>
                <c:pt idx="99" formatCode="0.000">
                  <c:v>2.5640000000000001</c:v>
                </c:pt>
                <c:pt idx="100" formatCode="0.000">
                  <c:v>2.472</c:v>
                </c:pt>
                <c:pt idx="101" formatCode="0.000">
                  <c:v>2.3839999999999999</c:v>
                </c:pt>
                <c:pt idx="102" formatCode="0.000">
                  <c:v>2.2989999999999999</c:v>
                </c:pt>
                <c:pt idx="103" formatCode="0.000">
                  <c:v>2.218</c:v>
                </c:pt>
                <c:pt idx="104" formatCode="0.000">
                  <c:v>2.141</c:v>
                </c:pt>
                <c:pt idx="105" formatCode="0.000">
                  <c:v>2.0659999999999998</c:v>
                </c:pt>
                <c:pt idx="106" formatCode="0.000">
                  <c:v>1.994</c:v>
                </c:pt>
                <c:pt idx="107" formatCode="0.000">
                  <c:v>1.9259999999999999</c:v>
                </c:pt>
                <c:pt idx="108" formatCode="0.000">
                  <c:v>1.86</c:v>
                </c:pt>
                <c:pt idx="109" formatCode="0.000">
                  <c:v>1.796</c:v>
                </c:pt>
                <c:pt idx="110" formatCode="0.000">
                  <c:v>1.7350000000000001</c:v>
                </c:pt>
                <c:pt idx="111" formatCode="0.000">
                  <c:v>1.677</c:v>
                </c:pt>
                <c:pt idx="112" formatCode="0.000">
                  <c:v>1.621</c:v>
                </c:pt>
                <c:pt idx="113" formatCode="0.000">
                  <c:v>1.5669999999999999</c:v>
                </c:pt>
                <c:pt idx="114" formatCode="0.000">
                  <c:v>1.5149999999999999</c:v>
                </c:pt>
                <c:pt idx="115" formatCode="0.000">
                  <c:v>1.4650000000000001</c:v>
                </c:pt>
                <c:pt idx="116" formatCode="0.000">
                  <c:v>1.417</c:v>
                </c:pt>
                <c:pt idx="117" formatCode="0.000">
                  <c:v>1.371</c:v>
                </c:pt>
                <c:pt idx="118" formatCode="0.000">
                  <c:v>1.3260000000000001</c:v>
                </c:pt>
                <c:pt idx="119" formatCode="0.000">
                  <c:v>1.284</c:v>
                </c:pt>
                <c:pt idx="120" formatCode="0.000">
                  <c:v>1.2430000000000001</c:v>
                </c:pt>
                <c:pt idx="121" formatCode="0.000">
                  <c:v>1.2030000000000001</c:v>
                </c:pt>
                <c:pt idx="122" formatCode="0.000">
                  <c:v>1.165</c:v>
                </c:pt>
                <c:pt idx="123" formatCode="0.000">
                  <c:v>1.1279999999999999</c:v>
                </c:pt>
                <c:pt idx="124" formatCode="0.000">
                  <c:v>1.093</c:v>
                </c:pt>
                <c:pt idx="125" formatCode="0.000">
                  <c:v>1.0589999999999999</c:v>
                </c:pt>
                <c:pt idx="126" formatCode="0.000">
                  <c:v>1.0269999999999999</c:v>
                </c:pt>
                <c:pt idx="127" formatCode="0.0000">
                  <c:v>0.99550000000000005</c:v>
                </c:pt>
                <c:pt idx="128" formatCode="0.0000">
                  <c:v>0.96540000000000004</c:v>
                </c:pt>
                <c:pt idx="129" formatCode="0.0000">
                  <c:v>0.93630000000000002</c:v>
                </c:pt>
                <c:pt idx="130" formatCode="0.0000">
                  <c:v>0.9083</c:v>
                </c:pt>
                <c:pt idx="131" formatCode="0.0000">
                  <c:v>0.88119999999999998</c:v>
                </c:pt>
                <c:pt idx="132" formatCode="0.0000">
                  <c:v>0.85499999999999998</c:v>
                </c:pt>
                <c:pt idx="133" formatCode="0.0000">
                  <c:v>0.82969999999999999</c:v>
                </c:pt>
                <c:pt idx="134" formatCode="0.0000">
                  <c:v>0.80520000000000003</c:v>
                </c:pt>
                <c:pt idx="135" formatCode="0.0000">
                  <c:v>0.78159999999999996</c:v>
                </c:pt>
                <c:pt idx="136" formatCode="0.0000">
                  <c:v>0.75870000000000004</c:v>
                </c:pt>
                <c:pt idx="137" formatCode="0.0000">
                  <c:v>0.73660000000000003</c:v>
                </c:pt>
                <c:pt idx="138" formatCode="0.0000">
                  <c:v>0.71519999999999995</c:v>
                </c:pt>
                <c:pt idx="139" formatCode="0.0000">
                  <c:v>0.69450000000000001</c:v>
                </c:pt>
                <c:pt idx="140" formatCode="0.0000">
                  <c:v>0.6744</c:v>
                </c:pt>
                <c:pt idx="141" formatCode="0.0000">
                  <c:v>0.65580000000000005</c:v>
                </c:pt>
                <c:pt idx="142" formatCode="0.0000">
                  <c:v>0.63759999999999994</c:v>
                </c:pt>
                <c:pt idx="143" formatCode="0.0000">
                  <c:v>0.61990000000000001</c:v>
                </c:pt>
                <c:pt idx="144" formatCode="0.0000">
                  <c:v>0.60260000000000002</c:v>
                </c:pt>
                <c:pt idx="145" formatCode="0.0000">
                  <c:v>0.58579999999999999</c:v>
                </c:pt>
                <c:pt idx="146" formatCode="0.0000">
                  <c:v>0.56940000000000002</c:v>
                </c:pt>
                <c:pt idx="147" formatCode="0.0000">
                  <c:v>0.55349999999999999</c:v>
                </c:pt>
                <c:pt idx="148" formatCode="0.0000">
                  <c:v>0.53800000000000003</c:v>
                </c:pt>
                <c:pt idx="149" formatCode="0.0000">
                  <c:v>0.52290000000000003</c:v>
                </c:pt>
                <c:pt idx="150" formatCode="0.0000">
                  <c:v>0.50829999999999997</c:v>
                </c:pt>
                <c:pt idx="151" formatCode="0.0000">
                  <c:v>0.49409999999999998</c:v>
                </c:pt>
                <c:pt idx="152" formatCode="0.0000">
                  <c:v>0.4803</c:v>
                </c:pt>
                <c:pt idx="153" formatCode="0.0000">
                  <c:v>0.46689999999999998</c:v>
                </c:pt>
                <c:pt idx="154" formatCode="0.0000">
                  <c:v>0.45390000000000003</c:v>
                </c:pt>
                <c:pt idx="155" formatCode="0.0000">
                  <c:v>0.44119999999999998</c:v>
                </c:pt>
                <c:pt idx="156" formatCode="0.0000">
                  <c:v>0.42899999999999999</c:v>
                </c:pt>
                <c:pt idx="157" formatCode="0.0000">
                  <c:v>0.41710000000000003</c:v>
                </c:pt>
                <c:pt idx="158" formatCode="0.0000">
                  <c:v>0.40550000000000003</c:v>
                </c:pt>
                <c:pt idx="159" formatCode="0.0000">
                  <c:v>0.39439999999999997</c:v>
                </c:pt>
                <c:pt idx="160" formatCode="0.0000">
                  <c:v>0.38350000000000001</c:v>
                </c:pt>
                <c:pt idx="161" formatCode="0.0000">
                  <c:v>0.373</c:v>
                </c:pt>
                <c:pt idx="162" formatCode="0.0000">
                  <c:v>0.36280000000000001</c:v>
                </c:pt>
                <c:pt idx="163" formatCode="0.0000">
                  <c:v>0.35299999999999998</c:v>
                </c:pt>
                <c:pt idx="164" formatCode="0.0000">
                  <c:v>0.34339999999999998</c:v>
                </c:pt>
                <c:pt idx="165" formatCode="0.0000">
                  <c:v>0.33410000000000001</c:v>
                </c:pt>
                <c:pt idx="166" formatCode="0.0000">
                  <c:v>0.32529999999999998</c:v>
                </c:pt>
                <c:pt idx="167" formatCode="0.0000">
                  <c:v>0.31669999999999998</c:v>
                </c:pt>
                <c:pt idx="168" formatCode="0.0000">
                  <c:v>0.30830000000000002</c:v>
                </c:pt>
                <c:pt idx="169" formatCode="0.0000">
                  <c:v>0.30020000000000002</c:v>
                </c:pt>
                <c:pt idx="170" formatCode="0.0000">
                  <c:v>0.29239999999999999</c:v>
                </c:pt>
                <c:pt idx="171" formatCode="0.0000">
                  <c:v>0.2848</c:v>
                </c:pt>
                <c:pt idx="172" formatCode="0.0000">
                  <c:v>0.27739999999999998</c:v>
                </c:pt>
                <c:pt idx="173" formatCode="0.0000">
                  <c:v>0.2702</c:v>
                </c:pt>
                <c:pt idx="174" formatCode="0.0000">
                  <c:v>0.26329999999999998</c:v>
                </c:pt>
                <c:pt idx="175" formatCode="0.0000">
                  <c:v>0.25650000000000001</c:v>
                </c:pt>
                <c:pt idx="176" formatCode="0.0000">
                  <c:v>0.25</c:v>
                </c:pt>
                <c:pt idx="177" formatCode="0.0000">
                  <c:v>0.2437</c:v>
                </c:pt>
                <c:pt idx="178" formatCode="0.0000">
                  <c:v>0.23749999999999999</c:v>
                </c:pt>
                <c:pt idx="179" formatCode="0.0000">
                  <c:v>0.2316</c:v>
                </c:pt>
                <c:pt idx="180" formatCode="0.0000">
                  <c:v>0.2258</c:v>
                </c:pt>
                <c:pt idx="181" formatCode="0.0000">
                  <c:v>0.22020000000000001</c:v>
                </c:pt>
                <c:pt idx="182" formatCode="0.0000">
                  <c:v>0.21479999999999999</c:v>
                </c:pt>
                <c:pt idx="183" formatCode="0.0000">
                  <c:v>0.20949999999999999</c:v>
                </c:pt>
                <c:pt idx="184" formatCode="0.0000">
                  <c:v>0.2044</c:v>
                </c:pt>
                <c:pt idx="185" formatCode="0.0000">
                  <c:v>0.19939999999999999</c:v>
                </c:pt>
                <c:pt idx="186" formatCode="0.0000">
                  <c:v>0.1946</c:v>
                </c:pt>
                <c:pt idx="187" formatCode="0.0000">
                  <c:v>0.19</c:v>
                </c:pt>
                <c:pt idx="188" formatCode="0.0000">
                  <c:v>0.1855</c:v>
                </c:pt>
                <c:pt idx="189" formatCode="0.0000">
                  <c:v>0.18110000000000001</c:v>
                </c:pt>
                <c:pt idx="190" formatCode="0.0000">
                  <c:v>0.1769</c:v>
                </c:pt>
                <c:pt idx="191" formatCode="0.0000">
                  <c:v>0.17280000000000001</c:v>
                </c:pt>
                <c:pt idx="192" formatCode="0.0000">
                  <c:v>0.16880000000000001</c:v>
                </c:pt>
                <c:pt idx="193" formatCode="0.0000">
                  <c:v>0.16500000000000001</c:v>
                </c:pt>
                <c:pt idx="194" formatCode="0.0000">
                  <c:v>0.16120000000000001</c:v>
                </c:pt>
                <c:pt idx="195" formatCode="0.0000">
                  <c:v>0.15759999999999999</c:v>
                </c:pt>
                <c:pt idx="196" formatCode="0.0000">
                  <c:v>0.15409999999999999</c:v>
                </c:pt>
                <c:pt idx="197" formatCode="0.0000">
                  <c:v>0.1507</c:v>
                </c:pt>
                <c:pt idx="198" formatCode="0.0000">
                  <c:v>0.1474</c:v>
                </c:pt>
                <c:pt idx="199" formatCode="0.0000">
                  <c:v>0.14410000000000001</c:v>
                </c:pt>
                <c:pt idx="200" formatCode="0.0000">
                  <c:v>0.14099999999999999</c:v>
                </c:pt>
                <c:pt idx="201" formatCode="0.0000">
                  <c:v>0.13789999999999999</c:v>
                </c:pt>
                <c:pt idx="202" formatCode="0.0000">
                  <c:v>0.13500000000000001</c:v>
                </c:pt>
                <c:pt idx="203" formatCode="0.0000">
                  <c:v>0.1321</c:v>
                </c:pt>
                <c:pt idx="204" formatCode="0.0000">
                  <c:v>0.1293</c:v>
                </c:pt>
                <c:pt idx="205" formatCode="0.0000">
                  <c:v>0.1265</c:v>
                </c:pt>
                <c:pt idx="206" formatCode="0.0000">
                  <c:v>0.1239</c:v>
                </c:pt>
                <c:pt idx="207" formatCode="0.0000">
                  <c:v>0.12130000000000001</c:v>
                </c:pt>
                <c:pt idx="208" formatCode="0.0000">
                  <c:v>0.1187</c:v>
                </c:pt>
                <c:pt idx="209" formatCode="0.0000">
                  <c:v>0.1163</c:v>
                </c:pt>
                <c:pt idx="210" formatCode="0.0000">
                  <c:v>0.1139</c:v>
                </c:pt>
                <c:pt idx="211" formatCode="0.0000">
                  <c:v>0.1115</c:v>
                </c:pt>
                <c:pt idx="212" formatCode="0.0000">
                  <c:v>0.10920000000000001</c:v>
                </c:pt>
                <c:pt idx="213" formatCode="0.0000">
                  <c:v>0.107</c:v>
                </c:pt>
                <c:pt idx="214" formatCode="0.0000">
                  <c:v>0.1048</c:v>
                </c:pt>
                <c:pt idx="215" formatCode="0.0000">
                  <c:v>0.1027</c:v>
                </c:pt>
                <c:pt idx="216" formatCode="0.0000">
                  <c:v>0.10059999999999999</c:v>
                </c:pt>
                <c:pt idx="217" formatCode="0.0000">
                  <c:v>9.8599999999999993E-2</c:v>
                </c:pt>
                <c:pt idx="218" formatCode="0.0000">
                  <c:v>9.6600000000000005E-2</c:v>
                </c:pt>
                <c:pt idx="219" formatCode="0.0000">
                  <c:v>9.4700000000000006E-2</c:v>
                </c:pt>
                <c:pt idx="220" formatCode="0.0000">
                  <c:v>9.2799999999999994E-2</c:v>
                </c:pt>
                <c:pt idx="221" formatCode="0.0000">
                  <c:v>9.0899999999999995E-2</c:v>
                </c:pt>
                <c:pt idx="222" formatCode="0.0000">
                  <c:v>8.9099999999999999E-2</c:v>
                </c:pt>
                <c:pt idx="223" formatCode="0.0000">
                  <c:v>8.7300000000000003E-2</c:v>
                </c:pt>
                <c:pt idx="224" formatCode="0.0000">
                  <c:v>8.5599999999999996E-2</c:v>
                </c:pt>
                <c:pt idx="225" formatCode="0.0000">
                  <c:v>8.3900000000000002E-2</c:v>
                </c:pt>
                <c:pt idx="226" formatCode="0.0000">
                  <c:v>8.2199999999999995E-2</c:v>
                </c:pt>
                <c:pt idx="227" formatCode="0.0000">
                  <c:v>8.0600000000000005E-2</c:v>
                </c:pt>
                <c:pt idx="228" formatCode="0.0000">
                  <c:v>7.9000000000000001E-2</c:v>
                </c:pt>
                <c:pt idx="229" formatCode="0.0000">
                  <c:v>7.7399999999999997E-2</c:v>
                </c:pt>
                <c:pt idx="230" formatCode="0.0000">
                  <c:v>7.5899999999999995E-2</c:v>
                </c:pt>
                <c:pt idx="231" formatCode="0.0000">
                  <c:v>7.4300000000000005E-2</c:v>
                </c:pt>
                <c:pt idx="232" formatCode="0.0000">
                  <c:v>7.2900000000000006E-2</c:v>
                </c:pt>
                <c:pt idx="233" formatCode="0.0000">
                  <c:v>7.1400000000000005E-2</c:v>
                </c:pt>
                <c:pt idx="234" formatCode="0.0000">
                  <c:v>7.0000000000000007E-2</c:v>
                </c:pt>
                <c:pt idx="235" formatCode="0.0000">
                  <c:v>6.8599999999999994E-2</c:v>
                </c:pt>
                <c:pt idx="236" formatCode="0.0000">
                  <c:v>6.7199999999999996E-2</c:v>
                </c:pt>
                <c:pt idx="237" formatCode="0.0000">
                  <c:v>6.5799999999999997E-2</c:v>
                </c:pt>
                <c:pt idx="238" formatCode="0.0000">
                  <c:v>6.4500000000000002E-2</c:v>
                </c:pt>
                <c:pt idx="239" formatCode="0.0000">
                  <c:v>6.3100000000000003E-2</c:v>
                </c:pt>
                <c:pt idx="240" formatCode="0.0000">
                  <c:v>6.1899999999999997E-2</c:v>
                </c:pt>
              </c:numCache>
            </c:numRef>
          </c:xVal>
          <c:yVal>
            <c:numRef>
              <c:f>'thermistance etalonnage'!$C$2:$C$242</c:f>
              <c:numCache>
                <c:formatCode>General</c:formatCode>
                <c:ptCount val="241"/>
                <c:pt idx="0">
                  <c:v>0</c:v>
                </c:pt>
                <c:pt idx="1">
                  <c:v>0</c:v>
                </c:pt>
                <c:pt idx="2">
                  <c:v>0.3010299956639812</c:v>
                </c:pt>
                <c:pt idx="3">
                  <c:v>0.47712125471966244</c:v>
                </c:pt>
                <c:pt idx="4">
                  <c:v>0.6020599913279624</c:v>
                </c:pt>
                <c:pt idx="5">
                  <c:v>0.69897000433601886</c:v>
                </c:pt>
                <c:pt idx="6">
                  <c:v>0.77815125038364363</c:v>
                </c:pt>
                <c:pt idx="7">
                  <c:v>0.84509804001425681</c:v>
                </c:pt>
                <c:pt idx="8">
                  <c:v>0.90308998699194354</c:v>
                </c:pt>
                <c:pt idx="9">
                  <c:v>0.95424250943932487</c:v>
                </c:pt>
                <c:pt idx="10">
                  <c:v>1</c:v>
                </c:pt>
                <c:pt idx="11">
                  <c:v>1.0413926851582251</c:v>
                </c:pt>
                <c:pt idx="12">
                  <c:v>1.0791812460476249</c:v>
                </c:pt>
                <c:pt idx="13">
                  <c:v>1.1139433523068367</c:v>
                </c:pt>
                <c:pt idx="14">
                  <c:v>1.146128035678238</c:v>
                </c:pt>
                <c:pt idx="15">
                  <c:v>1.1760912590556813</c:v>
                </c:pt>
                <c:pt idx="16">
                  <c:v>1.2041199826559248</c:v>
                </c:pt>
                <c:pt idx="17">
                  <c:v>1.2304489213782739</c:v>
                </c:pt>
                <c:pt idx="18">
                  <c:v>1.255272505103306</c:v>
                </c:pt>
                <c:pt idx="19">
                  <c:v>1.2787536009528289</c:v>
                </c:pt>
                <c:pt idx="20">
                  <c:v>1.3010299956639813</c:v>
                </c:pt>
                <c:pt idx="21">
                  <c:v>1.3222192947339193</c:v>
                </c:pt>
                <c:pt idx="22">
                  <c:v>1.3424226808222062</c:v>
                </c:pt>
                <c:pt idx="23">
                  <c:v>1.3617278360175928</c:v>
                </c:pt>
                <c:pt idx="24">
                  <c:v>1.3802112417116059</c:v>
                </c:pt>
                <c:pt idx="25">
                  <c:v>1.3979400086720377</c:v>
                </c:pt>
                <c:pt idx="26">
                  <c:v>1.414973347970818</c:v>
                </c:pt>
                <c:pt idx="27">
                  <c:v>1.4313637641589874</c:v>
                </c:pt>
                <c:pt idx="28">
                  <c:v>1.4471580313422192</c:v>
                </c:pt>
                <c:pt idx="29">
                  <c:v>1.4623979978989561</c:v>
                </c:pt>
                <c:pt idx="30">
                  <c:v>1.4771212547196624</c:v>
                </c:pt>
                <c:pt idx="31">
                  <c:v>1.4913616938342726</c:v>
                </c:pt>
                <c:pt idx="32">
                  <c:v>1.505149978319906</c:v>
                </c:pt>
                <c:pt idx="33">
                  <c:v>1.5185139398778875</c:v>
                </c:pt>
                <c:pt idx="34">
                  <c:v>1.5314789170422551</c:v>
                </c:pt>
                <c:pt idx="35">
                  <c:v>1.5440680443502757</c:v>
                </c:pt>
                <c:pt idx="36">
                  <c:v>1.5563025007672873</c:v>
                </c:pt>
                <c:pt idx="37">
                  <c:v>1.568201724066995</c:v>
                </c:pt>
                <c:pt idx="38">
                  <c:v>1.5797835966168101</c:v>
                </c:pt>
                <c:pt idx="39">
                  <c:v>1.5910646070264991</c:v>
                </c:pt>
                <c:pt idx="40">
                  <c:v>1.6020599913279623</c:v>
                </c:pt>
                <c:pt idx="41">
                  <c:v>1.6127838567197355</c:v>
                </c:pt>
                <c:pt idx="42">
                  <c:v>1.6232492903979006</c:v>
                </c:pt>
                <c:pt idx="43">
                  <c:v>1.6334684555795864</c:v>
                </c:pt>
                <c:pt idx="44">
                  <c:v>1.6434526764861874</c:v>
                </c:pt>
                <c:pt idx="45">
                  <c:v>1.6532125137753437</c:v>
                </c:pt>
                <c:pt idx="46">
                  <c:v>1.6627578316815741</c:v>
                </c:pt>
                <c:pt idx="47">
                  <c:v>1.6720978579357175</c:v>
                </c:pt>
                <c:pt idx="48">
                  <c:v>1.6812412373755872</c:v>
                </c:pt>
                <c:pt idx="49">
                  <c:v>1.6901960800285136</c:v>
                </c:pt>
                <c:pt idx="50">
                  <c:v>1.6989700043360187</c:v>
                </c:pt>
                <c:pt idx="51">
                  <c:v>1.7075701760979363</c:v>
                </c:pt>
                <c:pt idx="52">
                  <c:v>1.7160033436347992</c:v>
                </c:pt>
                <c:pt idx="53">
                  <c:v>1.7242758696007889</c:v>
                </c:pt>
                <c:pt idx="54">
                  <c:v>1.7323937598229686</c:v>
                </c:pt>
                <c:pt idx="55">
                  <c:v>1.7403626894942439</c:v>
                </c:pt>
                <c:pt idx="56">
                  <c:v>1.7481880270062005</c:v>
                </c:pt>
                <c:pt idx="57">
                  <c:v>1.7558748556724915</c:v>
                </c:pt>
                <c:pt idx="58">
                  <c:v>1.7634279935629373</c:v>
                </c:pt>
                <c:pt idx="59">
                  <c:v>1.7708520116421442</c:v>
                </c:pt>
                <c:pt idx="60">
                  <c:v>1.7781512503836436</c:v>
                </c:pt>
                <c:pt idx="61">
                  <c:v>1.7853298350107671</c:v>
                </c:pt>
                <c:pt idx="62">
                  <c:v>1.7923916894982539</c:v>
                </c:pt>
                <c:pt idx="63">
                  <c:v>1.7993405494535817</c:v>
                </c:pt>
                <c:pt idx="64">
                  <c:v>1.8061799739838871</c:v>
                </c:pt>
                <c:pt idx="65">
                  <c:v>1.8129133566428555</c:v>
                </c:pt>
                <c:pt idx="66">
                  <c:v>1.8195439355418688</c:v>
                </c:pt>
                <c:pt idx="67">
                  <c:v>1.8260748027008264</c:v>
                </c:pt>
                <c:pt idx="68">
                  <c:v>1.8325089127062364</c:v>
                </c:pt>
                <c:pt idx="69">
                  <c:v>1.8388490907372552</c:v>
                </c:pt>
                <c:pt idx="70">
                  <c:v>1.8450980400142569</c:v>
                </c:pt>
                <c:pt idx="71">
                  <c:v>1.8512583487190752</c:v>
                </c:pt>
                <c:pt idx="72">
                  <c:v>1.8573324964312685</c:v>
                </c:pt>
                <c:pt idx="73">
                  <c:v>1.8633228601204559</c:v>
                </c:pt>
                <c:pt idx="74">
                  <c:v>1.8692317197309762</c:v>
                </c:pt>
                <c:pt idx="75">
                  <c:v>1.8750612633917001</c:v>
                </c:pt>
                <c:pt idx="76">
                  <c:v>1.8808135922807914</c:v>
                </c:pt>
                <c:pt idx="77">
                  <c:v>1.8864907251724818</c:v>
                </c:pt>
                <c:pt idx="78">
                  <c:v>1.8920946026904804</c:v>
                </c:pt>
                <c:pt idx="79">
                  <c:v>1.8976270912904414</c:v>
                </c:pt>
                <c:pt idx="80">
                  <c:v>1.9030899869919435</c:v>
                </c:pt>
                <c:pt idx="81">
                  <c:v>1.9084850188786497</c:v>
                </c:pt>
                <c:pt idx="82">
                  <c:v>1.9138138523837167</c:v>
                </c:pt>
                <c:pt idx="83">
                  <c:v>1.919078092376074</c:v>
                </c:pt>
                <c:pt idx="84">
                  <c:v>1.9242792860618816</c:v>
                </c:pt>
                <c:pt idx="85">
                  <c:v>1.9294189257142926</c:v>
                </c:pt>
                <c:pt idx="86">
                  <c:v>1.9344984512435677</c:v>
                </c:pt>
                <c:pt idx="87">
                  <c:v>1.9395192526186185</c:v>
                </c:pt>
                <c:pt idx="88">
                  <c:v>1.9444826721501687</c:v>
                </c:pt>
                <c:pt idx="89">
                  <c:v>1.9493900066449128</c:v>
                </c:pt>
                <c:pt idx="90">
                  <c:v>1.954242509439325</c:v>
                </c:pt>
                <c:pt idx="91">
                  <c:v>1.9590413923210936</c:v>
                </c:pt>
                <c:pt idx="92">
                  <c:v>1.9637878273455553</c:v>
                </c:pt>
                <c:pt idx="93">
                  <c:v>1.968482948553935</c:v>
                </c:pt>
                <c:pt idx="94">
                  <c:v>1.9731278535996986</c:v>
                </c:pt>
                <c:pt idx="95">
                  <c:v>1.9777236052888478</c:v>
                </c:pt>
                <c:pt idx="96">
                  <c:v>1.9822712330395684</c:v>
                </c:pt>
                <c:pt idx="97">
                  <c:v>1.9867717342662448</c:v>
                </c:pt>
                <c:pt idx="98">
                  <c:v>1.9912260756924949</c:v>
                </c:pt>
                <c:pt idx="99">
                  <c:v>1.9956351945975499</c:v>
                </c:pt>
                <c:pt idx="100">
                  <c:v>2</c:v>
                </c:pt>
                <c:pt idx="101">
                  <c:v>2.0043213737826426</c:v>
                </c:pt>
                <c:pt idx="102">
                  <c:v>2.0086001717619175</c:v>
                </c:pt>
                <c:pt idx="103">
                  <c:v>2.012837224705172</c:v>
                </c:pt>
                <c:pt idx="104">
                  <c:v>2.0170333392987803</c:v>
                </c:pt>
                <c:pt idx="105">
                  <c:v>2.0211892990699383</c:v>
                </c:pt>
                <c:pt idx="106">
                  <c:v>2.0253058652647704</c:v>
                </c:pt>
                <c:pt idx="107">
                  <c:v>2.0293837776852097</c:v>
                </c:pt>
                <c:pt idx="108">
                  <c:v>2.0334237554869499</c:v>
                </c:pt>
                <c:pt idx="109">
                  <c:v>2.0374264979406238</c:v>
                </c:pt>
                <c:pt idx="110">
                  <c:v>2.0413926851582249</c:v>
                </c:pt>
                <c:pt idx="111">
                  <c:v>2.0453229787866576</c:v>
                </c:pt>
                <c:pt idx="112">
                  <c:v>2.0492180226701815</c:v>
                </c:pt>
                <c:pt idx="113">
                  <c:v>2.0530784434834195</c:v>
                </c:pt>
                <c:pt idx="114">
                  <c:v>2.0569048513364727</c:v>
                </c:pt>
                <c:pt idx="115">
                  <c:v>2.0606978403536118</c:v>
                </c:pt>
                <c:pt idx="116">
                  <c:v>2.0644579892269186</c:v>
                </c:pt>
                <c:pt idx="117">
                  <c:v>2.0681858617461617</c:v>
                </c:pt>
                <c:pt idx="118">
                  <c:v>2.0718820073061255</c:v>
                </c:pt>
                <c:pt idx="119">
                  <c:v>2.0755469613925306</c:v>
                </c:pt>
                <c:pt idx="120">
                  <c:v>2.0791812460476247</c:v>
                </c:pt>
                <c:pt idx="121">
                  <c:v>2.0827853703164503</c:v>
                </c:pt>
                <c:pt idx="122">
                  <c:v>2.0863598306747484</c:v>
                </c:pt>
                <c:pt idx="123">
                  <c:v>2.0899051114393981</c:v>
                </c:pt>
                <c:pt idx="124">
                  <c:v>2.0934216851622351</c:v>
                </c:pt>
                <c:pt idx="125">
                  <c:v>2.0969100130080562</c:v>
                </c:pt>
                <c:pt idx="126">
                  <c:v>2.1003705451175629</c:v>
                </c:pt>
                <c:pt idx="127">
                  <c:v>2.1038037209559568</c:v>
                </c:pt>
                <c:pt idx="128">
                  <c:v>2.1072099696478683</c:v>
                </c:pt>
                <c:pt idx="129">
                  <c:v>2.1105897102992488</c:v>
                </c:pt>
                <c:pt idx="130">
                  <c:v>2.1139433523068369</c:v>
                </c:pt>
                <c:pt idx="131">
                  <c:v>2.1172712956557644</c:v>
                </c:pt>
                <c:pt idx="132">
                  <c:v>2.12057393120585</c:v>
                </c:pt>
                <c:pt idx="133">
                  <c:v>2.1238516409670858</c:v>
                </c:pt>
                <c:pt idx="134">
                  <c:v>2.1271047983648077</c:v>
                </c:pt>
                <c:pt idx="135">
                  <c:v>2.1303337684950061</c:v>
                </c:pt>
                <c:pt idx="136">
                  <c:v>2.1335389083702174</c:v>
                </c:pt>
                <c:pt idx="137">
                  <c:v>2.1367205671564067</c:v>
                </c:pt>
                <c:pt idx="138">
                  <c:v>2.1398790864012365</c:v>
                </c:pt>
                <c:pt idx="139">
                  <c:v>2.143014800254095</c:v>
                </c:pt>
                <c:pt idx="140">
                  <c:v>2.1461280356782382</c:v>
                </c:pt>
                <c:pt idx="141">
                  <c:v>2.1492191126553797</c:v>
                </c:pt>
                <c:pt idx="142">
                  <c:v>2.1522883443830563</c:v>
                </c:pt>
                <c:pt idx="143">
                  <c:v>2.1553360374650619</c:v>
                </c:pt>
                <c:pt idx="144">
                  <c:v>2.1583624920952498</c:v>
                </c:pt>
                <c:pt idx="145">
                  <c:v>2.1613680022349748</c:v>
                </c:pt>
                <c:pt idx="146">
                  <c:v>2.1643528557844371</c:v>
                </c:pt>
                <c:pt idx="147">
                  <c:v>2.167317334748176</c:v>
                </c:pt>
                <c:pt idx="148">
                  <c:v>2.1702617153949575</c:v>
                </c:pt>
                <c:pt idx="149">
                  <c:v>2.173186268412274</c:v>
                </c:pt>
                <c:pt idx="150">
                  <c:v>2.1760912590556813</c:v>
                </c:pt>
                <c:pt idx="151">
                  <c:v>2.1789769472931693</c:v>
                </c:pt>
                <c:pt idx="152">
                  <c:v>2.1818435879447726</c:v>
                </c:pt>
                <c:pt idx="153">
                  <c:v>2.1846914308175989</c:v>
                </c:pt>
                <c:pt idx="154">
                  <c:v>2.1875207208364631</c:v>
                </c:pt>
                <c:pt idx="155">
                  <c:v>2.1903316981702914</c:v>
                </c:pt>
                <c:pt idx="156">
                  <c:v>2.1931245983544616</c:v>
                </c:pt>
                <c:pt idx="157">
                  <c:v>2.1958996524092336</c:v>
                </c:pt>
                <c:pt idx="158">
                  <c:v>2.1986570869544226</c:v>
                </c:pt>
                <c:pt idx="159">
                  <c:v>2.2013971243204513</c:v>
                </c:pt>
                <c:pt idx="160">
                  <c:v>2.2041199826559246</c:v>
                </c:pt>
                <c:pt idx="161">
                  <c:v>2.2068258760318495</c:v>
                </c:pt>
                <c:pt idx="162">
                  <c:v>2.2095150145426308</c:v>
                </c:pt>
                <c:pt idx="163">
                  <c:v>2.2121876044039577</c:v>
                </c:pt>
                <c:pt idx="164">
                  <c:v>2.214843848047698</c:v>
                </c:pt>
                <c:pt idx="165">
                  <c:v>2.2174839442139063</c:v>
                </c:pt>
                <c:pt idx="166">
                  <c:v>2.220108088040055</c:v>
                </c:pt>
                <c:pt idx="167">
                  <c:v>2.2227164711475833</c:v>
                </c:pt>
                <c:pt idx="168">
                  <c:v>2.2253092817258628</c:v>
                </c:pt>
                <c:pt idx="169">
                  <c:v>2.2278867046136734</c:v>
                </c:pt>
                <c:pt idx="170">
                  <c:v>2.2304489213782741</c:v>
                </c:pt>
                <c:pt idx="171">
                  <c:v>2.2329961103921536</c:v>
                </c:pt>
                <c:pt idx="172">
                  <c:v>2.2355284469075487</c:v>
                </c:pt>
                <c:pt idx="173">
                  <c:v>2.2380461031287955</c:v>
                </c:pt>
                <c:pt idx="174">
                  <c:v>2.2405492482825999</c:v>
                </c:pt>
                <c:pt idx="175">
                  <c:v>2.2430380486862944</c:v>
                </c:pt>
                <c:pt idx="176">
                  <c:v>2.2455126678141499</c:v>
                </c:pt>
                <c:pt idx="177">
                  <c:v>2.2479732663618068</c:v>
                </c:pt>
                <c:pt idx="178">
                  <c:v>2.2504200023088941</c:v>
                </c:pt>
                <c:pt idx="179">
                  <c:v>2.2528530309798933</c:v>
                </c:pt>
                <c:pt idx="180">
                  <c:v>2.255272505103306</c:v>
                </c:pt>
                <c:pt idx="181">
                  <c:v>2.2576785748691846</c:v>
                </c:pt>
                <c:pt idx="182">
                  <c:v>2.2600713879850747</c:v>
                </c:pt>
                <c:pt idx="183">
                  <c:v>2.2624510897304293</c:v>
                </c:pt>
                <c:pt idx="184">
                  <c:v>2.2648178230095364</c:v>
                </c:pt>
                <c:pt idx="185">
                  <c:v>2.2671717284030137</c:v>
                </c:pt>
                <c:pt idx="186">
                  <c:v>2.2695129442179165</c:v>
                </c:pt>
                <c:pt idx="187">
                  <c:v>2.271841606536499</c:v>
                </c:pt>
                <c:pt idx="188">
                  <c:v>2.27415784926368</c:v>
                </c:pt>
                <c:pt idx="189">
                  <c:v>2.2764618041732443</c:v>
                </c:pt>
                <c:pt idx="190">
                  <c:v>2.2787536009528289</c:v>
                </c:pt>
                <c:pt idx="191">
                  <c:v>2.2810333672477277</c:v>
                </c:pt>
                <c:pt idx="192">
                  <c:v>2.2833012287035497</c:v>
                </c:pt>
                <c:pt idx="193">
                  <c:v>2.2855573090077739</c:v>
                </c:pt>
                <c:pt idx="194">
                  <c:v>2.287801729930226</c:v>
                </c:pt>
                <c:pt idx="195">
                  <c:v>2.2900346113625178</c:v>
                </c:pt>
                <c:pt idx="196">
                  <c:v>2.2922560713564759</c:v>
                </c:pt>
                <c:pt idx="197">
                  <c:v>2.2944662261615929</c:v>
                </c:pt>
                <c:pt idx="198">
                  <c:v>2.2966651902615309</c:v>
                </c:pt>
                <c:pt idx="199">
                  <c:v>2.2988530764097068</c:v>
                </c:pt>
                <c:pt idx="200">
                  <c:v>2.3010299956639813</c:v>
                </c:pt>
                <c:pt idx="201">
                  <c:v>2.3031960574204891</c:v>
                </c:pt>
                <c:pt idx="202">
                  <c:v>2.3053513694466239</c:v>
                </c:pt>
                <c:pt idx="203">
                  <c:v>2.307496037913213</c:v>
                </c:pt>
                <c:pt idx="204">
                  <c:v>2.3096301674258988</c:v>
                </c:pt>
                <c:pt idx="205">
                  <c:v>2.3117538610557542</c:v>
                </c:pt>
                <c:pt idx="206">
                  <c:v>2.3138672203691533</c:v>
                </c:pt>
                <c:pt idx="207">
                  <c:v>2.3159703454569178</c:v>
                </c:pt>
                <c:pt idx="208">
                  <c:v>2.3180633349627615</c:v>
                </c:pt>
                <c:pt idx="209">
                  <c:v>2.3201462861110542</c:v>
                </c:pt>
                <c:pt idx="210">
                  <c:v>2.3222192947339191</c:v>
                </c:pt>
                <c:pt idx="211">
                  <c:v>2.3242824552976926</c:v>
                </c:pt>
                <c:pt idx="212">
                  <c:v>2.3263358609287512</c:v>
                </c:pt>
                <c:pt idx="213">
                  <c:v>2.3283796034387376</c:v>
                </c:pt>
                <c:pt idx="214">
                  <c:v>2.330413773349191</c:v>
                </c:pt>
                <c:pt idx="215">
                  <c:v>2.3324384599156054</c:v>
                </c:pt>
                <c:pt idx="216">
                  <c:v>2.3344537511509307</c:v>
                </c:pt>
                <c:pt idx="217">
                  <c:v>2.3364597338485296</c:v>
                </c:pt>
                <c:pt idx="218">
                  <c:v>2.3384564936046046</c:v>
                </c:pt>
                <c:pt idx="219">
                  <c:v>2.3404441148401185</c:v>
                </c:pt>
                <c:pt idx="220">
                  <c:v>2.3424226808222062</c:v>
                </c:pt>
                <c:pt idx="221">
                  <c:v>2.3443922736851106</c:v>
                </c:pt>
                <c:pt idx="222">
                  <c:v>2.3463529744506388</c:v>
                </c:pt>
                <c:pt idx="223">
                  <c:v>2.3483048630481607</c:v>
                </c:pt>
                <c:pt idx="224">
                  <c:v>2.3502480183341627</c:v>
                </c:pt>
                <c:pt idx="225">
                  <c:v>2.3521825181113627</c:v>
                </c:pt>
                <c:pt idx="226">
                  <c:v>2.3541084391474008</c:v>
                </c:pt>
                <c:pt idx="227">
                  <c:v>2.3560258571931225</c:v>
                </c:pt>
                <c:pt idx="228">
                  <c:v>2.357934847000454</c:v>
                </c:pt>
                <c:pt idx="229">
                  <c:v>2.3598354823398879</c:v>
                </c:pt>
                <c:pt idx="230">
                  <c:v>2.3617278360175931</c:v>
                </c:pt>
                <c:pt idx="231">
                  <c:v>2.3636119798921444</c:v>
                </c:pt>
                <c:pt idx="232">
                  <c:v>2.3654879848908998</c:v>
                </c:pt>
                <c:pt idx="233">
                  <c:v>2.3673559210260189</c:v>
                </c:pt>
                <c:pt idx="234">
                  <c:v>2.369215857410143</c:v>
                </c:pt>
                <c:pt idx="235">
                  <c:v>2.3710678622717363</c:v>
                </c:pt>
                <c:pt idx="236">
                  <c:v>2.3729120029701067</c:v>
                </c:pt>
                <c:pt idx="237">
                  <c:v>2.374748346010104</c:v>
                </c:pt>
                <c:pt idx="238">
                  <c:v>2.3765769570565118</c:v>
                </c:pt>
                <c:pt idx="239">
                  <c:v>2.3783979009481375</c:v>
                </c:pt>
                <c:pt idx="240">
                  <c:v>2.3802112417116059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9-4E4D-B8F3-B27B031B5E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etalonnage'!$H$1</c:f>
              <c:strCache>
                <c:ptCount val="1"/>
                <c:pt idx="0">
                  <c:v>log10(log10 ( r)+2)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841557305336834"/>
                  <c:y val="-0.57365121026538346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etalonnage'!$H$2:$H$242</c:f>
              <c:numCache>
                <c:formatCode>General</c:formatCode>
                <c:ptCount val="241"/>
                <c:pt idx="0">
                  <c:v>0.64765610101420934</c:v>
                </c:pt>
                <c:pt idx="1">
                  <c:v>0.64551515185379804</c:v>
                </c:pt>
                <c:pt idx="2">
                  <c:v>0.64326645173077568</c:v>
                </c:pt>
                <c:pt idx="3">
                  <c:v>0.64091667584947443</c:v>
                </c:pt>
                <c:pt idx="4">
                  <c:v>0.6385140178565657</c:v>
                </c:pt>
                <c:pt idx="5">
                  <c:v>0.63601727662977403</c:v>
                </c:pt>
                <c:pt idx="6">
                  <c:v>0.6334846693029984</c:v>
                </c:pt>
                <c:pt idx="7">
                  <c:v>0.63087402276079829</c:v>
                </c:pt>
                <c:pt idx="8">
                  <c:v>0.62825695964752182</c:v>
                </c:pt>
                <c:pt idx="9">
                  <c:v>0.62559192226084348</c:v>
                </c:pt>
                <c:pt idx="10">
                  <c:v>0.62288231597697274</c:v>
                </c:pt>
                <c:pt idx="11">
                  <c:v>0.620193859005158</c:v>
                </c:pt>
                <c:pt idx="12">
                  <c:v>0.61744728476244792</c:v>
                </c:pt>
                <c:pt idx="13">
                  <c:v>0.61471426005390073</c:v>
                </c:pt>
                <c:pt idx="14">
                  <c:v>0.61197486044001048</c:v>
                </c:pt>
                <c:pt idx="15">
                  <c:v>0.60924198092684501</c:v>
                </c:pt>
                <c:pt idx="16">
                  <c:v>0.60653105106420158</c:v>
                </c:pt>
                <c:pt idx="17">
                  <c:v>0.60376977796012599</c:v>
                </c:pt>
                <c:pt idx="18">
                  <c:v>0.60105807999644567</c:v>
                </c:pt>
                <c:pt idx="19">
                  <c:v>0.5983682299516393</c:v>
                </c:pt>
                <c:pt idx="20">
                  <c:v>0.59567921286256309</c:v>
                </c:pt>
                <c:pt idx="21">
                  <c:v>0.593061980026516</c:v>
                </c:pt>
                <c:pt idx="22">
                  <c:v>0.5904558994394985</c:v>
                </c:pt>
                <c:pt idx="23">
                  <c:v>0.58786124542854168</c:v>
                </c:pt>
                <c:pt idx="24">
                  <c:v>0.58527725874067826</c:v>
                </c:pt>
                <c:pt idx="25">
                  <c:v>0.58269455603399622</c:v>
                </c:pt>
                <c:pt idx="26">
                  <c:v>0.5801317167154274</c:v>
                </c:pt>
                <c:pt idx="27">
                  <c:v>0.57756133950386734</c:v>
                </c:pt>
                <c:pt idx="28">
                  <c:v>0.57500091274599008</c:v>
                </c:pt>
                <c:pt idx="29">
                  <c:v>0.57245295685508835</c:v>
                </c:pt>
                <c:pt idx="30">
                  <c:v>0.56990005970733337</c:v>
                </c:pt>
                <c:pt idx="31">
                  <c:v>0.56734058035180845</c:v>
                </c:pt>
                <c:pt idx="32">
                  <c:v>0.56479387626508093</c:v>
                </c:pt>
                <c:pt idx="33">
                  <c:v>0.56223688635229718</c:v>
                </c:pt>
                <c:pt idx="34">
                  <c:v>0.55968936460653185</c:v>
                </c:pt>
                <c:pt idx="35">
                  <c:v>0.55713633246787764</c:v>
                </c:pt>
                <c:pt idx="36">
                  <c:v>0.55458594286060714</c:v>
                </c:pt>
                <c:pt idx="37">
                  <c:v>0.55201885165060227</c:v>
                </c:pt>
                <c:pt idx="38">
                  <c:v>0.54945641330387041</c:v>
                </c:pt>
                <c:pt idx="39">
                  <c:v>0.54689234115449747</c:v>
                </c:pt>
                <c:pt idx="40">
                  <c:v>0.54431827660923815</c:v>
                </c:pt>
                <c:pt idx="41">
                  <c:v>0.54166975982703214</c:v>
                </c:pt>
                <c:pt idx="42">
                  <c:v>0.53903768543880792</c:v>
                </c:pt>
                <c:pt idx="43">
                  <c:v>0.53637437744374339</c:v>
                </c:pt>
                <c:pt idx="44">
                  <c:v>0.53372602678497905</c:v>
                </c:pt>
                <c:pt idx="45">
                  <c:v>0.53108230805594292</c:v>
                </c:pt>
                <c:pt idx="46">
                  <c:v>0.52840619192540283</c:v>
                </c:pt>
                <c:pt idx="47">
                  <c:v>0.52575096847085212</c:v>
                </c:pt>
                <c:pt idx="48">
                  <c:v>0.52307704528137977</c:v>
                </c:pt>
                <c:pt idx="49">
                  <c:v>0.52041792219589655</c:v>
                </c:pt>
                <c:pt idx="50">
                  <c:v>0.51772690332967219</c:v>
                </c:pt>
                <c:pt idx="51">
                  <c:v>0.51503829308793758</c:v>
                </c:pt>
                <c:pt idx="52">
                  <c:v>0.51236152841536908</c:v>
                </c:pt>
                <c:pt idx="53">
                  <c:v>0.5096733703378612</c:v>
                </c:pt>
                <c:pt idx="54">
                  <c:v>0.50698070404234352</c:v>
                </c:pt>
                <c:pt idx="55">
                  <c:v>0.50429153859406939</c:v>
                </c:pt>
                <c:pt idx="56">
                  <c:v>0.50161510575853985</c:v>
                </c:pt>
                <c:pt idx="57">
                  <c:v>0.4988781469156533</c:v>
                </c:pt>
                <c:pt idx="58">
                  <c:v>0.49616769998792293</c:v>
                </c:pt>
                <c:pt idx="59">
                  <c:v>0.4934967511685836</c:v>
                </c:pt>
                <c:pt idx="60">
                  <c:v>0.49078221823557383</c:v>
                </c:pt>
                <c:pt idx="61">
                  <c:v>0.48802533334345133</c:v>
                </c:pt>
                <c:pt idx="62">
                  <c:v>0.48533601707061563</c:v>
                </c:pt>
                <c:pt idx="63">
                  <c:v>0.48256271618649349</c:v>
                </c:pt>
                <c:pt idx="64">
                  <c:v>0.47987984151822394</c:v>
                </c:pt>
                <c:pt idx="65">
                  <c:v>0.47712125471966244</c:v>
                </c:pt>
                <c:pt idx="66">
                  <c:v>0.474382194460021</c:v>
                </c:pt>
                <c:pt idx="67">
                  <c:v>0.47163920355859296</c:v>
                </c:pt>
                <c:pt idx="68">
                  <c:v>0.4688924158479279</c:v>
                </c:pt>
                <c:pt idx="69">
                  <c:v>0.46614156810715585</c:v>
                </c:pt>
                <c:pt idx="70">
                  <c:v>0.46337787588222873</c:v>
                </c:pt>
                <c:pt idx="71">
                  <c:v>0.4606241801704215</c:v>
                </c:pt>
                <c:pt idx="72">
                  <c:v>0.45785438670890188</c:v>
                </c:pt>
                <c:pt idx="73">
                  <c:v>0.45509244442713498</c:v>
                </c:pt>
                <c:pt idx="74">
                  <c:v>0.45231798428691905</c:v>
                </c:pt>
                <c:pt idx="75">
                  <c:v>0.44954703485403325</c:v>
                </c:pt>
                <c:pt idx="76">
                  <c:v>0.44676625872726011</c:v>
                </c:pt>
                <c:pt idx="77">
                  <c:v>0.44398175478884688</c:v>
                </c:pt>
                <c:pt idx="78">
                  <c:v>0.44118869302476837</c:v>
                </c:pt>
                <c:pt idx="79">
                  <c:v>0.43840570289896791</c:v>
                </c:pt>
                <c:pt idx="80">
                  <c:v>0.43560274584652869</c:v>
                </c:pt>
                <c:pt idx="81">
                  <c:v>0.43281147660454738</c:v>
                </c:pt>
                <c:pt idx="82">
                  <c:v>0.42999817962010461</c:v>
                </c:pt>
                <c:pt idx="83">
                  <c:v>0.42719679885123701</c:v>
                </c:pt>
                <c:pt idx="84">
                  <c:v>0.42438504611346278</c:v>
                </c:pt>
                <c:pt idx="85">
                  <c:v>0.42156859179050604</c:v>
                </c:pt>
                <c:pt idx="86">
                  <c:v>0.41875390934830969</c:v>
                </c:pt>
                <c:pt idx="87">
                  <c:v>0.41593039539632454</c:v>
                </c:pt>
                <c:pt idx="88">
                  <c:v>0.41310382215331326</c:v>
                </c:pt>
                <c:pt idx="89">
                  <c:v>0.41028075601777125</c:v>
                </c:pt>
                <c:pt idx="90">
                  <c:v>0.4074480691594291</c:v>
                </c:pt>
                <c:pt idx="91">
                  <c:v>0.40461127687388537</c:v>
                </c:pt>
                <c:pt idx="92">
                  <c:v>0.40177664882584557</c:v>
                </c:pt>
                <c:pt idx="93">
                  <c:v>0.39892777434856602</c:v>
                </c:pt>
                <c:pt idx="94">
                  <c:v>0.39609397372677496</c:v>
                </c:pt>
                <c:pt idx="95">
                  <c:v>0.3932326871544603</c:v>
                </c:pt>
                <c:pt idx="96">
                  <c:v>0.39037357716006099</c:v>
                </c:pt>
                <c:pt idx="97">
                  <c:v>0.38752360055744389</c:v>
                </c:pt>
                <c:pt idx="98">
                  <c:v>0.38466129689820855</c:v>
                </c:pt>
                <c:pt idx="99">
                  <c:v>0.38182202054642078</c:v>
                </c:pt>
                <c:pt idx="100">
                  <c:v>0.37895149446977389</c:v>
                </c:pt>
                <c:pt idx="101">
                  <c:v>0.37608513233049995</c:v>
                </c:pt>
                <c:pt idx="102">
                  <c:v>0.37319511691146851</c:v>
                </c:pt>
                <c:pt idx="103">
                  <c:v>0.3703208882930491</c:v>
                </c:pt>
                <c:pt idx="104">
                  <c:v>0.36747084796544616</c:v>
                </c:pt>
                <c:pt idx="105">
                  <c:v>0.36457544219666249</c:v>
                </c:pt>
                <c:pt idx="106">
                  <c:v>0.36167593547662569</c:v>
                </c:pt>
                <c:pt idx="107">
                  <c:v>0.35882087148832487</c:v>
                </c:pt>
                <c:pt idx="108">
                  <c:v>0.35593266409423796</c:v>
                </c:pt>
                <c:pt idx="109">
                  <c:v>0.35301293096543718</c:v>
                </c:pt>
                <c:pt idx="110">
                  <c:v>0.35011217907914244</c:v>
                </c:pt>
                <c:pt idx="111">
                  <c:v>0.3472388649281512</c:v>
                </c:pt>
                <c:pt idx="112">
                  <c:v>0.34434963111478362</c:v>
                </c:pt>
                <c:pt idx="113">
                  <c:v>0.34144817574654146</c:v>
                </c:pt>
                <c:pt idx="114">
                  <c:v>0.33853868957106981</c:v>
                </c:pt>
                <c:pt idx="115">
                  <c:v>0.33562589395853415</c:v>
                </c:pt>
                <c:pt idx="116">
                  <c:v>0.33271507803696226</c:v>
                </c:pt>
                <c:pt idx="117">
                  <c:v>0.32981213389353065</c:v>
                </c:pt>
                <c:pt idx="118">
                  <c:v>0.32685660448446491</c:v>
                </c:pt>
                <c:pt idx="119">
                  <c:v>0.32398699829038213</c:v>
                </c:pt>
                <c:pt idx="120">
                  <c:v>0.32107437818110635</c:v>
                </c:pt>
                <c:pt idx="121">
                  <c:v>0.31811879319472436</c:v>
                </c:pt>
                <c:pt idx="122">
                  <c:v>0.31519882464845106</c:v>
                </c:pt>
                <c:pt idx="123">
                  <c:v>0.31224277074858703</c:v>
                </c:pt>
                <c:pt idx="124">
                  <c:v>0.30933631506886039</c:v>
                </c:pt>
                <c:pt idx="125">
                  <c:v>0.30640271391514112</c:v>
                </c:pt>
                <c:pt idx="126">
                  <c:v>0.30353524582097702</c:v>
                </c:pt>
                <c:pt idx="127">
                  <c:v>0.30060445320942308</c:v>
                </c:pt>
                <c:pt idx="128">
                  <c:v>0.29769646587776211</c:v>
                </c:pt>
                <c:pt idx="129">
                  <c:v>0.29477806181991567</c:v>
                </c:pt>
                <c:pt idx="130">
                  <c:v>0.29186354755663907</c:v>
                </c:pt>
                <c:pt idx="131">
                  <c:v>0.2889362377007158</c:v>
                </c:pt>
                <c:pt idx="132">
                  <c:v>0.28599950493888071</c:v>
                </c:pt>
                <c:pt idx="133">
                  <c:v>0.28305711603692058</c:v>
                </c:pt>
                <c:pt idx="134">
                  <c:v>0.28010096825602521</c:v>
                </c:pt>
                <c:pt idx="135">
                  <c:v>0.27714706955362006</c:v>
                </c:pt>
                <c:pt idx="136">
                  <c:v>0.27417403892058345</c:v>
                </c:pt>
                <c:pt idx="137">
                  <c:v>0.27119821515993991</c:v>
                </c:pt>
                <c:pt idx="138">
                  <c:v>0.26820986033829586</c:v>
                </c:pt>
                <c:pt idx="139">
                  <c:v>0.26521234429223373</c:v>
                </c:pt>
                <c:pt idx="140">
                  <c:v>0.26219413011181486</c:v>
                </c:pt>
                <c:pt idx="141">
                  <c:v>0.25930028745806866</c:v>
                </c:pt>
                <c:pt idx="142">
                  <c:v>0.25636851276600975</c:v>
                </c:pt>
                <c:pt idx="143">
                  <c:v>0.25341594749046248</c:v>
                </c:pt>
                <c:pt idx="144">
                  <c:v>0.2504271089034899</c:v>
                </c:pt>
                <c:pt idx="145">
                  <c:v>0.24742069048772641</c:v>
                </c:pt>
                <c:pt idx="146">
                  <c:v>0.24438041438328428</c:v>
                </c:pt>
                <c:pt idx="147">
                  <c:v>0.24132669420011821</c:v>
                </c:pt>
                <c:pt idx="148">
                  <c:v>0.23824243909214973</c:v>
                </c:pt>
                <c:pt idx="149">
                  <c:v>0.23512897537877137</c:v>
                </c:pt>
                <c:pt idx="150">
                  <c:v>0.23200960194577436</c:v>
                </c:pt>
                <c:pt idx="151">
                  <c:v>0.22886593708760783</c:v>
                </c:pt>
                <c:pt idx="152">
                  <c:v>0.22570012249061183</c:v>
                </c:pt>
                <c:pt idx="153">
                  <c:v>0.22251458754354375</c:v>
                </c:pt>
                <c:pt idx="154">
                  <c:v>0.21931207231623806</c:v>
                </c:pt>
                <c:pt idx="155">
                  <c:v>0.21606966140907397</c:v>
                </c:pt>
                <c:pt idx="156">
                  <c:v>0.21284182822513503</c:v>
                </c:pt>
                <c:pt idx="157">
                  <c:v>0.2095794005873271</c:v>
                </c:pt>
                <c:pt idx="158">
                  <c:v>0.20628357544862433</c:v>
                </c:pt>
                <c:pt idx="159">
                  <c:v>0.2030157179666067</c:v>
                </c:pt>
                <c:pt idx="160">
                  <c:v>0.19969084214815996</c:v>
                </c:pt>
                <c:pt idx="161">
                  <c:v>0.19637209357926586</c:v>
                </c:pt>
                <c:pt idx="162">
                  <c:v>0.19303196080838389</c:v>
                </c:pt>
                <c:pt idx="163">
                  <c:v>0.18970774489490758</c:v>
                </c:pt>
                <c:pt idx="164">
                  <c:v>0.1863347454925873</c:v>
                </c:pt>
                <c:pt idx="165">
                  <c:v>0.18294976482317946</c:v>
                </c:pt>
                <c:pt idx="166">
                  <c:v>0.1796333755095163</c:v>
                </c:pt>
                <c:pt idx="167">
                  <c:v>0.17627885209876859</c:v>
                </c:pt>
                <c:pt idx="168">
                  <c:v>0.17288697567869951</c:v>
                </c:pt>
                <c:pt idx="169">
                  <c:v>0.16950123647619089</c:v>
                </c:pt>
                <c:pt idx="170">
                  <c:v>0.16612726573181352</c:v>
                </c:pt>
                <c:pt idx="171">
                  <c:v>0.16272566440115591</c:v>
                </c:pt>
                <c:pt idx="172">
                  <c:v>0.15929836981020135</c:v>
                </c:pt>
                <c:pt idx="173">
                  <c:v>0.15584757936691451</c:v>
                </c:pt>
                <c:pt idx="174">
                  <c:v>0.15242621378002069</c:v>
                </c:pt>
                <c:pt idx="175">
                  <c:v>0.14893792206088943</c:v>
                </c:pt>
                <c:pt idx="176">
                  <c:v>0.14548853445563686</c:v>
                </c:pt>
                <c:pt idx="177">
                  <c:v>0.14203122232363338</c:v>
                </c:pt>
                <c:pt idx="178">
                  <c:v>0.13851225042520202</c:v>
                </c:pt>
                <c:pt idx="179">
                  <c:v>0.13504946092111833</c:v>
                </c:pt>
                <c:pt idx="180">
                  <c:v>0.13153010851037744</c:v>
                </c:pt>
                <c:pt idx="181">
                  <c:v>0.12801693251809179</c:v>
                </c:pt>
                <c:pt idx="182">
                  <c:v>0.12451540060933612</c:v>
                </c:pt>
                <c:pt idx="183">
                  <c:v>0.12096331456797021</c:v>
                </c:pt>
                <c:pt idx="184">
                  <c:v>0.11743069274326759</c:v>
                </c:pt>
                <c:pt idx="185">
                  <c:v>0.11385152405182597</c:v>
                </c:pt>
                <c:pt idx="186">
                  <c:v>0.11030103947947664</c:v>
                </c:pt>
                <c:pt idx="187">
                  <c:v>0.10678686968932018</c:v>
                </c:pt>
                <c:pt idx="188">
                  <c:v>0.10323702931838478</c:v>
                </c:pt>
                <c:pt idx="189">
                  <c:v>9.9652487113548641E-2</c:v>
                </c:pt>
                <c:pt idx="190">
                  <c:v>9.6119862945690818E-2</c:v>
                </c:pt>
                <c:pt idx="191">
                  <c:v>9.2560557018473918E-2</c:v>
                </c:pt>
                <c:pt idx="192">
                  <c:v>8.8976368014311927E-2</c:v>
                </c:pt>
                <c:pt idx="193">
                  <c:v>8.546324258869957E-2</c:v>
                </c:pt>
                <c:pt idx="194">
                  <c:v>8.1838595524327762E-2</c:v>
                </c:pt>
                <c:pt idx="195">
                  <c:v>7.8295908299051017E-2</c:v>
                </c:pt>
                <c:pt idx="196">
                  <c:v>7.4744285732698298E-2</c:v>
                </c:pt>
                <c:pt idx="197">
                  <c:v>7.1187041292471234E-2</c:v>
                </c:pt>
                <c:pt idx="198">
                  <c:v>6.7627781432364142E-2</c:v>
                </c:pt>
                <c:pt idx="199">
                  <c:v>6.3957506337447803E-2</c:v>
                </c:pt>
                <c:pt idx="200">
                  <c:v>6.0402840128596487E-2</c:v>
                </c:pt>
                <c:pt idx="201">
                  <c:v>5.6738822415490053E-2</c:v>
                </c:pt>
                <c:pt idx="202">
                  <c:v>5.3206702255365924E-2</c:v>
                </c:pt>
                <c:pt idx="203">
                  <c:v>4.9567960852494548E-2</c:v>
                </c:pt>
                <c:pt idx="204">
                  <c:v>4.5947961785857812E-2</c:v>
                </c:pt>
                <c:pt idx="205">
                  <c:v>4.221726884931036E-2</c:v>
                </c:pt>
                <c:pt idx="206">
                  <c:v>3.8648494022466819E-2</c:v>
                </c:pt>
                <c:pt idx="207">
                  <c:v>3.4973509787836768E-2</c:v>
                </c:pt>
                <c:pt idx="208">
                  <c:v>3.1186500816850586E-2</c:v>
                </c:pt>
                <c:pt idx="209">
                  <c:v>2.7585944309940744E-2</c:v>
                </c:pt>
                <c:pt idx="210">
                  <c:v>2.3879253514183418E-2</c:v>
                </c:pt>
                <c:pt idx="211">
                  <c:v>2.0060681412830291E-2</c:v>
                </c:pt>
                <c:pt idx="212">
                  <c:v>1.6290494405499512E-2</c:v>
                </c:pt>
                <c:pt idx="213">
                  <c:v>1.2577319813401917E-2</c:v>
                </c:pt>
                <c:pt idx="214">
                  <c:v>8.7539710554848903E-3</c:v>
                </c:pt>
                <c:pt idx="215">
                  <c:v>4.9961314966741558E-3</c:v>
                </c:pt>
                <c:pt idx="216">
                  <c:v>1.1268255881418489E-3</c:v>
                </c:pt>
                <c:pt idx="217">
                  <c:v>-2.6673967613723582E-3</c:v>
                </c:pt>
                <c:pt idx="218">
                  <c:v>-6.5738547682523303E-3</c:v>
                </c:pt>
                <c:pt idx="219">
                  <c:v>-1.0394478742080819E-2</c:v>
                </c:pt>
                <c:pt idx="220">
                  <c:v>-1.432749112504032E-2</c:v>
                </c:pt>
                <c:pt idx="221">
                  <c:v>-1.8378938387101505E-2</c:v>
                </c:pt>
                <c:pt idx="222">
                  <c:v>-2.2332306164720837E-2</c:v>
                </c:pt>
                <c:pt idx="223">
                  <c:v>-2.640380280450345E-2</c:v>
                </c:pt>
                <c:pt idx="224">
                  <c:v>-3.0363378303431263E-2</c:v>
                </c:pt>
                <c:pt idx="225">
                  <c:v>-3.4439925335116084E-2</c:v>
                </c:pt>
                <c:pt idx="226">
                  <c:v>-3.8639750561673084E-2</c:v>
                </c:pt>
                <c:pt idx="227">
                  <c:v>-4.2711228471819532E-2</c:v>
                </c:pt>
                <c:pt idx="228">
                  <c:v>-4.6904048444870429E-2</c:v>
                </c:pt>
                <c:pt idx="229">
                  <c:v>-5.1224803416049527E-2</c:v>
                </c:pt>
                <c:pt idx="230">
                  <c:v>-5.5398023854934142E-2</c:v>
                </c:pt>
                <c:pt idx="231">
                  <c:v>-5.998742266541611E-2</c:v>
                </c:pt>
                <c:pt idx="232">
                  <c:v>-6.4126344067311117E-2</c:v>
                </c:pt>
                <c:pt idx="233">
                  <c:v>-6.8695628284960508E-2</c:v>
                </c:pt>
                <c:pt idx="234">
                  <c:v>-7.3092905526820628E-2</c:v>
                </c:pt>
                <c:pt idx="235">
                  <c:v>-7.7625379997026303E-2</c:v>
                </c:pt>
                <c:pt idx="236">
                  <c:v>-8.2300612025184031E-2</c:v>
                </c:pt>
                <c:pt idx="237">
                  <c:v>-8.7126780917187396E-2</c:v>
                </c:pt>
                <c:pt idx="238">
                  <c:v>-9.1751111357671403E-2</c:v>
                </c:pt>
                <c:pt idx="239">
                  <c:v>-9.6894075103357166E-2</c:v>
                </c:pt>
                <c:pt idx="240">
                  <c:v>-0.10144448465855316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23-4EB8-8633-E7D6D9E88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0128367"/>
        <c:axId val="1135450175"/>
      </c:scatterChart>
      <c:valAx>
        <c:axId val="92012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50175"/>
        <c:crosses val="autoZero"/>
        <c:crossBetween val="midCat"/>
      </c:valAx>
      <c:valAx>
        <c:axId val="113545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012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etalonnage'!$J$1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etalonnage'!$J$2:$J$242</c:f>
              <c:numCache>
                <c:formatCode>0%</c:formatCode>
                <c:ptCount val="241"/>
                <c:pt idx="0">
                  <c:v>0.20158723054704969</c:v>
                </c:pt>
                <c:pt idx="1">
                  <c:v>0.19914422424595868</c:v>
                </c:pt>
                <c:pt idx="2">
                  <c:v>0.19750389716076427</c:v>
                </c:pt>
                <c:pt idx="3">
                  <c:v>0.19667208041174106</c:v>
                </c:pt>
                <c:pt idx="4">
                  <c:v>0.19627648680462656</c:v>
                </c:pt>
                <c:pt idx="5">
                  <c:v>0.19674111743181147</c:v>
                </c:pt>
                <c:pt idx="6">
                  <c:v>0.19757952716431273</c:v>
                </c:pt>
                <c:pt idx="7">
                  <c:v>0.19924541086241485</c:v>
                </c:pt>
                <c:pt idx="8">
                  <c:v>0.20108126683101035</c:v>
                </c:pt>
                <c:pt idx="9">
                  <c:v>0.20354381747243175</c:v>
                </c:pt>
                <c:pt idx="10">
                  <c:v>0.20665845220034881</c:v>
                </c:pt>
                <c:pt idx="11">
                  <c:v>0.20974837530735577</c:v>
                </c:pt>
                <c:pt idx="12">
                  <c:v>0.21374068613084266</c:v>
                </c:pt>
                <c:pt idx="13">
                  <c:v>0.21786390999101871</c:v>
                </c:pt>
                <c:pt idx="14">
                  <c:v>0.22238483035205972</c:v>
                </c:pt>
                <c:pt idx="15">
                  <c:v>0.22718177047364321</c:v>
                </c:pt>
                <c:pt idx="16">
                  <c:v>0.23207809079325278</c:v>
                </c:pt>
                <c:pt idx="17">
                  <c:v>0.23811904092039093</c:v>
                </c:pt>
                <c:pt idx="18">
                  <c:v>0.24396909635920494</c:v>
                </c:pt>
                <c:pt idx="19">
                  <c:v>0.25003461686147443</c:v>
                </c:pt>
                <c:pt idx="20">
                  <c:v>0.25669301135065226</c:v>
                </c:pt>
                <c:pt idx="21">
                  <c:v>0.26281147094181156</c:v>
                </c:pt>
                <c:pt idx="22">
                  <c:v>0.26940627895011432</c:v>
                </c:pt>
                <c:pt idx="23">
                  <c:v>0.27655619714774615</c:v>
                </c:pt>
                <c:pt idx="24">
                  <c:v>0.2843808934222587</c:v>
                </c:pt>
                <c:pt idx="25">
                  <c:v>0.29322076999347407</c:v>
                </c:pt>
                <c:pt idx="26">
                  <c:v>0.3028575160521837</c:v>
                </c:pt>
                <c:pt idx="27">
                  <c:v>0.31416727015237578</c:v>
                </c:pt>
                <c:pt idx="28">
                  <c:v>0.32708965399934958</c:v>
                </c:pt>
                <c:pt idx="29">
                  <c:v>0.34198922479492455</c:v>
                </c:pt>
                <c:pt idx="30">
                  <c:v>0.36003099166127928</c:v>
                </c:pt>
                <c:pt idx="31">
                  <c:v>0.38232223383675251</c:v>
                </c:pt>
                <c:pt idx="32">
                  <c:v>0.40966182610401392</c:v>
                </c:pt>
                <c:pt idx="33">
                  <c:v>0.44529531545009104</c:v>
                </c:pt>
                <c:pt idx="34">
                  <c:v>0.49228837499048606</c:v>
                </c:pt>
                <c:pt idx="35">
                  <c:v>0.55844060556759101</c:v>
                </c:pt>
                <c:pt idx="36">
                  <c:v>0.6574519848510002</c:v>
                </c:pt>
                <c:pt idx="37">
                  <c:v>0.82429934344956679</c:v>
                </c:pt>
                <c:pt idx="38">
                  <c:v>1.1572300085349749</c:v>
                </c:pt>
                <c:pt idx="39">
                  <c:v>2.1565585810705237</c:v>
                </c:pt>
                <c:pt idx="40">
                  <c:v>0</c:v>
                </c:pt>
                <c:pt idx="41">
                  <c:v>1.8717709386129306</c:v>
                </c:pt>
                <c:pt idx="42">
                  <c:v>0.86810147836228668</c:v>
                </c:pt>
                <c:pt idx="43">
                  <c:v>0.53696426298153843</c:v>
                </c:pt>
                <c:pt idx="44">
                  <c:v>0.37016757446056592</c:v>
                </c:pt>
                <c:pt idx="45">
                  <c:v>0.26978531551202689</c:v>
                </c:pt>
                <c:pt idx="46">
                  <c:v>0.20463714792467011</c:v>
                </c:pt>
                <c:pt idx="47">
                  <c:v>0.15712251087001178</c:v>
                </c:pt>
                <c:pt idx="48">
                  <c:v>0.1222542094063277</c:v>
                </c:pt>
                <c:pt idx="49">
                  <c:v>9.4594343299066741E-2</c:v>
                </c:pt>
                <c:pt idx="50">
                  <c:v>7.3513979094007448E-2</c:v>
                </c:pt>
                <c:pt idx="51">
                  <c:v>5.6194495100726431E-2</c:v>
                </c:pt>
                <c:pt idx="52">
                  <c:v>4.1437395981966496E-2</c:v>
                </c:pt>
                <c:pt idx="53">
                  <c:v>2.9238454316929764E-2</c:v>
                </c:pt>
                <c:pt idx="54">
                  <c:v>1.8887975710345981E-2</c:v>
                </c:pt>
                <c:pt idx="55">
                  <c:v>9.8409104894147479E-3</c:v>
                </c:pt>
                <c:pt idx="56">
                  <c:v>1.6633737700904039E-3</c:v>
                </c:pt>
                <c:pt idx="57">
                  <c:v>4.3828002350738953E-3</c:v>
                </c:pt>
                <c:pt idx="58">
                  <c:v>1.0240905189520552E-2</c:v>
                </c:pt>
                <c:pt idx="59">
                  <c:v>1.6165107570364438E-2</c:v>
                </c:pt>
                <c:pt idx="60">
                  <c:v>2.0781189892740491E-2</c:v>
                </c:pt>
                <c:pt idx="61">
                  <c:v>2.4295296311558207E-2</c:v>
                </c:pt>
                <c:pt idx="62">
                  <c:v>2.849862231779858E-2</c:v>
                </c:pt>
                <c:pt idx="63">
                  <c:v>3.1137205967191668E-2</c:v>
                </c:pt>
                <c:pt idx="64">
                  <c:v>3.4793323854625857E-2</c:v>
                </c:pt>
                <c:pt idx="65">
                  <c:v>3.7162330124449028E-2</c:v>
                </c:pt>
                <c:pt idx="66">
                  <c:v>3.9595757124237491E-2</c:v>
                </c:pt>
                <c:pt idx="67">
                  <c:v>4.1801118770113936E-2</c:v>
                </c:pt>
                <c:pt idx="68">
                  <c:v>4.3804420407087284E-2</c:v>
                </c:pt>
                <c:pt idx="69">
                  <c:v>4.5623583842530124E-2</c:v>
                </c:pt>
                <c:pt idx="70">
                  <c:v>4.7180855866074602E-2</c:v>
                </c:pt>
                <c:pt idx="71">
                  <c:v>4.8743564474774743E-2</c:v>
                </c:pt>
                <c:pt idx="72">
                  <c:v>5.0043389402968375E-2</c:v>
                </c:pt>
                <c:pt idx="73">
                  <c:v>5.1342573511022324E-2</c:v>
                </c:pt>
                <c:pt idx="74">
                  <c:v>5.2444419015402047E-2</c:v>
                </c:pt>
                <c:pt idx="75">
                  <c:v>5.351624462527553E-2</c:v>
                </c:pt>
                <c:pt idx="76">
                  <c:v>5.4438876985769644E-2</c:v>
                </c:pt>
                <c:pt idx="77">
                  <c:v>5.5278548229328768E-2</c:v>
                </c:pt>
                <c:pt idx="78">
                  <c:v>5.6000063589204827E-2</c:v>
                </c:pt>
                <c:pt idx="79">
                  <c:v>5.6769392288749269E-2</c:v>
                </c:pt>
                <c:pt idx="80">
                  <c:v>5.7336314936269159E-2</c:v>
                </c:pt>
                <c:pt idx="81">
                  <c:v>5.7969205698761073E-2</c:v>
                </c:pt>
                <c:pt idx="82">
                  <c:v>5.8399711124284943E-2</c:v>
                </c:pt>
                <c:pt idx="83">
                  <c:v>5.8901205863760478E-2</c:v>
                </c:pt>
                <c:pt idx="84">
                  <c:v>5.9302487518411891E-2</c:v>
                </c:pt>
                <c:pt idx="85">
                  <c:v>5.9651620975372861E-2</c:v>
                </c:pt>
                <c:pt idx="86">
                  <c:v>5.9998225265026253E-2</c:v>
                </c:pt>
                <c:pt idx="87">
                  <c:v>6.0268368413164387E-2</c:v>
                </c:pt>
                <c:pt idx="88">
                  <c:v>6.0506323523793704E-2</c:v>
                </c:pt>
                <c:pt idx="89">
                  <c:v>6.0758072556975476E-2</c:v>
                </c:pt>
                <c:pt idx="90">
                  <c:v>6.0936558423782261E-2</c:v>
                </c:pt>
                <c:pt idx="91">
                  <c:v>6.1081607315610784E-2</c:v>
                </c:pt>
                <c:pt idx="92">
                  <c:v>6.1234746325751419E-2</c:v>
                </c:pt>
                <c:pt idx="93">
                  <c:v>6.1293826400317157E-2</c:v>
                </c:pt>
                <c:pt idx="94">
                  <c:v>6.1442395931868503E-2</c:v>
                </c:pt>
                <c:pt idx="95">
                  <c:v>6.1421435661040649E-2</c:v>
                </c:pt>
                <c:pt idx="96">
                  <c:v>6.1413988914217628E-2</c:v>
                </c:pt>
                <c:pt idx="97">
                  <c:v>6.1459428191165191E-2</c:v>
                </c:pt>
                <c:pt idx="98">
                  <c:v>6.1433499204667771E-2</c:v>
                </c:pt>
                <c:pt idx="99">
                  <c:v>6.1536630219323159E-2</c:v>
                </c:pt>
                <c:pt idx="100">
                  <c:v>6.1465271739727004E-2</c:v>
                </c:pt>
                <c:pt idx="101">
                  <c:v>6.141867140761606E-2</c:v>
                </c:pt>
                <c:pt idx="102">
                  <c:v>6.1248279709071957E-2</c:v>
                </c:pt>
                <c:pt idx="103">
                  <c:v>6.1165594698243647E-2</c:v>
                </c:pt>
                <c:pt idx="104">
                  <c:v>6.1209618202826332E-2</c:v>
                </c:pt>
                <c:pt idx="105">
                  <c:v>6.1023071381897206E-2</c:v>
                </c:pt>
                <c:pt idx="106">
                  <c:v>6.0821770767832302E-2</c:v>
                </c:pt>
                <c:pt idx="107">
                  <c:v>6.0844329661025279E-2</c:v>
                </c:pt>
                <c:pt idx="108">
                  <c:v>6.070615101708414E-2</c:v>
                </c:pt>
                <c:pt idx="109">
                  <c:v>6.0421923124751045E-2</c:v>
                </c:pt>
                <c:pt idx="110">
                  <c:v>6.0234871229296515E-2</c:v>
                </c:pt>
                <c:pt idx="111">
                  <c:v>6.0180006219806452E-2</c:v>
                </c:pt>
                <c:pt idx="112">
                  <c:v>6.0054048950858335E-2</c:v>
                </c:pt>
                <c:pt idx="113">
                  <c:v>5.987655857151377E-2</c:v>
                </c:pt>
                <c:pt idx="114">
                  <c:v>5.9668223385296648E-2</c:v>
                </c:pt>
                <c:pt idx="115">
                  <c:v>5.9450951896710083E-2</c:v>
                </c:pt>
                <c:pt idx="116">
                  <c:v>5.9247953009535524E-2</c:v>
                </c:pt>
                <c:pt idx="117">
                  <c:v>5.9083801726733207E-2</c:v>
                </c:pt>
                <c:pt idx="118">
                  <c:v>5.8702446941453358E-2</c:v>
                </c:pt>
                <c:pt idx="119">
                  <c:v>5.8687950542495183E-2</c:v>
                </c:pt>
                <c:pt idx="120">
                  <c:v>5.8497232422361732E-2</c:v>
                </c:pt>
                <c:pt idx="121">
                  <c:v>5.813701814113361E-2</c:v>
                </c:pt>
                <c:pt idx="122">
                  <c:v>5.7928238774655451E-2</c:v>
                </c:pt>
                <c:pt idx="123">
                  <c:v>5.7581704259080206E-2</c:v>
                </c:pt>
                <c:pt idx="124">
                  <c:v>5.7437339176021375E-2</c:v>
                </c:pt>
                <c:pt idx="125">
                  <c:v>5.7191486448208109E-2</c:v>
                </c:pt>
                <c:pt idx="126">
                  <c:v>5.7203904410354965E-2</c:v>
                </c:pt>
                <c:pt idx="127">
                  <c:v>5.6976988788276707E-2</c:v>
                </c:pt>
                <c:pt idx="128">
                  <c:v>5.6840341285870011E-2</c:v>
                </c:pt>
                <c:pt idx="129">
                  <c:v>5.6668325350446032E-2</c:v>
                </c:pt>
                <c:pt idx="130">
                  <c:v>5.6514326384894925E-2</c:v>
                </c:pt>
                <c:pt idx="131">
                  <c:v>5.6317532249106607E-2</c:v>
                </c:pt>
                <c:pt idx="132">
                  <c:v>5.6091378281836336E-2</c:v>
                </c:pt>
                <c:pt idx="133">
                  <c:v>5.585011361762067E-2</c:v>
                </c:pt>
                <c:pt idx="134">
                  <c:v>5.5565910721202608E-2</c:v>
                </c:pt>
                <c:pt idx="135">
                  <c:v>5.5295466281664499E-2</c:v>
                </c:pt>
                <c:pt idx="136">
                  <c:v>5.4965204503961175E-2</c:v>
                </c:pt>
                <c:pt idx="137">
                  <c:v>5.4632295283608787E-2</c:v>
                </c:pt>
                <c:pt idx="138">
                  <c:v>5.4264185431818518E-2</c:v>
                </c:pt>
                <c:pt idx="139">
                  <c:v>5.3873120721271095E-2</c:v>
                </c:pt>
                <c:pt idx="140">
                  <c:v>5.3421900008650172E-2</c:v>
                </c:pt>
                <c:pt idx="141">
                  <c:v>5.3384034035632605E-2</c:v>
                </c:pt>
                <c:pt idx="142">
                  <c:v>5.3224775938384518E-2</c:v>
                </c:pt>
                <c:pt idx="143">
                  <c:v>5.3002318076149045E-2</c:v>
                </c:pt>
                <c:pt idx="144">
                  <c:v>5.2669590503004161E-2</c:v>
                </c:pt>
                <c:pt idx="145">
                  <c:v>5.2288213850953891E-2</c:v>
                </c:pt>
                <c:pt idx="146">
                  <c:v>5.18091308980499E-2</c:v>
                </c:pt>
                <c:pt idx="147">
                  <c:v>5.1297737946744068E-2</c:v>
                </c:pt>
                <c:pt idx="148">
                  <c:v>5.0702960130447131E-2</c:v>
                </c:pt>
                <c:pt idx="149">
                  <c:v>5.0031088710697197E-2</c:v>
                </c:pt>
                <c:pt idx="150">
                  <c:v>4.9353788735669597E-2</c:v>
                </c:pt>
                <c:pt idx="151">
                  <c:v>4.8616819871996071E-2</c:v>
                </c:pt>
                <c:pt idx="152">
                  <c:v>4.7828060550889999E-2</c:v>
                </c:pt>
                <c:pt idx="153">
                  <c:v>4.6995946497148992E-2</c:v>
                </c:pt>
                <c:pt idx="154">
                  <c:v>4.6129512485621443E-2</c:v>
                </c:pt>
                <c:pt idx="155">
                  <c:v>4.5164210958117471E-2</c:v>
                </c:pt>
                <c:pt idx="156">
                  <c:v>4.4256825404446955E-2</c:v>
                </c:pt>
                <c:pt idx="157">
                  <c:v>4.3267843096657786E-2</c:v>
                </c:pt>
                <c:pt idx="158">
                  <c:v>4.220266993605281E-2</c:v>
                </c:pt>
                <c:pt idx="159">
                  <c:v>4.1232585426301815E-2</c:v>
                </c:pt>
                <c:pt idx="160">
                  <c:v>4.0122618198185835E-2</c:v>
                </c:pt>
                <c:pt idx="161">
                  <c:v>3.9047628325980875E-2</c:v>
                </c:pt>
                <c:pt idx="162">
                  <c:v>3.7932695258547491E-2</c:v>
                </c:pt>
                <c:pt idx="163">
                  <c:v>3.6878390789649017E-2</c:v>
                </c:pt>
                <c:pt idx="164">
                  <c:v>3.5711884881975256E-2</c:v>
                </c:pt>
                <c:pt idx="165">
                  <c:v>3.4532563743059429E-2</c:v>
                </c:pt>
                <c:pt idx="166">
                  <c:v>3.3550747171881584E-2</c:v>
                </c:pt>
                <c:pt idx="167">
                  <c:v>3.2485777403152616E-2</c:v>
                </c:pt>
                <c:pt idx="168">
                  <c:v>3.1341607454529963E-2</c:v>
                </c:pt>
                <c:pt idx="169">
                  <c:v>3.0230801375850658E-2</c:v>
                </c:pt>
                <c:pt idx="170">
                  <c:v>2.9166815579198268E-2</c:v>
                </c:pt>
                <c:pt idx="171">
                  <c:v>2.8049802835313196E-2</c:v>
                </c:pt>
                <c:pt idx="172">
                  <c:v>2.6885788462119992E-2</c:v>
                </c:pt>
                <c:pt idx="173">
                  <c:v>2.5681258796039289E-2</c:v>
                </c:pt>
                <c:pt idx="174">
                  <c:v>2.4566824946332704E-2</c:v>
                </c:pt>
                <c:pt idx="175">
                  <c:v>2.3306086141335697E-2</c:v>
                </c:pt>
                <c:pt idx="176">
                  <c:v>2.2157835994834126E-2</c:v>
                </c:pt>
                <c:pt idx="177">
                  <c:v>2.1007351605331067E-2</c:v>
                </c:pt>
                <c:pt idx="178">
                  <c:v>1.9726798551152488E-2</c:v>
                </c:pt>
                <c:pt idx="179">
                  <c:v>1.8597415707627945E-2</c:v>
                </c:pt>
                <c:pt idx="180">
                  <c:v>1.7351477462482633E-2</c:v>
                </c:pt>
                <c:pt idx="181">
                  <c:v>1.6137598439075952E-2</c:v>
                </c:pt>
                <c:pt idx="182">
                  <c:v>1.4967747128035029E-2</c:v>
                </c:pt>
                <c:pt idx="183">
                  <c:v>1.3698151735279584E-2</c:v>
                </c:pt>
                <c:pt idx="184">
                  <c:v>1.2490581858379417E-2</c:v>
                </c:pt>
                <c:pt idx="185">
                  <c:v>1.1194240319848005E-2</c:v>
                </c:pt>
                <c:pt idx="186">
                  <c:v>9.9801808940882218E-3</c:v>
                </c:pt>
                <c:pt idx="187">
                  <c:v>8.8637725189191479E-3</c:v>
                </c:pt>
                <c:pt idx="188">
                  <c:v>7.6832952336013246E-3</c:v>
                </c:pt>
                <c:pt idx="189">
                  <c:v>6.4421743055354972E-3</c:v>
                </c:pt>
                <c:pt idx="190">
                  <c:v>5.3312752762796362E-3</c:v>
                </c:pt>
                <c:pt idx="191">
                  <c:v>4.1770577856414925E-3</c:v>
                </c:pt>
                <c:pt idx="192">
                  <c:v>2.9842631682501669E-3</c:v>
                </c:pt>
                <c:pt idx="193">
                  <c:v>1.9596022481118704E-3</c:v>
                </c:pt>
                <c:pt idx="194">
                  <c:v>7.1041616411961271E-4</c:v>
                </c:pt>
                <c:pt idx="195">
                  <c:v>3.4899047502860058E-4</c:v>
                </c:pt>
                <c:pt idx="196">
                  <c:v>1.413626295635012E-3</c:v>
                </c:pt>
                <c:pt idx="197">
                  <c:v>2.4764600608733101E-3</c:v>
                </c:pt>
                <c:pt idx="198">
                  <c:v>3.5300295310087206E-3</c:v>
                </c:pt>
                <c:pt idx="199">
                  <c:v>4.7996539933794422E-3</c:v>
                </c:pt>
                <c:pt idx="200">
                  <c:v>5.8161047725945993E-3</c:v>
                </c:pt>
                <c:pt idx="201">
                  <c:v>7.0429939050573312E-3</c:v>
                </c:pt>
                <c:pt idx="202">
                  <c:v>7.9873405641974517E-3</c:v>
                </c:pt>
                <c:pt idx="203">
                  <c:v>9.1349271267224964E-3</c:v>
                </c:pt>
                <c:pt idx="204">
                  <c:v>1.0230985793111883E-2</c:v>
                </c:pt>
                <c:pt idx="205">
                  <c:v>1.1534088228969976E-2</c:v>
                </c:pt>
                <c:pt idx="206">
                  <c:v>1.2501144106754585E-2</c:v>
                </c:pt>
                <c:pt idx="207">
                  <c:v>1.3665489984627337E-2</c:v>
                </c:pt>
                <c:pt idx="208">
                  <c:v>1.5034971182772713E-2</c:v>
                </c:pt>
                <c:pt idx="209">
                  <c:v>1.6025907315055501E-2</c:v>
                </c:pt>
                <c:pt idx="210">
                  <c:v>1.7210225793034543E-2</c:v>
                </c:pt>
                <c:pt idx="211">
                  <c:v>1.8595571655459595E-2</c:v>
                </c:pt>
                <c:pt idx="212">
                  <c:v>1.9872420789320767E-2</c:v>
                </c:pt>
                <c:pt idx="213">
                  <c:v>2.1026276577297043E-2</c:v>
                </c:pt>
                <c:pt idx="214">
                  <c:v>2.2374821706007169E-2</c:v>
                </c:pt>
                <c:pt idx="215">
                  <c:v>2.3585013837959617E-2</c:v>
                </c:pt>
                <c:pt idx="216">
                  <c:v>2.4989454007723889E-2</c:v>
                </c:pt>
                <c:pt idx="217">
                  <c:v>2.6238707747210942E-2</c:v>
                </c:pt>
                <c:pt idx="218">
                  <c:v>2.7681007493738224E-2</c:v>
                </c:pt>
                <c:pt idx="219">
                  <c:v>2.894970716706044E-2</c:v>
                </c:pt>
                <c:pt idx="220">
                  <c:v>3.040937053192181E-2</c:v>
                </c:pt>
                <c:pt idx="221">
                  <c:v>3.2067803691722269E-2</c:v>
                </c:pt>
                <c:pt idx="222">
                  <c:v>3.3531026084068979E-2</c:v>
                </c:pt>
                <c:pt idx="223">
                  <c:v>3.5190257831778197E-2</c:v>
                </c:pt>
                <c:pt idx="224">
                  <c:v>3.6631685960028346E-2</c:v>
                </c:pt>
                <c:pt idx="225">
                  <c:v>3.8265185481429084E-2</c:v>
                </c:pt>
                <c:pt idx="226">
                  <c:v>4.0098794215993244E-2</c:v>
                </c:pt>
                <c:pt idx="227">
                  <c:v>4.1687379726517232E-2</c:v>
                </c:pt>
                <c:pt idx="228">
                  <c:v>4.3471041155590286E-2</c:v>
                </c:pt>
                <c:pt idx="229">
                  <c:v>4.5458138500192091E-2</c:v>
                </c:pt>
                <c:pt idx="230">
                  <c:v>4.7169299895476885E-2</c:v>
                </c:pt>
                <c:pt idx="231">
                  <c:v>4.957815736429453E-2</c:v>
                </c:pt>
                <c:pt idx="232">
                  <c:v>5.1191366095556301E-2</c:v>
                </c:pt>
                <c:pt idx="233">
                  <c:v>5.3520193187711604E-2</c:v>
                </c:pt>
                <c:pt idx="234">
                  <c:v>5.5533821378236266E-2</c:v>
                </c:pt>
                <c:pt idx="235">
                  <c:v>5.7754498456565148E-2</c:v>
                </c:pt>
                <c:pt idx="236">
                  <c:v>6.019172357802495E-2</c:v>
                </c:pt>
                <c:pt idx="237">
                  <c:v>6.2855834928483442E-2</c:v>
                </c:pt>
                <c:pt idx="238">
                  <c:v>6.5158246893248881E-2</c:v>
                </c:pt>
                <c:pt idx="239">
                  <c:v>6.8293452513773986E-2</c:v>
                </c:pt>
                <c:pt idx="240">
                  <c:v>7.0424265921977564E-2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52-43CD-9FBA-834B872B48AE}"/>
            </c:ext>
          </c:extLst>
        </c:ser>
        <c:ser>
          <c:idx val="1"/>
          <c:order val="1"/>
          <c:tx>
            <c:strRef>
              <c:f>'thermistance etalonnage'!$K$1</c:f>
              <c:strCache>
                <c:ptCount val="1"/>
                <c:pt idx="0">
                  <c:v>erreur absolue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'thermistance etalonnage'!$E$2:$E$242</c:f>
              <c:numCache>
                <c:formatCode>0</c:formatCode>
                <c:ptCount val="241"/>
                <c:pt idx="0">
                  <c:v>-40</c:v>
                </c:pt>
                <c:pt idx="1">
                  <c:v>-39</c:v>
                </c:pt>
                <c:pt idx="2">
                  <c:v>-38</c:v>
                </c:pt>
                <c:pt idx="3">
                  <c:v>-37</c:v>
                </c:pt>
                <c:pt idx="4">
                  <c:v>-36</c:v>
                </c:pt>
                <c:pt idx="5">
                  <c:v>-35</c:v>
                </c:pt>
                <c:pt idx="6">
                  <c:v>-34</c:v>
                </c:pt>
                <c:pt idx="7">
                  <c:v>-33</c:v>
                </c:pt>
                <c:pt idx="8">
                  <c:v>-32</c:v>
                </c:pt>
                <c:pt idx="9">
                  <c:v>-31</c:v>
                </c:pt>
                <c:pt idx="10">
                  <c:v>-30</c:v>
                </c:pt>
                <c:pt idx="11">
                  <c:v>-29</c:v>
                </c:pt>
                <c:pt idx="12">
                  <c:v>-28</c:v>
                </c:pt>
                <c:pt idx="13">
                  <c:v>-27</c:v>
                </c:pt>
                <c:pt idx="14">
                  <c:v>-26</c:v>
                </c:pt>
                <c:pt idx="15">
                  <c:v>-25</c:v>
                </c:pt>
                <c:pt idx="16">
                  <c:v>-24</c:v>
                </c:pt>
                <c:pt idx="17">
                  <c:v>-23</c:v>
                </c:pt>
                <c:pt idx="18">
                  <c:v>-22</c:v>
                </c:pt>
                <c:pt idx="19">
                  <c:v>-21</c:v>
                </c:pt>
                <c:pt idx="20">
                  <c:v>-20</c:v>
                </c:pt>
                <c:pt idx="21">
                  <c:v>-19</c:v>
                </c:pt>
                <c:pt idx="22">
                  <c:v>-18</c:v>
                </c:pt>
                <c:pt idx="23">
                  <c:v>-17</c:v>
                </c:pt>
                <c:pt idx="24">
                  <c:v>-16</c:v>
                </c:pt>
                <c:pt idx="25">
                  <c:v>-15</c:v>
                </c:pt>
                <c:pt idx="26">
                  <c:v>-14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-10</c:v>
                </c:pt>
                <c:pt idx="31">
                  <c:v>-9</c:v>
                </c:pt>
                <c:pt idx="32">
                  <c:v>-8</c:v>
                </c:pt>
                <c:pt idx="33">
                  <c:v>-7</c:v>
                </c:pt>
                <c:pt idx="34">
                  <c:v>-6</c:v>
                </c:pt>
                <c:pt idx="35">
                  <c:v>-5</c:v>
                </c:pt>
                <c:pt idx="36">
                  <c:v>-4</c:v>
                </c:pt>
                <c:pt idx="37">
                  <c:v>-3</c:v>
                </c:pt>
                <c:pt idx="38">
                  <c:v>-2</c:v>
                </c:pt>
                <c:pt idx="39">
                  <c:v>-1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6</c:v>
                </c:pt>
                <c:pt idx="47">
                  <c:v>7</c:v>
                </c:pt>
                <c:pt idx="48">
                  <c:v>8</c:v>
                </c:pt>
                <c:pt idx="49">
                  <c:v>9</c:v>
                </c:pt>
                <c:pt idx="50">
                  <c:v>10</c:v>
                </c:pt>
                <c:pt idx="51">
                  <c:v>11</c:v>
                </c:pt>
                <c:pt idx="52">
                  <c:v>12</c:v>
                </c:pt>
                <c:pt idx="53">
                  <c:v>13</c:v>
                </c:pt>
                <c:pt idx="54">
                  <c:v>14</c:v>
                </c:pt>
                <c:pt idx="55">
                  <c:v>15</c:v>
                </c:pt>
                <c:pt idx="56">
                  <c:v>16</c:v>
                </c:pt>
                <c:pt idx="57">
                  <c:v>17</c:v>
                </c:pt>
                <c:pt idx="58">
                  <c:v>18</c:v>
                </c:pt>
                <c:pt idx="59">
                  <c:v>19</c:v>
                </c:pt>
                <c:pt idx="60">
                  <c:v>20</c:v>
                </c:pt>
                <c:pt idx="61">
                  <c:v>21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25</c:v>
                </c:pt>
                <c:pt idx="66">
                  <c:v>26</c:v>
                </c:pt>
                <c:pt idx="67">
                  <c:v>27</c:v>
                </c:pt>
                <c:pt idx="68">
                  <c:v>28</c:v>
                </c:pt>
                <c:pt idx="69">
                  <c:v>29</c:v>
                </c:pt>
                <c:pt idx="70">
                  <c:v>30</c:v>
                </c:pt>
                <c:pt idx="71">
                  <c:v>31</c:v>
                </c:pt>
                <c:pt idx="72">
                  <c:v>32</c:v>
                </c:pt>
                <c:pt idx="73">
                  <c:v>33</c:v>
                </c:pt>
                <c:pt idx="74">
                  <c:v>34</c:v>
                </c:pt>
                <c:pt idx="75">
                  <c:v>35</c:v>
                </c:pt>
                <c:pt idx="76">
                  <c:v>36</c:v>
                </c:pt>
                <c:pt idx="77">
                  <c:v>37</c:v>
                </c:pt>
                <c:pt idx="78">
                  <c:v>38</c:v>
                </c:pt>
                <c:pt idx="79">
                  <c:v>39</c:v>
                </c:pt>
                <c:pt idx="80">
                  <c:v>40</c:v>
                </c:pt>
                <c:pt idx="81">
                  <c:v>41</c:v>
                </c:pt>
                <c:pt idx="82">
                  <c:v>42</c:v>
                </c:pt>
                <c:pt idx="83">
                  <c:v>43</c:v>
                </c:pt>
                <c:pt idx="84">
                  <c:v>44</c:v>
                </c:pt>
                <c:pt idx="85">
                  <c:v>45</c:v>
                </c:pt>
                <c:pt idx="86">
                  <c:v>46</c:v>
                </c:pt>
                <c:pt idx="87">
                  <c:v>47</c:v>
                </c:pt>
                <c:pt idx="88">
                  <c:v>48</c:v>
                </c:pt>
                <c:pt idx="89">
                  <c:v>49</c:v>
                </c:pt>
                <c:pt idx="90">
                  <c:v>50</c:v>
                </c:pt>
                <c:pt idx="91">
                  <c:v>51</c:v>
                </c:pt>
                <c:pt idx="92">
                  <c:v>52</c:v>
                </c:pt>
                <c:pt idx="93">
                  <c:v>53</c:v>
                </c:pt>
                <c:pt idx="94">
                  <c:v>54</c:v>
                </c:pt>
                <c:pt idx="95">
                  <c:v>55</c:v>
                </c:pt>
                <c:pt idx="96">
                  <c:v>56</c:v>
                </c:pt>
                <c:pt idx="97">
                  <c:v>57</c:v>
                </c:pt>
                <c:pt idx="98">
                  <c:v>58</c:v>
                </c:pt>
                <c:pt idx="99">
                  <c:v>59</c:v>
                </c:pt>
                <c:pt idx="100">
                  <c:v>60</c:v>
                </c:pt>
                <c:pt idx="101">
                  <c:v>61</c:v>
                </c:pt>
                <c:pt idx="102">
                  <c:v>62</c:v>
                </c:pt>
                <c:pt idx="103">
                  <c:v>63</c:v>
                </c:pt>
                <c:pt idx="104">
                  <c:v>64</c:v>
                </c:pt>
                <c:pt idx="105">
                  <c:v>65</c:v>
                </c:pt>
                <c:pt idx="106">
                  <c:v>66</c:v>
                </c:pt>
                <c:pt idx="107">
                  <c:v>67</c:v>
                </c:pt>
                <c:pt idx="108">
                  <c:v>68</c:v>
                </c:pt>
                <c:pt idx="109">
                  <c:v>69</c:v>
                </c:pt>
                <c:pt idx="110">
                  <c:v>70</c:v>
                </c:pt>
                <c:pt idx="111">
                  <c:v>71</c:v>
                </c:pt>
                <c:pt idx="112">
                  <c:v>72</c:v>
                </c:pt>
                <c:pt idx="113">
                  <c:v>73</c:v>
                </c:pt>
                <c:pt idx="114">
                  <c:v>74</c:v>
                </c:pt>
                <c:pt idx="115">
                  <c:v>75</c:v>
                </c:pt>
                <c:pt idx="116">
                  <c:v>76</c:v>
                </c:pt>
                <c:pt idx="117">
                  <c:v>77</c:v>
                </c:pt>
                <c:pt idx="118">
                  <c:v>78</c:v>
                </c:pt>
                <c:pt idx="119">
                  <c:v>79</c:v>
                </c:pt>
                <c:pt idx="120">
                  <c:v>80</c:v>
                </c:pt>
                <c:pt idx="121">
                  <c:v>81</c:v>
                </c:pt>
                <c:pt idx="122">
                  <c:v>82</c:v>
                </c:pt>
                <c:pt idx="123">
                  <c:v>83</c:v>
                </c:pt>
                <c:pt idx="124">
                  <c:v>84</c:v>
                </c:pt>
                <c:pt idx="125">
                  <c:v>85</c:v>
                </c:pt>
                <c:pt idx="126">
                  <c:v>86</c:v>
                </c:pt>
                <c:pt idx="127">
                  <c:v>87</c:v>
                </c:pt>
                <c:pt idx="128">
                  <c:v>88</c:v>
                </c:pt>
                <c:pt idx="129">
                  <c:v>89</c:v>
                </c:pt>
                <c:pt idx="130">
                  <c:v>90</c:v>
                </c:pt>
                <c:pt idx="131">
                  <c:v>91</c:v>
                </c:pt>
                <c:pt idx="132">
                  <c:v>92</c:v>
                </c:pt>
                <c:pt idx="133">
                  <c:v>93</c:v>
                </c:pt>
                <c:pt idx="134">
                  <c:v>94</c:v>
                </c:pt>
                <c:pt idx="135">
                  <c:v>95</c:v>
                </c:pt>
                <c:pt idx="136">
                  <c:v>96</c:v>
                </c:pt>
                <c:pt idx="137">
                  <c:v>97</c:v>
                </c:pt>
                <c:pt idx="138">
                  <c:v>98</c:v>
                </c:pt>
                <c:pt idx="139">
                  <c:v>99</c:v>
                </c:pt>
                <c:pt idx="140">
                  <c:v>100</c:v>
                </c:pt>
                <c:pt idx="141">
                  <c:v>101</c:v>
                </c:pt>
                <c:pt idx="142">
                  <c:v>102</c:v>
                </c:pt>
                <c:pt idx="143">
                  <c:v>103</c:v>
                </c:pt>
                <c:pt idx="144">
                  <c:v>104</c:v>
                </c:pt>
                <c:pt idx="145">
                  <c:v>105</c:v>
                </c:pt>
                <c:pt idx="146">
                  <c:v>106</c:v>
                </c:pt>
                <c:pt idx="147">
                  <c:v>107</c:v>
                </c:pt>
                <c:pt idx="148">
                  <c:v>108</c:v>
                </c:pt>
                <c:pt idx="149">
                  <c:v>109</c:v>
                </c:pt>
                <c:pt idx="150">
                  <c:v>110</c:v>
                </c:pt>
                <c:pt idx="151">
                  <c:v>111</c:v>
                </c:pt>
                <c:pt idx="152">
                  <c:v>112</c:v>
                </c:pt>
                <c:pt idx="153">
                  <c:v>113</c:v>
                </c:pt>
                <c:pt idx="154">
                  <c:v>114</c:v>
                </c:pt>
                <c:pt idx="155">
                  <c:v>115</c:v>
                </c:pt>
                <c:pt idx="156">
                  <c:v>116</c:v>
                </c:pt>
                <c:pt idx="157">
                  <c:v>117</c:v>
                </c:pt>
                <c:pt idx="158">
                  <c:v>118</c:v>
                </c:pt>
                <c:pt idx="159">
                  <c:v>119</c:v>
                </c:pt>
                <c:pt idx="160">
                  <c:v>120</c:v>
                </c:pt>
                <c:pt idx="161">
                  <c:v>121</c:v>
                </c:pt>
                <c:pt idx="162">
                  <c:v>122</c:v>
                </c:pt>
                <c:pt idx="163">
                  <c:v>123</c:v>
                </c:pt>
                <c:pt idx="164">
                  <c:v>124</c:v>
                </c:pt>
                <c:pt idx="165">
                  <c:v>125</c:v>
                </c:pt>
                <c:pt idx="166">
                  <c:v>126</c:v>
                </c:pt>
                <c:pt idx="167">
                  <c:v>127</c:v>
                </c:pt>
                <c:pt idx="168">
                  <c:v>128</c:v>
                </c:pt>
                <c:pt idx="169">
                  <c:v>129</c:v>
                </c:pt>
                <c:pt idx="170">
                  <c:v>130</c:v>
                </c:pt>
                <c:pt idx="171">
                  <c:v>131</c:v>
                </c:pt>
                <c:pt idx="172">
                  <c:v>132</c:v>
                </c:pt>
                <c:pt idx="173">
                  <c:v>133</c:v>
                </c:pt>
                <c:pt idx="174">
                  <c:v>134</c:v>
                </c:pt>
                <c:pt idx="175">
                  <c:v>135</c:v>
                </c:pt>
                <c:pt idx="176">
                  <c:v>136</c:v>
                </c:pt>
                <c:pt idx="177">
                  <c:v>137</c:v>
                </c:pt>
                <c:pt idx="178">
                  <c:v>138</c:v>
                </c:pt>
                <c:pt idx="179">
                  <c:v>139</c:v>
                </c:pt>
                <c:pt idx="180">
                  <c:v>140</c:v>
                </c:pt>
                <c:pt idx="181">
                  <c:v>141</c:v>
                </c:pt>
                <c:pt idx="182">
                  <c:v>142</c:v>
                </c:pt>
                <c:pt idx="183">
                  <c:v>143</c:v>
                </c:pt>
                <c:pt idx="184">
                  <c:v>144</c:v>
                </c:pt>
                <c:pt idx="185">
                  <c:v>145</c:v>
                </c:pt>
                <c:pt idx="186">
                  <c:v>146</c:v>
                </c:pt>
                <c:pt idx="187">
                  <c:v>147</c:v>
                </c:pt>
                <c:pt idx="188">
                  <c:v>148</c:v>
                </c:pt>
                <c:pt idx="189">
                  <c:v>149</c:v>
                </c:pt>
                <c:pt idx="190">
                  <c:v>150</c:v>
                </c:pt>
                <c:pt idx="191">
                  <c:v>151</c:v>
                </c:pt>
                <c:pt idx="192">
                  <c:v>152</c:v>
                </c:pt>
                <c:pt idx="193">
                  <c:v>153</c:v>
                </c:pt>
                <c:pt idx="194">
                  <c:v>154</c:v>
                </c:pt>
                <c:pt idx="195">
                  <c:v>155</c:v>
                </c:pt>
                <c:pt idx="196">
                  <c:v>156</c:v>
                </c:pt>
                <c:pt idx="197">
                  <c:v>157</c:v>
                </c:pt>
                <c:pt idx="198">
                  <c:v>158</c:v>
                </c:pt>
                <c:pt idx="199">
                  <c:v>159</c:v>
                </c:pt>
                <c:pt idx="200">
                  <c:v>160</c:v>
                </c:pt>
                <c:pt idx="201">
                  <c:v>161</c:v>
                </c:pt>
                <c:pt idx="202">
                  <c:v>162</c:v>
                </c:pt>
                <c:pt idx="203">
                  <c:v>163</c:v>
                </c:pt>
                <c:pt idx="204">
                  <c:v>164</c:v>
                </c:pt>
                <c:pt idx="205">
                  <c:v>165</c:v>
                </c:pt>
                <c:pt idx="206">
                  <c:v>166</c:v>
                </c:pt>
                <c:pt idx="207">
                  <c:v>167</c:v>
                </c:pt>
                <c:pt idx="208">
                  <c:v>168</c:v>
                </c:pt>
                <c:pt idx="209">
                  <c:v>169</c:v>
                </c:pt>
                <c:pt idx="210">
                  <c:v>170</c:v>
                </c:pt>
                <c:pt idx="211">
                  <c:v>171</c:v>
                </c:pt>
                <c:pt idx="212">
                  <c:v>172</c:v>
                </c:pt>
                <c:pt idx="213">
                  <c:v>173</c:v>
                </c:pt>
                <c:pt idx="214">
                  <c:v>174</c:v>
                </c:pt>
                <c:pt idx="215">
                  <c:v>175</c:v>
                </c:pt>
                <c:pt idx="216">
                  <c:v>176</c:v>
                </c:pt>
                <c:pt idx="217">
                  <c:v>177</c:v>
                </c:pt>
                <c:pt idx="218">
                  <c:v>178</c:v>
                </c:pt>
                <c:pt idx="219">
                  <c:v>179</c:v>
                </c:pt>
                <c:pt idx="220">
                  <c:v>180</c:v>
                </c:pt>
                <c:pt idx="221">
                  <c:v>181</c:v>
                </c:pt>
                <c:pt idx="222">
                  <c:v>182</c:v>
                </c:pt>
                <c:pt idx="223">
                  <c:v>183</c:v>
                </c:pt>
                <c:pt idx="224">
                  <c:v>184</c:v>
                </c:pt>
                <c:pt idx="225">
                  <c:v>185</c:v>
                </c:pt>
                <c:pt idx="226">
                  <c:v>186</c:v>
                </c:pt>
                <c:pt idx="227">
                  <c:v>187</c:v>
                </c:pt>
                <c:pt idx="228">
                  <c:v>188</c:v>
                </c:pt>
                <c:pt idx="229">
                  <c:v>189</c:v>
                </c:pt>
                <c:pt idx="230">
                  <c:v>190</c:v>
                </c:pt>
                <c:pt idx="231">
                  <c:v>191</c:v>
                </c:pt>
                <c:pt idx="232">
                  <c:v>192</c:v>
                </c:pt>
                <c:pt idx="233">
                  <c:v>193</c:v>
                </c:pt>
                <c:pt idx="234">
                  <c:v>194</c:v>
                </c:pt>
                <c:pt idx="235">
                  <c:v>195</c:v>
                </c:pt>
                <c:pt idx="236">
                  <c:v>196</c:v>
                </c:pt>
                <c:pt idx="237">
                  <c:v>197</c:v>
                </c:pt>
                <c:pt idx="238">
                  <c:v>198</c:v>
                </c:pt>
                <c:pt idx="239">
                  <c:v>199</c:v>
                </c:pt>
                <c:pt idx="240">
                  <c:v>200</c:v>
                </c:pt>
              </c:numCache>
            </c:numRef>
          </c:xVal>
          <c:yVal>
            <c:numRef>
              <c:f>'thermistance etalonnage'!$K$2:$K$242</c:f>
              <c:numCache>
                <c:formatCode>0</c:formatCode>
                <c:ptCount val="241"/>
                <c:pt idx="0">
                  <c:v>8.0634892218819871</c:v>
                </c:pt>
                <c:pt idx="1">
                  <c:v>7.766624745592388</c:v>
                </c:pt>
                <c:pt idx="2">
                  <c:v>7.5051480921090423</c:v>
                </c:pt>
                <c:pt idx="3">
                  <c:v>7.2768669752344195</c:v>
                </c:pt>
                <c:pt idx="4">
                  <c:v>7.0659535249665559</c:v>
                </c:pt>
                <c:pt idx="5">
                  <c:v>6.8859391101134015</c:v>
                </c:pt>
                <c:pt idx="6">
                  <c:v>6.7177039235866332</c:v>
                </c:pt>
                <c:pt idx="7">
                  <c:v>6.5750985584596897</c:v>
                </c:pt>
                <c:pt idx="8">
                  <c:v>6.4346005385923313</c:v>
                </c:pt>
                <c:pt idx="9">
                  <c:v>6.3098583416453842</c:v>
                </c:pt>
                <c:pt idx="10">
                  <c:v>6.1997535660104646</c:v>
                </c:pt>
                <c:pt idx="11">
                  <c:v>6.082702883913317</c:v>
                </c:pt>
                <c:pt idx="12">
                  <c:v>5.9847392116635945</c:v>
                </c:pt>
                <c:pt idx="13">
                  <c:v>5.882325569757505</c:v>
                </c:pt>
                <c:pt idx="14">
                  <c:v>5.7820055891535524</c:v>
                </c:pt>
                <c:pt idx="15">
                  <c:v>5.6795442618410803</c:v>
                </c:pt>
                <c:pt idx="16">
                  <c:v>5.5698741790380666</c:v>
                </c:pt>
                <c:pt idx="17">
                  <c:v>5.4767379411689916</c:v>
                </c:pt>
                <c:pt idx="18">
                  <c:v>5.3673201199025087</c:v>
                </c:pt>
                <c:pt idx="19">
                  <c:v>5.2507269540909629</c:v>
                </c:pt>
                <c:pt idx="20">
                  <c:v>5.1338602270130451</c:v>
                </c:pt>
                <c:pt idx="21">
                  <c:v>4.9934179478944198</c:v>
                </c:pt>
                <c:pt idx="22">
                  <c:v>4.8493130211020574</c:v>
                </c:pt>
                <c:pt idx="23">
                  <c:v>4.7014553515116848</c:v>
                </c:pt>
                <c:pt idx="24">
                  <c:v>4.5500942947561391</c:v>
                </c:pt>
                <c:pt idx="25">
                  <c:v>4.398311549902111</c:v>
                </c:pt>
                <c:pt idx="26">
                  <c:v>4.240005224730572</c:v>
                </c:pt>
                <c:pt idx="27">
                  <c:v>4.0841745119808852</c:v>
                </c:pt>
                <c:pt idx="28">
                  <c:v>3.9250758479921952</c:v>
                </c:pt>
                <c:pt idx="29">
                  <c:v>3.7618814727441698</c:v>
                </c:pt>
                <c:pt idx="30">
                  <c:v>3.600309916612793</c:v>
                </c:pt>
                <c:pt idx="31">
                  <c:v>3.4409001045307726</c:v>
                </c:pt>
                <c:pt idx="32">
                  <c:v>3.2772946088321113</c:v>
                </c:pt>
                <c:pt idx="33">
                  <c:v>3.1170672081506372</c:v>
                </c:pt>
                <c:pt idx="34">
                  <c:v>2.9537302499429163</c:v>
                </c:pt>
                <c:pt idx="35">
                  <c:v>2.7922030278379553</c:v>
                </c:pt>
                <c:pt idx="36">
                  <c:v>2.6298079394040008</c:v>
                </c:pt>
                <c:pt idx="37">
                  <c:v>2.4728980303487003</c:v>
                </c:pt>
                <c:pt idx="38">
                  <c:v>2.3144600170699499</c:v>
                </c:pt>
                <c:pt idx="39">
                  <c:v>2.1565585810705237</c:v>
                </c:pt>
                <c:pt idx="40">
                  <c:v>2.0019388710665678</c:v>
                </c:pt>
                <c:pt idx="41">
                  <c:v>1.8717709386129306</c:v>
                </c:pt>
                <c:pt idx="42">
                  <c:v>1.7362029567245734</c:v>
                </c:pt>
                <c:pt idx="43">
                  <c:v>1.6108927889446152</c:v>
                </c:pt>
                <c:pt idx="44">
                  <c:v>1.4806702978422637</c:v>
                </c:pt>
                <c:pt idx="45">
                  <c:v>1.3489265775601345</c:v>
                </c:pt>
                <c:pt idx="46">
                  <c:v>1.2278228875480206</c:v>
                </c:pt>
                <c:pt idx="47">
                  <c:v>1.0998575760900824</c:v>
                </c:pt>
                <c:pt idx="48">
                  <c:v>0.97803367525062157</c:v>
                </c:pt>
                <c:pt idx="49">
                  <c:v>0.85134908969160072</c:v>
                </c:pt>
                <c:pt idx="50">
                  <c:v>0.73513979094007453</c:v>
                </c:pt>
                <c:pt idx="51">
                  <c:v>0.61813944610799076</c:v>
                </c:pt>
                <c:pt idx="52">
                  <c:v>0.49724875178359795</c:v>
                </c:pt>
                <c:pt idx="53">
                  <c:v>0.38009990612008693</c:v>
                </c:pt>
                <c:pt idx="54">
                  <c:v>0.26443165994484374</c:v>
                </c:pt>
                <c:pt idx="55">
                  <c:v>0.14761365734122123</c:v>
                </c:pt>
                <c:pt idx="56">
                  <c:v>2.6613980321446462E-2</c:v>
                </c:pt>
                <c:pt idx="57">
                  <c:v>7.4507603996256222E-2</c:v>
                </c:pt>
                <c:pt idx="58">
                  <c:v>0.18433629341136992</c:v>
                </c:pt>
                <c:pt idx="59">
                  <c:v>0.30713704383692431</c:v>
                </c:pt>
                <c:pt idx="60">
                  <c:v>0.41562379785480985</c:v>
                </c:pt>
                <c:pt idx="61">
                  <c:v>0.51020122254272238</c:v>
                </c:pt>
                <c:pt idx="62">
                  <c:v>0.62696969099156874</c:v>
                </c:pt>
                <c:pt idx="63">
                  <c:v>0.71615573724540837</c:v>
                </c:pt>
                <c:pt idx="64">
                  <c:v>0.83503977251102057</c:v>
                </c:pt>
                <c:pt idx="65">
                  <c:v>0.9290582531112257</c:v>
                </c:pt>
                <c:pt idx="66">
                  <c:v>1.0294896852301747</c:v>
                </c:pt>
                <c:pt idx="67">
                  <c:v>1.1286302067930762</c:v>
                </c:pt>
                <c:pt idx="68">
                  <c:v>1.226523771398444</c:v>
                </c:pt>
                <c:pt idx="69">
                  <c:v>1.3230839314333736</c:v>
                </c:pt>
                <c:pt idx="70">
                  <c:v>1.4154256759822381</c:v>
                </c:pt>
                <c:pt idx="71">
                  <c:v>1.5110504987180171</c:v>
                </c:pt>
                <c:pt idx="72">
                  <c:v>1.601388460894988</c:v>
                </c:pt>
                <c:pt idx="73">
                  <c:v>1.6943049258637366</c:v>
                </c:pt>
                <c:pt idx="74">
                  <c:v>1.7831102465236697</c:v>
                </c:pt>
                <c:pt idx="75">
                  <c:v>1.8730685618846437</c:v>
                </c:pt>
                <c:pt idx="76">
                  <c:v>1.9597995714877072</c:v>
                </c:pt>
                <c:pt idx="77">
                  <c:v>2.0453062844851644</c:v>
                </c:pt>
                <c:pt idx="78">
                  <c:v>2.1280024163897835</c:v>
                </c:pt>
                <c:pt idx="79">
                  <c:v>2.2140062992612215</c:v>
                </c:pt>
                <c:pt idx="80">
                  <c:v>2.2934525974507665</c:v>
                </c:pt>
                <c:pt idx="81">
                  <c:v>2.376737433649204</c:v>
                </c:pt>
                <c:pt idx="82">
                  <c:v>2.4527878672199677</c:v>
                </c:pt>
                <c:pt idx="83">
                  <c:v>2.5327518521417005</c:v>
                </c:pt>
                <c:pt idx="84">
                  <c:v>2.6093094508101231</c:v>
                </c:pt>
                <c:pt idx="85">
                  <c:v>2.6843229438917788</c:v>
                </c:pt>
                <c:pt idx="86">
                  <c:v>2.7599183621912076</c:v>
                </c:pt>
                <c:pt idx="87">
                  <c:v>2.8326133154187261</c:v>
                </c:pt>
                <c:pt idx="88">
                  <c:v>2.9043035291420978</c:v>
                </c:pt>
                <c:pt idx="89">
                  <c:v>2.9771455552917985</c:v>
                </c:pt>
                <c:pt idx="90">
                  <c:v>3.0468279211891129</c:v>
                </c:pt>
                <c:pt idx="91">
                  <c:v>3.1151619730961499</c:v>
                </c:pt>
                <c:pt idx="92">
                  <c:v>3.1842068089390736</c:v>
                </c:pt>
                <c:pt idx="93">
                  <c:v>3.2485727992168094</c:v>
                </c:pt>
                <c:pt idx="94">
                  <c:v>3.3178893803208993</c:v>
                </c:pt>
                <c:pt idx="95">
                  <c:v>3.3781789613572357</c:v>
                </c:pt>
                <c:pt idx="96">
                  <c:v>3.4391833791961872</c:v>
                </c:pt>
                <c:pt idx="97">
                  <c:v>3.5031874068964157</c:v>
                </c:pt>
                <c:pt idx="98">
                  <c:v>3.5631429538707309</c:v>
                </c:pt>
                <c:pt idx="99">
                  <c:v>3.6306611829400666</c:v>
                </c:pt>
                <c:pt idx="100">
                  <c:v>3.6879163043836201</c:v>
                </c:pt>
                <c:pt idx="101">
                  <c:v>3.7465389558645796</c:v>
                </c:pt>
                <c:pt idx="102">
                  <c:v>3.7973933419624615</c:v>
                </c:pt>
                <c:pt idx="103">
                  <c:v>3.85343246598935</c:v>
                </c:pt>
                <c:pt idx="104">
                  <c:v>3.9174155649808853</c:v>
                </c:pt>
                <c:pt idx="105">
                  <c:v>3.9664996398233185</c:v>
                </c:pt>
                <c:pt idx="106">
                  <c:v>4.0142368706769318</c:v>
                </c:pt>
                <c:pt idx="107">
                  <c:v>4.0765700872886939</c:v>
                </c:pt>
                <c:pt idx="108">
                  <c:v>4.1280182691617213</c:v>
                </c:pt>
                <c:pt idx="109">
                  <c:v>4.1691126956078222</c:v>
                </c:pt>
                <c:pt idx="110">
                  <c:v>4.2164409860507561</c:v>
                </c:pt>
                <c:pt idx="111">
                  <c:v>4.2727804416062583</c:v>
                </c:pt>
                <c:pt idx="112">
                  <c:v>4.3238915244617999</c:v>
                </c:pt>
                <c:pt idx="113">
                  <c:v>4.3709887757205053</c:v>
                </c:pt>
                <c:pt idx="114">
                  <c:v>4.4154485305119522</c:v>
                </c:pt>
                <c:pt idx="115">
                  <c:v>4.458821392253256</c:v>
                </c:pt>
                <c:pt idx="116">
                  <c:v>4.5028444287246998</c:v>
                </c:pt>
                <c:pt idx="117">
                  <c:v>4.5494527329584571</c:v>
                </c:pt>
                <c:pt idx="118">
                  <c:v>4.5787908614333617</c:v>
                </c:pt>
                <c:pt idx="119">
                  <c:v>4.6363480928571192</c:v>
                </c:pt>
                <c:pt idx="120">
                  <c:v>4.6797785937889387</c:v>
                </c:pt>
                <c:pt idx="121">
                  <c:v>4.7090984694318223</c:v>
                </c:pt>
                <c:pt idx="122">
                  <c:v>4.7501155795217471</c:v>
                </c:pt>
                <c:pt idx="123">
                  <c:v>4.779281453503657</c:v>
                </c:pt>
                <c:pt idx="124">
                  <c:v>4.8247364907857957</c:v>
                </c:pt>
                <c:pt idx="125">
                  <c:v>4.8612763480976895</c:v>
                </c:pt>
                <c:pt idx="126">
                  <c:v>4.919535779290527</c:v>
                </c:pt>
                <c:pt idx="127">
                  <c:v>4.9569980245800735</c:v>
                </c:pt>
                <c:pt idx="128">
                  <c:v>5.0019500331565609</c:v>
                </c:pt>
                <c:pt idx="129">
                  <c:v>5.0434809561896969</c:v>
                </c:pt>
                <c:pt idx="130">
                  <c:v>5.0862893746405433</c:v>
                </c:pt>
                <c:pt idx="131">
                  <c:v>5.1248954346687015</c:v>
                </c:pt>
                <c:pt idx="132">
                  <c:v>5.1604068019289429</c:v>
                </c:pt>
                <c:pt idx="133">
                  <c:v>5.194060566438722</c:v>
                </c:pt>
                <c:pt idx="134">
                  <c:v>5.2231956077930448</c:v>
                </c:pt>
                <c:pt idx="135">
                  <c:v>5.2530692967581274</c:v>
                </c:pt>
                <c:pt idx="136">
                  <c:v>5.276659632380273</c:v>
                </c:pt>
                <c:pt idx="137">
                  <c:v>5.299332642510052</c:v>
                </c:pt>
                <c:pt idx="138">
                  <c:v>5.317890172318215</c:v>
                </c:pt>
                <c:pt idx="139">
                  <c:v>5.3334389514058387</c:v>
                </c:pt>
                <c:pt idx="140">
                  <c:v>5.3421900008650169</c:v>
                </c:pt>
                <c:pt idx="141">
                  <c:v>5.391787437598893</c:v>
                </c:pt>
                <c:pt idx="142">
                  <c:v>5.4289271457152211</c:v>
                </c:pt>
                <c:pt idx="143">
                  <c:v>5.459238761843352</c:v>
                </c:pt>
                <c:pt idx="144">
                  <c:v>5.4776374123124327</c:v>
                </c:pt>
                <c:pt idx="145">
                  <c:v>5.4902624543501588</c:v>
                </c:pt>
                <c:pt idx="146">
                  <c:v>5.4917678751932897</c:v>
                </c:pt>
                <c:pt idx="147">
                  <c:v>5.4888579603016154</c:v>
                </c:pt>
                <c:pt idx="148">
                  <c:v>5.4759196940882902</c:v>
                </c:pt>
                <c:pt idx="149">
                  <c:v>5.4533886694659941</c:v>
                </c:pt>
                <c:pt idx="150">
                  <c:v>5.4289167609236557</c:v>
                </c:pt>
                <c:pt idx="151">
                  <c:v>5.396467005791564</c:v>
                </c:pt>
                <c:pt idx="152">
                  <c:v>5.3567427816996798</c:v>
                </c:pt>
                <c:pt idx="153">
                  <c:v>5.310541954177836</c:v>
                </c:pt>
                <c:pt idx="154">
                  <c:v>5.2587644233608444</c:v>
                </c:pt>
                <c:pt idx="155">
                  <c:v>5.1938842601835091</c:v>
                </c:pt>
                <c:pt idx="156">
                  <c:v>5.1337917469158469</c:v>
                </c:pt>
                <c:pt idx="157">
                  <c:v>5.062337642308961</c:v>
                </c:pt>
                <c:pt idx="158">
                  <c:v>4.9799150524542313</c:v>
                </c:pt>
                <c:pt idx="159">
                  <c:v>4.9066776657299158</c:v>
                </c:pt>
                <c:pt idx="160">
                  <c:v>4.8147141837823</c:v>
                </c:pt>
                <c:pt idx="161">
                  <c:v>4.7247630274436858</c:v>
                </c:pt>
                <c:pt idx="162">
                  <c:v>4.6277888215427936</c:v>
                </c:pt>
                <c:pt idx="163">
                  <c:v>4.5360420671268287</c:v>
                </c:pt>
                <c:pt idx="164">
                  <c:v>4.4282737253649316</c:v>
                </c:pt>
                <c:pt idx="165">
                  <c:v>4.3165704678824284</c:v>
                </c:pt>
                <c:pt idx="166">
                  <c:v>4.2273941436570794</c:v>
                </c:pt>
                <c:pt idx="167">
                  <c:v>4.125693730200382</c:v>
                </c:pt>
                <c:pt idx="168">
                  <c:v>4.0117257541798352</c:v>
                </c:pt>
                <c:pt idx="169">
                  <c:v>3.8997733774847347</c:v>
                </c:pt>
                <c:pt idx="170">
                  <c:v>3.7916860252957747</c:v>
                </c:pt>
                <c:pt idx="171">
                  <c:v>3.6745241714260288</c:v>
                </c:pt>
                <c:pt idx="172">
                  <c:v>3.5489240769998389</c:v>
                </c:pt>
                <c:pt idx="173">
                  <c:v>3.4156074198732256</c:v>
                </c:pt>
                <c:pt idx="174">
                  <c:v>3.2919545428085826</c:v>
                </c:pt>
                <c:pt idx="175">
                  <c:v>3.1463216290803189</c:v>
                </c:pt>
                <c:pt idx="176">
                  <c:v>3.013465695297441</c:v>
                </c:pt>
                <c:pt idx="177">
                  <c:v>2.8780071699303562</c:v>
                </c:pt>
                <c:pt idx="178">
                  <c:v>2.7222982000590434</c:v>
                </c:pt>
                <c:pt idx="179">
                  <c:v>2.5850407833602844</c:v>
                </c:pt>
                <c:pt idx="180">
                  <c:v>2.4292068447475685</c:v>
                </c:pt>
                <c:pt idx="181">
                  <c:v>2.2754013799097095</c:v>
                </c:pt>
                <c:pt idx="182">
                  <c:v>2.1254200921809741</c:v>
                </c:pt>
                <c:pt idx="183">
                  <c:v>1.9588356981449806</c:v>
                </c:pt>
                <c:pt idx="184">
                  <c:v>1.7986437876066361</c:v>
                </c:pt>
                <c:pt idx="185">
                  <c:v>1.6231648463779607</c:v>
                </c:pt>
                <c:pt idx="186">
                  <c:v>1.4571064105368805</c:v>
                </c:pt>
                <c:pt idx="187">
                  <c:v>1.3029745602811147</c:v>
                </c:pt>
                <c:pt idx="188">
                  <c:v>1.137127694572996</c:v>
                </c:pt>
                <c:pt idx="189">
                  <c:v>0.9598839715247891</c:v>
                </c:pt>
                <c:pt idx="190">
                  <c:v>0.7996912914419454</c:v>
                </c:pt>
                <c:pt idx="191">
                  <c:v>0.63073572563186531</c:v>
                </c:pt>
                <c:pt idx="192">
                  <c:v>0.45360800157402537</c:v>
                </c:pt>
                <c:pt idx="193">
                  <c:v>0.2998191439611162</c:v>
                </c:pt>
                <c:pt idx="194">
                  <c:v>0.10940408927442036</c:v>
                </c:pt>
                <c:pt idx="195">
                  <c:v>5.4093523629433093E-2</c:v>
                </c:pt>
                <c:pt idx="196">
                  <c:v>0.22052570211906186</c:v>
                </c:pt>
                <c:pt idx="197">
                  <c:v>0.38880422955710969</c:v>
                </c:pt>
                <c:pt idx="198">
                  <c:v>0.55774466589937788</c:v>
                </c:pt>
                <c:pt idx="199">
                  <c:v>0.7631449849473313</c:v>
                </c:pt>
                <c:pt idx="200">
                  <c:v>0.93057676361513586</c:v>
                </c:pt>
                <c:pt idx="201">
                  <c:v>1.1339220187142303</c:v>
                </c:pt>
                <c:pt idx="202">
                  <c:v>1.2939491713999871</c:v>
                </c:pt>
                <c:pt idx="203">
                  <c:v>1.488993121655767</c:v>
                </c:pt>
                <c:pt idx="204">
                  <c:v>1.6778816700703487</c:v>
                </c:pt>
                <c:pt idx="205">
                  <c:v>1.9031245577800462</c:v>
                </c:pt>
                <c:pt idx="206">
                  <c:v>2.075189921721261</c:v>
                </c:pt>
                <c:pt idx="207">
                  <c:v>2.2821368274327654</c:v>
                </c:pt>
                <c:pt idx="208">
                  <c:v>2.5258751587058157</c:v>
                </c:pt>
                <c:pt idx="209">
                  <c:v>2.7083783362443796</c:v>
                </c:pt>
                <c:pt idx="210">
                  <c:v>2.9257383848158725</c:v>
                </c:pt>
                <c:pt idx="211">
                  <c:v>3.1798427530835909</c:v>
                </c:pt>
                <c:pt idx="212">
                  <c:v>3.4180563757631717</c:v>
                </c:pt>
                <c:pt idx="213">
                  <c:v>3.6375458478723885</c:v>
                </c:pt>
                <c:pt idx="214">
                  <c:v>3.8932189768452474</c:v>
                </c:pt>
                <c:pt idx="215">
                  <c:v>4.1273774216429331</c:v>
                </c:pt>
                <c:pt idx="216">
                  <c:v>4.3981439053594045</c:v>
                </c:pt>
                <c:pt idx="217">
                  <c:v>4.6442512712563371</c:v>
                </c:pt>
                <c:pt idx="218">
                  <c:v>4.9272193338854038</c:v>
                </c:pt>
                <c:pt idx="219">
                  <c:v>5.1819975829038185</c:v>
                </c:pt>
                <c:pt idx="220">
                  <c:v>5.4736866957459256</c:v>
                </c:pt>
                <c:pt idx="221">
                  <c:v>5.8042724682017308</c:v>
                </c:pt>
                <c:pt idx="222">
                  <c:v>6.1026467473005539</c:v>
                </c:pt>
                <c:pt idx="223">
                  <c:v>6.4398171832154105</c:v>
                </c:pt>
                <c:pt idx="224">
                  <c:v>6.7402302166452159</c:v>
                </c:pt>
                <c:pt idx="225">
                  <c:v>7.0790593140643807</c:v>
                </c:pt>
                <c:pt idx="226">
                  <c:v>7.4583757241747435</c:v>
                </c:pt>
                <c:pt idx="227">
                  <c:v>7.7955400088587226</c:v>
                </c:pt>
                <c:pt idx="228">
                  <c:v>8.1725557372509741</c:v>
                </c:pt>
                <c:pt idx="229">
                  <c:v>8.5915881765363054</c:v>
                </c:pt>
                <c:pt idx="230">
                  <c:v>8.9621669801406085</c:v>
                </c:pt>
                <c:pt idx="231">
                  <c:v>9.4694280565802558</c:v>
                </c:pt>
                <c:pt idx="232">
                  <c:v>9.8287422903468098</c:v>
                </c:pt>
                <c:pt idx="233">
                  <c:v>10.329397285228339</c:v>
                </c:pt>
                <c:pt idx="234">
                  <c:v>10.773561347377836</c:v>
                </c:pt>
                <c:pt idx="235">
                  <c:v>11.262127199030203</c:v>
                </c:pt>
                <c:pt idx="236">
                  <c:v>11.79757782129289</c:v>
                </c:pt>
                <c:pt idx="237">
                  <c:v>12.382599480911239</c:v>
                </c:pt>
                <c:pt idx="238">
                  <c:v>12.90133288486328</c:v>
                </c:pt>
                <c:pt idx="239">
                  <c:v>13.590397050241023</c:v>
                </c:pt>
                <c:pt idx="240">
                  <c:v>14.084853184395513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52-43CD-9FBA-834B872B48A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52-43CD-9FBA-834B872B4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3593999"/>
        <c:axId val="691845039"/>
      </c:scatterChart>
      <c:valAx>
        <c:axId val="136359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1845039"/>
        <c:crosses val="autoZero"/>
        <c:crossBetween val="midCat"/>
      </c:valAx>
      <c:valAx>
        <c:axId val="69184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593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(2)'!$A$2:$A$242</c:f>
              <c:numCache>
                <c:formatCode>General</c:formatCode>
                <c:ptCount val="241"/>
                <c:pt idx="0">
                  <c:v>277.2</c:v>
                </c:pt>
                <c:pt idx="1">
                  <c:v>263.60000000000002</c:v>
                </c:pt>
                <c:pt idx="2">
                  <c:v>250.1</c:v>
                </c:pt>
                <c:pt idx="3">
                  <c:v>236.8</c:v>
                </c:pt>
                <c:pt idx="4">
                  <c:v>224</c:v>
                </c:pt>
                <c:pt idx="5">
                  <c:v>211.5</c:v>
                </c:pt>
                <c:pt idx="6">
                  <c:v>199.6</c:v>
                </c:pt>
                <c:pt idx="7">
                  <c:v>188.1</c:v>
                </c:pt>
                <c:pt idx="8">
                  <c:v>177.3</c:v>
                </c:pt>
                <c:pt idx="9">
                  <c:v>167</c:v>
                </c:pt>
                <c:pt idx="10">
                  <c:v>157.19999999999999</c:v>
                </c:pt>
                <c:pt idx="11">
                  <c:v>148.1</c:v>
                </c:pt>
                <c:pt idx="12">
                  <c:v>139.4</c:v>
                </c:pt>
                <c:pt idx="13">
                  <c:v>131.30000000000001</c:v>
                </c:pt>
                <c:pt idx="14">
                  <c:v>123.7</c:v>
                </c:pt>
                <c:pt idx="15">
                  <c:v>116.6</c:v>
                </c:pt>
                <c:pt idx="16">
                  <c:v>110</c:v>
                </c:pt>
                <c:pt idx="17">
                  <c:v>103.7</c:v>
                </c:pt>
                <c:pt idx="18">
                  <c:v>97.9</c:v>
                </c:pt>
                <c:pt idx="19">
                  <c:v>92.5</c:v>
                </c:pt>
                <c:pt idx="20">
                  <c:v>87.43</c:v>
                </c:pt>
                <c:pt idx="21">
                  <c:v>82.79</c:v>
                </c:pt>
                <c:pt idx="22">
                  <c:v>78.44</c:v>
                </c:pt>
                <c:pt idx="23">
                  <c:v>74.36</c:v>
                </c:pt>
                <c:pt idx="24">
                  <c:v>70.53</c:v>
                </c:pt>
                <c:pt idx="25">
                  <c:v>66.92</c:v>
                </c:pt>
                <c:pt idx="26">
                  <c:v>63.54</c:v>
                </c:pt>
                <c:pt idx="27">
                  <c:v>60.34</c:v>
                </c:pt>
                <c:pt idx="28">
                  <c:v>57.33</c:v>
                </c:pt>
                <c:pt idx="29">
                  <c:v>54.5</c:v>
                </c:pt>
                <c:pt idx="30">
                  <c:v>51.82</c:v>
                </c:pt>
                <c:pt idx="31">
                  <c:v>49.28</c:v>
                </c:pt>
                <c:pt idx="32">
                  <c:v>46.89</c:v>
                </c:pt>
                <c:pt idx="33">
                  <c:v>44.62</c:v>
                </c:pt>
                <c:pt idx="34">
                  <c:v>42.48</c:v>
                </c:pt>
                <c:pt idx="35">
                  <c:v>40.450000000000003</c:v>
                </c:pt>
                <c:pt idx="36">
                  <c:v>38.53</c:v>
                </c:pt>
                <c:pt idx="37">
                  <c:v>36.700000000000003</c:v>
                </c:pt>
                <c:pt idx="38">
                  <c:v>34.97</c:v>
                </c:pt>
                <c:pt idx="39">
                  <c:v>33.33</c:v>
                </c:pt>
                <c:pt idx="40">
                  <c:v>31.77</c:v>
                </c:pt>
                <c:pt idx="41">
                  <c:v>30.25</c:v>
                </c:pt>
                <c:pt idx="42">
                  <c:v>28.82</c:v>
                </c:pt>
                <c:pt idx="43">
                  <c:v>27.45</c:v>
                </c:pt>
                <c:pt idx="44">
                  <c:v>26.16</c:v>
                </c:pt>
                <c:pt idx="45">
                  <c:v>24.94</c:v>
                </c:pt>
                <c:pt idx="46">
                  <c:v>23.77</c:v>
                </c:pt>
                <c:pt idx="47">
                  <c:v>22.67</c:v>
                </c:pt>
                <c:pt idx="48">
                  <c:v>21.62</c:v>
                </c:pt>
                <c:pt idx="49">
                  <c:v>20.63</c:v>
                </c:pt>
                <c:pt idx="50">
                  <c:v>19.68</c:v>
                </c:pt>
                <c:pt idx="51">
                  <c:v>18.78</c:v>
                </c:pt>
                <c:pt idx="52">
                  <c:v>17.93</c:v>
                </c:pt>
                <c:pt idx="53">
                  <c:v>17.12</c:v>
                </c:pt>
                <c:pt idx="54">
                  <c:v>16.350000000000001</c:v>
                </c:pt>
                <c:pt idx="55">
                  <c:v>15.62</c:v>
                </c:pt>
                <c:pt idx="56">
                  <c:v>14.93</c:v>
                </c:pt>
                <c:pt idx="57">
                  <c:v>14.26</c:v>
                </c:pt>
                <c:pt idx="58">
                  <c:v>13.63</c:v>
                </c:pt>
                <c:pt idx="59">
                  <c:v>13.04</c:v>
                </c:pt>
                <c:pt idx="60">
                  <c:v>12.47</c:v>
                </c:pt>
                <c:pt idx="61">
                  <c:v>11.92</c:v>
                </c:pt>
                <c:pt idx="62">
                  <c:v>11.41</c:v>
                </c:pt>
                <c:pt idx="63">
                  <c:v>10.91</c:v>
                </c:pt>
                <c:pt idx="64">
                  <c:v>10.45</c:v>
                </c:pt>
                <c:pt idx="65">
                  <c:v>10</c:v>
                </c:pt>
                <c:pt idx="66">
                  <c:v>9.5749999999999993</c:v>
                </c:pt>
                <c:pt idx="67">
                  <c:v>9.17</c:v>
                </c:pt>
                <c:pt idx="68">
                  <c:v>8.7840000000000007</c:v>
                </c:pt>
                <c:pt idx="69">
                  <c:v>8.4160000000000004</c:v>
                </c:pt>
                <c:pt idx="70">
                  <c:v>8.0640000000000001</c:v>
                </c:pt>
                <c:pt idx="71">
                  <c:v>7.73</c:v>
                </c:pt>
                <c:pt idx="72">
                  <c:v>7.41</c:v>
                </c:pt>
                <c:pt idx="73">
                  <c:v>7.1059999999999999</c:v>
                </c:pt>
                <c:pt idx="74">
                  <c:v>6.8150000000000004</c:v>
                </c:pt>
                <c:pt idx="75">
                  <c:v>6.5380000000000003</c:v>
                </c:pt>
                <c:pt idx="76">
                  <c:v>6.2729999999999997</c:v>
                </c:pt>
                <c:pt idx="77">
                  <c:v>6.02</c:v>
                </c:pt>
                <c:pt idx="78">
                  <c:v>5.7779999999999996</c:v>
                </c:pt>
                <c:pt idx="79">
                  <c:v>5.548</c:v>
                </c:pt>
                <c:pt idx="80">
                  <c:v>5.327</c:v>
                </c:pt>
                <c:pt idx="81">
                  <c:v>5.117</c:v>
                </c:pt>
                <c:pt idx="82">
                  <c:v>4.915</c:v>
                </c:pt>
                <c:pt idx="83">
                  <c:v>4.7229999999999999</c:v>
                </c:pt>
                <c:pt idx="84">
                  <c:v>4.5389999999999997</c:v>
                </c:pt>
                <c:pt idx="85">
                  <c:v>4.3630000000000004</c:v>
                </c:pt>
                <c:pt idx="86">
                  <c:v>4.1950000000000003</c:v>
                </c:pt>
                <c:pt idx="87">
                  <c:v>4.0339999999999998</c:v>
                </c:pt>
                <c:pt idx="88">
                  <c:v>3.88</c:v>
                </c:pt>
                <c:pt idx="89">
                  <c:v>3.7330000000000001</c:v>
                </c:pt>
                <c:pt idx="90">
                  <c:v>3.5920000000000001</c:v>
                </c:pt>
                <c:pt idx="91">
                  <c:v>3.4569999999999999</c:v>
                </c:pt>
                <c:pt idx="92">
                  <c:v>3.3279999999999998</c:v>
                </c:pt>
                <c:pt idx="93">
                  <c:v>3.2040000000000002</c:v>
                </c:pt>
                <c:pt idx="94">
                  <c:v>3.0859999999999999</c:v>
                </c:pt>
                <c:pt idx="95">
                  <c:v>2.972</c:v>
                </c:pt>
                <c:pt idx="96">
                  <c:v>2.863</c:v>
                </c:pt>
                <c:pt idx="97">
                  <c:v>2.7589999999999999</c:v>
                </c:pt>
                <c:pt idx="98">
                  <c:v>2.6589999999999998</c:v>
                </c:pt>
                <c:pt idx="99">
                  <c:v>2.5640000000000001</c:v>
                </c:pt>
                <c:pt idx="100">
                  <c:v>2.472</c:v>
                </c:pt>
                <c:pt idx="101">
                  <c:v>2.3839999999999999</c:v>
                </c:pt>
                <c:pt idx="102">
                  <c:v>2.2989999999999999</c:v>
                </c:pt>
                <c:pt idx="103">
                  <c:v>2.218</c:v>
                </c:pt>
                <c:pt idx="104">
                  <c:v>2.141</c:v>
                </c:pt>
                <c:pt idx="105">
                  <c:v>2.0659999999999998</c:v>
                </c:pt>
                <c:pt idx="106">
                  <c:v>1.994</c:v>
                </c:pt>
                <c:pt idx="107">
                  <c:v>1.9259999999999999</c:v>
                </c:pt>
                <c:pt idx="108">
                  <c:v>1.86</c:v>
                </c:pt>
                <c:pt idx="109">
                  <c:v>1.796</c:v>
                </c:pt>
                <c:pt idx="110">
                  <c:v>1.7350000000000001</c:v>
                </c:pt>
                <c:pt idx="111">
                  <c:v>1.677</c:v>
                </c:pt>
                <c:pt idx="112">
                  <c:v>1.621</c:v>
                </c:pt>
                <c:pt idx="113">
                  <c:v>1.5669999999999999</c:v>
                </c:pt>
                <c:pt idx="114">
                  <c:v>1.5149999999999999</c:v>
                </c:pt>
                <c:pt idx="115">
                  <c:v>1.4650000000000001</c:v>
                </c:pt>
                <c:pt idx="116">
                  <c:v>1.417</c:v>
                </c:pt>
                <c:pt idx="117">
                  <c:v>1.371</c:v>
                </c:pt>
                <c:pt idx="118">
                  <c:v>1.3260000000000001</c:v>
                </c:pt>
                <c:pt idx="119">
                  <c:v>1.284</c:v>
                </c:pt>
                <c:pt idx="120">
                  <c:v>1.2430000000000001</c:v>
                </c:pt>
                <c:pt idx="121">
                  <c:v>1.2030000000000001</c:v>
                </c:pt>
                <c:pt idx="122">
                  <c:v>1.165</c:v>
                </c:pt>
                <c:pt idx="123">
                  <c:v>1.1279999999999999</c:v>
                </c:pt>
                <c:pt idx="124">
                  <c:v>1.093</c:v>
                </c:pt>
                <c:pt idx="125">
                  <c:v>1.0589999999999999</c:v>
                </c:pt>
                <c:pt idx="126">
                  <c:v>1.0269999999999999</c:v>
                </c:pt>
                <c:pt idx="127">
                  <c:v>0.99550000000000005</c:v>
                </c:pt>
                <c:pt idx="128">
                  <c:v>0.96540000000000004</c:v>
                </c:pt>
                <c:pt idx="129">
                  <c:v>0.93630000000000002</c:v>
                </c:pt>
                <c:pt idx="130">
                  <c:v>0.9083</c:v>
                </c:pt>
                <c:pt idx="131">
                  <c:v>0.88119999999999998</c:v>
                </c:pt>
                <c:pt idx="132">
                  <c:v>0.85499999999999998</c:v>
                </c:pt>
                <c:pt idx="133">
                  <c:v>0.82969999999999999</c:v>
                </c:pt>
                <c:pt idx="134">
                  <c:v>0.80520000000000003</c:v>
                </c:pt>
                <c:pt idx="135">
                  <c:v>0.78159999999999996</c:v>
                </c:pt>
                <c:pt idx="136">
                  <c:v>0.75870000000000004</c:v>
                </c:pt>
                <c:pt idx="137">
                  <c:v>0.73660000000000003</c:v>
                </c:pt>
                <c:pt idx="138">
                  <c:v>0.71519999999999995</c:v>
                </c:pt>
                <c:pt idx="139">
                  <c:v>0.69450000000000001</c:v>
                </c:pt>
                <c:pt idx="140">
                  <c:v>0.6744</c:v>
                </c:pt>
                <c:pt idx="141">
                  <c:v>0.65580000000000005</c:v>
                </c:pt>
                <c:pt idx="142">
                  <c:v>0.63759999999999994</c:v>
                </c:pt>
                <c:pt idx="143">
                  <c:v>0.61990000000000001</c:v>
                </c:pt>
                <c:pt idx="144">
                  <c:v>0.60260000000000002</c:v>
                </c:pt>
                <c:pt idx="145">
                  <c:v>0.58579999999999999</c:v>
                </c:pt>
                <c:pt idx="146">
                  <c:v>0.56940000000000002</c:v>
                </c:pt>
                <c:pt idx="147">
                  <c:v>0.55349999999999999</c:v>
                </c:pt>
                <c:pt idx="148">
                  <c:v>0.53800000000000003</c:v>
                </c:pt>
                <c:pt idx="149">
                  <c:v>0.52290000000000003</c:v>
                </c:pt>
                <c:pt idx="150">
                  <c:v>0.50829999999999997</c:v>
                </c:pt>
                <c:pt idx="151">
                  <c:v>0.49409999999999998</c:v>
                </c:pt>
                <c:pt idx="152">
                  <c:v>0.4803</c:v>
                </c:pt>
                <c:pt idx="153">
                  <c:v>0.46689999999999998</c:v>
                </c:pt>
                <c:pt idx="154">
                  <c:v>0.45390000000000003</c:v>
                </c:pt>
                <c:pt idx="155">
                  <c:v>0.44119999999999998</c:v>
                </c:pt>
                <c:pt idx="156">
                  <c:v>0.42899999999999999</c:v>
                </c:pt>
                <c:pt idx="157">
                  <c:v>0.41710000000000003</c:v>
                </c:pt>
                <c:pt idx="158">
                  <c:v>0.40550000000000003</c:v>
                </c:pt>
                <c:pt idx="159">
                  <c:v>0.39439999999999997</c:v>
                </c:pt>
                <c:pt idx="160">
                  <c:v>0.38350000000000001</c:v>
                </c:pt>
                <c:pt idx="161">
                  <c:v>0.373</c:v>
                </c:pt>
                <c:pt idx="162">
                  <c:v>0.36280000000000001</c:v>
                </c:pt>
                <c:pt idx="163">
                  <c:v>0.35299999999999998</c:v>
                </c:pt>
                <c:pt idx="164">
                  <c:v>0.34339999999999998</c:v>
                </c:pt>
                <c:pt idx="165">
                  <c:v>0.33410000000000001</c:v>
                </c:pt>
                <c:pt idx="166">
                  <c:v>0.32529999999999998</c:v>
                </c:pt>
                <c:pt idx="167">
                  <c:v>0.31669999999999998</c:v>
                </c:pt>
                <c:pt idx="168">
                  <c:v>0.30830000000000002</c:v>
                </c:pt>
                <c:pt idx="169">
                  <c:v>0.30020000000000002</c:v>
                </c:pt>
                <c:pt idx="170">
                  <c:v>0.29239999999999999</c:v>
                </c:pt>
                <c:pt idx="171">
                  <c:v>0.2848</c:v>
                </c:pt>
                <c:pt idx="172">
                  <c:v>0.27739999999999998</c:v>
                </c:pt>
                <c:pt idx="173">
                  <c:v>0.2702</c:v>
                </c:pt>
                <c:pt idx="174">
                  <c:v>0.26329999999999998</c:v>
                </c:pt>
                <c:pt idx="175">
                  <c:v>0.25650000000000001</c:v>
                </c:pt>
                <c:pt idx="176">
                  <c:v>0.25</c:v>
                </c:pt>
                <c:pt idx="177">
                  <c:v>0.2437</c:v>
                </c:pt>
                <c:pt idx="178">
                  <c:v>0.23749999999999999</c:v>
                </c:pt>
                <c:pt idx="179">
                  <c:v>0.2316</c:v>
                </c:pt>
                <c:pt idx="180">
                  <c:v>0.2258</c:v>
                </c:pt>
                <c:pt idx="181">
                  <c:v>0.22020000000000001</c:v>
                </c:pt>
                <c:pt idx="182">
                  <c:v>0.21479999999999999</c:v>
                </c:pt>
                <c:pt idx="183">
                  <c:v>0.20949999999999999</c:v>
                </c:pt>
                <c:pt idx="184">
                  <c:v>0.2044</c:v>
                </c:pt>
                <c:pt idx="185">
                  <c:v>0.19939999999999999</c:v>
                </c:pt>
                <c:pt idx="186">
                  <c:v>0.1946</c:v>
                </c:pt>
                <c:pt idx="187">
                  <c:v>0.19</c:v>
                </c:pt>
                <c:pt idx="188">
                  <c:v>0.1855</c:v>
                </c:pt>
                <c:pt idx="189">
                  <c:v>0.18110000000000001</c:v>
                </c:pt>
                <c:pt idx="190">
                  <c:v>0.1769</c:v>
                </c:pt>
                <c:pt idx="191">
                  <c:v>0.17280000000000001</c:v>
                </c:pt>
                <c:pt idx="192">
                  <c:v>0.16880000000000001</c:v>
                </c:pt>
                <c:pt idx="193">
                  <c:v>0.16500000000000001</c:v>
                </c:pt>
                <c:pt idx="194">
                  <c:v>0.16120000000000001</c:v>
                </c:pt>
                <c:pt idx="195">
                  <c:v>0.15759999999999999</c:v>
                </c:pt>
                <c:pt idx="196">
                  <c:v>0.15409999999999999</c:v>
                </c:pt>
                <c:pt idx="197">
                  <c:v>0.1507</c:v>
                </c:pt>
                <c:pt idx="198">
                  <c:v>0.1474</c:v>
                </c:pt>
                <c:pt idx="199">
                  <c:v>0.14410000000000001</c:v>
                </c:pt>
                <c:pt idx="200">
                  <c:v>0.14099999999999999</c:v>
                </c:pt>
                <c:pt idx="201">
                  <c:v>0.13789999999999999</c:v>
                </c:pt>
                <c:pt idx="202">
                  <c:v>0.13500000000000001</c:v>
                </c:pt>
                <c:pt idx="203">
                  <c:v>0.1321</c:v>
                </c:pt>
                <c:pt idx="204">
                  <c:v>0.1293</c:v>
                </c:pt>
                <c:pt idx="205">
                  <c:v>0.1265</c:v>
                </c:pt>
                <c:pt idx="206">
                  <c:v>0.1239</c:v>
                </c:pt>
                <c:pt idx="207">
                  <c:v>0.12130000000000001</c:v>
                </c:pt>
                <c:pt idx="208">
                  <c:v>0.1187</c:v>
                </c:pt>
                <c:pt idx="209">
                  <c:v>0.1163</c:v>
                </c:pt>
                <c:pt idx="210">
                  <c:v>0.1139</c:v>
                </c:pt>
                <c:pt idx="211">
                  <c:v>0.1115</c:v>
                </c:pt>
                <c:pt idx="212">
                  <c:v>0.10920000000000001</c:v>
                </c:pt>
                <c:pt idx="213">
                  <c:v>0.107</c:v>
                </c:pt>
                <c:pt idx="214">
                  <c:v>0.1048</c:v>
                </c:pt>
                <c:pt idx="215">
                  <c:v>0.1027</c:v>
                </c:pt>
                <c:pt idx="216">
                  <c:v>0.10059999999999999</c:v>
                </c:pt>
                <c:pt idx="217">
                  <c:v>9.8599999999999993E-2</c:v>
                </c:pt>
                <c:pt idx="218">
                  <c:v>9.6600000000000005E-2</c:v>
                </c:pt>
                <c:pt idx="219">
                  <c:v>9.4700000000000006E-2</c:v>
                </c:pt>
                <c:pt idx="220">
                  <c:v>9.2799999999999994E-2</c:v>
                </c:pt>
                <c:pt idx="221">
                  <c:v>9.0899999999999995E-2</c:v>
                </c:pt>
                <c:pt idx="222">
                  <c:v>8.9099999999999999E-2</c:v>
                </c:pt>
                <c:pt idx="223">
                  <c:v>8.7300000000000003E-2</c:v>
                </c:pt>
                <c:pt idx="224">
                  <c:v>8.5599999999999996E-2</c:v>
                </c:pt>
                <c:pt idx="225">
                  <c:v>8.3900000000000002E-2</c:v>
                </c:pt>
                <c:pt idx="226">
                  <c:v>8.2199999999999995E-2</c:v>
                </c:pt>
                <c:pt idx="227">
                  <c:v>8.0600000000000005E-2</c:v>
                </c:pt>
                <c:pt idx="228">
                  <c:v>7.9000000000000001E-2</c:v>
                </c:pt>
                <c:pt idx="229">
                  <c:v>7.7399999999999997E-2</c:v>
                </c:pt>
                <c:pt idx="230">
                  <c:v>7.5899999999999995E-2</c:v>
                </c:pt>
                <c:pt idx="231">
                  <c:v>7.4300000000000005E-2</c:v>
                </c:pt>
                <c:pt idx="232">
                  <c:v>7.2900000000000006E-2</c:v>
                </c:pt>
                <c:pt idx="233">
                  <c:v>7.1400000000000005E-2</c:v>
                </c:pt>
                <c:pt idx="234">
                  <c:v>7.0000000000000007E-2</c:v>
                </c:pt>
                <c:pt idx="235">
                  <c:v>6.8599999999999994E-2</c:v>
                </c:pt>
                <c:pt idx="236">
                  <c:v>6.7199999999999996E-2</c:v>
                </c:pt>
                <c:pt idx="237">
                  <c:v>6.5799999999999997E-2</c:v>
                </c:pt>
                <c:pt idx="238">
                  <c:v>6.4500000000000002E-2</c:v>
                </c:pt>
                <c:pt idx="239">
                  <c:v>6.3100000000000003E-2</c:v>
                </c:pt>
                <c:pt idx="240">
                  <c:v>6.1899999999999997E-2</c:v>
                </c:pt>
              </c:numCache>
            </c:numRef>
          </c:xVal>
          <c:yVal>
            <c:numRef>
              <c:f>'thermistance etalonnage (2)'!$D$2:$D$242</c:f>
              <c:numCache>
                <c:formatCode>General</c:formatCode>
                <c:ptCount val="24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7-4453-8F45-ED3E96C9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443535"/>
        <c:axId val="1135428959"/>
      </c:scatterChart>
      <c:valAx>
        <c:axId val="148944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5428959"/>
        <c:crosses val="autoZero"/>
        <c:crossBetween val="midCat"/>
      </c:valAx>
      <c:valAx>
        <c:axId val="11354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944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22814807524059494"/>
                  <c:y val="-5.043853893263342E-2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'thermistance etalonnage (2)'!$F$2:$F$242</c:f>
              <c:numCache>
                <c:formatCode>General</c:formatCode>
                <c:ptCount val="241"/>
                <c:pt idx="0">
                  <c:v>5.6247392673157481</c:v>
                </c:pt>
                <c:pt idx="1">
                  <c:v>5.5744328026283521</c:v>
                </c:pt>
                <c:pt idx="2">
                  <c:v>5.5218608378835734</c:v>
                </c:pt>
                <c:pt idx="3">
                  <c:v>5.4672159030098504</c:v>
                </c:pt>
                <c:pt idx="4">
                  <c:v>5.4116460518550396</c:v>
                </c:pt>
                <c:pt idx="5">
                  <c:v>5.354224998486333</c:v>
                </c:pt>
                <c:pt idx="6">
                  <c:v>5.2963153638773637</c:v>
                </c:pt>
                <c:pt idx="7">
                  <c:v>5.236973736306985</c:v>
                </c:pt>
                <c:pt idx="8">
                  <c:v>5.1778432130801626</c:v>
                </c:pt>
                <c:pt idx="9">
                  <c:v>5.1179938124167554</c:v>
                </c:pt>
                <c:pt idx="10">
                  <c:v>5.0575188799951061</c:v>
                </c:pt>
                <c:pt idx="11">
                  <c:v>4.9978877212737531</c:v>
                </c:pt>
                <c:pt idx="12">
                  <c:v>4.9373474983264236</c:v>
                </c:pt>
                <c:pt idx="13">
                  <c:v>4.877484781308751</c:v>
                </c:pt>
                <c:pt idx="14">
                  <c:v>4.8178592793984425</c:v>
                </c:pt>
                <c:pt idx="15">
                  <c:v>4.7587492739163917</c:v>
                </c:pt>
                <c:pt idx="16">
                  <c:v>4.7004803657924166</c:v>
                </c:pt>
                <c:pt idx="17">
                  <c:v>4.6415021152354816</c:v>
                </c:pt>
                <c:pt idx="18">
                  <c:v>4.5839465495364644</c:v>
                </c:pt>
                <c:pt idx="19">
                  <c:v>4.5272086445183799</c:v>
                </c:pt>
                <c:pt idx="20">
                  <c:v>4.4708384731927993</c:v>
                </c:pt>
                <c:pt idx="21">
                  <c:v>4.4163072811507149</c:v>
                </c:pt>
                <c:pt idx="22">
                  <c:v>4.3623340013281453</c:v>
                </c:pt>
                <c:pt idx="23">
                  <c:v>4.3089181628532431</c:v>
                </c:pt>
                <c:pt idx="24">
                  <c:v>4.2560381512200882</c:v>
                </c:pt>
                <c:pt idx="25">
                  <c:v>4.2034978761186235</c:v>
                </c:pt>
                <c:pt idx="26">
                  <c:v>4.1516696288413701</c:v>
                </c:pt>
                <c:pt idx="27">
                  <c:v>4.0999952337309153</c:v>
                </c:pt>
                <c:pt idx="28">
                  <c:v>4.0488240469202914</c:v>
                </c:pt>
                <c:pt idx="29">
                  <c:v>3.9982007016691985</c:v>
                </c:pt>
                <c:pt idx="30">
                  <c:v>3.9477761751339639</c:v>
                </c:pt>
                <c:pt idx="31">
                  <c:v>3.8975183192252643</c:v>
                </c:pt>
                <c:pt idx="32">
                  <c:v>3.8478044331014951</c:v>
                </c:pt>
                <c:pt idx="33">
                  <c:v>3.7981821890043865</c:v>
                </c:pt>
                <c:pt idx="34">
                  <c:v>3.7490333769336832</c:v>
                </c:pt>
                <c:pt idx="35">
                  <c:v>3.7000666435045009</c:v>
                </c:pt>
                <c:pt idx="36">
                  <c:v>3.6514371586380663</c:v>
                </c:pt>
                <c:pt idx="37">
                  <c:v>3.6027767550605247</c:v>
                </c:pt>
                <c:pt idx="38">
                  <c:v>3.5544905510752844</c:v>
                </c:pt>
                <c:pt idx="39">
                  <c:v>3.5064578923196481</c:v>
                </c:pt>
                <c:pt idx="40">
                  <c:v>3.4585224482814247</c:v>
                </c:pt>
                <c:pt idx="41">
                  <c:v>3.4094961844768505</c:v>
                </c:pt>
                <c:pt idx="42">
                  <c:v>3.3610695905713759</c:v>
                </c:pt>
                <c:pt idx="43">
                  <c:v>3.3123661679555396</c:v>
                </c:pt>
                <c:pt idx="44">
                  <c:v>3.2642315265889978</c:v>
                </c:pt>
                <c:pt idx="45">
                  <c:v>3.2164729402518906</c:v>
                </c:pt>
                <c:pt idx="46">
                  <c:v>3.1684242813721024</c:v>
                </c:pt>
                <c:pt idx="47">
                  <c:v>3.1210424645194377</c:v>
                </c:pt>
                <c:pt idx="48">
                  <c:v>3.0736188122110621</c:v>
                </c:pt>
                <c:pt idx="49">
                  <c:v>3.0267463270831603</c:v>
                </c:pt>
                <c:pt idx="50">
                  <c:v>2.9796028916241073</c:v>
                </c:pt>
                <c:pt idx="51">
                  <c:v>2.932792473780117</c:v>
                </c:pt>
                <c:pt idx="52">
                  <c:v>2.8864752876170416</c:v>
                </c:pt>
                <c:pt idx="53">
                  <c:v>2.840247370713596</c:v>
                </c:pt>
                <c:pt idx="54">
                  <c:v>2.7942278973432626</c:v>
                </c:pt>
                <c:pt idx="55">
                  <c:v>2.7485521444115397</c:v>
                </c:pt>
                <c:pt idx="56">
                  <c:v>2.703372611551099</c:v>
                </c:pt>
                <c:pt idx="57">
                  <c:v>2.65745841498615</c:v>
                </c:pt>
                <c:pt idx="58">
                  <c:v>2.6122732457084412</c:v>
                </c:pt>
                <c:pt idx="59">
                  <c:v>2.5680215564985067</c:v>
                </c:pt>
                <c:pt idx="60">
                  <c:v>2.5233257596919452</c:v>
                </c:pt>
                <c:pt idx="61">
                  <c:v>2.4782176616372036</c:v>
                </c:pt>
                <c:pt idx="62">
                  <c:v>2.4344901638739844</c:v>
                </c:pt>
                <c:pt idx="63">
                  <c:v>2.3896797998449792</c:v>
                </c:pt>
                <c:pt idx="64">
                  <c:v>2.3466019784108201</c:v>
                </c:pt>
                <c:pt idx="65">
                  <c:v>2.3025850929940459</c:v>
                </c:pt>
                <c:pt idx="66">
                  <c:v>2.2591555350667094</c:v>
                </c:pt>
                <c:pt idx="67">
                  <c:v>2.2159372862683733</c:v>
                </c:pt>
                <c:pt idx="68">
                  <c:v>2.1729318847671748</c:v>
                </c:pt>
                <c:pt idx="69">
                  <c:v>2.130134655995354</c:v>
                </c:pt>
                <c:pt idx="70">
                  <c:v>2.0874097113290127</c:v>
                </c:pt>
                <c:pt idx="71">
                  <c:v>2.0451088625993306</c:v>
                </c:pt>
                <c:pt idx="72">
                  <c:v>2.0028304393079956</c:v>
                </c:pt>
                <c:pt idx="73">
                  <c:v>1.9609394975988352</c:v>
                </c:pt>
                <c:pt idx="74">
                  <c:v>1.919126065148496</c:v>
                </c:pt>
                <c:pt idx="75">
                  <c:v>1.8776313083020189</c:v>
                </c:pt>
                <c:pt idx="76">
                  <c:v>1.8362547091146062</c:v>
                </c:pt>
                <c:pt idx="77">
                  <c:v>1.7950872593207297</c:v>
                </c:pt>
                <c:pt idx="78">
                  <c:v>1.7540576020440435</c:v>
                </c:pt>
                <c:pt idx="79">
                  <c:v>1.7134375024525852</c:v>
                </c:pt>
                <c:pt idx="80">
                  <c:v>1.672788227934862</c:v>
                </c:pt>
                <c:pt idx="81">
                  <c:v>1.6325683298229547</c:v>
                </c:pt>
                <c:pt idx="82">
                  <c:v>1.5922917535991299</c:v>
                </c:pt>
                <c:pt idx="83">
                  <c:v>1.5524441909139801</c:v>
                </c:pt>
                <c:pt idx="84">
                  <c:v>1.5127067234743286</c:v>
                </c:pt>
                <c:pt idx="85">
                  <c:v>1.4731598941414727</c:v>
                </c:pt>
                <c:pt idx="86">
                  <c:v>1.4338933399191696</c:v>
                </c:pt>
                <c:pt idx="87">
                  <c:v>1.3947584395320201</c:v>
                </c:pt>
                <c:pt idx="88">
                  <c:v>1.355835153635182</c:v>
                </c:pt>
                <c:pt idx="89">
                  <c:v>1.3172121999324469</c:v>
                </c:pt>
                <c:pt idx="90">
                  <c:v>1.2787091504399533</c:v>
                </c:pt>
                <c:pt idx="91">
                  <c:v>1.2404011609394874</c:v>
                </c:pt>
                <c:pt idx="92">
                  <c:v>1.2023715229589622</c:v>
                </c:pt>
                <c:pt idx="93">
                  <c:v>1.1644000292061127</c:v>
                </c:pt>
                <c:pt idx="94">
                  <c:v>1.1268757539409691</c:v>
                </c:pt>
                <c:pt idx="95">
                  <c:v>1.0892351268555127</c:v>
                </c:pt>
                <c:pt idx="96">
                  <c:v>1.0518700261159779</c:v>
                </c:pt>
                <c:pt idx="97">
                  <c:v>1.0148682952351491</c:v>
                </c:pt>
                <c:pt idx="98">
                  <c:v>0.97795011226088269</c:v>
                </c:pt>
                <c:pt idx="99">
                  <c:v>0.94156853905842364</c:v>
                </c:pt>
                <c:pt idx="100">
                  <c:v>0.90502753959544435</c:v>
                </c:pt>
                <c:pt idx="101">
                  <c:v>0.8687797492031033</c:v>
                </c:pt>
                <c:pt idx="102">
                  <c:v>0.83247424578104445</c:v>
                </c:pt>
                <c:pt idx="103">
                  <c:v>0.7966058889281753</c:v>
                </c:pt>
                <c:pt idx="104">
                  <c:v>0.76127300960754574</c:v>
                </c:pt>
                <c:pt idx="105">
                  <c:v>0.72561437069744672</c:v>
                </c:pt>
                <c:pt idx="106">
                  <c:v>0.69014267153964659</c:v>
                </c:pt>
                <c:pt idx="107">
                  <c:v>0.65544531337593381</c:v>
                </c:pt>
                <c:pt idx="108">
                  <c:v>0.62057648772510998</c:v>
                </c:pt>
                <c:pt idx="109">
                  <c:v>0.58556196988000786</c:v>
                </c:pt>
                <c:pt idx="110">
                  <c:v>0.55100741339882253</c:v>
                </c:pt>
                <c:pt idx="111">
                  <c:v>0.51700648284107187</c:v>
                </c:pt>
                <c:pt idx="112">
                  <c:v>0.48304324275353905</c:v>
                </c:pt>
                <c:pt idx="113">
                  <c:v>0.44916296337388373</c:v>
                </c:pt>
                <c:pt idx="114">
                  <c:v>0.41541543896133237</c:v>
                </c:pt>
                <c:pt idx="115">
                  <c:v>0.38185524246903069</c:v>
                </c:pt>
                <c:pt idx="116">
                  <c:v>0.34854196070854343</c:v>
                </c:pt>
                <c:pt idx="117">
                  <c:v>0.31554040058017735</c:v>
                </c:pt>
                <c:pt idx="118">
                  <c:v>0.28216689176367082</c:v>
                </c:pt>
                <c:pt idx="119">
                  <c:v>0.24998020526776946</c:v>
                </c:pt>
                <c:pt idx="120">
                  <c:v>0.21752781252857414</c:v>
                </c:pt>
                <c:pt idx="121">
                  <c:v>0.18481843699254188</c:v>
                </c:pt>
                <c:pt idx="122">
                  <c:v>0.15272108701766393</c:v>
                </c:pt>
                <c:pt idx="123">
                  <c:v>0.12044615307586706</c:v>
                </c:pt>
                <c:pt idx="124">
                  <c:v>8.8926209194401487E-2</c:v>
                </c:pt>
                <c:pt idx="125">
                  <c:v>5.7325066619269352E-2</c:v>
                </c:pt>
                <c:pt idx="126">
                  <c:v>2.6641930946421092E-2</c:v>
                </c:pt>
                <c:pt idx="127">
                  <c:v>-4.510155477886019E-3</c:v>
                </c:pt>
                <c:pt idx="128">
                  <c:v>-3.5212755755744486E-2</c:v>
                </c:pt>
                <c:pt idx="129">
                  <c:v>-6.5819341037293588E-2</c:v>
                </c:pt>
                <c:pt idx="130">
                  <c:v>-9.6180558473969183E-2</c:v>
                </c:pt>
                <c:pt idx="131">
                  <c:v>-0.12647066405394902</c:v>
                </c:pt>
                <c:pt idx="132">
                  <c:v>-0.15665381004537685</c:v>
                </c:pt>
                <c:pt idx="133">
                  <c:v>-0.18669108931189746</c:v>
                </c:pt>
                <c:pt idx="134">
                  <c:v>-0.21666458521650059</c:v>
                </c:pt>
                <c:pt idx="135">
                  <c:v>-0.24641217825356412</c:v>
                </c:pt>
                <c:pt idx="136">
                  <c:v>-0.27614883663810785</c:v>
                </c:pt>
                <c:pt idx="137">
                  <c:v>-0.30571027497117209</c:v>
                </c:pt>
                <c:pt idx="138">
                  <c:v>-0.33519305512283276</c:v>
                </c:pt>
                <c:pt idx="139">
                  <c:v>-0.36456311678773856</c:v>
                </c:pt>
                <c:pt idx="140">
                  <c:v>-0.39393187229449134</c:v>
                </c:pt>
                <c:pt idx="141">
                  <c:v>-0.42189941457158908</c:v>
                </c:pt>
                <c:pt idx="142">
                  <c:v>-0.45004415150613186</c:v>
                </c:pt>
                <c:pt idx="143">
                  <c:v>-0.47819710427426332</c:v>
                </c:pt>
                <c:pt idx="144">
                  <c:v>-0.50650165228593613</c:v>
                </c:pt>
                <c:pt idx="145">
                  <c:v>-0.53477684458850394</c:v>
                </c:pt>
                <c:pt idx="146">
                  <c:v>-0.56317210413819985</c:v>
                </c:pt>
                <c:pt idx="147">
                  <c:v>-0.59149352683344547</c:v>
                </c:pt>
                <c:pt idx="148">
                  <c:v>-0.61989671882035258</c:v>
                </c:pt>
                <c:pt idx="149">
                  <c:v>-0.6483650377880521</c:v>
                </c:pt>
                <c:pt idx="150">
                  <c:v>-0.67668345452928025</c:v>
                </c:pt>
                <c:pt idx="151">
                  <c:v>-0.70501735313043279</c:v>
                </c:pt>
                <c:pt idx="152">
                  <c:v>-0.73334437031135835</c:v>
                </c:pt>
                <c:pt idx="153">
                  <c:v>-0.76164017700524578</c:v>
                </c:pt>
                <c:pt idx="154">
                  <c:v>-0.78987836951971702</c:v>
                </c:pt>
                <c:pt idx="155">
                  <c:v>-0.81825699160278964</c:v>
                </c:pt>
                <c:pt idx="156">
                  <c:v>-0.84629836005412007</c:v>
                </c:pt>
                <c:pt idx="157">
                  <c:v>-0.8744292777792374</c:v>
                </c:pt>
                <c:pt idx="158">
                  <c:v>-0.9026344054266694</c:v>
                </c:pt>
                <c:pt idx="159">
                  <c:v>-0.93038965625365677</c:v>
                </c:pt>
                <c:pt idx="160">
                  <c:v>-0.9584156581748261</c:v>
                </c:pt>
                <c:pt idx="161">
                  <c:v>-0.98617685933832155</c:v>
                </c:pt>
                <c:pt idx="162">
                  <c:v>-1.0139035607411555</c:v>
                </c:pt>
                <c:pt idx="163">
                  <c:v>-1.0412872220488403</c:v>
                </c:pt>
                <c:pt idx="164">
                  <c:v>-1.0688593305187619</c:v>
                </c:pt>
                <c:pt idx="165">
                  <c:v>-1.0963149296194261</c:v>
                </c:pt>
                <c:pt idx="166">
                  <c:v>-1.1230074455028314</c:v>
                </c:pt>
                <c:pt idx="167">
                  <c:v>-1.1498003254375431</c:v>
                </c:pt>
                <c:pt idx="168">
                  <c:v>-1.1766819440900322</c:v>
                </c:pt>
                <c:pt idx="169">
                  <c:v>-1.2033063597827753</c:v>
                </c:pt>
                <c:pt idx="170">
                  <c:v>-1.2296325511065136</c:v>
                </c:pt>
                <c:pt idx="171">
                  <c:v>-1.2559680994443163</c:v>
                </c:pt>
                <c:pt idx="172">
                  <c:v>-1.2822947711014059</c:v>
                </c:pt>
                <c:pt idx="173">
                  <c:v>-1.3085928534560385</c:v>
                </c:pt>
                <c:pt idx="174">
                  <c:v>-1.3344612124798734</c:v>
                </c:pt>
                <c:pt idx="175">
                  <c:v>-1.3606266143713128</c:v>
                </c:pt>
                <c:pt idx="176">
                  <c:v>-1.3862943611198906</c:v>
                </c:pt>
                <c:pt idx="177">
                  <c:v>-1.4118173183509766</c:v>
                </c:pt>
                <c:pt idx="178">
                  <c:v>-1.4375876555074412</c:v>
                </c:pt>
                <c:pt idx="179">
                  <c:v>-1.462743533283297</c:v>
                </c:pt>
                <c:pt idx="180">
                  <c:v>-1.4881056272665754</c:v>
                </c:pt>
                <c:pt idx="181">
                  <c:v>-1.5132190546935573</c:v>
                </c:pt>
                <c:pt idx="182">
                  <c:v>-1.5380479163474274</c:v>
                </c:pt>
                <c:pt idx="183">
                  <c:v>-1.5630315396199446</c:v>
                </c:pt>
                <c:pt idx="184">
                  <c:v>-1.5876764206525877</c:v>
                </c:pt>
                <c:pt idx="185">
                  <c:v>-1.6124424214543991</c:v>
                </c:pt>
                <c:pt idx="186">
                  <c:v>-1.6368091092302324</c:v>
                </c:pt>
                <c:pt idx="187">
                  <c:v>-1.6607312068216509</c:v>
                </c:pt>
                <c:pt idx="188">
                  <c:v>-1.6847003969346472</c:v>
                </c:pt>
                <c:pt idx="189">
                  <c:v>-1.7087059140927694</c:v>
                </c:pt>
                <c:pt idx="190">
                  <c:v>-1.7321706778163974</c:v>
                </c:pt>
                <c:pt idx="191">
                  <c:v>-1.7556204226121817</c:v>
                </c:pt>
                <c:pt idx="192">
                  <c:v>-1.7790406968202803</c:v>
                </c:pt>
                <c:pt idx="193">
                  <c:v>-1.8018098050815563</c:v>
                </c:pt>
                <c:pt idx="194">
                  <c:v>-1.8251094489096091</c:v>
                </c:pt>
                <c:pt idx="195">
                  <c:v>-1.8476951015583583</c:v>
                </c:pt>
                <c:pt idx="196">
                  <c:v>-1.8701535366560671</c:v>
                </c:pt>
                <c:pt idx="197">
                  <c:v>-1.8924641733496872</c:v>
                </c:pt>
                <c:pt idx="198">
                  <c:v>-1.9146052992269007</c:v>
                </c:pt>
                <c:pt idx="199">
                  <c:v>-1.9372477759766606</c:v>
                </c:pt>
                <c:pt idx="200">
                  <c:v>-1.9589953886039688</c:v>
                </c:pt>
                <c:pt idx="201">
                  <c:v>-1.981226494182881</c:v>
                </c:pt>
                <c:pt idx="202">
                  <c:v>-2.0024805005437076</c:v>
                </c:pt>
                <c:pt idx="203">
                  <c:v>-2.0241960674538575</c:v>
                </c:pt>
                <c:pt idx="204">
                  <c:v>-2.0456199932043253</c:v>
                </c:pt>
                <c:pt idx="205">
                  <c:v>-2.0675129708145623</c:v>
                </c:pt>
                <c:pt idx="206">
                  <c:v>-2.0882804903470404</c:v>
                </c:pt>
                <c:pt idx="207">
                  <c:v>-2.1094884630321324</c:v>
                </c:pt>
                <c:pt idx="208">
                  <c:v>-2.1311559773665145</c:v>
                </c:pt>
                <c:pt idx="209">
                  <c:v>-2.1515822194575183</c:v>
                </c:pt>
                <c:pt idx="210">
                  <c:v>-2.1724344085290004</c:v>
                </c:pt>
                <c:pt idx="211">
                  <c:v>-2.1937306880819634</c:v>
                </c:pt>
                <c:pt idx="212">
                  <c:v>-2.2145742156713322</c:v>
                </c:pt>
                <c:pt idx="213">
                  <c:v>-2.234926444520231</c:v>
                </c:pt>
                <c:pt idx="214">
                  <c:v>-2.2557015070951953</c:v>
                </c:pt>
                <c:pt idx="215">
                  <c:v>-2.2759431620476245</c:v>
                </c:pt>
                <c:pt idx="216">
                  <c:v>-2.2966030213164981</c:v>
                </c:pt>
                <c:pt idx="217">
                  <c:v>-2.3166840173735475</c:v>
                </c:pt>
                <c:pt idx="218">
                  <c:v>-2.3371765377636646</c:v>
                </c:pt>
                <c:pt idx="219">
                  <c:v>-2.3570412787901045</c:v>
                </c:pt>
                <c:pt idx="220">
                  <c:v>-2.377308639189982</c:v>
                </c:pt>
                <c:pt idx="221">
                  <c:v>-2.3979952777987039</c:v>
                </c:pt>
                <c:pt idx="222">
                  <c:v>-2.4179959445053734</c:v>
                </c:pt>
                <c:pt idx="223">
                  <c:v>-2.4384048161365803</c:v>
                </c:pt>
                <c:pt idx="224">
                  <c:v>-2.4580699958344407</c:v>
                </c:pt>
                <c:pt idx="225">
                  <c:v>-2.4781296655089764</c:v>
                </c:pt>
                <c:pt idx="226">
                  <c:v>-2.4985999769200027</c:v>
                </c:pt>
                <c:pt idx="227">
                  <c:v>-2.5182566294695543</c:v>
                </c:pt>
                <c:pt idx="228">
                  <c:v>-2.5383074265151158</c:v>
                </c:pt>
                <c:pt idx="229">
                  <c:v>-2.5587684983864558</c:v>
                </c:pt>
                <c:pt idx="230">
                  <c:v>-2.5783385945805528</c:v>
                </c:pt>
                <c:pt idx="231">
                  <c:v>-2.5996443272584235</c:v>
                </c:pt>
                <c:pt idx="232">
                  <c:v>-2.6186666399675245</c:v>
                </c:pt>
                <c:pt idx="233">
                  <c:v>-2.6394574096365981</c:v>
                </c:pt>
                <c:pt idx="234">
                  <c:v>-2.6592600369327779</c:v>
                </c:pt>
                <c:pt idx="235">
                  <c:v>-2.6794627442502974</c:v>
                </c:pt>
                <c:pt idx="236">
                  <c:v>-2.7000820314530332</c:v>
                </c:pt>
                <c:pt idx="237">
                  <c:v>-2.7211354406508654</c:v>
                </c:pt>
                <c:pt idx="238">
                  <c:v>-2.7410900551804103</c:v>
                </c:pt>
                <c:pt idx="239">
                  <c:v>-2.7630345094349695</c:v>
                </c:pt>
                <c:pt idx="240">
                  <c:v>-2.7822350992915865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3-40B4-BA44-62690AA6BF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814543"/>
        <c:axId val="1330292479"/>
      </c:scatterChart>
      <c:valAx>
        <c:axId val="147281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0292479"/>
        <c:crosses val="autoZero"/>
        <c:crossBetween val="midCat"/>
      </c:valAx>
      <c:valAx>
        <c:axId val="133029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2814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'thermistance etalonnage (2)'!$H$1</c:f>
              <c:strCache>
                <c:ptCount val="1"/>
                <c:pt idx="0">
                  <c:v>1/T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'thermistance etalonnage (2)'!$G$2:$G$242</c:f>
              <c:numCache>
                <c:formatCode>General</c:formatCode>
                <c:ptCount val="241"/>
                <c:pt idx="0">
                  <c:v>12.532494546297885</c:v>
                </c:pt>
                <c:pt idx="1">
                  <c:v>12.48218808161049</c:v>
                </c:pt>
                <c:pt idx="2">
                  <c:v>12.429616116865711</c:v>
                </c:pt>
                <c:pt idx="3">
                  <c:v>12.374971181991988</c:v>
                </c:pt>
                <c:pt idx="4">
                  <c:v>12.319401330837177</c:v>
                </c:pt>
                <c:pt idx="5">
                  <c:v>12.261980277468469</c:v>
                </c:pt>
                <c:pt idx="6">
                  <c:v>12.2040706428595</c:v>
                </c:pt>
                <c:pt idx="7">
                  <c:v>12.144729015289121</c:v>
                </c:pt>
                <c:pt idx="8">
                  <c:v>12.085598492062299</c:v>
                </c:pt>
                <c:pt idx="9">
                  <c:v>12.025749091398891</c:v>
                </c:pt>
                <c:pt idx="10">
                  <c:v>11.965274158977243</c:v>
                </c:pt>
                <c:pt idx="11">
                  <c:v>11.905643000255891</c:v>
                </c:pt>
                <c:pt idx="12">
                  <c:v>11.845102777308561</c:v>
                </c:pt>
                <c:pt idx="13">
                  <c:v>11.785240060290887</c:v>
                </c:pt>
                <c:pt idx="14">
                  <c:v>11.725614558380579</c:v>
                </c:pt>
                <c:pt idx="15">
                  <c:v>11.666504552898529</c:v>
                </c:pt>
                <c:pt idx="16">
                  <c:v>11.608235644774552</c:v>
                </c:pt>
                <c:pt idx="17">
                  <c:v>11.549257394217619</c:v>
                </c:pt>
                <c:pt idx="18">
                  <c:v>11.491701828518602</c:v>
                </c:pt>
                <c:pt idx="19">
                  <c:v>11.434963923500517</c:v>
                </c:pt>
                <c:pt idx="20">
                  <c:v>11.378593752174936</c:v>
                </c:pt>
                <c:pt idx="21">
                  <c:v>11.324062560132852</c:v>
                </c:pt>
                <c:pt idx="22">
                  <c:v>11.270089280310282</c:v>
                </c:pt>
                <c:pt idx="23">
                  <c:v>11.216673441835381</c:v>
                </c:pt>
                <c:pt idx="24">
                  <c:v>11.163793430202224</c:v>
                </c:pt>
                <c:pt idx="25">
                  <c:v>11.11125315510076</c:v>
                </c:pt>
                <c:pt idx="26">
                  <c:v>11.059424907823507</c:v>
                </c:pt>
                <c:pt idx="27">
                  <c:v>11.007750512713052</c:v>
                </c:pt>
                <c:pt idx="28">
                  <c:v>10.956579325902428</c:v>
                </c:pt>
                <c:pt idx="29">
                  <c:v>10.905955980651335</c:v>
                </c:pt>
                <c:pt idx="30">
                  <c:v>10.8555314541161</c:v>
                </c:pt>
                <c:pt idx="31">
                  <c:v>10.805273598207402</c:v>
                </c:pt>
                <c:pt idx="32">
                  <c:v>10.755559712083633</c:v>
                </c:pt>
                <c:pt idx="33">
                  <c:v>10.705937467986523</c:v>
                </c:pt>
                <c:pt idx="34">
                  <c:v>10.65678865591582</c:v>
                </c:pt>
                <c:pt idx="35">
                  <c:v>10.607821922486638</c:v>
                </c:pt>
                <c:pt idx="36">
                  <c:v>10.559192437620203</c:v>
                </c:pt>
                <c:pt idx="37">
                  <c:v>10.510532034042662</c:v>
                </c:pt>
                <c:pt idx="38">
                  <c:v>10.462245830057421</c:v>
                </c:pt>
                <c:pt idx="39">
                  <c:v>10.414213171301785</c:v>
                </c:pt>
                <c:pt idx="40">
                  <c:v>10.366277727263562</c:v>
                </c:pt>
                <c:pt idx="41">
                  <c:v>10.317251463458987</c:v>
                </c:pt>
                <c:pt idx="42">
                  <c:v>10.268824869553512</c:v>
                </c:pt>
                <c:pt idx="43">
                  <c:v>10.220121446937677</c:v>
                </c:pt>
                <c:pt idx="44">
                  <c:v>10.171986805571136</c:v>
                </c:pt>
                <c:pt idx="45">
                  <c:v>10.124228219234027</c:v>
                </c:pt>
                <c:pt idx="46">
                  <c:v>10.076179560354239</c:v>
                </c:pt>
                <c:pt idx="47">
                  <c:v>10.028797743501574</c:v>
                </c:pt>
                <c:pt idx="48">
                  <c:v>9.9813740911931994</c:v>
                </c:pt>
                <c:pt idx="49">
                  <c:v>9.9345016060652966</c:v>
                </c:pt>
                <c:pt idx="50">
                  <c:v>9.8873581706062446</c:v>
                </c:pt>
                <c:pt idx="51">
                  <c:v>9.8405477527622534</c:v>
                </c:pt>
                <c:pt idx="52">
                  <c:v>9.7942305665991789</c:v>
                </c:pt>
                <c:pt idx="53">
                  <c:v>9.7480026496957333</c:v>
                </c:pt>
                <c:pt idx="54">
                  <c:v>9.701983176325399</c:v>
                </c:pt>
                <c:pt idx="55">
                  <c:v>9.6563074233936774</c:v>
                </c:pt>
                <c:pt idx="56">
                  <c:v>9.6111278905332362</c:v>
                </c:pt>
                <c:pt idx="57">
                  <c:v>9.5652136939682872</c:v>
                </c:pt>
                <c:pt idx="58">
                  <c:v>9.5200285246905789</c:v>
                </c:pt>
                <c:pt idx="59">
                  <c:v>9.4757768354806444</c:v>
                </c:pt>
                <c:pt idx="60">
                  <c:v>9.4310810386740815</c:v>
                </c:pt>
                <c:pt idx="61">
                  <c:v>9.3859729406193413</c:v>
                </c:pt>
                <c:pt idx="62">
                  <c:v>9.3422454428561217</c:v>
                </c:pt>
                <c:pt idx="63">
                  <c:v>9.2974350788271156</c:v>
                </c:pt>
                <c:pt idx="64">
                  <c:v>9.2543572573929573</c:v>
                </c:pt>
                <c:pt idx="65">
                  <c:v>9.2103403719761836</c:v>
                </c:pt>
                <c:pt idx="66">
                  <c:v>9.1669108140488476</c:v>
                </c:pt>
                <c:pt idx="67">
                  <c:v>9.1236925652505114</c:v>
                </c:pt>
                <c:pt idx="68">
                  <c:v>9.0806871637493121</c:v>
                </c:pt>
                <c:pt idx="69">
                  <c:v>9.0378899349774908</c:v>
                </c:pt>
                <c:pt idx="70">
                  <c:v>8.9951649903111495</c:v>
                </c:pt>
                <c:pt idx="71">
                  <c:v>8.9528641415814683</c:v>
                </c:pt>
                <c:pt idx="72">
                  <c:v>8.9105857182901325</c:v>
                </c:pt>
                <c:pt idx="73">
                  <c:v>8.8686947765809716</c:v>
                </c:pt>
                <c:pt idx="74">
                  <c:v>8.8268813441306335</c:v>
                </c:pt>
                <c:pt idx="75">
                  <c:v>8.7853865872841563</c:v>
                </c:pt>
                <c:pt idx="76">
                  <c:v>8.7440099880967441</c:v>
                </c:pt>
                <c:pt idx="77">
                  <c:v>8.7028425383028676</c:v>
                </c:pt>
                <c:pt idx="78">
                  <c:v>8.6618128810261812</c:v>
                </c:pt>
                <c:pt idx="79">
                  <c:v>8.621192781434722</c:v>
                </c:pt>
                <c:pt idx="80">
                  <c:v>8.5805435069169995</c:v>
                </c:pt>
                <c:pt idx="81">
                  <c:v>8.5403236088050924</c:v>
                </c:pt>
                <c:pt idx="82">
                  <c:v>8.5000470325812678</c:v>
                </c:pt>
                <c:pt idx="83">
                  <c:v>8.4601994698961178</c:v>
                </c:pt>
                <c:pt idx="84">
                  <c:v>8.4204620024564658</c:v>
                </c:pt>
                <c:pt idx="85">
                  <c:v>8.3809151731236096</c:v>
                </c:pt>
                <c:pt idx="86">
                  <c:v>8.3416486189013064</c:v>
                </c:pt>
                <c:pt idx="87">
                  <c:v>8.3025137185141578</c:v>
                </c:pt>
                <c:pt idx="88">
                  <c:v>8.2635904326173186</c:v>
                </c:pt>
                <c:pt idx="89">
                  <c:v>8.2249674789145839</c:v>
                </c:pt>
                <c:pt idx="90">
                  <c:v>8.1864644294220899</c:v>
                </c:pt>
                <c:pt idx="91">
                  <c:v>8.1481564399216246</c:v>
                </c:pt>
                <c:pt idx="92">
                  <c:v>8.1101268019410995</c:v>
                </c:pt>
                <c:pt idx="93">
                  <c:v>8.0721553081882504</c:v>
                </c:pt>
                <c:pt idx="94">
                  <c:v>8.034631032923107</c:v>
                </c:pt>
                <c:pt idx="95">
                  <c:v>7.99699040583765</c:v>
                </c:pt>
                <c:pt idx="96">
                  <c:v>7.9596253050981147</c:v>
                </c:pt>
                <c:pt idx="97">
                  <c:v>7.9226235742172859</c:v>
                </c:pt>
                <c:pt idx="98">
                  <c:v>7.8857053912430199</c:v>
                </c:pt>
                <c:pt idx="99">
                  <c:v>7.8493238180405607</c:v>
                </c:pt>
                <c:pt idx="100">
                  <c:v>7.8127828185775812</c:v>
                </c:pt>
                <c:pt idx="101">
                  <c:v>7.7765350281852408</c:v>
                </c:pt>
                <c:pt idx="102">
                  <c:v>7.7402295247631816</c:v>
                </c:pt>
                <c:pt idx="103">
                  <c:v>7.7043611679103128</c:v>
                </c:pt>
                <c:pt idx="104">
                  <c:v>7.6690282885896828</c:v>
                </c:pt>
                <c:pt idx="105">
                  <c:v>7.633369649679584</c:v>
                </c:pt>
                <c:pt idx="106">
                  <c:v>7.5978979505217836</c:v>
                </c:pt>
                <c:pt idx="107">
                  <c:v>7.5632005923580712</c:v>
                </c:pt>
                <c:pt idx="108">
                  <c:v>7.5283317667072467</c:v>
                </c:pt>
                <c:pt idx="109">
                  <c:v>7.4933172488621453</c:v>
                </c:pt>
                <c:pt idx="110">
                  <c:v>7.4587626923809598</c:v>
                </c:pt>
                <c:pt idx="111">
                  <c:v>7.4247617618232091</c:v>
                </c:pt>
                <c:pt idx="112">
                  <c:v>7.3907985217356762</c:v>
                </c:pt>
                <c:pt idx="113">
                  <c:v>7.3569182423560209</c:v>
                </c:pt>
                <c:pt idx="114">
                  <c:v>7.3231707179434693</c:v>
                </c:pt>
                <c:pt idx="115">
                  <c:v>7.2896105214511673</c:v>
                </c:pt>
                <c:pt idx="116">
                  <c:v>7.2562972396906806</c:v>
                </c:pt>
                <c:pt idx="117">
                  <c:v>7.2232956795623142</c:v>
                </c:pt>
                <c:pt idx="118">
                  <c:v>7.1899221707458079</c:v>
                </c:pt>
                <c:pt idx="119">
                  <c:v>7.1577354842499066</c:v>
                </c:pt>
                <c:pt idx="120">
                  <c:v>7.1252830915107115</c:v>
                </c:pt>
                <c:pt idx="121">
                  <c:v>7.0925737159746784</c:v>
                </c:pt>
                <c:pt idx="122">
                  <c:v>7.0604763659998007</c:v>
                </c:pt>
                <c:pt idx="123">
                  <c:v>7.0282014320580046</c:v>
                </c:pt>
                <c:pt idx="124">
                  <c:v>6.9966814881765389</c:v>
                </c:pt>
                <c:pt idx="125">
                  <c:v>6.9650803456014065</c:v>
                </c:pt>
                <c:pt idx="126">
                  <c:v>6.9343972099285578</c:v>
                </c:pt>
                <c:pt idx="127">
                  <c:v>6.9032451235042513</c:v>
                </c:pt>
                <c:pt idx="128">
                  <c:v>6.872542523226393</c:v>
                </c:pt>
                <c:pt idx="129">
                  <c:v>6.8419359379448439</c:v>
                </c:pt>
                <c:pt idx="130">
                  <c:v>6.811574720508168</c:v>
                </c:pt>
                <c:pt idx="131">
                  <c:v>6.7812846149281878</c:v>
                </c:pt>
                <c:pt idx="132">
                  <c:v>6.7511014689367599</c:v>
                </c:pt>
                <c:pt idx="133">
                  <c:v>6.7210641896702397</c:v>
                </c:pt>
                <c:pt idx="134">
                  <c:v>6.691090693765636</c:v>
                </c:pt>
                <c:pt idx="135">
                  <c:v>6.6613431007285726</c:v>
                </c:pt>
                <c:pt idx="136">
                  <c:v>6.6316064423440295</c:v>
                </c:pt>
                <c:pt idx="137">
                  <c:v>6.6020450040109653</c:v>
                </c:pt>
                <c:pt idx="138">
                  <c:v>6.572562223859304</c:v>
                </c:pt>
                <c:pt idx="139">
                  <c:v>6.5431921621943987</c:v>
                </c:pt>
                <c:pt idx="140">
                  <c:v>6.5138234066876457</c:v>
                </c:pt>
                <c:pt idx="141">
                  <c:v>6.4858558644105484</c:v>
                </c:pt>
                <c:pt idx="142">
                  <c:v>6.4577111274760055</c:v>
                </c:pt>
                <c:pt idx="143">
                  <c:v>6.4295581747078741</c:v>
                </c:pt>
                <c:pt idx="144">
                  <c:v>6.4012536266962012</c:v>
                </c:pt>
                <c:pt idx="145">
                  <c:v>6.3729784343936329</c:v>
                </c:pt>
                <c:pt idx="146">
                  <c:v>6.3445831748439367</c:v>
                </c:pt>
                <c:pt idx="147">
                  <c:v>6.3162617521486917</c:v>
                </c:pt>
                <c:pt idx="148">
                  <c:v>6.2878585601617845</c:v>
                </c:pt>
                <c:pt idx="149">
                  <c:v>6.2593902411940849</c:v>
                </c:pt>
                <c:pt idx="150">
                  <c:v>6.2310718244528571</c:v>
                </c:pt>
                <c:pt idx="151">
                  <c:v>6.2027379258517046</c:v>
                </c:pt>
                <c:pt idx="152">
                  <c:v>6.1744109086707786</c:v>
                </c:pt>
                <c:pt idx="153">
                  <c:v>6.1461151019768909</c:v>
                </c:pt>
                <c:pt idx="154">
                  <c:v>6.1178769094624199</c:v>
                </c:pt>
                <c:pt idx="155">
                  <c:v>6.0894982873793477</c:v>
                </c:pt>
                <c:pt idx="156">
                  <c:v>6.061456918928017</c:v>
                </c:pt>
                <c:pt idx="157">
                  <c:v>6.0333260012028997</c:v>
                </c:pt>
                <c:pt idx="158">
                  <c:v>6.0051208735554678</c:v>
                </c:pt>
                <c:pt idx="159">
                  <c:v>5.9773656227284802</c:v>
                </c:pt>
                <c:pt idx="160">
                  <c:v>5.9493396208073106</c:v>
                </c:pt>
                <c:pt idx="161">
                  <c:v>5.9215784196438159</c:v>
                </c:pt>
                <c:pt idx="162">
                  <c:v>5.893851718240982</c:v>
                </c:pt>
                <c:pt idx="163">
                  <c:v>5.8664680569332965</c:v>
                </c:pt>
                <c:pt idx="164">
                  <c:v>5.8388959484633753</c:v>
                </c:pt>
                <c:pt idx="165">
                  <c:v>5.8114403493627105</c:v>
                </c:pt>
                <c:pt idx="166">
                  <c:v>5.7847478334793054</c:v>
                </c:pt>
                <c:pt idx="167">
                  <c:v>5.7579549535445942</c:v>
                </c:pt>
                <c:pt idx="168">
                  <c:v>5.7310733348921046</c:v>
                </c:pt>
                <c:pt idx="169">
                  <c:v>5.7044489191993621</c:v>
                </c:pt>
                <c:pt idx="170">
                  <c:v>5.678122727875623</c:v>
                </c:pt>
                <c:pt idx="171">
                  <c:v>5.6517871795378207</c:v>
                </c:pt>
                <c:pt idx="172">
                  <c:v>5.6254605078807307</c:v>
                </c:pt>
                <c:pt idx="173">
                  <c:v>5.5991624255260986</c:v>
                </c:pt>
                <c:pt idx="174">
                  <c:v>5.5732940665022639</c:v>
                </c:pt>
                <c:pt idx="175">
                  <c:v>5.547128664610824</c:v>
                </c:pt>
                <c:pt idx="176">
                  <c:v>5.521460917862246</c:v>
                </c:pt>
                <c:pt idx="177">
                  <c:v>5.4959379606311609</c:v>
                </c:pt>
                <c:pt idx="178">
                  <c:v>5.4701676234746959</c:v>
                </c:pt>
                <c:pt idx="179">
                  <c:v>5.4450117456988405</c:v>
                </c:pt>
                <c:pt idx="180">
                  <c:v>5.4196496517155621</c:v>
                </c:pt>
                <c:pt idx="181">
                  <c:v>5.3945362242885793</c:v>
                </c:pt>
                <c:pt idx="182">
                  <c:v>5.3697073626347098</c:v>
                </c:pt>
                <c:pt idx="183">
                  <c:v>5.344723739362192</c:v>
                </c:pt>
                <c:pt idx="184">
                  <c:v>5.3200788583295493</c:v>
                </c:pt>
                <c:pt idx="185">
                  <c:v>5.2953128575277377</c:v>
                </c:pt>
                <c:pt idx="186">
                  <c:v>5.2709461697519044</c:v>
                </c:pt>
                <c:pt idx="187">
                  <c:v>5.2470240721604862</c:v>
                </c:pt>
                <c:pt idx="188">
                  <c:v>5.2230548820474896</c:v>
                </c:pt>
                <c:pt idx="189">
                  <c:v>5.1990493648893681</c:v>
                </c:pt>
                <c:pt idx="190">
                  <c:v>5.17558460116574</c:v>
                </c:pt>
                <c:pt idx="191">
                  <c:v>5.1521348563699556</c:v>
                </c:pt>
                <c:pt idx="192">
                  <c:v>5.1287145821618569</c:v>
                </c:pt>
                <c:pt idx="193">
                  <c:v>5.1059454739005803</c:v>
                </c:pt>
                <c:pt idx="194">
                  <c:v>5.0826458300725283</c:v>
                </c:pt>
                <c:pt idx="195">
                  <c:v>5.0600601774237788</c:v>
                </c:pt>
                <c:pt idx="196">
                  <c:v>5.0376017423260704</c:v>
                </c:pt>
                <c:pt idx="197">
                  <c:v>5.0152911056324498</c:v>
                </c:pt>
                <c:pt idx="198">
                  <c:v>4.9931499797552359</c:v>
                </c:pt>
                <c:pt idx="199">
                  <c:v>4.9705075030054759</c:v>
                </c:pt>
                <c:pt idx="200">
                  <c:v>4.9487598903781684</c:v>
                </c:pt>
                <c:pt idx="201">
                  <c:v>4.926528784799256</c:v>
                </c:pt>
                <c:pt idx="202">
                  <c:v>4.9052747784384296</c:v>
                </c:pt>
                <c:pt idx="203">
                  <c:v>4.8835592115282793</c:v>
                </c:pt>
                <c:pt idx="204">
                  <c:v>4.8621352857778115</c:v>
                </c:pt>
                <c:pt idx="205">
                  <c:v>4.8402423081675749</c:v>
                </c:pt>
                <c:pt idx="206">
                  <c:v>4.8194747886350964</c:v>
                </c:pt>
                <c:pt idx="207">
                  <c:v>4.7982668159500044</c:v>
                </c:pt>
                <c:pt idx="208">
                  <c:v>4.7765993016156223</c:v>
                </c:pt>
                <c:pt idx="209">
                  <c:v>4.7561730595246186</c:v>
                </c:pt>
                <c:pt idx="210">
                  <c:v>4.7353208704531369</c:v>
                </c:pt>
                <c:pt idx="211">
                  <c:v>4.7140245909001735</c:v>
                </c:pt>
                <c:pt idx="212">
                  <c:v>4.6931810633108046</c:v>
                </c:pt>
                <c:pt idx="213">
                  <c:v>4.6728288344619058</c:v>
                </c:pt>
                <c:pt idx="214">
                  <c:v>4.6520537718869415</c:v>
                </c:pt>
                <c:pt idx="215">
                  <c:v>4.6318121169345128</c:v>
                </c:pt>
                <c:pt idx="216">
                  <c:v>4.6111522576656387</c:v>
                </c:pt>
                <c:pt idx="217">
                  <c:v>4.5910712616085894</c:v>
                </c:pt>
                <c:pt idx="218">
                  <c:v>4.5705787412184726</c:v>
                </c:pt>
                <c:pt idx="219">
                  <c:v>4.5507140001920323</c:v>
                </c:pt>
                <c:pt idx="220">
                  <c:v>4.5304466397921548</c:v>
                </c:pt>
                <c:pt idx="221">
                  <c:v>4.5097600011834329</c:v>
                </c:pt>
                <c:pt idx="222">
                  <c:v>4.4897593344767639</c:v>
                </c:pt>
                <c:pt idx="223">
                  <c:v>4.4693504628455569</c:v>
                </c:pt>
                <c:pt idx="224">
                  <c:v>4.4496852831476961</c:v>
                </c:pt>
                <c:pt idx="225">
                  <c:v>4.4296256134731609</c:v>
                </c:pt>
                <c:pt idx="226">
                  <c:v>4.4091553020621337</c:v>
                </c:pt>
                <c:pt idx="227">
                  <c:v>4.389498649512583</c:v>
                </c:pt>
                <c:pt idx="228">
                  <c:v>4.3694478524670215</c:v>
                </c:pt>
                <c:pt idx="229">
                  <c:v>4.3489867805956814</c:v>
                </c:pt>
                <c:pt idx="230">
                  <c:v>4.3294166844015844</c:v>
                </c:pt>
                <c:pt idx="231">
                  <c:v>4.3081109517237133</c:v>
                </c:pt>
                <c:pt idx="232">
                  <c:v>4.2890886390146123</c:v>
                </c:pt>
                <c:pt idx="233">
                  <c:v>4.2682978693455391</c:v>
                </c:pt>
                <c:pt idx="234">
                  <c:v>4.2484952420493594</c:v>
                </c:pt>
                <c:pt idx="235">
                  <c:v>4.2282925347318399</c:v>
                </c:pt>
                <c:pt idx="236">
                  <c:v>4.2076732475291037</c:v>
                </c:pt>
                <c:pt idx="237">
                  <c:v>4.1866198383312714</c:v>
                </c:pt>
                <c:pt idx="238">
                  <c:v>4.1666652238017265</c:v>
                </c:pt>
                <c:pt idx="239">
                  <c:v>4.1447207695471677</c:v>
                </c:pt>
                <c:pt idx="240">
                  <c:v>4.1255201796905503</c:v>
                </c:pt>
              </c:numCache>
            </c:numRef>
          </c:xVal>
          <c:yVal>
            <c:numRef>
              <c:f>'thermistance etalonnage (2)'!$H$2:$H$242</c:f>
              <c:numCache>
                <c:formatCode>General</c:formatCode>
                <c:ptCount val="241"/>
                <c:pt idx="0">
                  <c:v>4.2890842805061126E-3</c:v>
                </c:pt>
                <c:pt idx="1">
                  <c:v>4.2707666026051676E-3</c:v>
                </c:pt>
                <c:pt idx="2">
                  <c:v>4.2526047203912398E-3</c:v>
                </c:pt>
                <c:pt idx="3">
                  <c:v>4.2345966546686433E-3</c:v>
                </c:pt>
                <c:pt idx="4">
                  <c:v>4.2167404596247108E-3</c:v>
                </c:pt>
                <c:pt idx="5">
                  <c:v>4.1990342221289107E-3</c:v>
                </c:pt>
                <c:pt idx="6">
                  <c:v>4.1814760610495508E-3</c:v>
                </c:pt>
                <c:pt idx="7">
                  <c:v>4.1640641265875498E-3</c:v>
                </c:pt>
                <c:pt idx="8">
                  <c:v>4.1467965996267887E-3</c:v>
                </c:pt>
                <c:pt idx="9">
                  <c:v>4.1296716911005575E-3</c:v>
                </c:pt>
                <c:pt idx="10">
                  <c:v>4.1126876413736376E-3</c:v>
                </c:pt>
                <c:pt idx="11">
                  <c:v>4.0958427196395664E-3</c:v>
                </c:pt>
                <c:pt idx="12">
                  <c:v>4.0791352233326538E-3</c:v>
                </c:pt>
                <c:pt idx="13">
                  <c:v>4.0625634775543372E-3</c:v>
                </c:pt>
                <c:pt idx="14">
                  <c:v>4.0461258345134534E-3</c:v>
                </c:pt>
                <c:pt idx="15">
                  <c:v>4.0298206729800527E-3</c:v>
                </c:pt>
                <c:pt idx="16">
                  <c:v>4.013646397752358E-3</c:v>
                </c:pt>
                <c:pt idx="17">
                  <c:v>3.9976014391365187E-3</c:v>
                </c:pt>
                <c:pt idx="18">
                  <c:v>3.9816842524387818E-3</c:v>
                </c:pt>
                <c:pt idx="19">
                  <c:v>3.9658933174697604E-3</c:v>
                </c:pt>
                <c:pt idx="20">
                  <c:v>3.9502271380604387E-3</c:v>
                </c:pt>
                <c:pt idx="21">
                  <c:v>3.9346842415896128E-3</c:v>
                </c:pt>
                <c:pt idx="22">
                  <c:v>3.9192631785224382E-3</c:v>
                </c:pt>
                <c:pt idx="23">
                  <c:v>3.9039625219597896E-3</c:v>
                </c:pt>
                <c:pt idx="24">
                  <c:v>3.8887808671981337E-3</c:v>
                </c:pt>
                <c:pt idx="25">
                  <c:v>3.8737168312996321E-3</c:v>
                </c:pt>
                <c:pt idx="26">
                  <c:v>3.8587690526721979E-3</c:v>
                </c:pt>
                <c:pt idx="27">
                  <c:v>3.8439361906592354E-3</c:v>
                </c:pt>
                <c:pt idx="28">
                  <c:v>3.8292169251388096E-3</c:v>
                </c:pt>
                <c:pt idx="29">
                  <c:v>3.8146099561319857E-3</c:v>
                </c:pt>
                <c:pt idx="30">
                  <c:v>3.800114003420103E-3</c:v>
                </c:pt>
                <c:pt idx="31">
                  <c:v>3.7857278061707365E-3</c:v>
                </c:pt>
                <c:pt idx="32">
                  <c:v>3.7714501225721295E-3</c:v>
                </c:pt>
                <c:pt idx="33">
                  <c:v>3.75727972947586E-3</c:v>
                </c:pt>
                <c:pt idx="34">
                  <c:v>3.7432154220475391E-3</c:v>
                </c:pt>
                <c:pt idx="35">
                  <c:v>3.7292560134253219E-3</c:v>
                </c:pt>
                <c:pt idx="36">
                  <c:v>3.7154003343860304E-3</c:v>
                </c:pt>
                <c:pt idx="37">
                  <c:v>3.7016472330186935E-3</c:v>
                </c:pt>
                <c:pt idx="38">
                  <c:v>3.687995574405311E-3</c:v>
                </c:pt>
                <c:pt idx="39">
                  <c:v>3.6744442403086534E-3</c:v>
                </c:pt>
                <c:pt idx="40">
                  <c:v>3.6609921288669233E-3</c:v>
                </c:pt>
                <c:pt idx="41">
                  <c:v>3.6476381542950944E-3</c:v>
                </c:pt>
                <c:pt idx="42">
                  <c:v>3.6343812465927678E-3</c:v>
                </c:pt>
                <c:pt idx="43">
                  <c:v>3.6212203512583745E-3</c:v>
                </c:pt>
                <c:pt idx="44">
                  <c:v>3.608154429009562E-3</c:v>
                </c:pt>
                <c:pt idx="45">
                  <c:v>3.5951824555096176E-3</c:v>
                </c:pt>
                <c:pt idx="46">
                  <c:v>3.5823034210997673E-3</c:v>
                </c:pt>
                <c:pt idx="47">
                  <c:v>3.5695163305372126E-3</c:v>
                </c:pt>
                <c:pt idx="48">
                  <c:v>3.556820202738752E-3</c:v>
                </c:pt>
                <c:pt idx="49">
                  <c:v>3.5442140705298601E-3</c:v>
                </c:pt>
                <c:pt idx="50">
                  <c:v>3.5316969803990822E-3</c:v>
                </c:pt>
                <c:pt idx="51">
                  <c:v>3.5192679922576107E-3</c:v>
                </c:pt>
                <c:pt idx="52">
                  <c:v>3.5069261792039282E-3</c:v>
                </c:pt>
                <c:pt idx="53">
                  <c:v>3.4946706272933779E-3</c:v>
                </c:pt>
                <c:pt idx="54">
                  <c:v>3.4825004353125546E-3</c:v>
                </c:pt>
                <c:pt idx="55">
                  <c:v>3.4704147145583901E-3</c:v>
                </c:pt>
                <c:pt idx="56">
                  <c:v>3.4584125886218228E-3</c:v>
                </c:pt>
                <c:pt idx="57">
                  <c:v>3.4464931931759437E-3</c:v>
                </c:pt>
                <c:pt idx="58">
                  <c:v>3.4346556757685045E-3</c:v>
                </c:pt>
                <c:pt idx="59">
                  <c:v>3.4228991956186893E-3</c:v>
                </c:pt>
                <c:pt idx="60">
                  <c:v>3.4112229234180458E-3</c:v>
                </c:pt>
                <c:pt idx="61">
                  <c:v>3.3996260411354754E-3</c:v>
                </c:pt>
                <c:pt idx="62">
                  <c:v>3.3881077418261903E-3</c:v>
                </c:pt>
                <c:pt idx="63">
                  <c:v>3.3766672294445383E-3</c:v>
                </c:pt>
                <c:pt idx="64">
                  <c:v>3.3653037186606094E-3</c:v>
                </c:pt>
                <c:pt idx="65">
                  <c:v>3.3540164346805303E-3</c:v>
                </c:pt>
                <c:pt idx="66">
                  <c:v>3.3428046130703662E-3</c:v>
                </c:pt>
                <c:pt idx="67">
                  <c:v>3.331667499583542E-3</c:v>
                </c:pt>
                <c:pt idx="68">
                  <c:v>3.3206043499916988E-3</c:v>
                </c:pt>
                <c:pt idx="69">
                  <c:v>3.3096144299189145E-3</c:v>
                </c:pt>
                <c:pt idx="70">
                  <c:v>3.298697014679202E-3</c:v>
                </c:pt>
                <c:pt idx="71">
                  <c:v>3.287851389117212E-3</c:v>
                </c:pt>
                <c:pt idx="72">
                  <c:v>3.2770768474520728E-3</c:v>
                </c:pt>
                <c:pt idx="73">
                  <c:v>3.2663726931242859E-3</c:v>
                </c:pt>
                <c:pt idx="74">
                  <c:v>3.255738238645613E-3</c:v>
                </c:pt>
                <c:pt idx="75">
                  <c:v>3.2451728054518907E-3</c:v>
                </c:pt>
                <c:pt idx="76">
                  <c:v>3.2346757237586934E-3</c:v>
                </c:pt>
                <c:pt idx="77">
                  <c:v>3.224246332419797E-3</c:v>
                </c:pt>
                <c:pt idx="78">
                  <c:v>3.2138839787883662E-3</c:v>
                </c:pt>
                <c:pt idx="79">
                  <c:v>3.2035880185808108E-3</c:v>
                </c:pt>
                <c:pt idx="80">
                  <c:v>3.1933578157432542E-3</c:v>
                </c:pt>
                <c:pt idx="81">
                  <c:v>3.1831927423205475E-3</c:v>
                </c:pt>
                <c:pt idx="82">
                  <c:v>3.1730921783277807E-3</c:v>
                </c:pt>
                <c:pt idx="83">
                  <c:v>3.1630555116242292E-3</c:v>
                </c:pt>
                <c:pt idx="84">
                  <c:v>3.1530821377896896E-3</c:v>
                </c:pt>
                <c:pt idx="85">
                  <c:v>3.1431714600031434E-3</c:v>
                </c:pt>
                <c:pt idx="86">
                  <c:v>3.1333228889237038E-3</c:v>
                </c:pt>
                <c:pt idx="87">
                  <c:v>3.1235358425737939E-3</c:v>
                </c:pt>
                <c:pt idx="88">
                  <c:v>3.1138097462245057E-3</c:v>
                </c:pt>
                <c:pt idx="89">
                  <c:v>3.1041440322830982E-3</c:v>
                </c:pt>
                <c:pt idx="90">
                  <c:v>3.0945381401825778E-3</c:v>
                </c:pt>
                <c:pt idx="91">
                  <c:v>3.0849915162733305E-3</c:v>
                </c:pt>
                <c:pt idx="92">
                  <c:v>3.0755036137167465E-3</c:v>
                </c:pt>
                <c:pt idx="93">
                  <c:v>3.0660738923808067E-3</c:v>
                </c:pt>
                <c:pt idx="94">
                  <c:v>3.0567018187375823E-3</c:v>
                </c:pt>
                <c:pt idx="95">
                  <c:v>3.0473868657626088E-3</c:v>
                </c:pt>
                <c:pt idx="96">
                  <c:v>3.0381285128360932E-3</c:v>
                </c:pt>
                <c:pt idx="97">
                  <c:v>3.0289262456459189E-3</c:v>
                </c:pt>
                <c:pt idx="98">
                  <c:v>3.0197795560924054E-3</c:v>
                </c:pt>
                <c:pt idx="99">
                  <c:v>3.0106879421947915E-3</c:v>
                </c:pt>
                <c:pt idx="100">
                  <c:v>3.0016509079993999E-3</c:v>
                </c:pt>
                <c:pt idx="101">
                  <c:v>2.9926679634894511E-3</c:v>
                </c:pt>
                <c:pt idx="102">
                  <c:v>2.9837386244964941E-3</c:v>
                </c:pt>
                <c:pt idx="103">
                  <c:v>2.974862412613417E-3</c:v>
                </c:pt>
                <c:pt idx="104">
                  <c:v>2.9660388551090021E-3</c:v>
                </c:pt>
                <c:pt idx="105">
                  <c:v>2.9572674848440043E-3</c:v>
                </c:pt>
                <c:pt idx="106">
                  <c:v>2.9485478401887074E-3</c:v>
                </c:pt>
                <c:pt idx="107">
                  <c:v>2.9398794649419377E-3</c:v>
                </c:pt>
                <c:pt idx="108">
                  <c:v>2.9312619082515023E-3</c:v>
                </c:pt>
                <c:pt idx="109">
                  <c:v>2.9226947245360223E-3</c:v>
                </c:pt>
                <c:pt idx="110">
                  <c:v>2.9141774734081308E-3</c:v>
                </c:pt>
                <c:pt idx="111">
                  <c:v>2.9057097195990121E-3</c:v>
                </c:pt>
                <c:pt idx="112">
                  <c:v>2.8972910328842532E-3</c:v>
                </c:pt>
                <c:pt idx="113">
                  <c:v>2.8889209880109783E-3</c:v>
                </c:pt>
                <c:pt idx="114">
                  <c:v>2.8805991646262425E-3</c:v>
                </c:pt>
                <c:pt idx="115">
                  <c:v>2.8723251472066642E-3</c:v>
                </c:pt>
                <c:pt idx="116">
                  <c:v>2.8640985249892598E-3</c:v>
                </c:pt>
                <c:pt idx="117">
                  <c:v>2.8559188919034702E-3</c:v>
                </c:pt>
                <c:pt idx="118">
                  <c:v>2.847785846504343E-3</c:v>
                </c:pt>
                <c:pt idx="119">
                  <c:v>2.8396989919068582E-3</c:v>
                </c:pt>
                <c:pt idx="120">
                  <c:v>2.831657935721365E-3</c:v>
                </c:pt>
                <c:pt idx="121">
                  <c:v>2.8236622899901172E-3</c:v>
                </c:pt>
                <c:pt idx="122">
                  <c:v>2.8157116711248768E-3</c:v>
                </c:pt>
                <c:pt idx="123">
                  <c:v>2.8078056998455708E-3</c:v>
                </c:pt>
                <c:pt idx="124">
                  <c:v>2.7999440011199778E-3</c:v>
                </c:pt>
                <c:pt idx="125">
                  <c:v>2.7921262041044259E-3</c:v>
                </c:pt>
                <c:pt idx="126">
                  <c:v>2.78435194208548E-3</c:v>
                </c:pt>
                <c:pt idx="127">
                  <c:v>2.7766208524226017E-3</c:v>
                </c:pt>
                <c:pt idx="128">
                  <c:v>2.7689325764917627E-3</c:v>
                </c:pt>
                <c:pt idx="129">
                  <c:v>2.7612867596299878E-3</c:v>
                </c:pt>
                <c:pt idx="130">
                  <c:v>2.7536830510808208E-3</c:v>
                </c:pt>
                <c:pt idx="131">
                  <c:v>2.746121103940684E-3</c:v>
                </c:pt>
                <c:pt idx="132">
                  <c:v>2.738600575106121E-3</c:v>
                </c:pt>
                <c:pt idx="133">
                  <c:v>2.7311211252219036E-3</c:v>
                </c:pt>
                <c:pt idx="134">
                  <c:v>2.7236824186299877E-3</c:v>
                </c:pt>
                <c:pt idx="135">
                  <c:v>2.7162841233192994E-3</c:v>
                </c:pt>
                <c:pt idx="136">
                  <c:v>2.7089259108763375E-3</c:v>
                </c:pt>
                <c:pt idx="137">
                  <c:v>2.7016074564365799E-3</c:v>
                </c:pt>
                <c:pt idx="138">
                  <c:v>2.6943284386366701E-3</c:v>
                </c:pt>
                <c:pt idx="139">
                  <c:v>2.6870885395673789E-3</c:v>
                </c:pt>
                <c:pt idx="140">
                  <c:v>2.6798874447273215E-3</c:v>
                </c:pt>
                <c:pt idx="141">
                  <c:v>2.6727248429774158E-3</c:v>
                </c:pt>
                <c:pt idx="142">
                  <c:v>2.6656004264960682E-3</c:v>
                </c:pt>
                <c:pt idx="143">
                  <c:v>2.6585138907350794E-3</c:v>
                </c:pt>
                <c:pt idx="144">
                  <c:v>2.6514649343762431E-3</c:v>
                </c:pt>
                <c:pt idx="145">
                  <c:v>2.6444532592886424E-3</c:v>
                </c:pt>
                <c:pt idx="146">
                  <c:v>2.6374785704866149E-3</c:v>
                </c:pt>
                <c:pt idx="147">
                  <c:v>2.6305405760883864E-3</c:v>
                </c:pt>
                <c:pt idx="148">
                  <c:v>2.6236389872753511E-3</c:v>
                </c:pt>
                <c:pt idx="149">
                  <c:v>2.6167735182519953E-3</c:v>
                </c:pt>
                <c:pt idx="150">
                  <c:v>2.6099438862064468E-3</c:v>
                </c:pt>
                <c:pt idx="151">
                  <c:v>2.6031498112716388E-3</c:v>
                </c:pt>
                <c:pt idx="152">
                  <c:v>2.5963910164870829E-3</c:v>
                </c:pt>
                <c:pt idx="153">
                  <c:v>2.589667227761233E-3</c:v>
                </c:pt>
                <c:pt idx="154">
                  <c:v>2.5829781738344313E-3</c:v>
                </c:pt>
                <c:pt idx="155">
                  <c:v>2.5763235862424324E-3</c:v>
                </c:pt>
                <c:pt idx="156">
                  <c:v>2.5697031992804832E-3</c:v>
                </c:pt>
                <c:pt idx="157">
                  <c:v>2.5631167499679613E-3</c:v>
                </c:pt>
                <c:pt idx="158">
                  <c:v>2.5565639780135499E-3</c:v>
                </c:pt>
                <c:pt idx="159">
                  <c:v>2.5500446257809514E-3</c:v>
                </c:pt>
                <c:pt idx="160">
                  <c:v>2.5435584382551188E-3</c:v>
                </c:pt>
                <c:pt idx="161">
                  <c:v>2.5371051630090069E-3</c:v>
                </c:pt>
                <c:pt idx="162">
                  <c:v>2.5306845501708213E-3</c:v>
                </c:pt>
                <c:pt idx="163">
                  <c:v>2.5242963523917708E-3</c:v>
                </c:pt>
                <c:pt idx="164">
                  <c:v>2.517940324814302E-3</c:v>
                </c:pt>
                <c:pt idx="165">
                  <c:v>2.511616225040814E-3</c:v>
                </c:pt>
                <c:pt idx="166">
                  <c:v>2.5053238131028436E-3</c:v>
                </c:pt>
                <c:pt idx="167">
                  <c:v>2.4990628514307135E-3</c:v>
                </c:pt>
                <c:pt idx="168">
                  <c:v>2.4928331048236323E-3</c:v>
                </c:pt>
                <c:pt idx="169">
                  <c:v>2.4866343404202412E-3</c:v>
                </c:pt>
                <c:pt idx="170">
                  <c:v>2.4804663276696021E-3</c:v>
                </c:pt>
                <c:pt idx="171">
                  <c:v>2.4743288383026105E-3</c:v>
                </c:pt>
                <c:pt idx="172">
                  <c:v>2.4682216463038382E-3</c:v>
                </c:pt>
                <c:pt idx="173">
                  <c:v>2.4621445278837869E-3</c:v>
                </c:pt>
                <c:pt idx="174">
                  <c:v>2.4560972614515535E-3</c:v>
                </c:pt>
                <c:pt idx="175">
                  <c:v>2.4500796275878966E-3</c:v>
                </c:pt>
                <c:pt idx="176">
                  <c:v>2.4440914090186976E-3</c:v>
                </c:pt>
                <c:pt idx="177">
                  <c:v>2.4381323905888091E-3</c:v>
                </c:pt>
                <c:pt idx="178">
                  <c:v>2.4322023592362888E-3</c:v>
                </c:pt>
                <c:pt idx="179">
                  <c:v>2.4263011039670026E-3</c:v>
                </c:pt>
                <c:pt idx="180">
                  <c:v>2.4204284158296022E-3</c:v>
                </c:pt>
                <c:pt idx="181">
                  <c:v>2.4145840878908608E-3</c:v>
                </c:pt>
                <c:pt idx="182">
                  <c:v>2.4087679152113694E-3</c:v>
                </c:pt>
                <c:pt idx="183">
                  <c:v>2.4029796948215787E-3</c:v>
                </c:pt>
                <c:pt idx="184">
                  <c:v>2.3972192256981901E-3</c:v>
                </c:pt>
                <c:pt idx="185">
                  <c:v>2.3914863087408826E-3</c:v>
                </c:pt>
                <c:pt idx="186">
                  <c:v>2.3857807467493738E-3</c:v>
                </c:pt>
                <c:pt idx="187">
                  <c:v>2.3801023444008093E-3</c:v>
                </c:pt>
                <c:pt idx="188">
                  <c:v>2.3744509082274726E-3</c:v>
                </c:pt>
                <c:pt idx="189">
                  <c:v>2.3688262465948124E-3</c:v>
                </c:pt>
                <c:pt idx="190">
                  <c:v>2.3632281696797826E-3</c:v>
                </c:pt>
                <c:pt idx="191">
                  <c:v>2.3576564894494875E-3</c:v>
                </c:pt>
                <c:pt idx="192">
                  <c:v>2.3521110196401272E-3</c:v>
                </c:pt>
                <c:pt idx="193">
                  <c:v>2.3465915757362433E-3</c:v>
                </c:pt>
                <c:pt idx="194">
                  <c:v>2.3410979749502519E-3</c:v>
                </c:pt>
                <c:pt idx="195">
                  <c:v>2.3356300362022656E-3</c:v>
                </c:pt>
                <c:pt idx="196">
                  <c:v>2.3301875801001984E-3</c:v>
                </c:pt>
                <c:pt idx="197">
                  <c:v>2.3247704289201441E-3</c:v>
                </c:pt>
                <c:pt idx="198">
                  <c:v>2.3193784065870349E-3</c:v>
                </c:pt>
                <c:pt idx="199">
                  <c:v>2.3140113386555597E-3</c:v>
                </c:pt>
                <c:pt idx="200">
                  <c:v>2.3086690522913541E-3</c:v>
                </c:pt>
                <c:pt idx="201">
                  <c:v>2.3033513762524475E-3</c:v>
                </c:pt>
                <c:pt idx="202">
                  <c:v>2.2980581408709642E-3</c:v>
                </c:pt>
                <c:pt idx="203">
                  <c:v>2.2927891780350797E-3</c:v>
                </c:pt>
                <c:pt idx="204">
                  <c:v>2.2875443211712227E-3</c:v>
                </c:pt>
                <c:pt idx="205">
                  <c:v>2.2823234052265209E-3</c:v>
                </c:pt>
                <c:pt idx="206">
                  <c:v>2.277126266651486E-3</c:v>
                </c:pt>
                <c:pt idx="207">
                  <c:v>2.2719527433829379E-3</c:v>
                </c:pt>
                <c:pt idx="208">
                  <c:v>2.2668026748271564E-3</c:v>
                </c:pt>
                <c:pt idx="209">
                  <c:v>2.2616759018432662E-3</c:v>
                </c:pt>
                <c:pt idx="210">
                  <c:v>2.2565722667268421E-3</c:v>
                </c:pt>
                <c:pt idx="211">
                  <c:v>2.251491613193741E-3</c:v>
                </c:pt>
                <c:pt idx="212">
                  <c:v>2.2464337863641469E-3</c:v>
                </c:pt>
                <c:pt idx="213">
                  <c:v>2.241398632746834E-3</c:v>
                </c:pt>
                <c:pt idx="214">
                  <c:v>2.2363860002236387E-3</c:v>
                </c:pt>
                <c:pt idx="215">
                  <c:v>2.2313957380341405E-3</c:v>
                </c:pt>
                <c:pt idx="216">
                  <c:v>2.2264276967605477E-3</c:v>
                </c:pt>
                <c:pt idx="217">
                  <c:v>2.2214817283127846E-3</c:v>
                </c:pt>
                <c:pt idx="218">
                  <c:v>2.2165576859137759E-3</c:v>
                </c:pt>
                <c:pt idx="219">
                  <c:v>2.2116554240849276E-3</c:v>
                </c:pt>
                <c:pt idx="220">
                  <c:v>2.2067747986317999E-3</c:v>
                </c:pt>
                <c:pt idx="221">
                  <c:v>2.2019156666299683E-3</c:v>
                </c:pt>
                <c:pt idx="222">
                  <c:v>2.1970778864110734E-3</c:v>
                </c:pt>
                <c:pt idx="223">
                  <c:v>2.1922613175490518E-3</c:v>
                </c:pt>
                <c:pt idx="224">
                  <c:v>2.1874658208465496E-3</c:v>
                </c:pt>
                <c:pt idx="225">
                  <c:v>2.1826912583215105E-3</c:v>
                </c:pt>
                <c:pt idx="226">
                  <c:v>2.1779374931939453E-3</c:v>
                </c:pt>
                <c:pt idx="227">
                  <c:v>2.1732043898728677E-3</c:v>
                </c:pt>
                <c:pt idx="228">
                  <c:v>2.1684918139434025E-3</c:v>
                </c:pt>
                <c:pt idx="229">
                  <c:v>2.1637996321540627E-3</c:v>
                </c:pt>
                <c:pt idx="230">
                  <c:v>2.1591277124041889E-3</c:v>
                </c:pt>
                <c:pt idx="231">
                  <c:v>2.1544759237315525E-3</c:v>
                </c:pt>
                <c:pt idx="232">
                  <c:v>2.1498441363001185E-3</c:v>
                </c:pt>
                <c:pt idx="233">
                  <c:v>2.1452322213879652E-3</c:v>
                </c:pt>
                <c:pt idx="234">
                  <c:v>2.1406400513753615E-3</c:v>
                </c:pt>
                <c:pt idx="235">
                  <c:v>2.1360674997329917E-3</c:v>
                </c:pt>
                <c:pt idx="236">
                  <c:v>2.1315144410103378E-3</c:v>
                </c:pt>
                <c:pt idx="237">
                  <c:v>2.126980750824205E-3</c:v>
                </c:pt>
                <c:pt idx="238">
                  <c:v>2.1224663058473947E-3</c:v>
                </c:pt>
                <c:pt idx="239">
                  <c:v>2.117970983797522E-3</c:v>
                </c:pt>
                <c:pt idx="240">
                  <c:v>2.1134946634259748E-3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76-451C-93F1-7A62849D3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5945775"/>
        <c:axId val="1460753135"/>
      </c:scatterChart>
      <c:valAx>
        <c:axId val="1475945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60753135"/>
        <c:crosses val="autoZero"/>
        <c:crossBetween val="midCat"/>
      </c:valAx>
      <c:valAx>
        <c:axId val="146075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7594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'thermistance etalonnage (2)'!$L$1</c:f>
              <c:strCache>
                <c:ptCount val="1"/>
                <c:pt idx="0">
                  <c:v>erreur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'thermistance etalonnage (2)'!$L$2:$L$242</c:f>
              <c:numCache>
                <c:formatCode>General</c:formatCode>
                <c:ptCount val="241"/>
                <c:pt idx="0">
                  <c:v>3.826618636895887</c:v>
                </c:pt>
                <c:pt idx="1">
                  <c:v>3.5461383654782423</c:v>
                </c:pt>
                <c:pt idx="2">
                  <c:v>3.3027446486729843</c:v>
                </c:pt>
                <c:pt idx="3">
                  <c:v>3.0943070079969743</c:v>
                </c:pt>
                <c:pt idx="4">
                  <c:v>2.9046750350923958</c:v>
                </c:pt>
                <c:pt idx="5">
                  <c:v>2.7478262854151012</c:v>
                </c:pt>
                <c:pt idx="6">
                  <c:v>2.6041716802763801</c:v>
                </c:pt>
                <c:pt idx="7">
                  <c:v>2.4880319021667106</c:v>
                </c:pt>
                <c:pt idx="8">
                  <c:v>2.3751997388600046</c:v>
                </c:pt>
                <c:pt idx="9">
                  <c:v>2.2797841974903577</c:v>
                </c:pt>
                <c:pt idx="10">
                  <c:v>2.2006748329236814</c:v>
                </c:pt>
                <c:pt idx="11">
                  <c:v>2.1155364937186505</c:v>
                </c:pt>
                <c:pt idx="12">
                  <c:v>2.0513510120787259</c:v>
                </c:pt>
                <c:pt idx="13">
                  <c:v>1.9837124897847218</c:v>
                </c:pt>
                <c:pt idx="14">
                  <c:v>1.9193970740336113</c:v>
                </c:pt>
                <c:pt idx="15">
                  <c:v>1.8539837429723605</c:v>
                </c:pt>
                <c:pt idx="16">
                  <c:v>1.7821620658774577</c:v>
                </c:pt>
                <c:pt idx="17">
                  <c:v>1.728684506460894</c:v>
                </c:pt>
                <c:pt idx="18">
                  <c:v>1.6592845028709462</c:v>
                </c:pt>
                <c:pt idx="19">
                  <c:v>1.583419188621491</c:v>
                </c:pt>
                <c:pt idx="20">
                  <c:v>1.5082794316834622</c:v>
                </c:pt>
                <c:pt idx="21">
                  <c:v>1.4094063149737224</c:v>
                </c:pt>
                <c:pt idx="22">
                  <c:v>1.3076156500541174</c:v>
                </c:pt>
                <c:pt idx="23">
                  <c:v>1.2027862462657026</c:v>
                </c:pt>
                <c:pt idx="24">
                  <c:v>1.0951540259172248</c:v>
                </c:pt>
                <c:pt idx="25">
                  <c:v>0.98793886581188417</c:v>
                </c:pt>
                <c:pt idx="26">
                  <c:v>0.87469336148814136</c:v>
                </c:pt>
                <c:pt idx="27">
                  <c:v>0.76487805539795772</c:v>
                </c:pt>
                <c:pt idx="28">
                  <c:v>0.6524207952982124</c:v>
                </c:pt>
                <c:pt idx="29">
                  <c:v>0.53642312423431804</c:v>
                </c:pt>
                <c:pt idx="30">
                  <c:v>0.42290836333620518</c:v>
                </c:pt>
                <c:pt idx="31">
                  <c:v>0.3124371460219777</c:v>
                </c:pt>
                <c:pt idx="32">
                  <c:v>0.19826482182298832</c:v>
                </c:pt>
                <c:pt idx="33">
                  <c:v>8.8397257562178311E-2</c:v>
                </c:pt>
                <c:pt idx="34">
                  <c:v>2.4056338563696045E-2</c:v>
                </c:pt>
                <c:pt idx="35">
                  <c:v>0.13389366401355574</c:v>
                </c:pt>
                <c:pt idx="36">
                  <c:v>0.24397075620566966</c:v>
                </c:pt>
                <c:pt idx="37">
                  <c:v>0.34754686189569384</c:v>
                </c:pt>
                <c:pt idx="38">
                  <c:v>0.45208901435717053</c:v>
                </c:pt>
                <c:pt idx="39">
                  <c:v>0.5554163721869827</c:v>
                </c:pt>
                <c:pt idx="40">
                  <c:v>0.65461654948808246</c:v>
                </c:pt>
                <c:pt idx="41">
                  <c:v>0.72711618274678358</c:v>
                </c:pt>
                <c:pt idx="42">
                  <c:v>0.80474117625470853</c:v>
                </c:pt>
                <c:pt idx="43">
                  <c:v>0.87079547008977443</c:v>
                </c:pt>
                <c:pt idx="44">
                  <c:v>0.9414878736904484</c:v>
                </c:pt>
                <c:pt idx="45">
                  <c:v>1.0132186023980125</c:v>
                </c:pt>
                <c:pt idx="46">
                  <c:v>1.0729935856820703</c:v>
                </c:pt>
                <c:pt idx="47">
                  <c:v>1.139548993442645</c:v>
                </c:pt>
                <c:pt idx="48">
                  <c:v>1.1989840220051633</c:v>
                </c:pt>
                <c:pt idx="49">
                  <c:v>1.2630983483576301</c:v>
                </c:pt>
                <c:pt idx="50">
                  <c:v>1.3154696588200636</c:v>
                </c:pt>
                <c:pt idx="51">
                  <c:v>1.3681872391149454</c:v>
                </c:pt>
                <c:pt idx="52">
                  <c:v>1.424597638196758</c:v>
                </c:pt>
                <c:pt idx="53">
                  <c:v>1.476526712307475</c:v>
                </c:pt>
                <c:pt idx="54">
                  <c:v>1.5264164871722983</c:v>
                </c:pt>
                <c:pt idx="55">
                  <c:v>1.5771106201256089</c:v>
                </c:pt>
                <c:pt idx="56">
                  <c:v>1.6318896941317576</c:v>
                </c:pt>
                <c:pt idx="57">
                  <c:v>1.6648887851287668</c:v>
                </c:pt>
                <c:pt idx="58">
                  <c:v>1.7068703931024061</c:v>
                </c:pt>
                <c:pt idx="59">
                  <c:v>1.7624565037916682</c:v>
                </c:pt>
                <c:pt idx="60">
                  <c:v>1.8022877634116981</c:v>
                </c:pt>
                <c:pt idx="61">
                  <c:v>1.8268025466771292</c:v>
                </c:pt>
                <c:pt idx="62">
                  <c:v>1.8749178264987449</c:v>
                </c:pt>
                <c:pt idx="63">
                  <c:v>1.8930077600060145</c:v>
                </c:pt>
                <c:pt idx="64">
                  <c:v>1.9428435046070831</c:v>
                </c:pt>
                <c:pt idx="65">
                  <c:v>1.9656070833707986</c:v>
                </c:pt>
                <c:pt idx="66">
                  <c:v>1.9950483225567268</c:v>
                </c:pt>
                <c:pt idx="67">
                  <c:v>2.0228767670718071</c:v>
                </c:pt>
                <c:pt idx="68">
                  <c:v>2.0491582814788671</c:v>
                </c:pt>
                <c:pt idx="69">
                  <c:v>2.0738181537740275</c:v>
                </c:pt>
                <c:pt idx="70">
                  <c:v>2.0937597623772604</c:v>
                </c:pt>
                <c:pt idx="71">
                  <c:v>2.117102356196142</c:v>
                </c:pt>
                <c:pt idx="72">
                  <c:v>2.1346104041051035</c:v>
                </c:pt>
                <c:pt idx="73">
                  <c:v>2.1547982508194536</c:v>
                </c:pt>
                <c:pt idx="74">
                  <c:v>2.1704596003045253</c:v>
                </c:pt>
                <c:pt idx="75">
                  <c:v>2.1873007409123488</c:v>
                </c:pt>
                <c:pt idx="76">
                  <c:v>2.2006093580212109</c:v>
                </c:pt>
                <c:pt idx="77">
                  <c:v>2.2125694068429311</c:v>
                </c:pt>
                <c:pt idx="78">
                  <c:v>2.2214872703866035</c:v>
                </c:pt>
                <c:pt idx="79">
                  <c:v>2.2339937193348192</c:v>
                </c:pt>
                <c:pt idx="80">
                  <c:v>2.2394507592053969</c:v>
                </c:pt>
                <c:pt idx="81">
                  <c:v>2.2491107589913781</c:v>
                </c:pt>
                <c:pt idx="82">
                  <c:v>2.2510325535375273</c:v>
                </c:pt>
                <c:pt idx="83">
                  <c:v>2.2572796281646106</c:v>
                </c:pt>
                <c:pt idx="84">
                  <c:v>2.259966288321607</c:v>
                </c:pt>
                <c:pt idx="85">
                  <c:v>2.2611256602686467</c:v>
                </c:pt>
                <c:pt idx="86">
                  <c:v>2.2630746772467205</c:v>
                </c:pt>
                <c:pt idx="87">
                  <c:v>2.2620751590968666</c:v>
                </c:pt>
                <c:pt idx="88">
                  <c:v>2.2601957634147425</c:v>
                </c:pt>
                <c:pt idx="89">
                  <c:v>2.2597849969422441</c:v>
                </c:pt>
                <c:pt idx="90">
                  <c:v>2.2562126727723353</c:v>
                </c:pt>
                <c:pt idx="91">
                  <c:v>2.2514558476211732</c:v>
                </c:pt>
                <c:pt idx="92">
                  <c:v>2.2477567131604701</c:v>
                </c:pt>
                <c:pt idx="93">
                  <c:v>2.2393278085423276</c:v>
                </c:pt>
                <c:pt idx="94">
                  <c:v>2.2365689240343158</c:v>
                </c:pt>
                <c:pt idx="95">
                  <c:v>2.224443781398918</c:v>
                </c:pt>
                <c:pt idx="96">
                  <c:v>2.213471371413732</c:v>
                </c:pt>
                <c:pt idx="97">
                  <c:v>2.20613088987335</c:v>
                </c:pt>
                <c:pt idx="98">
                  <c:v>2.1948593257872062</c:v>
                </c:pt>
                <c:pt idx="99">
                  <c:v>2.1921665650471027</c:v>
                </c:pt>
                <c:pt idx="100">
                  <c:v>2.178908167816644</c:v>
                </c:pt>
                <c:pt idx="101">
                  <c:v>2.1676130108859866</c:v>
                </c:pt>
                <c:pt idx="102">
                  <c:v>2.1484938007271239</c:v>
                </c:pt>
                <c:pt idx="103">
                  <c:v>2.1354824612706693</c:v>
                </c:pt>
                <c:pt idx="104">
                  <c:v>2.1315502663657071</c:v>
                </c:pt>
                <c:pt idx="105">
                  <c:v>2.1122248078443704</c:v>
                </c:pt>
                <c:pt idx="106">
                  <c:v>2.0920703639956173</c:v>
                </c:pt>
                <c:pt idx="107">
                  <c:v>2.0881751746629789</c:v>
                </c:pt>
                <c:pt idx="108">
                  <c:v>2.0732764327553355</c:v>
                </c:pt>
                <c:pt idx="109">
                  <c:v>2.0479866843211312</c:v>
                </c:pt>
                <c:pt idx="110">
                  <c:v>2.0300684232505546</c:v>
                </c:pt>
                <c:pt idx="111">
                  <c:v>2.022493907461751</c:v>
                </c:pt>
                <c:pt idx="112">
                  <c:v>2.0100764137974352</c:v>
                </c:pt>
                <c:pt idx="113">
                  <c:v>1.9941443199020341</c:v>
                </c:pt>
                <c:pt idx="114">
                  <c:v>1.9761949044302014</c:v>
                </c:pt>
                <c:pt idx="115">
                  <c:v>1.9579066047747915</c:v>
                </c:pt>
                <c:pt idx="116">
                  <c:v>1.9411508668537181</c:v>
                </c:pt>
                <c:pt idx="117">
                  <c:v>1.9280032156901825</c:v>
                </c:pt>
                <c:pt idx="118">
                  <c:v>1.8974059269561394</c:v>
                </c:pt>
                <c:pt idx="119">
                  <c:v>1.8976632408761702</c:v>
                </c:pt>
                <c:pt idx="120">
                  <c:v>1.8838561102692211</c:v>
                </c:pt>
                <c:pt idx="121">
                  <c:v>1.8560646690893918</c:v>
                </c:pt>
                <c:pt idx="122">
                  <c:v>1.8416406086279835</c:v>
                </c:pt>
                <c:pt idx="123">
                  <c:v>1.8156963676426585</c:v>
                </c:pt>
                <c:pt idx="124">
                  <c:v>1.8079842521179899</c:v>
                </c:pt>
                <c:pt idx="125">
                  <c:v>1.7919057602783255</c:v>
                </c:pt>
                <c:pt idx="126">
                  <c:v>1.799768592722728</c:v>
                </c:pt>
                <c:pt idx="127">
                  <c:v>1.7868001959964204</c:v>
                </c:pt>
                <c:pt idx="128">
                  <c:v>1.7828127823805175</c:v>
                </c:pt>
                <c:pt idx="129">
                  <c:v>1.7763502518947121</c:v>
                </c:pt>
                <c:pt idx="130">
                  <c:v>1.7723709528621043</c:v>
                </c:pt>
                <c:pt idx="131">
                  <c:v>1.7651532175590887</c:v>
                </c:pt>
                <c:pt idx="132">
                  <c:v>1.7558917351316268</c:v>
                </c:pt>
                <c:pt idx="133">
                  <c:v>1.7459112110093997</c:v>
                </c:pt>
                <c:pt idx="134">
                  <c:v>1.7324635855667907</c:v>
                </c:pt>
                <c:pt idx="135">
                  <c:v>1.721065189268586</c:v>
                </c:pt>
                <c:pt idx="136">
                  <c:v>1.7044274524257617</c:v>
                </c:pt>
                <c:pt idx="137">
                  <c:v>1.6881732263138929</c:v>
                </c:pt>
                <c:pt idx="138">
                  <c:v>1.669008653231117</c:v>
                </c:pt>
                <c:pt idx="139">
                  <c:v>1.6481193365054878</c:v>
                </c:pt>
                <c:pt idx="140">
                  <c:v>1.6216186603369351</c:v>
                </c:pt>
                <c:pt idx="141">
                  <c:v>1.6387920047223474</c:v>
                </c:pt>
                <c:pt idx="142">
                  <c:v>1.6444750337367395</c:v>
                </c:pt>
                <c:pt idx="143">
                  <c:v>1.6445431512762525</c:v>
                </c:pt>
                <c:pt idx="144">
                  <c:v>1.6338151025428829</c:v>
                </c:pt>
                <c:pt idx="145">
                  <c:v>1.618673502513559</c:v>
                </c:pt>
                <c:pt idx="146">
                  <c:v>1.5936826675639395</c:v>
                </c:pt>
                <c:pt idx="147">
                  <c:v>1.5657833089589417</c:v>
                </c:pt>
                <c:pt idx="148">
                  <c:v>1.529279634177044</c:v>
                </c:pt>
                <c:pt idx="149">
                  <c:v>1.4846885399272765</c:v>
                </c:pt>
                <c:pt idx="150">
                  <c:v>1.4398787553223542</c:v>
                </c:pt>
                <c:pt idx="151">
                  <c:v>1.3887418893251038</c:v>
                </c:pt>
                <c:pt idx="152">
                  <c:v>1.3320572935858195</c:v>
                </c:pt>
                <c:pt idx="153">
                  <c:v>1.2706961226321027</c:v>
                </c:pt>
                <c:pt idx="154">
                  <c:v>1.2056278460570411</c:v>
                </c:pt>
                <c:pt idx="155">
                  <c:v>1.1293076579497665</c:v>
                </c:pt>
                <c:pt idx="156">
                  <c:v>1.059865559865159</c:v>
                </c:pt>
                <c:pt idx="157">
                  <c:v>0.9810530689544521</c:v>
                </c:pt>
                <c:pt idx="158">
                  <c:v>0.89335630195529347</c:v>
                </c:pt>
                <c:pt idx="159">
                  <c:v>0.81705676199777599</c:v>
                </c:pt>
                <c:pt idx="160">
                  <c:v>0.72421728794057572</c:v>
                </c:pt>
                <c:pt idx="161">
                  <c:v>0.63566919090254714</c:v>
                </c:pt>
                <c:pt idx="162">
                  <c:v>0.54242933789629433</c:v>
                </c:pt>
                <c:pt idx="163">
                  <c:v>0.45673676269177577</c:v>
                </c:pt>
                <c:pt idx="164">
                  <c:v>0.3575199779805871</c:v>
                </c:pt>
                <c:pt idx="165">
                  <c:v>0.25686274991460323</c:v>
                </c:pt>
                <c:pt idx="166">
                  <c:v>0.18092666249498279</c:v>
                </c:pt>
                <c:pt idx="167">
                  <c:v>9.5077420927509593E-2</c:v>
                </c:pt>
                <c:pt idx="168">
                  <c:v>3.2441878022382298E-4</c:v>
                </c:pt>
                <c:pt idx="169">
                  <c:v>9.1174431213801199E-2</c:v>
                </c:pt>
                <c:pt idx="170">
                  <c:v>0.17565478409824209</c:v>
                </c:pt>
                <c:pt idx="171">
                  <c:v>0.26638725402705177</c:v>
                </c:pt>
                <c:pt idx="172">
                  <c:v>0.36266452020771567</c:v>
                </c:pt>
                <c:pt idx="173">
                  <c:v>0.46370122083880005</c:v>
                </c:pt>
                <c:pt idx="174">
                  <c:v>0.55259532956409885</c:v>
                </c:pt>
                <c:pt idx="175">
                  <c:v>0.65994203683368369</c:v>
                </c:pt>
                <c:pt idx="176">
                  <c:v>0.75208780882252313</c:v>
                </c:pt>
                <c:pt idx="177">
                  <c:v>0.84387439919140661</c:v>
                </c:pt>
                <c:pt idx="178">
                  <c:v>0.95215982948013789</c:v>
                </c:pt>
                <c:pt idx="179">
                  <c:v>1.0398000077076404</c:v>
                </c:pt>
                <c:pt idx="180">
                  <c:v>1.1421835548239869</c:v>
                </c:pt>
                <c:pt idx="181">
                  <c:v>1.2395700196385064</c:v>
                </c:pt>
                <c:pt idx="182">
                  <c:v>1.3302518880422554</c:v>
                </c:pt>
                <c:pt idx="183">
                  <c:v>1.4335286721719172</c:v>
                </c:pt>
                <c:pt idx="184">
                  <c:v>1.5275885302310144</c:v>
                </c:pt>
                <c:pt idx="185">
                  <c:v>1.632815659428104</c:v>
                </c:pt>
                <c:pt idx="186">
                  <c:v>1.7259323610791739</c:v>
                </c:pt>
                <c:pt idx="187">
                  <c:v>1.804656549166566</c:v>
                </c:pt>
                <c:pt idx="188">
                  <c:v>1.8910645469764518</c:v>
                </c:pt>
                <c:pt idx="189">
                  <c:v>1.984740651353377</c:v>
                </c:pt>
                <c:pt idx="190">
                  <c:v>2.059259478166382</c:v>
                </c:pt>
                <c:pt idx="191">
                  <c:v>2.1385435776275017</c:v>
                </c:pt>
                <c:pt idx="192">
                  <c:v>2.2219538244695514</c:v>
                </c:pt>
                <c:pt idx="193">
                  <c:v>2.2805339578662824</c:v>
                </c:pt>
                <c:pt idx="194">
                  <c:v>2.3692223332697608</c:v>
                </c:pt>
                <c:pt idx="195">
                  <c:v>2.429843349720386</c:v>
                </c:pt>
                <c:pt idx="196">
                  <c:v>2.4896968767104113</c:v>
                </c:pt>
                <c:pt idx="197">
                  <c:v>2.5477543720747349</c:v>
                </c:pt>
                <c:pt idx="198">
                  <c:v>2.6029136721912209</c:v>
                </c:pt>
                <c:pt idx="199">
                  <c:v>2.6873009424471661</c:v>
                </c:pt>
                <c:pt idx="200">
                  <c:v>2.7339486831493787</c:v>
                </c:pt>
                <c:pt idx="201">
                  <c:v>2.8090861484762968</c:v>
                </c:pt>
                <c:pt idx="202">
                  <c:v>2.8419402616160028</c:v>
                </c:pt>
                <c:pt idx="203">
                  <c:v>2.9022794449947469</c:v>
                </c:pt>
                <c:pt idx="204">
                  <c:v>2.9534212752068925</c:v>
                </c:pt>
                <c:pt idx="205">
                  <c:v>3.0327889887655033</c:v>
                </c:pt>
                <c:pt idx="206">
                  <c:v>3.0615738815195641</c:v>
                </c:pt>
                <c:pt idx="207">
                  <c:v>3.1171415592829703</c:v>
                </c:pt>
                <c:pt idx="208">
                  <c:v>3.2007986586880293</c:v>
                </c:pt>
                <c:pt idx="209">
                  <c:v>3.227239070844405</c:v>
                </c:pt>
                <c:pt idx="210">
                  <c:v>3.2799868044780851</c:v>
                </c:pt>
                <c:pt idx="211">
                  <c:v>3.3603043291499262</c:v>
                </c:pt>
                <c:pt idx="212">
                  <c:v>3.4227296500507123</c:v>
                </c:pt>
                <c:pt idx="213">
                  <c:v>3.4649916702960581</c:v>
                </c:pt>
                <c:pt idx="214">
                  <c:v>3.5339147789123899</c:v>
                </c:pt>
                <c:pt idx="215">
                  <c:v>3.5802927167010807</c:v>
                </c:pt>
                <c:pt idx="216">
                  <c:v>3.6533118158786237</c:v>
                </c:pt>
                <c:pt idx="217">
                  <c:v>3.7011629356819071</c:v>
                </c:pt>
                <c:pt idx="218">
                  <c:v>3.7754995890761052</c:v>
                </c:pt>
                <c:pt idx="219">
                  <c:v>3.8217904866646677</c:v>
                </c:pt>
                <c:pt idx="220">
                  <c:v>3.8942593877255831</c:v>
                </c:pt>
                <c:pt idx="221">
                  <c:v>3.9941299949101108</c:v>
                </c:pt>
                <c:pt idx="222">
                  <c:v>4.0625737229180459</c:v>
                </c:pt>
                <c:pt idx="223">
                  <c:v>4.157973243140475</c:v>
                </c:pt>
                <c:pt idx="224">
                  <c:v>4.2184119156964925</c:v>
                </c:pt>
                <c:pt idx="225">
                  <c:v>4.3051691900467972</c:v>
                </c:pt>
                <c:pt idx="226">
                  <c:v>4.4194642171306668</c:v>
                </c:pt>
                <c:pt idx="227">
                  <c:v>4.4945336104607918</c:v>
                </c:pt>
                <c:pt idx="228">
                  <c:v>4.596309283693472</c:v>
                </c:pt>
                <c:pt idx="229">
                  <c:v>4.7260288820294249</c:v>
                </c:pt>
                <c:pt idx="230">
                  <c:v>4.8116946024975391</c:v>
                </c:pt>
                <c:pt idx="231">
                  <c:v>4.9994013639798709</c:v>
                </c:pt>
                <c:pt idx="232">
                  <c:v>5.0649227597781419</c:v>
                </c:pt>
                <c:pt idx="233">
                  <c:v>5.2350526298607178</c:v>
                </c:pt>
                <c:pt idx="234">
                  <c:v>5.3549966366962849</c:v>
                </c:pt>
                <c:pt idx="235">
                  <c:v>5.5030646390115976</c:v>
                </c:pt>
                <c:pt idx="236">
                  <c:v>5.6805728855109123</c:v>
                </c:pt>
                <c:pt idx="237">
                  <c:v>5.8889287623189261</c:v>
                </c:pt>
                <c:pt idx="238">
                  <c:v>6.0399102753633542</c:v>
                </c:pt>
                <c:pt idx="239">
                  <c:v>6.3121087507768721</c:v>
                </c:pt>
                <c:pt idx="240">
                  <c:v>6.4308127842155614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63601999"/>
        <c:axId val="1338666079"/>
      </c:lineChart>
      <c:lineChart>
        <c:grouping val="standard"/>
        <c:varyColors val="0"/>
        <c:ser>
          <c:idx val="0"/>
          <c:order val="0"/>
          <c:tx>
            <c:strRef>
              <c:f>'thermistance etalonnage (2)'!$K$1</c:f>
              <c:strCache>
                <c:ptCount val="1"/>
                <c:pt idx="0">
                  <c:v>erreur relative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'thermistance etalonnage (2)'!$K$2:$K$242</c:f>
              <c:numCache>
                <c:formatCode>General</c:formatCode>
                <c:ptCount val="241"/>
                <c:pt idx="0">
                  <c:v>9.5665465922397178E-2</c:v>
                </c:pt>
                <c:pt idx="1">
                  <c:v>9.0926624755852364E-2</c:v>
                </c:pt>
                <c:pt idx="2">
                  <c:v>8.6914332859815382E-2</c:v>
                </c:pt>
                <c:pt idx="3">
                  <c:v>8.3629919135053354E-2</c:v>
                </c:pt>
                <c:pt idx="4">
                  <c:v>8.068541764145544E-2</c:v>
                </c:pt>
                <c:pt idx="5">
                  <c:v>7.8509322440431462E-2</c:v>
                </c:pt>
                <c:pt idx="6">
                  <c:v>7.6593284714011181E-2</c:v>
                </c:pt>
                <c:pt idx="7">
                  <c:v>7.5394906126263955E-2</c:v>
                </c:pt>
                <c:pt idx="8">
                  <c:v>7.4224991839375143E-2</c:v>
                </c:pt>
                <c:pt idx="9">
                  <c:v>7.3541425725495407E-2</c:v>
                </c:pt>
                <c:pt idx="10">
                  <c:v>7.3355827764122708E-2</c:v>
                </c:pt>
                <c:pt idx="11">
                  <c:v>7.2949534266160368E-2</c:v>
                </c:pt>
                <c:pt idx="12">
                  <c:v>7.3262536145668786E-2</c:v>
                </c:pt>
                <c:pt idx="13">
                  <c:v>7.3470832954989698E-2</c:v>
                </c:pt>
                <c:pt idx="14">
                  <c:v>7.382296438590813E-2</c:v>
                </c:pt>
                <c:pt idx="15">
                  <c:v>7.4159349718894416E-2</c:v>
                </c:pt>
                <c:pt idx="16">
                  <c:v>7.4256752744894072E-2</c:v>
                </c:pt>
                <c:pt idx="17">
                  <c:v>7.5160195933082347E-2</c:v>
                </c:pt>
                <c:pt idx="18">
                  <c:v>7.5422022857770277E-2</c:v>
                </c:pt>
                <c:pt idx="19">
                  <c:v>7.5400913743880527E-2</c:v>
                </c:pt>
                <c:pt idx="20">
                  <c:v>7.5413971584173109E-2</c:v>
                </c:pt>
                <c:pt idx="21">
                  <c:v>7.4179279735459069E-2</c:v>
                </c:pt>
                <c:pt idx="22">
                  <c:v>7.2645313891895408E-2</c:v>
                </c:pt>
                <c:pt idx="23">
                  <c:v>7.0752132133276621E-2</c:v>
                </c:pt>
                <c:pt idx="24">
                  <c:v>6.8447126619826548E-2</c:v>
                </c:pt>
                <c:pt idx="25">
                  <c:v>6.5862591054125605E-2</c:v>
                </c:pt>
                <c:pt idx="26">
                  <c:v>6.2478097249152952E-2</c:v>
                </c:pt>
                <c:pt idx="27">
                  <c:v>5.8836773492150593E-2</c:v>
                </c:pt>
                <c:pt idx="28">
                  <c:v>5.4368399608184369E-2</c:v>
                </c:pt>
                <c:pt idx="29">
                  <c:v>4.8765738566756187E-2</c:v>
                </c:pt>
                <c:pt idx="30">
                  <c:v>4.2290836333620518E-2</c:v>
                </c:pt>
                <c:pt idx="31">
                  <c:v>3.4715238446886412E-2</c:v>
                </c:pt>
                <c:pt idx="32">
                  <c:v>2.4783102727873541E-2</c:v>
                </c:pt>
                <c:pt idx="33">
                  <c:v>1.2628179651739759E-2</c:v>
                </c:pt>
                <c:pt idx="34">
                  <c:v>4.0093897606160072E-3</c:v>
                </c:pt>
                <c:pt idx="35">
                  <c:v>2.6778732802711147E-2</c:v>
                </c:pt>
                <c:pt idx="36">
                  <c:v>6.0992689051417415E-2</c:v>
                </c:pt>
                <c:pt idx="37">
                  <c:v>0.11584895396523127</c:v>
                </c:pt>
                <c:pt idx="38">
                  <c:v>0.22604450717858526</c:v>
                </c:pt>
                <c:pt idx="39">
                  <c:v>0.5554163721869827</c:v>
                </c:pt>
                <c:pt idx="40">
                  <c:v>0</c:v>
                </c:pt>
                <c:pt idx="41">
                  <c:v>0.72711618274678358</c:v>
                </c:pt>
                <c:pt idx="42">
                  <c:v>0.40237058812735427</c:v>
                </c:pt>
                <c:pt idx="43">
                  <c:v>0.29026515669659148</c:v>
                </c:pt>
                <c:pt idx="44">
                  <c:v>0.2353719684226121</c:v>
                </c:pt>
                <c:pt idx="45">
                  <c:v>0.2026437204796025</c:v>
                </c:pt>
                <c:pt idx="46">
                  <c:v>0.17883226428034504</c:v>
                </c:pt>
                <c:pt idx="47">
                  <c:v>0.16279271334894929</c:v>
                </c:pt>
                <c:pt idx="48">
                  <c:v>0.14987300275064541</c:v>
                </c:pt>
                <c:pt idx="49">
                  <c:v>0.14034426092862556</c:v>
                </c:pt>
                <c:pt idx="50">
                  <c:v>0.13154696588200637</c:v>
                </c:pt>
                <c:pt idx="51">
                  <c:v>0.12438065810135868</c:v>
                </c:pt>
                <c:pt idx="52">
                  <c:v>0.11871646984972983</c:v>
                </c:pt>
                <c:pt idx="53">
                  <c:v>0.11357897786980577</c:v>
                </c:pt>
                <c:pt idx="54">
                  <c:v>0.1090297490837356</c:v>
                </c:pt>
                <c:pt idx="55">
                  <c:v>0.10514070800837393</c:v>
                </c:pt>
                <c:pt idx="56">
                  <c:v>0.10199310588323485</c:v>
                </c:pt>
                <c:pt idx="57">
                  <c:v>9.7934634419339223E-2</c:v>
                </c:pt>
                <c:pt idx="58">
                  <c:v>9.4826132950133674E-2</c:v>
                </c:pt>
                <c:pt idx="59">
                  <c:v>9.2760868620614112E-2</c:v>
                </c:pt>
                <c:pt idx="60">
                  <c:v>9.0114388170584897E-2</c:v>
                </c:pt>
                <c:pt idx="61">
                  <c:v>8.699059746081568E-2</c:v>
                </c:pt>
                <c:pt idx="62">
                  <c:v>8.5223537568124771E-2</c:v>
                </c:pt>
                <c:pt idx="63">
                  <c:v>8.2304685217652801E-2</c:v>
                </c:pt>
                <c:pt idx="64">
                  <c:v>8.0951812691961791E-2</c:v>
                </c:pt>
                <c:pt idx="65">
                  <c:v>7.8624283334831943E-2</c:v>
                </c:pt>
                <c:pt idx="66">
                  <c:v>7.673262779064334E-2</c:v>
                </c:pt>
                <c:pt idx="67">
                  <c:v>7.4921361743400264E-2</c:v>
                </c:pt>
                <c:pt idx="68">
                  <c:v>7.3184224338530973E-2</c:v>
                </c:pt>
                <c:pt idx="69">
                  <c:v>7.1510970819794045E-2</c:v>
                </c:pt>
                <c:pt idx="70">
                  <c:v>6.9791992079242013E-2</c:v>
                </c:pt>
                <c:pt idx="71">
                  <c:v>6.829362439342393E-2</c:v>
                </c:pt>
                <c:pt idx="72">
                  <c:v>6.6706575128284484E-2</c:v>
                </c:pt>
                <c:pt idx="73">
                  <c:v>6.5296916691498591E-2</c:v>
                </c:pt>
                <c:pt idx="74">
                  <c:v>6.383704706778015E-2</c:v>
                </c:pt>
                <c:pt idx="75">
                  <c:v>6.249430688320997E-2</c:v>
                </c:pt>
                <c:pt idx="76">
                  <c:v>6.1128037722811418E-2</c:v>
                </c:pt>
                <c:pt idx="77">
                  <c:v>5.9799173157917059E-2</c:v>
                </c:pt>
                <c:pt idx="78">
                  <c:v>5.8460191325963251E-2</c:v>
                </c:pt>
                <c:pt idx="79">
                  <c:v>5.7281890239354337E-2</c:v>
                </c:pt>
                <c:pt idx="80">
                  <c:v>5.5986268980134923E-2</c:v>
                </c:pt>
                <c:pt idx="81">
                  <c:v>5.485635997539947E-2</c:v>
                </c:pt>
                <c:pt idx="82">
                  <c:v>5.3596013179464934E-2</c:v>
                </c:pt>
                <c:pt idx="83">
                  <c:v>5.2494875073595598E-2</c:v>
                </c:pt>
                <c:pt idx="84">
                  <c:v>5.1362870189127434E-2</c:v>
                </c:pt>
                <c:pt idx="85">
                  <c:v>5.0247236894858813E-2</c:v>
                </c:pt>
                <c:pt idx="86">
                  <c:v>4.9197275592320011E-2</c:v>
                </c:pt>
                <c:pt idx="87">
                  <c:v>4.8129258704188653E-2</c:v>
                </c:pt>
                <c:pt idx="88">
                  <c:v>4.7087411737807137E-2</c:v>
                </c:pt>
                <c:pt idx="89">
                  <c:v>4.6118061162086617E-2</c:v>
                </c:pt>
                <c:pt idx="90">
                  <c:v>4.5124253455446704E-2</c:v>
                </c:pt>
                <c:pt idx="91">
                  <c:v>4.4146193090611241E-2</c:v>
                </c:pt>
                <c:pt idx="92">
                  <c:v>4.3226090637701345E-2</c:v>
                </c:pt>
                <c:pt idx="93">
                  <c:v>4.2251468085704291E-2</c:v>
                </c:pt>
                <c:pt idx="94">
                  <c:v>4.1417943037672517E-2</c:v>
                </c:pt>
                <c:pt idx="95">
                  <c:v>4.0444432389071236E-2</c:v>
                </c:pt>
                <c:pt idx="96">
                  <c:v>3.952627448953093E-2</c:v>
                </c:pt>
                <c:pt idx="97">
                  <c:v>3.8704050699532457E-2</c:v>
                </c:pt>
                <c:pt idx="98">
                  <c:v>3.7842402168744932E-2</c:v>
                </c:pt>
                <c:pt idx="99">
                  <c:v>3.7155365509272925E-2</c:v>
                </c:pt>
                <c:pt idx="100">
                  <c:v>3.6315136130277398E-2</c:v>
                </c:pt>
                <c:pt idx="101">
                  <c:v>3.5534639522721088E-2</c:v>
                </c:pt>
                <c:pt idx="102">
                  <c:v>3.465312581817942E-2</c:v>
                </c:pt>
                <c:pt idx="103">
                  <c:v>3.389654700429634E-2</c:v>
                </c:pt>
                <c:pt idx="104">
                  <c:v>3.3305472911964173E-2</c:v>
                </c:pt>
                <c:pt idx="105">
                  <c:v>3.2495766274528777E-2</c:v>
                </c:pt>
                <c:pt idx="106">
                  <c:v>3.1698035818115415E-2</c:v>
                </c:pt>
                <c:pt idx="107">
                  <c:v>3.1166793651686252E-2</c:v>
                </c:pt>
                <c:pt idx="108">
                  <c:v>3.0489359305225523E-2</c:v>
                </c:pt>
                <c:pt idx="109">
                  <c:v>2.9680966439436685E-2</c:v>
                </c:pt>
                <c:pt idx="110">
                  <c:v>2.9000977475007923E-2</c:v>
                </c:pt>
                <c:pt idx="111">
                  <c:v>2.8485829682559874E-2</c:v>
                </c:pt>
                <c:pt idx="112">
                  <c:v>2.791772796940882E-2</c:v>
                </c:pt>
                <c:pt idx="113">
                  <c:v>2.7317045478110057E-2</c:v>
                </c:pt>
                <c:pt idx="114">
                  <c:v>2.6705336546354073E-2</c:v>
                </c:pt>
                <c:pt idx="115">
                  <c:v>2.610542139699722E-2</c:v>
                </c:pt>
                <c:pt idx="116">
                  <c:v>2.5541458774391027E-2</c:v>
                </c:pt>
                <c:pt idx="117">
                  <c:v>2.50390028011712E-2</c:v>
                </c:pt>
                <c:pt idx="118">
                  <c:v>2.4325717012258198E-2</c:v>
                </c:pt>
                <c:pt idx="119">
                  <c:v>2.4021053681976837E-2</c:v>
                </c:pt>
                <c:pt idx="120">
                  <c:v>2.3548201378365264E-2</c:v>
                </c:pt>
                <c:pt idx="121">
                  <c:v>2.2914378630733232E-2</c:v>
                </c:pt>
                <c:pt idx="122">
                  <c:v>2.2459031812536383E-2</c:v>
                </c:pt>
                <c:pt idx="123">
                  <c:v>2.1875859851116369E-2</c:v>
                </c:pt>
                <c:pt idx="124">
                  <c:v>2.1523622049023687E-2</c:v>
                </c:pt>
                <c:pt idx="125">
                  <c:v>2.1081244238568535E-2</c:v>
                </c:pt>
                <c:pt idx="126">
                  <c:v>2.0927541775845673E-2</c:v>
                </c:pt>
                <c:pt idx="127">
                  <c:v>2.0537933287315176E-2</c:v>
                </c:pt>
                <c:pt idx="128">
                  <c:v>2.0259236163414972E-2</c:v>
                </c:pt>
                <c:pt idx="129">
                  <c:v>1.9958991594322607E-2</c:v>
                </c:pt>
                <c:pt idx="130">
                  <c:v>1.9693010587356716E-2</c:v>
                </c:pt>
                <c:pt idx="131">
                  <c:v>1.939728810504493E-2</c:v>
                </c:pt>
                <c:pt idx="132">
                  <c:v>1.9085779729691596E-2</c:v>
                </c:pt>
                <c:pt idx="133">
                  <c:v>1.8773238828058061E-2</c:v>
                </c:pt>
                <c:pt idx="134">
                  <c:v>1.8430463676242455E-2</c:v>
                </c:pt>
                <c:pt idx="135">
                  <c:v>1.811647567651143E-2</c:v>
                </c:pt>
                <c:pt idx="136">
                  <c:v>1.7754452629435018E-2</c:v>
                </c:pt>
                <c:pt idx="137">
                  <c:v>1.7403847693957659E-2</c:v>
                </c:pt>
                <c:pt idx="138">
                  <c:v>1.7030700543174664E-2</c:v>
                </c:pt>
                <c:pt idx="139">
                  <c:v>1.6647670065711998E-2</c:v>
                </c:pt>
                <c:pt idx="140">
                  <c:v>1.6216186603369351E-2</c:v>
                </c:pt>
                <c:pt idx="141">
                  <c:v>1.6225663413092548E-2</c:v>
                </c:pt>
                <c:pt idx="142">
                  <c:v>1.6122304252320977E-2</c:v>
                </c:pt>
                <c:pt idx="143">
                  <c:v>1.5966438361905363E-2</c:v>
                </c:pt>
                <c:pt idx="144">
                  <c:v>1.5709760601373874E-2</c:v>
                </c:pt>
                <c:pt idx="145">
                  <c:v>1.5415938119176752E-2</c:v>
                </c:pt>
                <c:pt idx="146">
                  <c:v>1.5034742146829618E-2</c:v>
                </c:pt>
                <c:pt idx="147">
                  <c:v>1.4633488868775156E-2</c:v>
                </c:pt>
                <c:pt idx="148">
                  <c:v>1.4159996612750407E-2</c:v>
                </c:pt>
                <c:pt idx="149">
                  <c:v>1.3620995779149325E-2</c:v>
                </c:pt>
                <c:pt idx="150">
                  <c:v>1.3089806866566857E-2</c:v>
                </c:pt>
                <c:pt idx="151">
                  <c:v>1.2511188192118052E-2</c:v>
                </c:pt>
                <c:pt idx="152">
                  <c:v>1.1893368692730531E-2</c:v>
                </c:pt>
                <c:pt idx="153">
                  <c:v>1.124509843037259E-2</c:v>
                </c:pt>
                <c:pt idx="154">
                  <c:v>1.0575682860149484E-2</c:v>
                </c:pt>
                <c:pt idx="155">
                  <c:v>9.8200665908675343E-3</c:v>
                </c:pt>
                <c:pt idx="156">
                  <c:v>9.1367720678030943E-3</c:v>
                </c:pt>
                <c:pt idx="157">
                  <c:v>8.3850689654226679E-3</c:v>
                </c:pt>
                <c:pt idx="158">
                  <c:v>7.570816118265199E-3</c:v>
                </c:pt>
                <c:pt idx="159">
                  <c:v>6.8660232100653442E-3</c:v>
                </c:pt>
                <c:pt idx="160">
                  <c:v>6.0351440661714642E-3</c:v>
                </c:pt>
                <c:pt idx="161">
                  <c:v>5.2534643876243564E-3</c:v>
                </c:pt>
                <c:pt idx="162">
                  <c:v>4.4461421139040521E-3</c:v>
                </c:pt>
                <c:pt idx="163">
                  <c:v>3.7133070137542745E-3</c:v>
                </c:pt>
                <c:pt idx="164">
                  <c:v>2.8832256288757025E-3</c:v>
                </c:pt>
                <c:pt idx="165">
                  <c:v>2.0549019993168259E-3</c:v>
                </c:pt>
                <c:pt idx="166">
                  <c:v>1.4359258928173238E-3</c:v>
                </c:pt>
                <c:pt idx="167">
                  <c:v>7.4864110966542982E-4</c:v>
                </c:pt>
                <c:pt idx="168">
                  <c:v>2.534521720498617E-6</c:v>
                </c:pt>
                <c:pt idx="169">
                  <c:v>7.0677853654109457E-4</c:v>
                </c:pt>
                <c:pt idx="170">
                  <c:v>1.3511906469095545E-3</c:v>
                </c:pt>
                <c:pt idx="171">
                  <c:v>2.0334904887561204E-3</c:v>
                </c:pt>
                <c:pt idx="172">
                  <c:v>2.7474584864220883E-3</c:v>
                </c:pt>
                <c:pt idx="173">
                  <c:v>3.4864753446526321E-3</c:v>
                </c:pt>
                <c:pt idx="174">
                  <c:v>4.123845743015663E-3</c:v>
                </c:pt>
                <c:pt idx="175">
                  <c:v>4.8884595321013607E-3</c:v>
                </c:pt>
                <c:pt idx="176">
                  <c:v>5.5300574178126704E-3</c:v>
                </c:pt>
                <c:pt idx="177">
                  <c:v>6.1596671473825304E-3</c:v>
                </c:pt>
                <c:pt idx="178">
                  <c:v>6.8997089092763617E-3</c:v>
                </c:pt>
                <c:pt idx="179">
                  <c:v>7.4805755950189956E-3</c:v>
                </c:pt>
                <c:pt idx="180">
                  <c:v>8.1584539630284777E-3</c:v>
                </c:pt>
                <c:pt idx="181">
                  <c:v>8.791276735024868E-3</c:v>
                </c:pt>
                <c:pt idx="182">
                  <c:v>9.3679710425510938E-3</c:v>
                </c:pt>
                <c:pt idx="183">
                  <c:v>1.0024676029174246E-2</c:v>
                </c:pt>
                <c:pt idx="184">
                  <c:v>1.0608253682159821E-2</c:v>
                </c:pt>
                <c:pt idx="185">
                  <c:v>1.1260797651228303E-2</c:v>
                </c:pt>
                <c:pt idx="186">
                  <c:v>1.1821454527939547E-2</c:v>
                </c:pt>
                <c:pt idx="187">
                  <c:v>1.2276575164398408E-2</c:v>
                </c:pt>
                <c:pt idx="188">
                  <c:v>1.2777463155246296E-2</c:v>
                </c:pt>
                <c:pt idx="189">
                  <c:v>1.3320407056062933E-2</c:v>
                </c:pt>
                <c:pt idx="190">
                  <c:v>1.3728396521109213E-2</c:v>
                </c:pt>
                <c:pt idx="191">
                  <c:v>1.4162540249188752E-2</c:v>
                </c:pt>
                <c:pt idx="192">
                  <c:v>1.4618117266247049E-2</c:v>
                </c:pt>
                <c:pt idx="193">
                  <c:v>1.4905450705008382E-2</c:v>
                </c:pt>
                <c:pt idx="194">
                  <c:v>1.5384560605647798E-2</c:v>
                </c:pt>
                <c:pt idx="195">
                  <c:v>1.5676408707873457E-2</c:v>
                </c:pt>
                <c:pt idx="196">
                  <c:v>1.5959595363528277E-2</c:v>
                </c:pt>
                <c:pt idx="197">
                  <c:v>1.6227734853979204E-2</c:v>
                </c:pt>
                <c:pt idx="198">
                  <c:v>1.6474137165767223E-2</c:v>
                </c:pt>
                <c:pt idx="199">
                  <c:v>1.6901263788975888E-2</c:v>
                </c:pt>
                <c:pt idx="200">
                  <c:v>1.7087179269683617E-2</c:v>
                </c:pt>
                <c:pt idx="201">
                  <c:v>1.7447740052647806E-2</c:v>
                </c:pt>
                <c:pt idx="202">
                  <c:v>1.7542841121086436E-2</c:v>
                </c:pt>
                <c:pt idx="203">
                  <c:v>1.780539536806593E-2</c:v>
                </c:pt>
                <c:pt idx="204">
                  <c:v>1.8008666312237149E-2</c:v>
                </c:pt>
                <c:pt idx="205">
                  <c:v>1.8380539325851535E-2</c:v>
                </c:pt>
                <c:pt idx="206">
                  <c:v>1.8443216153732313E-2</c:v>
                </c:pt>
                <c:pt idx="207">
                  <c:v>1.8665518319059701E-2</c:v>
                </c:pt>
                <c:pt idx="208">
                  <c:v>1.9052372968381127E-2</c:v>
                </c:pt>
                <c:pt idx="209">
                  <c:v>1.9096089176594111E-2</c:v>
                </c:pt>
                <c:pt idx="210">
                  <c:v>1.9294040026341677E-2</c:v>
                </c:pt>
                <c:pt idx="211">
                  <c:v>1.9650902509648693E-2</c:v>
                </c:pt>
                <c:pt idx="212">
                  <c:v>1.9899590988666931E-2</c:v>
                </c:pt>
                <c:pt idx="213">
                  <c:v>2.0028853585526349E-2</c:v>
                </c:pt>
                <c:pt idx="214">
                  <c:v>2.030985505122063E-2</c:v>
                </c:pt>
                <c:pt idx="215">
                  <c:v>2.0458815524006177E-2</c:v>
                </c:pt>
                <c:pt idx="216">
                  <c:v>2.0757453499310363E-2</c:v>
                </c:pt>
                <c:pt idx="217">
                  <c:v>2.0910525060349759E-2</c:v>
                </c:pt>
                <c:pt idx="218">
                  <c:v>2.1210671848742164E-2</c:v>
                </c:pt>
                <c:pt idx="219">
                  <c:v>2.1350784841702053E-2</c:v>
                </c:pt>
                <c:pt idx="220">
                  <c:v>2.1634774376253239E-2</c:v>
                </c:pt>
                <c:pt idx="221">
                  <c:v>2.2067016546464702E-2</c:v>
                </c:pt>
                <c:pt idx="222">
                  <c:v>2.2321833642406846E-2</c:v>
                </c:pt>
                <c:pt idx="223">
                  <c:v>2.2721165263062705E-2</c:v>
                </c:pt>
                <c:pt idx="224">
                  <c:v>2.2926151715741808E-2</c:v>
                </c:pt>
                <c:pt idx="225">
                  <c:v>2.3271184811063769E-2</c:v>
                </c:pt>
                <c:pt idx="226">
                  <c:v>2.3760560307154122E-2</c:v>
                </c:pt>
                <c:pt idx="227">
                  <c:v>2.4034939093373217E-2</c:v>
                </c:pt>
                <c:pt idx="228">
                  <c:v>2.4448453636667405E-2</c:v>
                </c:pt>
                <c:pt idx="229">
                  <c:v>2.5005443820261507E-2</c:v>
                </c:pt>
                <c:pt idx="230">
                  <c:v>2.5324708434197575E-2</c:v>
                </c:pt>
                <c:pt idx="231">
                  <c:v>2.6174876251203513E-2</c:v>
                </c:pt>
                <c:pt idx="232">
                  <c:v>2.6379806040511156E-2</c:v>
                </c:pt>
                <c:pt idx="233">
                  <c:v>2.7124625025185065E-2</c:v>
                </c:pt>
                <c:pt idx="234">
                  <c:v>2.7603075446888066E-2</c:v>
                </c:pt>
                <c:pt idx="235">
                  <c:v>2.8220844302623577E-2</c:v>
                </c:pt>
                <c:pt idx="236">
                  <c:v>2.8982514721994451E-2</c:v>
                </c:pt>
                <c:pt idx="237">
                  <c:v>2.9893039402634144E-2</c:v>
                </c:pt>
                <c:pt idx="238">
                  <c:v>3.0504597350319972E-2</c:v>
                </c:pt>
                <c:pt idx="239">
                  <c:v>3.1719139451140063E-2</c:v>
                </c:pt>
                <c:pt idx="240">
                  <c:v>3.2154063921077808E-2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2C-4097-B2CB-B908A8B2F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4397487"/>
        <c:axId val="1423241391"/>
      </c:lineChart>
      <c:catAx>
        <c:axId val="136360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8666079"/>
        <c:crosses val="autoZero"/>
        <c:auto val="1"/>
        <c:lblAlgn val="ctr"/>
        <c:lblOffset val="100"/>
        <c:noMultiLvlLbl val="0"/>
      </c:catAx>
      <c:valAx>
        <c:axId val="133866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63601999"/>
        <c:crosses val="autoZero"/>
        <c:crossBetween val="between"/>
      </c:valAx>
      <c:valAx>
        <c:axId val="1423241391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04397487"/>
        <c:crosses val="max"/>
        <c:crossBetween val="between"/>
      </c:valAx>
      <c:catAx>
        <c:axId val="1504397487"/>
        <c:scaling>
          <c:orientation val="minMax"/>
        </c:scaling>
        <c:delete val="1"/>
        <c:axPos val="b"/>
        <c:majorTickMark val="out"/>
        <c:minorTickMark val="none"/>
        <c:tickLblPos val="nextTo"/>
        <c:crossAx val="142324139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754380</xdr:colOff>
      <xdr:row>5</xdr:row>
      <xdr:rowOff>15240</xdr:rowOff>
    </xdr:from>
    <xdr:to>
      <xdr:col>6</xdr:col>
      <xdr:colOff>571500</xdr:colOff>
      <xdr:row>20</xdr:row>
      <xdr:rowOff>15240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24232D0-C256-4B16-9010-99E5538708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236220</xdr:colOff>
      <xdr:row>46</xdr:row>
      <xdr:rowOff>22860</xdr:rowOff>
    </xdr:from>
    <xdr:to>
      <xdr:col>6</xdr:col>
      <xdr:colOff>53340</xdr:colOff>
      <xdr:row>61</xdr:row>
      <xdr:rowOff>22860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0E71D55E-F37D-43DC-B84E-890672D4B5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121920</xdr:colOff>
      <xdr:row>16</xdr:row>
      <xdr:rowOff>30480</xdr:rowOff>
    </xdr:from>
    <xdr:to>
      <xdr:col>7</xdr:col>
      <xdr:colOff>731520</xdr:colOff>
      <xdr:row>31</xdr:row>
      <xdr:rowOff>30480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D480A462-E414-413B-8F88-E755B97558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403860</xdr:colOff>
      <xdr:row>8</xdr:row>
      <xdr:rowOff>160020</xdr:rowOff>
    </xdr:from>
    <xdr:to>
      <xdr:col>9</xdr:col>
      <xdr:colOff>83820</xdr:colOff>
      <xdr:row>23</xdr:row>
      <xdr:rowOff>160020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4F57FCF9-624E-4A09-BABF-FF2762E53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44</xdr:row>
      <xdr:rowOff>76200</xdr:rowOff>
    </xdr:from>
    <xdr:to>
      <xdr:col>14</xdr:col>
      <xdr:colOff>381000</xdr:colOff>
      <xdr:row>59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77890495-73D6-4B98-BDF2-F02DBCC79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114300</xdr:colOff>
      <xdr:row>8</xdr:row>
      <xdr:rowOff>114300</xdr:rowOff>
    </xdr:from>
    <xdr:to>
      <xdr:col>17</xdr:col>
      <xdr:colOff>678180</xdr:colOff>
      <xdr:row>23</xdr:row>
      <xdr:rowOff>114300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AF15386A-1ED6-4262-BB25-34BCE5ACA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274320</xdr:colOff>
      <xdr:row>6</xdr:row>
      <xdr:rowOff>175260</xdr:rowOff>
    </xdr:from>
    <xdr:to>
      <xdr:col>10</xdr:col>
      <xdr:colOff>0</xdr:colOff>
      <xdr:row>21</xdr:row>
      <xdr:rowOff>175260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AA58E57E-F36F-44EB-8DB0-B807E7C02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243840</xdr:colOff>
      <xdr:row>10</xdr:row>
      <xdr:rowOff>76200</xdr:rowOff>
    </xdr:from>
    <xdr:to>
      <xdr:col>8</xdr:col>
      <xdr:colOff>60960</xdr:colOff>
      <xdr:row>25</xdr:row>
      <xdr:rowOff>76200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7884150-BCA8-4B26-979F-68FAFF33C0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544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801F-C6DC-482E-8117-8F88968C6D58}">
  <dimension ref="A1:K25"/>
  <sheetViews>
    <sheetView workbookViewId="0">
      <selection activeCell="F10" sqref="F10"/>
    </sheetView>
  </sheetViews>
  <sheetFormatPr baseColWidth="10" defaultRowHeight="14.4" x14ac:dyDescent="0.3"/>
  <cols>
    <col min="4" max="4" width="25" customWidth="1"/>
    <col min="5" max="5" width="18.77734375" customWidth="1"/>
  </cols>
  <sheetData>
    <row r="1" spans="1:11" x14ac:dyDescent="0.3">
      <c r="I1" t="s">
        <v>4</v>
      </c>
      <c r="J1" s="2">
        <f>SUM(H3:H20)</f>
        <v>166.11</v>
      </c>
    </row>
    <row r="2" spans="1:11" x14ac:dyDescent="0.3">
      <c r="B2" t="s">
        <v>169</v>
      </c>
      <c r="C2" t="s">
        <v>168</v>
      </c>
      <c r="D2" t="s">
        <v>0</v>
      </c>
      <c r="E2" t="s">
        <v>1</v>
      </c>
      <c r="F2" t="s">
        <v>2</v>
      </c>
      <c r="G2" t="s">
        <v>3</v>
      </c>
      <c r="H2" t="s">
        <v>153</v>
      </c>
    </row>
    <row r="3" spans="1:11" ht="28.8" x14ac:dyDescent="0.3">
      <c r="A3" s="13" t="s">
        <v>147</v>
      </c>
      <c r="B3" t="s">
        <v>151</v>
      </c>
      <c r="D3" t="s">
        <v>148</v>
      </c>
      <c r="E3" t="s">
        <v>220</v>
      </c>
      <c r="F3">
        <f>55*1.2</f>
        <v>66</v>
      </c>
      <c r="G3">
        <v>1</v>
      </c>
      <c r="H3" s="1">
        <f>G3*F3</f>
        <v>66</v>
      </c>
      <c r="I3" s="1"/>
    </row>
    <row r="4" spans="1:11" x14ac:dyDescent="0.3">
      <c r="B4" t="s">
        <v>151</v>
      </c>
      <c r="D4" t="s">
        <v>149</v>
      </c>
      <c r="E4" t="s">
        <v>220</v>
      </c>
      <c r="F4" s="1">
        <f>15*1.2</f>
        <v>18</v>
      </c>
      <c r="G4">
        <v>1</v>
      </c>
      <c r="H4" s="1">
        <f t="shared" ref="H4:H18" si="0">G4*F4</f>
        <v>18</v>
      </c>
      <c r="I4" s="1"/>
    </row>
    <row r="5" spans="1:11" x14ac:dyDescent="0.3">
      <c r="B5" t="s">
        <v>151</v>
      </c>
      <c r="D5" t="s">
        <v>218</v>
      </c>
      <c r="E5" t="s">
        <v>219</v>
      </c>
      <c r="F5" s="1">
        <v>8</v>
      </c>
      <c r="G5">
        <v>1</v>
      </c>
      <c r="H5" s="1">
        <f t="shared" si="0"/>
        <v>8</v>
      </c>
      <c r="I5" s="1"/>
      <c r="K5" s="3"/>
    </row>
    <row r="6" spans="1:11" x14ac:dyDescent="0.3">
      <c r="F6" s="1"/>
      <c r="H6" s="1"/>
      <c r="I6" s="1"/>
    </row>
    <row r="7" spans="1:11" x14ac:dyDescent="0.3">
      <c r="F7" s="1"/>
      <c r="H7" s="1"/>
      <c r="I7" s="1"/>
    </row>
    <row r="8" spans="1:11" x14ac:dyDescent="0.3">
      <c r="A8" t="s">
        <v>150</v>
      </c>
      <c r="B8" t="s">
        <v>151</v>
      </c>
      <c r="C8" t="s">
        <v>171</v>
      </c>
      <c r="D8" t="s">
        <v>152</v>
      </c>
      <c r="E8" t="s">
        <v>220</v>
      </c>
      <c r="F8" s="1">
        <f>18*1.2</f>
        <v>21.599999999999998</v>
      </c>
      <c r="G8">
        <v>1</v>
      </c>
      <c r="H8" s="1">
        <f t="shared" si="0"/>
        <v>21.599999999999998</v>
      </c>
      <c r="I8" s="1"/>
    </row>
    <row r="9" spans="1:11" x14ac:dyDescent="0.3">
      <c r="B9" t="s">
        <v>151</v>
      </c>
      <c r="C9" t="s">
        <v>172</v>
      </c>
      <c r="D9" t="s">
        <v>155</v>
      </c>
      <c r="E9" t="s">
        <v>220</v>
      </c>
      <c r="F9" s="1">
        <v>10</v>
      </c>
      <c r="G9">
        <v>1</v>
      </c>
      <c r="H9" s="1">
        <f t="shared" si="0"/>
        <v>10</v>
      </c>
      <c r="I9" s="1"/>
    </row>
    <row r="10" spans="1:11" x14ac:dyDescent="0.3">
      <c r="I10" s="1"/>
    </row>
    <row r="11" spans="1:11" x14ac:dyDescent="0.3">
      <c r="F11" s="1"/>
      <c r="H11" s="1">
        <f t="shared" si="0"/>
        <v>0</v>
      </c>
      <c r="I11" s="1"/>
    </row>
    <row r="12" spans="1:11" x14ac:dyDescent="0.3">
      <c r="F12" s="1"/>
      <c r="H12" s="1">
        <f t="shared" si="0"/>
        <v>0</v>
      </c>
      <c r="I12" s="1"/>
    </row>
    <row r="13" spans="1:11" x14ac:dyDescent="0.3">
      <c r="I13" s="1"/>
    </row>
    <row r="14" spans="1:11" x14ac:dyDescent="0.3">
      <c r="B14" t="s">
        <v>174</v>
      </c>
      <c r="D14" t="s">
        <v>167</v>
      </c>
      <c r="E14" t="s">
        <v>217</v>
      </c>
      <c r="F14" s="1">
        <v>13</v>
      </c>
      <c r="G14">
        <v>1</v>
      </c>
      <c r="H14" s="1">
        <f>G14*F14</f>
        <v>13</v>
      </c>
      <c r="I14" s="1"/>
    </row>
    <row r="15" spans="1:11" x14ac:dyDescent="0.3">
      <c r="A15" t="s">
        <v>154</v>
      </c>
      <c r="D15" t="s">
        <v>173</v>
      </c>
      <c r="E15" t="s">
        <v>217</v>
      </c>
      <c r="F15" s="1">
        <v>20</v>
      </c>
      <c r="G15">
        <v>1</v>
      </c>
      <c r="H15" s="1">
        <f t="shared" si="0"/>
        <v>20</v>
      </c>
      <c r="I15" s="1"/>
    </row>
    <row r="16" spans="1:11" x14ac:dyDescent="0.3">
      <c r="F16" s="1"/>
      <c r="H16" s="1">
        <f t="shared" si="0"/>
        <v>0</v>
      </c>
      <c r="I16" s="1"/>
    </row>
    <row r="17" spans="2:10" x14ac:dyDescent="0.3">
      <c r="B17" t="s">
        <v>213</v>
      </c>
      <c r="D17" t="s">
        <v>214</v>
      </c>
      <c r="E17" t="s">
        <v>216</v>
      </c>
      <c r="F17" s="1">
        <v>4.01</v>
      </c>
      <c r="G17">
        <v>2</v>
      </c>
      <c r="H17" s="1">
        <f t="shared" si="0"/>
        <v>8.02</v>
      </c>
      <c r="I17" s="1"/>
    </row>
    <row r="18" spans="2:10" x14ac:dyDescent="0.3">
      <c r="D18" t="s">
        <v>215</v>
      </c>
      <c r="E18" t="s">
        <v>216</v>
      </c>
      <c r="F18" s="1">
        <v>1.49</v>
      </c>
      <c r="G18">
        <v>1</v>
      </c>
      <c r="H18" s="1">
        <f t="shared" si="0"/>
        <v>1.49</v>
      </c>
      <c r="I18" s="1"/>
    </row>
    <row r="19" spans="2:10" x14ac:dyDescent="0.3">
      <c r="F19" s="1"/>
      <c r="H19" s="1"/>
      <c r="I19" s="1"/>
    </row>
    <row r="20" spans="2:10" x14ac:dyDescent="0.3">
      <c r="F20" s="1"/>
      <c r="H20" s="1"/>
      <c r="I20" s="1"/>
    </row>
    <row r="21" spans="2:10" x14ac:dyDescent="0.3">
      <c r="F21" s="1"/>
    </row>
    <row r="25" spans="2:10" x14ac:dyDescent="0.3">
      <c r="B25" t="s">
        <v>156</v>
      </c>
      <c r="C25" t="s">
        <v>170</v>
      </c>
      <c r="D25" t="s">
        <v>157</v>
      </c>
      <c r="E25" t="s">
        <v>158</v>
      </c>
      <c r="F25" s="1">
        <v>25</v>
      </c>
      <c r="G25">
        <v>1</v>
      </c>
      <c r="H25" s="1">
        <f>G25*F25</f>
        <v>25</v>
      </c>
      <c r="J25" s="3" t="s">
        <v>159</v>
      </c>
    </row>
  </sheetData>
  <hyperlinks>
    <hyperlink ref="J25" r:id="rId1" xr:uid="{D7F386F0-027E-4C87-B8D1-63236055144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938B0-AAD0-4704-8E5E-161EFEAC2362}">
  <dimension ref="B1:J21"/>
  <sheetViews>
    <sheetView workbookViewId="0">
      <selection activeCell="F11" sqref="F11"/>
    </sheetView>
  </sheetViews>
  <sheetFormatPr baseColWidth="10" defaultRowHeight="14.4" x14ac:dyDescent="0.3"/>
  <cols>
    <col min="3" max="3" width="25" customWidth="1"/>
    <col min="4" max="4" width="18.77734375" customWidth="1"/>
  </cols>
  <sheetData>
    <row r="1" spans="2:10" x14ac:dyDescent="0.3">
      <c r="I1" s="2"/>
    </row>
    <row r="2" spans="2:10" x14ac:dyDescent="0.3">
      <c r="B2" t="s">
        <v>136</v>
      </c>
      <c r="C2" t="s">
        <v>0</v>
      </c>
      <c r="D2" t="s">
        <v>4</v>
      </c>
      <c r="F2" s="1">
        <f>SUM(D3:D11)</f>
        <v>244</v>
      </c>
    </row>
    <row r="3" spans="2:10" x14ac:dyDescent="0.3">
      <c r="B3" t="s">
        <v>137</v>
      </c>
      <c r="C3" t="s">
        <v>138</v>
      </c>
      <c r="D3" s="1">
        <v>163.81</v>
      </c>
      <c r="E3" s="1"/>
      <c r="G3" s="1"/>
      <c r="H3" s="1"/>
    </row>
    <row r="4" spans="2:10" x14ac:dyDescent="0.3">
      <c r="B4" t="s">
        <v>5</v>
      </c>
      <c r="C4" t="s">
        <v>139</v>
      </c>
      <c r="D4" s="1">
        <v>2.72</v>
      </c>
      <c r="E4" s="1"/>
      <c r="G4" s="1"/>
      <c r="H4" s="1"/>
    </row>
    <row r="5" spans="2:10" x14ac:dyDescent="0.3">
      <c r="B5" t="s">
        <v>5</v>
      </c>
      <c r="C5" t="s">
        <v>140</v>
      </c>
      <c r="D5" s="1">
        <v>6.69</v>
      </c>
      <c r="E5" s="1"/>
      <c r="G5" s="1"/>
      <c r="H5" s="1"/>
      <c r="J5" s="3"/>
    </row>
    <row r="6" spans="2:10" x14ac:dyDescent="0.3">
      <c r="B6" t="s">
        <v>5</v>
      </c>
      <c r="C6" t="s">
        <v>141</v>
      </c>
      <c r="D6" s="1">
        <v>2.35</v>
      </c>
      <c r="E6" s="1"/>
      <c r="G6" s="1"/>
      <c r="H6" s="1"/>
    </row>
    <row r="7" spans="2:10" x14ac:dyDescent="0.3">
      <c r="B7" t="s">
        <v>5</v>
      </c>
      <c r="C7" t="s">
        <v>142</v>
      </c>
      <c r="D7" s="1">
        <v>3.7</v>
      </c>
      <c r="E7" s="1"/>
      <c r="G7" s="1"/>
      <c r="H7" s="1"/>
    </row>
    <row r="8" spans="2:10" x14ac:dyDescent="0.3">
      <c r="B8" t="s">
        <v>5</v>
      </c>
      <c r="C8" t="s">
        <v>143</v>
      </c>
      <c r="D8" s="1">
        <v>6.99</v>
      </c>
      <c r="E8" s="1"/>
      <c r="G8" s="1"/>
      <c r="H8" s="1"/>
    </row>
    <row r="9" spans="2:10" x14ac:dyDescent="0.3">
      <c r="B9" t="s">
        <v>5</v>
      </c>
      <c r="C9" t="s">
        <v>144</v>
      </c>
      <c r="D9" s="1">
        <v>40.76</v>
      </c>
      <c r="E9" s="1"/>
      <c r="G9" s="1"/>
      <c r="H9" s="1"/>
    </row>
    <row r="10" spans="2:10" x14ac:dyDescent="0.3">
      <c r="B10" t="s">
        <v>5</v>
      </c>
      <c r="C10" t="s">
        <v>145</v>
      </c>
      <c r="D10" s="1">
        <v>7.99</v>
      </c>
      <c r="E10" s="1"/>
      <c r="G10" s="1"/>
      <c r="H10" s="1"/>
    </row>
    <row r="11" spans="2:10" x14ac:dyDescent="0.3">
      <c r="B11" t="s">
        <v>5</v>
      </c>
      <c r="C11" t="s">
        <v>146</v>
      </c>
      <c r="D11" s="1">
        <v>8.99</v>
      </c>
      <c r="E11" s="1"/>
      <c r="G11" s="1"/>
      <c r="H11" s="1"/>
    </row>
    <row r="12" spans="2:10" x14ac:dyDescent="0.3">
      <c r="E12" s="1"/>
      <c r="G12" s="1"/>
      <c r="H12" s="1"/>
    </row>
    <row r="13" spans="2:10" x14ac:dyDescent="0.3">
      <c r="E13" s="1"/>
      <c r="G13" s="1"/>
      <c r="H13" s="1"/>
    </row>
    <row r="14" spans="2:10" x14ac:dyDescent="0.3">
      <c r="E14" s="1"/>
      <c r="G14" s="1"/>
      <c r="H14" s="1"/>
    </row>
    <row r="15" spans="2:10" x14ac:dyDescent="0.3">
      <c r="E15" s="1"/>
      <c r="G15" s="1"/>
      <c r="H15" s="1"/>
    </row>
    <row r="16" spans="2:10" x14ac:dyDescent="0.3">
      <c r="E16" s="1"/>
      <c r="G16" s="1"/>
      <c r="H16" s="1"/>
    </row>
    <row r="17" spans="5:8" x14ac:dyDescent="0.3">
      <c r="E17" s="1"/>
      <c r="G17" s="1"/>
      <c r="H17" s="1"/>
    </row>
    <row r="18" spans="5:8" x14ac:dyDescent="0.3">
      <c r="E18" s="1"/>
      <c r="G18" s="1"/>
      <c r="H18" s="1"/>
    </row>
    <row r="19" spans="5:8" x14ac:dyDescent="0.3">
      <c r="E19" s="1"/>
      <c r="G19" s="1"/>
      <c r="H19" s="1"/>
    </row>
    <row r="20" spans="5:8" x14ac:dyDescent="0.3">
      <c r="E20" s="1"/>
      <c r="G20" s="1"/>
      <c r="H20" s="1"/>
    </row>
    <row r="21" spans="5:8" x14ac:dyDescent="0.3"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01A1-7AB8-40C2-A8AE-985E0D56E443}">
  <dimension ref="A2:G27"/>
  <sheetViews>
    <sheetView workbookViewId="0">
      <selection activeCell="G6" sqref="G6"/>
    </sheetView>
  </sheetViews>
  <sheetFormatPr baseColWidth="10" defaultRowHeight="14.4" x14ac:dyDescent="0.3"/>
  <cols>
    <col min="1" max="1" width="20" bestFit="1" customWidth="1"/>
    <col min="3" max="3" width="14" customWidth="1"/>
    <col min="4" max="4" width="17.6640625" customWidth="1"/>
    <col min="5" max="5" width="14.109375" customWidth="1"/>
    <col min="6" max="6" width="18.44140625" bestFit="1" customWidth="1"/>
  </cols>
  <sheetData>
    <row r="2" spans="1:7" ht="23.4" x14ac:dyDescent="0.45">
      <c r="A2" s="4" t="s">
        <v>108</v>
      </c>
      <c r="F2" s="4" t="s">
        <v>118</v>
      </c>
    </row>
    <row r="3" spans="1:7" ht="28.8" x14ac:dyDescent="0.3">
      <c r="A3" s="13" t="s">
        <v>126</v>
      </c>
      <c r="B3">
        <f>SUMPRODUCT(B11:B17,F11:F17)*3600/1000</f>
        <v>157.5</v>
      </c>
      <c r="C3" t="s">
        <v>132</v>
      </c>
      <c r="F3" t="s">
        <v>120</v>
      </c>
      <c r="G3" s="7">
        <f>B5/(B3-B4)</f>
        <v>6.4516129032258052</v>
      </c>
    </row>
    <row r="4" spans="1:7" ht="28.8" x14ac:dyDescent="0.3">
      <c r="A4" s="13" t="s">
        <v>127</v>
      </c>
      <c r="B4">
        <f>D27</f>
        <v>129.6</v>
      </c>
      <c r="C4" t="s">
        <v>132</v>
      </c>
      <c r="F4" t="s">
        <v>121</v>
      </c>
      <c r="G4" s="7">
        <f>G3/24</f>
        <v>0.2688172043010752</v>
      </c>
    </row>
    <row r="5" spans="1:7" x14ac:dyDescent="0.3">
      <c r="A5" t="s">
        <v>128</v>
      </c>
      <c r="B5">
        <f>E20</f>
        <v>180</v>
      </c>
      <c r="C5" t="s">
        <v>132</v>
      </c>
      <c r="F5" t="s">
        <v>124</v>
      </c>
      <c r="G5" s="7">
        <f>G4/365</f>
        <v>7.3648549123582247E-4</v>
      </c>
    </row>
    <row r="8" spans="1:7" ht="23.4" x14ac:dyDescent="0.45">
      <c r="A8" s="4" t="s">
        <v>107</v>
      </c>
    </row>
    <row r="9" spans="1:7" ht="21" x14ac:dyDescent="0.4">
      <c r="A9" s="15" t="s">
        <v>109</v>
      </c>
    </row>
    <row r="10" spans="1:7" ht="43.2" x14ac:dyDescent="0.3">
      <c r="B10" t="s">
        <v>112</v>
      </c>
      <c r="C10" t="s">
        <v>125</v>
      </c>
      <c r="D10" s="13" t="s">
        <v>114</v>
      </c>
      <c r="E10" s="13" t="s">
        <v>113</v>
      </c>
      <c r="F10" s="13" t="s">
        <v>115</v>
      </c>
    </row>
    <row r="11" spans="1:7" x14ac:dyDescent="0.3">
      <c r="B11">
        <v>100</v>
      </c>
      <c r="C11">
        <v>5</v>
      </c>
      <c r="D11">
        <v>30</v>
      </c>
      <c r="E11">
        <v>30</v>
      </c>
      <c r="F11" s="6">
        <f>(E11*D11)/3600</f>
        <v>0.25</v>
      </c>
    </row>
    <row r="12" spans="1:7" x14ac:dyDescent="0.3">
      <c r="B12">
        <v>50</v>
      </c>
      <c r="C12">
        <v>5</v>
      </c>
      <c r="D12">
        <v>20</v>
      </c>
      <c r="E12">
        <v>60</v>
      </c>
      <c r="F12" s="6">
        <f t="shared" ref="F12:F16" si="0">(E12*D12)/3600</f>
        <v>0.33333333333333331</v>
      </c>
    </row>
    <row r="13" spans="1:7" x14ac:dyDescent="0.3">
      <c r="F13" s="6"/>
    </row>
    <row r="14" spans="1:7" x14ac:dyDescent="0.3">
      <c r="F14" s="6"/>
    </row>
    <row r="15" spans="1:7" x14ac:dyDescent="0.3">
      <c r="F15" s="6">
        <f t="shared" si="0"/>
        <v>0</v>
      </c>
    </row>
    <row r="16" spans="1:7" x14ac:dyDescent="0.3">
      <c r="A16" t="s">
        <v>123</v>
      </c>
      <c r="B16">
        <f>SUMPRODUCT(B11:B15,F11:F15)*0.05</f>
        <v>2.0833333333333335</v>
      </c>
      <c r="D16">
        <v>3600</v>
      </c>
      <c r="E16">
        <v>1</v>
      </c>
      <c r="F16" s="6">
        <f t="shared" si="0"/>
        <v>1</v>
      </c>
    </row>
    <row r="19" spans="1:5" ht="44.4" x14ac:dyDescent="0.4">
      <c r="A19" s="15" t="s">
        <v>110</v>
      </c>
      <c r="B19" s="13" t="s">
        <v>116</v>
      </c>
      <c r="C19" t="s">
        <v>125</v>
      </c>
      <c r="D19" t="s">
        <v>117</v>
      </c>
      <c r="E19" t="s">
        <v>131</v>
      </c>
    </row>
    <row r="20" spans="1:5" x14ac:dyDescent="0.3">
      <c r="A20" t="s">
        <v>6</v>
      </c>
      <c r="B20">
        <v>2000</v>
      </c>
      <c r="C20">
        <v>5</v>
      </c>
      <c r="D20">
        <v>5</v>
      </c>
      <c r="E20">
        <f>D20*B20*C20/1000*3600/1000</f>
        <v>180</v>
      </c>
    </row>
    <row r="21" spans="1:5" x14ac:dyDescent="0.3">
      <c r="A21" t="s">
        <v>7</v>
      </c>
    </row>
    <row r="25" spans="1:5" ht="21" x14ac:dyDescent="0.4">
      <c r="A25" s="15" t="s">
        <v>111</v>
      </c>
    </row>
    <row r="26" spans="1:5" ht="57.6" x14ac:dyDescent="0.3">
      <c r="B26" t="s">
        <v>122</v>
      </c>
      <c r="C26" s="13" t="s">
        <v>129</v>
      </c>
      <c r="D26" t="s">
        <v>130</v>
      </c>
    </row>
    <row r="27" spans="1:5" x14ac:dyDescent="0.3">
      <c r="A27" s="13" t="s">
        <v>119</v>
      </c>
      <c r="B27">
        <v>6</v>
      </c>
      <c r="C27">
        <v>6</v>
      </c>
      <c r="D27">
        <f>B27*C27*3600/1000</f>
        <v>129.6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9E23-8CD5-4E87-87C5-78B003674011}">
  <dimension ref="A2:I74"/>
  <sheetViews>
    <sheetView tabSelected="1" topLeftCell="C1" workbookViewId="0">
      <selection activeCell="H36" sqref="H36"/>
    </sheetView>
  </sheetViews>
  <sheetFormatPr baseColWidth="10" defaultRowHeight="18" x14ac:dyDescent="0.35"/>
  <cols>
    <col min="1" max="1" width="11.5546875" style="5"/>
    <col min="2" max="2" width="15.21875" bestFit="1" customWidth="1"/>
    <col min="4" max="4" width="13.77734375" customWidth="1"/>
    <col min="5" max="5" width="15.5546875" bestFit="1" customWidth="1"/>
    <col min="6" max="6" width="23.109375" customWidth="1"/>
    <col min="7" max="7" width="6.109375" style="89" customWidth="1"/>
    <col min="8" max="8" width="15.21875" customWidth="1"/>
  </cols>
  <sheetData>
    <row r="2" spans="1:8" ht="36" x14ac:dyDescent="0.35">
      <c r="A2" s="30"/>
      <c r="B2" s="31" t="s">
        <v>8</v>
      </c>
      <c r="C2" s="32" t="s">
        <v>15</v>
      </c>
      <c r="D2" s="41" t="s">
        <v>104</v>
      </c>
      <c r="H2" s="41" t="s">
        <v>249</v>
      </c>
    </row>
    <row r="3" spans="1:8" x14ac:dyDescent="0.35">
      <c r="A3" s="26">
        <v>0</v>
      </c>
      <c r="B3" s="27"/>
      <c r="C3" s="28"/>
      <c r="D3" s="29"/>
      <c r="G3" s="89" t="s">
        <v>9</v>
      </c>
    </row>
    <row r="4" spans="1:8" x14ac:dyDescent="0.35">
      <c r="A4" s="23">
        <v>1</v>
      </c>
      <c r="B4" s="20"/>
      <c r="C4" s="16"/>
      <c r="D4" s="17"/>
      <c r="G4" s="89" t="s">
        <v>10</v>
      </c>
    </row>
    <row r="5" spans="1:8" x14ac:dyDescent="0.35">
      <c r="A5" s="23">
        <v>2</v>
      </c>
      <c r="B5" s="20" t="s">
        <v>21</v>
      </c>
      <c r="C5" s="16" t="s">
        <v>21</v>
      </c>
      <c r="D5" s="17" t="s">
        <v>105</v>
      </c>
      <c r="G5" s="89" t="s">
        <v>11</v>
      </c>
    </row>
    <row r="6" spans="1:8" x14ac:dyDescent="0.35">
      <c r="A6" s="23">
        <v>3</v>
      </c>
      <c r="B6" s="21"/>
      <c r="C6" s="16" t="s">
        <v>38</v>
      </c>
      <c r="D6" s="17" t="s">
        <v>36</v>
      </c>
      <c r="G6" s="89" t="s">
        <v>12</v>
      </c>
      <c r="H6" t="s">
        <v>268</v>
      </c>
    </row>
    <row r="7" spans="1:8" x14ac:dyDescent="0.35">
      <c r="A7" s="23">
        <v>4</v>
      </c>
      <c r="B7" s="21"/>
      <c r="C7" s="16"/>
      <c r="D7" s="17" t="s">
        <v>106</v>
      </c>
      <c r="G7" s="89" t="s">
        <v>13</v>
      </c>
      <c r="H7" t="s">
        <v>269</v>
      </c>
    </row>
    <row r="8" spans="1:8" x14ac:dyDescent="0.35">
      <c r="A8" s="23">
        <v>5</v>
      </c>
      <c r="B8" s="21"/>
      <c r="C8" s="16"/>
      <c r="D8" s="17" t="s">
        <v>35</v>
      </c>
      <c r="G8" s="89" t="s">
        <v>14</v>
      </c>
      <c r="H8" t="s">
        <v>270</v>
      </c>
    </row>
    <row r="9" spans="1:8" x14ac:dyDescent="0.35">
      <c r="A9" s="23">
        <v>6</v>
      </c>
      <c r="B9" s="21"/>
      <c r="C9" s="16" t="s">
        <v>36</v>
      </c>
      <c r="D9" s="17"/>
      <c r="G9" s="89" t="s">
        <v>257</v>
      </c>
    </row>
    <row r="10" spans="1:8" x14ac:dyDescent="0.35">
      <c r="A10" s="23">
        <v>7</v>
      </c>
      <c r="B10" s="21" t="s">
        <v>103</v>
      </c>
      <c r="C10" s="16" t="s">
        <v>39</v>
      </c>
      <c r="D10" s="17"/>
      <c r="G10" s="89" t="s">
        <v>258</v>
      </c>
    </row>
    <row r="11" spans="1:8" x14ac:dyDescent="0.35">
      <c r="A11" s="23">
        <v>8</v>
      </c>
      <c r="B11" s="21"/>
      <c r="C11" s="16"/>
      <c r="D11" s="17"/>
      <c r="G11" s="89" t="s">
        <v>259</v>
      </c>
    </row>
    <row r="12" spans="1:8" x14ac:dyDescent="0.35">
      <c r="A12" s="23">
        <v>9</v>
      </c>
      <c r="B12" s="20" t="s">
        <v>20</v>
      </c>
      <c r="C12" s="16"/>
      <c r="D12" s="17"/>
      <c r="G12" s="89" t="s">
        <v>260</v>
      </c>
    </row>
    <row r="13" spans="1:8" x14ac:dyDescent="0.35">
      <c r="A13" s="23">
        <v>10</v>
      </c>
      <c r="B13" s="20" t="s">
        <v>19</v>
      </c>
      <c r="C13" s="16" t="s">
        <v>20</v>
      </c>
      <c r="D13" s="17" t="s">
        <v>19</v>
      </c>
      <c r="G13" s="89" t="s">
        <v>261</v>
      </c>
    </row>
    <row r="14" spans="1:8" x14ac:dyDescent="0.35">
      <c r="A14" s="23">
        <v>11</v>
      </c>
      <c r="B14" s="20" t="s">
        <v>18</v>
      </c>
      <c r="C14" s="16" t="s">
        <v>18</v>
      </c>
      <c r="D14" s="17" t="s">
        <v>18</v>
      </c>
      <c r="G14" s="89" t="s">
        <v>262</v>
      </c>
    </row>
    <row r="15" spans="1:8" x14ac:dyDescent="0.35">
      <c r="A15" s="23">
        <v>12</v>
      </c>
      <c r="B15" s="20" t="s">
        <v>17</v>
      </c>
      <c r="C15" s="16" t="s">
        <v>17</v>
      </c>
      <c r="D15" s="17" t="s">
        <v>17</v>
      </c>
      <c r="G15" s="89" t="s">
        <v>263</v>
      </c>
    </row>
    <row r="16" spans="1:8" x14ac:dyDescent="0.35">
      <c r="A16" s="33">
        <v>13</v>
      </c>
      <c r="B16" s="34" t="s">
        <v>16</v>
      </c>
      <c r="C16" s="35" t="s">
        <v>16</v>
      </c>
      <c r="D16" s="36" t="s">
        <v>16</v>
      </c>
      <c r="G16" s="89" t="s">
        <v>264</v>
      </c>
    </row>
    <row r="17" spans="1:8" x14ac:dyDescent="0.35">
      <c r="A17" s="38"/>
      <c r="B17" s="39"/>
      <c r="C17" s="39"/>
      <c r="D17" s="40"/>
      <c r="G17" s="89" t="s">
        <v>265</v>
      </c>
    </row>
    <row r="18" spans="1:8" x14ac:dyDescent="0.35">
      <c r="A18" s="37" t="s">
        <v>9</v>
      </c>
      <c r="B18" s="27"/>
      <c r="C18" s="28"/>
      <c r="D18" s="29"/>
      <c r="G18" s="89" t="s">
        <v>266</v>
      </c>
    </row>
    <row r="19" spans="1:8" x14ac:dyDescent="0.35">
      <c r="A19" s="24" t="s">
        <v>10</v>
      </c>
      <c r="B19" s="20"/>
      <c r="C19" s="16"/>
      <c r="D19" s="17"/>
      <c r="G19" s="89" t="s">
        <v>267</v>
      </c>
    </row>
    <row r="20" spans="1:8" x14ac:dyDescent="0.35">
      <c r="A20" s="24" t="s">
        <v>11</v>
      </c>
      <c r="B20" s="20" t="s">
        <v>23</v>
      </c>
      <c r="C20" s="16"/>
      <c r="D20" s="17"/>
    </row>
    <row r="21" spans="1:8" x14ac:dyDescent="0.35">
      <c r="A21" s="24" t="s">
        <v>12</v>
      </c>
      <c r="B21" s="20" t="s">
        <v>22</v>
      </c>
      <c r="C21" s="16" t="s">
        <v>37</v>
      </c>
      <c r="D21" s="17" t="s">
        <v>37</v>
      </c>
      <c r="G21" s="89">
        <v>1</v>
      </c>
    </row>
    <row r="22" spans="1:8" x14ac:dyDescent="0.35">
      <c r="A22" s="24" t="s">
        <v>13</v>
      </c>
      <c r="B22" s="20"/>
      <c r="C22" s="16"/>
      <c r="D22" s="17"/>
      <c r="G22" s="89">
        <v>2</v>
      </c>
      <c r="H22" s="16" t="s">
        <v>21</v>
      </c>
    </row>
    <row r="23" spans="1:8" x14ac:dyDescent="0.35">
      <c r="A23" s="25" t="s">
        <v>14</v>
      </c>
      <c r="B23" s="22"/>
      <c r="C23" s="18"/>
      <c r="D23" s="19"/>
      <c r="G23" s="89">
        <v>3</v>
      </c>
    </row>
    <row r="24" spans="1:8" x14ac:dyDescent="0.35">
      <c r="A24" s="14"/>
      <c r="G24" s="89">
        <v>4</v>
      </c>
    </row>
    <row r="25" spans="1:8" x14ac:dyDescent="0.35">
      <c r="G25" s="89">
        <v>5</v>
      </c>
    </row>
    <row r="26" spans="1:8" x14ac:dyDescent="0.35">
      <c r="A26" s="14" t="s">
        <v>79</v>
      </c>
      <c r="B26" t="s">
        <v>101</v>
      </c>
      <c r="C26" t="s">
        <v>171</v>
      </c>
      <c r="G26" s="89">
        <v>6</v>
      </c>
    </row>
    <row r="27" spans="1:8" x14ac:dyDescent="0.35">
      <c r="B27" t="s">
        <v>102</v>
      </c>
      <c r="C27" t="s">
        <v>172</v>
      </c>
      <c r="G27" s="89">
        <v>7</v>
      </c>
    </row>
    <row r="28" spans="1:8" x14ac:dyDescent="0.35">
      <c r="G28" s="89">
        <v>8</v>
      </c>
    </row>
    <row r="29" spans="1:8" x14ac:dyDescent="0.35">
      <c r="G29" s="89">
        <v>9</v>
      </c>
    </row>
    <row r="30" spans="1:8" x14ac:dyDescent="0.35">
      <c r="G30" s="89">
        <v>10</v>
      </c>
      <c r="H30" t="s">
        <v>274</v>
      </c>
    </row>
    <row r="31" spans="1:8" x14ac:dyDescent="0.35">
      <c r="G31" s="89">
        <v>11</v>
      </c>
    </row>
    <row r="32" spans="1:8" x14ac:dyDescent="0.35">
      <c r="G32" s="89">
        <v>12</v>
      </c>
    </row>
    <row r="33" spans="7:9" x14ac:dyDescent="0.35">
      <c r="G33" s="89">
        <v>13</v>
      </c>
    </row>
    <row r="34" spans="7:9" x14ac:dyDescent="0.35">
      <c r="G34" s="89">
        <v>14</v>
      </c>
    </row>
    <row r="35" spans="7:9" x14ac:dyDescent="0.35">
      <c r="G35" s="89">
        <v>15</v>
      </c>
    </row>
    <row r="36" spans="7:9" x14ac:dyDescent="0.35">
      <c r="G36" s="89">
        <v>16</v>
      </c>
    </row>
    <row r="37" spans="7:9" x14ac:dyDescent="0.35">
      <c r="G37" s="89">
        <v>17</v>
      </c>
      <c r="H37" t="s">
        <v>278</v>
      </c>
    </row>
    <row r="38" spans="7:9" x14ac:dyDescent="0.35">
      <c r="G38" s="89">
        <v>18</v>
      </c>
      <c r="H38" t="s">
        <v>105</v>
      </c>
    </row>
    <row r="39" spans="7:9" x14ac:dyDescent="0.35">
      <c r="G39" s="89">
        <v>19</v>
      </c>
      <c r="H39" t="s">
        <v>36</v>
      </c>
    </row>
    <row r="40" spans="7:9" x14ac:dyDescent="0.35">
      <c r="G40" s="89">
        <v>20</v>
      </c>
      <c r="H40" s="90" t="s">
        <v>275</v>
      </c>
      <c r="I40" t="s">
        <v>277</v>
      </c>
    </row>
    <row r="41" spans="7:9" x14ac:dyDescent="0.35">
      <c r="G41" s="89">
        <v>21</v>
      </c>
      <c r="H41" s="90" t="s">
        <v>276</v>
      </c>
    </row>
    <row r="42" spans="7:9" x14ac:dyDescent="0.35">
      <c r="G42" s="89">
        <v>22</v>
      </c>
    </row>
    <row r="43" spans="7:9" x14ac:dyDescent="0.35">
      <c r="G43" s="89">
        <v>23</v>
      </c>
    </row>
    <row r="44" spans="7:9" x14ac:dyDescent="0.35">
      <c r="G44" s="89">
        <v>24</v>
      </c>
    </row>
    <row r="45" spans="7:9" x14ac:dyDescent="0.35">
      <c r="G45" s="89">
        <v>25</v>
      </c>
    </row>
    <row r="46" spans="7:9" x14ac:dyDescent="0.35">
      <c r="G46" s="89">
        <v>26</v>
      </c>
    </row>
    <row r="47" spans="7:9" x14ac:dyDescent="0.35">
      <c r="G47" s="89">
        <v>27</v>
      </c>
    </row>
    <row r="48" spans="7:9" x14ac:dyDescent="0.35">
      <c r="G48" s="89">
        <v>28</v>
      </c>
    </row>
    <row r="49" spans="7:7" x14ac:dyDescent="0.35">
      <c r="G49" s="89">
        <v>29</v>
      </c>
    </row>
    <row r="50" spans="7:7" x14ac:dyDescent="0.35">
      <c r="G50" s="89">
        <v>30</v>
      </c>
    </row>
    <row r="51" spans="7:7" x14ac:dyDescent="0.35">
      <c r="G51" s="89">
        <v>31</v>
      </c>
    </row>
    <row r="52" spans="7:7" x14ac:dyDescent="0.35">
      <c r="G52" s="89">
        <v>32</v>
      </c>
    </row>
    <row r="53" spans="7:7" x14ac:dyDescent="0.35">
      <c r="G53" s="89">
        <v>33</v>
      </c>
    </row>
    <row r="54" spans="7:7" x14ac:dyDescent="0.35">
      <c r="G54" s="89">
        <v>34</v>
      </c>
    </row>
    <row r="55" spans="7:7" x14ac:dyDescent="0.35">
      <c r="G55" s="89">
        <v>35</v>
      </c>
    </row>
    <row r="56" spans="7:7" x14ac:dyDescent="0.35">
      <c r="G56" s="89">
        <v>36</v>
      </c>
    </row>
    <row r="57" spans="7:7" x14ac:dyDescent="0.35">
      <c r="G57" s="89">
        <v>37</v>
      </c>
    </row>
    <row r="58" spans="7:7" x14ac:dyDescent="0.35">
      <c r="G58" s="89">
        <v>38</v>
      </c>
    </row>
    <row r="59" spans="7:7" x14ac:dyDescent="0.35">
      <c r="G59" s="89">
        <v>39</v>
      </c>
    </row>
    <row r="60" spans="7:7" x14ac:dyDescent="0.35">
      <c r="G60" s="89">
        <v>40</v>
      </c>
    </row>
    <row r="61" spans="7:7" x14ac:dyDescent="0.35">
      <c r="G61" s="89">
        <v>41</v>
      </c>
    </row>
    <row r="62" spans="7:7" x14ac:dyDescent="0.35">
      <c r="G62" s="89">
        <v>42</v>
      </c>
    </row>
    <row r="63" spans="7:7" x14ac:dyDescent="0.35">
      <c r="G63" s="89">
        <v>43</v>
      </c>
    </row>
    <row r="64" spans="7:7" x14ac:dyDescent="0.35">
      <c r="G64" s="89">
        <v>44</v>
      </c>
    </row>
    <row r="65" spans="7:8" x14ac:dyDescent="0.35">
      <c r="G65" s="89">
        <v>45</v>
      </c>
    </row>
    <row r="66" spans="7:8" x14ac:dyDescent="0.35">
      <c r="G66" s="89">
        <v>46</v>
      </c>
    </row>
    <row r="67" spans="7:8" x14ac:dyDescent="0.35">
      <c r="G67" s="89">
        <v>47</v>
      </c>
    </row>
    <row r="68" spans="7:8" x14ac:dyDescent="0.35">
      <c r="G68" s="89">
        <v>48</v>
      </c>
    </row>
    <row r="69" spans="7:8" x14ac:dyDescent="0.35">
      <c r="G69" s="89">
        <v>49</v>
      </c>
    </row>
    <row r="70" spans="7:8" x14ac:dyDescent="0.35">
      <c r="G70" s="89">
        <v>50</v>
      </c>
      <c r="H70" t="s">
        <v>271</v>
      </c>
    </row>
    <row r="71" spans="7:8" x14ac:dyDescent="0.35">
      <c r="G71" s="89">
        <v>51</v>
      </c>
      <c r="H71" t="s">
        <v>272</v>
      </c>
    </row>
    <row r="72" spans="7:8" x14ac:dyDescent="0.35">
      <c r="G72" s="89">
        <v>52</v>
      </c>
      <c r="H72" t="s">
        <v>273</v>
      </c>
    </row>
    <row r="73" spans="7:8" x14ac:dyDescent="0.35">
      <c r="G73" s="89">
        <v>53</v>
      </c>
    </row>
    <row r="74" spans="7:8" x14ac:dyDescent="0.35">
      <c r="G74" s="89">
        <v>54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4E373-7692-4CBF-88B4-6ED8CB4BCA4C}">
  <dimension ref="A3:S29"/>
  <sheetViews>
    <sheetView topLeftCell="A5" workbookViewId="0">
      <selection activeCell="F15" sqref="F15"/>
    </sheetView>
  </sheetViews>
  <sheetFormatPr baseColWidth="10" defaultRowHeight="14.4" x14ac:dyDescent="0.3"/>
  <cols>
    <col min="1" max="1" width="23.77734375" bestFit="1" customWidth="1"/>
    <col min="4" max="4" width="20.6640625" bestFit="1" customWidth="1"/>
    <col min="10" max="10" width="13.77734375" customWidth="1"/>
    <col min="11" max="11" width="43.5546875" bestFit="1" customWidth="1"/>
    <col min="12" max="12" width="14.77734375" customWidth="1"/>
    <col min="13" max="13" width="16.77734375" customWidth="1"/>
  </cols>
  <sheetData>
    <row r="3" spans="1:19" ht="23.4" x14ac:dyDescent="0.45">
      <c r="B3" s="88" t="s">
        <v>176</v>
      </c>
      <c r="C3" s="88"/>
      <c r="D3" s="88"/>
      <c r="E3" s="88"/>
      <c r="F3" s="88"/>
      <c r="K3" s="4" t="s">
        <v>24</v>
      </c>
      <c r="O3" t="s">
        <v>42</v>
      </c>
      <c r="S3" t="s">
        <v>41</v>
      </c>
    </row>
    <row r="4" spans="1:19" x14ac:dyDescent="0.3">
      <c r="B4" t="s">
        <v>177</v>
      </c>
      <c r="C4">
        <v>62</v>
      </c>
      <c r="D4" t="s">
        <v>178</v>
      </c>
      <c r="K4" t="s">
        <v>25</v>
      </c>
      <c r="L4">
        <v>208</v>
      </c>
      <c r="O4" t="s">
        <v>43</v>
      </c>
    </row>
    <row r="5" spans="1:19" x14ac:dyDescent="0.3">
      <c r="B5" t="s">
        <v>179</v>
      </c>
      <c r="C5">
        <v>61</v>
      </c>
      <c r="D5" t="s">
        <v>180</v>
      </c>
      <c r="K5" t="s">
        <v>27</v>
      </c>
      <c r="L5">
        <v>0</v>
      </c>
      <c r="O5" t="s">
        <v>44</v>
      </c>
    </row>
    <row r="6" spans="1:19" x14ac:dyDescent="0.3">
      <c r="K6" t="s">
        <v>26</v>
      </c>
      <c r="L6">
        <v>1</v>
      </c>
      <c r="O6" t="s">
        <v>45</v>
      </c>
    </row>
    <row r="7" spans="1:19" ht="18" x14ac:dyDescent="0.35">
      <c r="A7" s="88" t="s">
        <v>185</v>
      </c>
      <c r="B7" s="88"/>
      <c r="C7" s="88"/>
      <c r="D7" t="s">
        <v>210</v>
      </c>
    </row>
    <row r="8" spans="1:19" x14ac:dyDescent="0.3">
      <c r="A8" t="s">
        <v>186</v>
      </c>
      <c r="B8">
        <v>2</v>
      </c>
      <c r="C8" t="s">
        <v>187</v>
      </c>
    </row>
    <row r="9" spans="1:19" x14ac:dyDescent="0.3">
      <c r="A9" t="s">
        <v>188</v>
      </c>
      <c r="B9">
        <v>4</v>
      </c>
      <c r="C9" t="s">
        <v>187</v>
      </c>
      <c r="D9" t="s">
        <v>189</v>
      </c>
    </row>
    <row r="10" spans="1:19" ht="18" x14ac:dyDescent="0.35">
      <c r="K10" s="5" t="s">
        <v>28</v>
      </c>
    </row>
    <row r="11" spans="1:19" x14ac:dyDescent="0.3">
      <c r="K11" t="s">
        <v>29</v>
      </c>
      <c r="L11" t="s">
        <v>31</v>
      </c>
    </row>
    <row r="12" spans="1:19" ht="15.6" x14ac:dyDescent="0.3">
      <c r="A12" s="42" t="s">
        <v>184</v>
      </c>
      <c r="B12" s="42" t="s">
        <v>181</v>
      </c>
      <c r="C12" s="42" t="s">
        <v>182</v>
      </c>
      <c r="D12" s="42" t="s">
        <v>183</v>
      </c>
      <c r="F12" s="42" t="s">
        <v>252</v>
      </c>
    </row>
    <row r="13" spans="1:19" x14ac:dyDescent="0.3">
      <c r="A13" t="s">
        <v>190</v>
      </c>
      <c r="B13">
        <v>0</v>
      </c>
      <c r="C13">
        <v>3</v>
      </c>
      <c r="D13" t="s">
        <v>209</v>
      </c>
      <c r="F13" t="s">
        <v>253</v>
      </c>
      <c r="G13" s="86" t="s">
        <v>254</v>
      </c>
      <c r="L13" t="s">
        <v>32</v>
      </c>
      <c r="M13" t="s">
        <v>90</v>
      </c>
      <c r="N13" t="s">
        <v>91</v>
      </c>
    </row>
    <row r="14" spans="1:19" x14ac:dyDescent="0.3">
      <c r="A14" t="s">
        <v>192</v>
      </c>
      <c r="B14">
        <f>C13+1</f>
        <v>4</v>
      </c>
      <c r="C14">
        <f>B14+3</f>
        <v>7</v>
      </c>
      <c r="D14" t="s">
        <v>191</v>
      </c>
      <c r="F14" t="s">
        <v>255</v>
      </c>
      <c r="G14" s="86" t="s">
        <v>256</v>
      </c>
      <c r="J14" s="87" t="s">
        <v>40</v>
      </c>
      <c r="K14" t="s">
        <v>30</v>
      </c>
      <c r="L14" t="s">
        <v>75</v>
      </c>
      <c r="M14" t="s">
        <v>33</v>
      </c>
      <c r="N14">
        <v>4</v>
      </c>
      <c r="O14" t="s">
        <v>88</v>
      </c>
    </row>
    <row r="15" spans="1:19" x14ac:dyDescent="0.3">
      <c r="A15" t="s">
        <v>193</v>
      </c>
      <c r="B15">
        <f t="shared" ref="B15:B27" si="0">C14+1</f>
        <v>8</v>
      </c>
      <c r="C15">
        <f t="shared" ref="C15:C27" si="1">B15+3</f>
        <v>11</v>
      </c>
      <c r="D15" t="s">
        <v>194</v>
      </c>
      <c r="J15" s="87"/>
      <c r="K15" t="s">
        <v>34</v>
      </c>
      <c r="L15" t="s">
        <v>76</v>
      </c>
      <c r="M15" t="s">
        <v>33</v>
      </c>
      <c r="N15">
        <v>4</v>
      </c>
      <c r="O15" t="s">
        <v>89</v>
      </c>
    </row>
    <row r="16" spans="1:19" x14ac:dyDescent="0.3">
      <c r="A16" t="s">
        <v>195</v>
      </c>
      <c r="B16">
        <f t="shared" si="0"/>
        <v>12</v>
      </c>
      <c r="C16">
        <f t="shared" si="1"/>
        <v>15</v>
      </c>
      <c r="D16" t="s">
        <v>197</v>
      </c>
      <c r="J16" s="87"/>
      <c r="K16" t="s">
        <v>81</v>
      </c>
      <c r="L16" t="s">
        <v>77</v>
      </c>
      <c r="M16" t="s">
        <v>33</v>
      </c>
      <c r="N16">
        <v>4</v>
      </c>
      <c r="O16" t="s">
        <v>84</v>
      </c>
    </row>
    <row r="17" spans="1:15" x14ac:dyDescent="0.3">
      <c r="A17" t="s">
        <v>198</v>
      </c>
      <c r="B17">
        <f t="shared" si="0"/>
        <v>16</v>
      </c>
      <c r="C17">
        <f t="shared" si="1"/>
        <v>19</v>
      </c>
      <c r="D17" t="s">
        <v>197</v>
      </c>
      <c r="J17" s="87"/>
      <c r="K17" t="s">
        <v>35</v>
      </c>
      <c r="L17" t="s">
        <v>78</v>
      </c>
      <c r="M17" t="s">
        <v>33</v>
      </c>
      <c r="N17">
        <v>4</v>
      </c>
      <c r="O17" t="s">
        <v>196</v>
      </c>
    </row>
    <row r="18" spans="1:15" x14ac:dyDescent="0.3">
      <c r="A18" t="s">
        <v>199</v>
      </c>
      <c r="B18">
        <f t="shared" si="0"/>
        <v>20</v>
      </c>
      <c r="C18">
        <f t="shared" si="1"/>
        <v>23</v>
      </c>
      <c r="D18" t="s">
        <v>200</v>
      </c>
      <c r="J18" s="87"/>
      <c r="K18" t="s">
        <v>80</v>
      </c>
    </row>
    <row r="19" spans="1:15" x14ac:dyDescent="0.3">
      <c r="A19" t="s">
        <v>201</v>
      </c>
      <c r="B19">
        <f t="shared" si="0"/>
        <v>24</v>
      </c>
      <c r="C19">
        <f t="shared" si="1"/>
        <v>27</v>
      </c>
      <c r="D19" t="s">
        <v>202</v>
      </c>
      <c r="K19" t="s">
        <v>82</v>
      </c>
    </row>
    <row r="20" spans="1:15" x14ac:dyDescent="0.3">
      <c r="A20" t="s">
        <v>206</v>
      </c>
      <c r="B20">
        <f t="shared" si="0"/>
        <v>28</v>
      </c>
      <c r="C20">
        <f t="shared" si="1"/>
        <v>31</v>
      </c>
      <c r="D20" t="s">
        <v>207</v>
      </c>
      <c r="K20" t="s">
        <v>83</v>
      </c>
      <c r="M20" t="s">
        <v>92</v>
      </c>
    </row>
    <row r="21" spans="1:15" x14ac:dyDescent="0.3">
      <c r="A21" t="s">
        <v>203</v>
      </c>
      <c r="B21">
        <f t="shared" si="0"/>
        <v>32</v>
      </c>
      <c r="C21">
        <f t="shared" si="1"/>
        <v>35</v>
      </c>
      <c r="D21" t="s">
        <v>208</v>
      </c>
      <c r="N21">
        <f>SUM(N14:N17)+LEN(L14)+LEN(L15)+LEN(L16)+LEN(L17)</f>
        <v>37</v>
      </c>
    </row>
    <row r="22" spans="1:15" x14ac:dyDescent="0.3">
      <c r="A22" t="s">
        <v>204</v>
      </c>
      <c r="B22">
        <f t="shared" si="0"/>
        <v>36</v>
      </c>
      <c r="C22">
        <f t="shared" si="1"/>
        <v>39</v>
      </c>
      <c r="D22" t="s">
        <v>212</v>
      </c>
    </row>
    <row r="23" spans="1:15" x14ac:dyDescent="0.3">
      <c r="A23" t="s">
        <v>205</v>
      </c>
      <c r="B23">
        <f t="shared" si="0"/>
        <v>40</v>
      </c>
      <c r="C23">
        <f t="shared" si="1"/>
        <v>43</v>
      </c>
      <c r="D23" t="s">
        <v>212</v>
      </c>
    </row>
    <row r="24" spans="1:15" x14ac:dyDescent="0.3">
      <c r="B24">
        <f t="shared" si="0"/>
        <v>44</v>
      </c>
      <c r="C24">
        <f t="shared" si="1"/>
        <v>47</v>
      </c>
    </row>
    <row r="25" spans="1:15" x14ac:dyDescent="0.3">
      <c r="B25">
        <f t="shared" si="0"/>
        <v>48</v>
      </c>
      <c r="C25">
        <f t="shared" si="1"/>
        <v>51</v>
      </c>
      <c r="K25" s="87" t="s">
        <v>175</v>
      </c>
    </row>
    <row r="26" spans="1:15" x14ac:dyDescent="0.3">
      <c r="A26" t="s">
        <v>251</v>
      </c>
      <c r="B26">
        <f t="shared" si="0"/>
        <v>52</v>
      </c>
      <c r="C26">
        <f t="shared" si="1"/>
        <v>55</v>
      </c>
      <c r="D26" t="s">
        <v>211</v>
      </c>
      <c r="K26" s="87"/>
    </row>
    <row r="27" spans="1:15" x14ac:dyDescent="0.3">
      <c r="A27" t="s">
        <v>250</v>
      </c>
      <c r="B27">
        <f t="shared" si="0"/>
        <v>56</v>
      </c>
      <c r="C27">
        <f t="shared" si="1"/>
        <v>59</v>
      </c>
      <c r="K27" s="87"/>
    </row>
    <row r="28" spans="1:15" x14ac:dyDescent="0.3">
      <c r="K28" s="87"/>
    </row>
    <row r="29" spans="1:15" x14ac:dyDescent="0.3">
      <c r="K29" s="87"/>
    </row>
  </sheetData>
  <mergeCells count="4">
    <mergeCell ref="J14:J18"/>
    <mergeCell ref="K25:K29"/>
    <mergeCell ref="B3:F3"/>
    <mergeCell ref="A7:C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D9B7D-59EE-42F5-ACB8-0201936EFCF0}">
  <dimension ref="A2:K26"/>
  <sheetViews>
    <sheetView workbookViewId="0">
      <selection activeCell="B3" sqref="B3"/>
    </sheetView>
  </sheetViews>
  <sheetFormatPr baseColWidth="10" defaultRowHeight="14.4" x14ac:dyDescent="0.3"/>
  <cols>
    <col min="7" max="7" width="12.5546875" bestFit="1" customWidth="1"/>
  </cols>
  <sheetData>
    <row r="2" spans="1:11" x14ac:dyDescent="0.3">
      <c r="A2" t="s">
        <v>46</v>
      </c>
      <c r="B2">
        <v>100</v>
      </c>
      <c r="C2" t="s">
        <v>47</v>
      </c>
      <c r="E2" t="s">
        <v>50</v>
      </c>
      <c r="F2">
        <f>B2*2.4</f>
        <v>240</v>
      </c>
      <c r="G2" t="s">
        <v>54</v>
      </c>
      <c r="I2" t="s">
        <v>50</v>
      </c>
      <c r="J2">
        <v>50</v>
      </c>
      <c r="K2" t="s">
        <v>54</v>
      </c>
    </row>
    <row r="3" spans="1:11" x14ac:dyDescent="0.3">
      <c r="A3" t="s">
        <v>48</v>
      </c>
      <c r="B3">
        <f>1/B2</f>
        <v>0.01</v>
      </c>
      <c r="C3" t="s">
        <v>49</v>
      </c>
      <c r="I3" t="s">
        <v>133</v>
      </c>
      <c r="J3">
        <f>J2/2.4</f>
        <v>20.833333333333336</v>
      </c>
      <c r="K3" t="s">
        <v>47</v>
      </c>
    </row>
    <row r="4" spans="1:11" ht="28.8" x14ac:dyDescent="0.3">
      <c r="A4" t="s">
        <v>52</v>
      </c>
      <c r="B4">
        <v>0.3</v>
      </c>
      <c r="I4" s="13" t="s">
        <v>134</v>
      </c>
      <c r="J4">
        <v>1</v>
      </c>
      <c r="K4" t="s">
        <v>49</v>
      </c>
    </row>
    <row r="5" spans="1:11" ht="28.8" x14ac:dyDescent="0.3">
      <c r="A5" t="s">
        <v>51</v>
      </c>
      <c r="I5" s="13" t="s">
        <v>135</v>
      </c>
      <c r="J5">
        <f>J4*J3</f>
        <v>20.833333333333336</v>
      </c>
    </row>
    <row r="6" spans="1:11" x14ac:dyDescent="0.3">
      <c r="E6" t="s">
        <v>53</v>
      </c>
      <c r="F6">
        <f ca="1">AVERAGE(C8:C26)</f>
        <v>1.0352551792847858E-2</v>
      </c>
      <c r="G6" t="s">
        <v>49</v>
      </c>
    </row>
    <row r="7" spans="1:11" x14ac:dyDescent="0.3">
      <c r="A7">
        <v>1</v>
      </c>
      <c r="B7">
        <v>0</v>
      </c>
      <c r="F7">
        <f ca="1">1/F6</f>
        <v>96.594542100321377</v>
      </c>
      <c r="G7" t="s">
        <v>47</v>
      </c>
    </row>
    <row r="8" spans="1:11" x14ac:dyDescent="0.3">
      <c r="A8">
        <v>2</v>
      </c>
      <c r="B8">
        <f t="shared" ref="B8:B26" ca="1" si="0">B7+B$3+(RAND()*2-1)*B$3*B$4</f>
        <v>7.2074704134743196E-3</v>
      </c>
      <c r="C8">
        <f ca="1">B8-B7</f>
        <v>7.2074704134743196E-3</v>
      </c>
      <c r="E8" t="s">
        <v>55</v>
      </c>
      <c r="F8" s="6">
        <f ca="1">(F7-B2)/B2</f>
        <v>-3.4054578996786232E-2</v>
      </c>
    </row>
    <row r="9" spans="1:11" x14ac:dyDescent="0.3">
      <c r="A9">
        <v>3</v>
      </c>
      <c r="B9">
        <f t="shared" ca="1" si="0"/>
        <v>1.7820630280110765E-2</v>
      </c>
      <c r="C9">
        <f ca="1">B9-B8</f>
        <v>1.0613159866636445E-2</v>
      </c>
    </row>
    <row r="10" spans="1:11" x14ac:dyDescent="0.3">
      <c r="A10">
        <v>4</v>
      </c>
      <c r="B10">
        <f t="shared" ca="1" si="0"/>
        <v>3.0817672648950915E-2</v>
      </c>
      <c r="C10">
        <f t="shared" ref="C10:C26" ca="1" si="1">B10-B9</f>
        <v>1.299704236884015E-2</v>
      </c>
    </row>
    <row r="11" spans="1:11" x14ac:dyDescent="0.3">
      <c r="A11">
        <v>5</v>
      </c>
      <c r="B11">
        <f t="shared" ca="1" si="0"/>
        <v>4.1058606305057151E-2</v>
      </c>
      <c r="C11">
        <f t="shared" ca="1" si="1"/>
        <v>1.0240933656106236E-2</v>
      </c>
    </row>
    <row r="12" spans="1:11" x14ac:dyDescent="0.3">
      <c r="A12">
        <v>6</v>
      </c>
      <c r="B12">
        <f t="shared" ca="1" si="0"/>
        <v>5.1662060524272385E-2</v>
      </c>
      <c r="C12">
        <f t="shared" ca="1" si="1"/>
        <v>1.0603454219215235E-2</v>
      </c>
    </row>
    <row r="13" spans="1:11" x14ac:dyDescent="0.3">
      <c r="A13">
        <v>7</v>
      </c>
      <c r="B13">
        <f t="shared" ca="1" si="0"/>
        <v>6.1035316521562674E-2</v>
      </c>
      <c r="C13">
        <f t="shared" ca="1" si="1"/>
        <v>9.373255997290289E-3</v>
      </c>
    </row>
    <row r="14" spans="1:11" x14ac:dyDescent="0.3">
      <c r="A14">
        <v>8</v>
      </c>
      <c r="B14">
        <f t="shared" ca="1" si="0"/>
        <v>7.3618079772825543E-2</v>
      </c>
      <c r="C14">
        <f t="shared" ca="1" si="1"/>
        <v>1.2582763251262868E-2</v>
      </c>
    </row>
    <row r="15" spans="1:11" x14ac:dyDescent="0.3">
      <c r="A15">
        <v>9</v>
      </c>
      <c r="B15">
        <f t="shared" ca="1" si="0"/>
        <v>8.2668465354426221E-2</v>
      </c>
      <c r="C15">
        <f t="shared" ca="1" si="1"/>
        <v>9.0503855816006784E-3</v>
      </c>
    </row>
    <row r="16" spans="1:11" x14ac:dyDescent="0.3">
      <c r="A16">
        <v>10</v>
      </c>
      <c r="B16">
        <f t="shared" ca="1" si="0"/>
        <v>8.9858552925422788E-2</v>
      </c>
      <c r="C16">
        <f t="shared" ca="1" si="1"/>
        <v>7.1900875709965673E-3</v>
      </c>
    </row>
    <row r="17" spans="1:3" x14ac:dyDescent="0.3">
      <c r="A17">
        <v>11</v>
      </c>
      <c r="B17">
        <f t="shared" ca="1" si="0"/>
        <v>0.10282967408457397</v>
      </c>
      <c r="C17">
        <f t="shared" ca="1" si="1"/>
        <v>1.297112115915118E-2</v>
      </c>
    </row>
    <row r="18" spans="1:3" x14ac:dyDescent="0.3">
      <c r="A18">
        <v>12</v>
      </c>
      <c r="B18">
        <f t="shared" ca="1" si="0"/>
        <v>0.11034698235980497</v>
      </c>
      <c r="C18">
        <f t="shared" ca="1" si="1"/>
        <v>7.517308275231005E-3</v>
      </c>
    </row>
    <row r="19" spans="1:3" x14ac:dyDescent="0.3">
      <c r="A19">
        <v>13</v>
      </c>
      <c r="B19">
        <f t="shared" ca="1" si="0"/>
        <v>0.12185613360341653</v>
      </c>
      <c r="C19">
        <f t="shared" ca="1" si="1"/>
        <v>1.1509151243611557E-2</v>
      </c>
    </row>
    <row r="20" spans="1:3" x14ac:dyDescent="0.3">
      <c r="A20">
        <v>14</v>
      </c>
      <c r="B20">
        <f t="shared" ca="1" si="0"/>
        <v>0.1345643351820805</v>
      </c>
      <c r="C20">
        <f t="shared" ca="1" si="1"/>
        <v>1.2708201578663966E-2</v>
      </c>
    </row>
    <row r="21" spans="1:3" x14ac:dyDescent="0.3">
      <c r="A21">
        <v>15</v>
      </c>
      <c r="B21">
        <f t="shared" ca="1" si="0"/>
        <v>0.1459852956080876</v>
      </c>
      <c r="C21">
        <f t="shared" ca="1" si="1"/>
        <v>1.1420960426007098E-2</v>
      </c>
    </row>
    <row r="22" spans="1:3" x14ac:dyDescent="0.3">
      <c r="A22">
        <v>16</v>
      </c>
      <c r="B22">
        <f t="shared" ca="1" si="0"/>
        <v>0.15547688353854958</v>
      </c>
      <c r="C22">
        <f t="shared" ca="1" si="1"/>
        <v>9.491587930461981E-3</v>
      </c>
    </row>
    <row r="23" spans="1:3" x14ac:dyDescent="0.3">
      <c r="A23">
        <v>17</v>
      </c>
      <c r="B23">
        <f t="shared" ca="1" si="0"/>
        <v>0.16349091783092493</v>
      </c>
      <c r="C23">
        <f t="shared" ca="1" si="1"/>
        <v>8.0140342923753494E-3</v>
      </c>
    </row>
    <row r="24" spans="1:3" x14ac:dyDescent="0.3">
      <c r="A24">
        <v>18</v>
      </c>
      <c r="B24">
        <f t="shared" ca="1" si="0"/>
        <v>0.17378110998433066</v>
      </c>
      <c r="C24">
        <f t="shared" ca="1" si="1"/>
        <v>1.0290192153405736E-2</v>
      </c>
    </row>
    <row r="25" spans="1:3" x14ac:dyDescent="0.3">
      <c r="A25">
        <v>19</v>
      </c>
      <c r="B25">
        <f t="shared" ca="1" si="0"/>
        <v>0.18547577362339407</v>
      </c>
      <c r="C25">
        <f t="shared" ca="1" si="1"/>
        <v>1.1694663639063407E-2</v>
      </c>
    </row>
    <row r="26" spans="1:3" x14ac:dyDescent="0.3">
      <c r="A26">
        <v>20</v>
      </c>
      <c r="B26">
        <f t="shared" ca="1" si="0"/>
        <v>0.19669848406410931</v>
      </c>
      <c r="C26">
        <f t="shared" ca="1" si="1"/>
        <v>1.1222710440715239E-2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DA879-7295-4B28-AB1F-AC4478E5196C}">
  <dimension ref="A2:S58"/>
  <sheetViews>
    <sheetView zoomScale="115" zoomScaleNormal="115" workbookViewId="0">
      <selection activeCell="E19" sqref="E19"/>
    </sheetView>
  </sheetViews>
  <sheetFormatPr baseColWidth="10" defaultRowHeight="14.4" x14ac:dyDescent="0.3"/>
  <cols>
    <col min="2" max="2" width="12.21875" bestFit="1" customWidth="1"/>
    <col min="4" max="4" width="13.5546875" bestFit="1" customWidth="1"/>
    <col min="5" max="5" width="12.21875" bestFit="1" customWidth="1"/>
  </cols>
  <sheetData>
    <row r="2" spans="1:19" x14ac:dyDescent="0.3">
      <c r="A2" s="8" t="s">
        <v>56</v>
      </c>
      <c r="B2" s="8" t="s">
        <v>57</v>
      </c>
      <c r="C2" s="8" t="s">
        <v>58</v>
      </c>
      <c r="D2" s="10" t="s">
        <v>85</v>
      </c>
      <c r="E2" s="10" t="s">
        <v>57</v>
      </c>
      <c r="F2" s="10" t="s">
        <v>52</v>
      </c>
    </row>
    <row r="3" spans="1:19" x14ac:dyDescent="0.3">
      <c r="A3" s="8">
        <v>3.84</v>
      </c>
      <c r="B3" s="9">
        <f>A3*1023/5</f>
        <v>785.66399999999999</v>
      </c>
      <c r="C3" s="9">
        <v>0</v>
      </c>
      <c r="D3" s="10">
        <v>3.99</v>
      </c>
      <c r="E3" s="11">
        <f>D3*1024/5</f>
        <v>817.15200000000004</v>
      </c>
      <c r="F3" s="12">
        <f>ABS(D3-A3)/A3</f>
        <v>3.9062500000000097E-2</v>
      </c>
      <c r="H3" s="7">
        <f t="shared" ref="H3:H18" si="0">INT(C3)</f>
        <v>0</v>
      </c>
      <c r="R3" t="s">
        <v>60</v>
      </c>
      <c r="S3" t="str">
        <f>CONCATENATE(D20,",""", R3, """")</f>
        <v>,"N"</v>
      </c>
    </row>
    <row r="4" spans="1:19" x14ac:dyDescent="0.3">
      <c r="A4" s="8">
        <v>1.98</v>
      </c>
      <c r="B4" s="9">
        <f t="shared" ref="B4:B17" si="1">A4*1023/5</f>
        <v>405.108</v>
      </c>
      <c r="C4" s="9">
        <v>22.5</v>
      </c>
      <c r="D4" s="10">
        <v>2.06</v>
      </c>
      <c r="E4" s="11">
        <f t="shared" ref="E4:E18" si="2">D4*1024/5</f>
        <v>421.88800000000003</v>
      </c>
      <c r="F4" s="12">
        <f t="shared" ref="F4:F18" si="3">ABS(D4-A4)/A4</f>
        <v>4.0404040404040442E-2</v>
      </c>
      <c r="H4" s="7">
        <f t="shared" si="0"/>
        <v>22</v>
      </c>
      <c r="I4" t="s">
        <v>59</v>
      </c>
      <c r="J4" t="str">
        <f>CONCATENATE(F2, H3, ", ", H4, I4, ", ")</f>
        <v xml:space="preserve">erreur0, 22.5, </v>
      </c>
      <c r="R4" t="s">
        <v>61</v>
      </c>
      <c r="S4" t="str">
        <f>CONCATENATE(S3,",""", R4, """")</f>
        <v>,"N","NNE"</v>
      </c>
    </row>
    <row r="5" spans="1:19" x14ac:dyDescent="0.3">
      <c r="A5" s="8">
        <v>2.25</v>
      </c>
      <c r="B5" s="9">
        <f t="shared" si="1"/>
        <v>460.35</v>
      </c>
      <c r="C5" s="9">
        <v>45</v>
      </c>
      <c r="D5" s="10">
        <v>2.34</v>
      </c>
      <c r="E5" s="11">
        <f t="shared" si="2"/>
        <v>479.23199999999997</v>
      </c>
      <c r="F5" s="12">
        <f t="shared" si="3"/>
        <v>3.9999999999999938E-2</v>
      </c>
      <c r="H5" s="7">
        <f t="shared" si="0"/>
        <v>45</v>
      </c>
      <c r="R5" t="s">
        <v>62</v>
      </c>
      <c r="S5" t="str">
        <f t="shared" ref="S5:S18" si="4">CONCATENATE(S4,",""", R5, """")</f>
        <v>,"N","NNE","NE"</v>
      </c>
    </row>
    <row r="6" spans="1:19" x14ac:dyDescent="0.3">
      <c r="A6" s="8">
        <v>0.41</v>
      </c>
      <c r="B6" s="9">
        <f t="shared" si="1"/>
        <v>83.885999999999996</v>
      </c>
      <c r="C6" s="9">
        <v>67.5</v>
      </c>
      <c r="D6" s="10">
        <v>0.42</v>
      </c>
      <c r="E6" s="11">
        <f t="shared" si="2"/>
        <v>86.015999999999991</v>
      </c>
      <c r="F6" s="12">
        <f t="shared" si="3"/>
        <v>2.4390243902439046E-2</v>
      </c>
      <c r="H6" s="7">
        <f t="shared" si="0"/>
        <v>67</v>
      </c>
      <c r="I6" t="s">
        <v>59</v>
      </c>
      <c r="J6" t="str">
        <f t="shared" ref="J6" si="5">CONCATENATE(J4, H5, ", ", H6, I6, ", ")</f>
        <v xml:space="preserve">erreur0, 22.5, 45, 67.5, </v>
      </c>
      <c r="R6" t="s">
        <v>66</v>
      </c>
      <c r="S6" t="str">
        <f t="shared" si="4"/>
        <v>,"N","NNE","NE","ENE"</v>
      </c>
    </row>
    <row r="7" spans="1:19" x14ac:dyDescent="0.3">
      <c r="A7" s="8">
        <v>0.45</v>
      </c>
      <c r="B7" s="9">
        <f t="shared" si="1"/>
        <v>92.070000000000007</v>
      </c>
      <c r="C7" s="9">
        <v>90</v>
      </c>
      <c r="D7" s="10">
        <v>0.46500000000000002</v>
      </c>
      <c r="E7" s="11">
        <f t="shared" si="2"/>
        <v>95.231999999999999</v>
      </c>
      <c r="F7" s="12">
        <f t="shared" si="3"/>
        <v>3.3333333333333361E-2</v>
      </c>
      <c r="H7" s="7">
        <f t="shared" si="0"/>
        <v>90</v>
      </c>
      <c r="R7" t="s">
        <v>63</v>
      </c>
      <c r="S7" t="str">
        <f t="shared" si="4"/>
        <v>,"N","NNE","NE","ENE","E"</v>
      </c>
    </row>
    <row r="8" spans="1:19" x14ac:dyDescent="0.3">
      <c r="A8" s="8">
        <v>0.32</v>
      </c>
      <c r="B8" s="9">
        <f t="shared" si="1"/>
        <v>65.472000000000008</v>
      </c>
      <c r="C8" s="9">
        <v>112.5</v>
      </c>
      <c r="D8" s="10">
        <v>0.32</v>
      </c>
      <c r="E8" s="11">
        <f t="shared" si="2"/>
        <v>65.536000000000001</v>
      </c>
      <c r="F8" s="12">
        <f t="shared" si="3"/>
        <v>0</v>
      </c>
      <c r="H8" s="7">
        <f t="shared" si="0"/>
        <v>112</v>
      </c>
      <c r="I8" t="s">
        <v>59</v>
      </c>
      <c r="J8" t="str">
        <f t="shared" ref="J8" si="6">CONCATENATE(J6, H7, ", ", H8, I8, ", ")</f>
        <v xml:space="preserve">erreur0, 22.5, 45, 67.5, 90, 112.5, </v>
      </c>
      <c r="R8" t="s">
        <v>64</v>
      </c>
      <c r="S8" t="str">
        <f t="shared" si="4"/>
        <v>,"N","NNE","NE","ENE","E","ESE"</v>
      </c>
    </row>
    <row r="9" spans="1:19" x14ac:dyDescent="0.3">
      <c r="A9" s="8">
        <v>0.9</v>
      </c>
      <c r="B9" s="9">
        <f t="shared" si="1"/>
        <v>184.14000000000001</v>
      </c>
      <c r="C9" s="9">
        <v>135</v>
      </c>
      <c r="D9" s="10">
        <v>0.93</v>
      </c>
      <c r="E9" s="11">
        <f t="shared" si="2"/>
        <v>190.464</v>
      </c>
      <c r="F9" s="12">
        <f t="shared" si="3"/>
        <v>3.3333333333333361E-2</v>
      </c>
      <c r="H9" s="7">
        <f t="shared" si="0"/>
        <v>135</v>
      </c>
      <c r="R9" t="s">
        <v>65</v>
      </c>
      <c r="S9" t="str">
        <f t="shared" si="4"/>
        <v>,"N","NNE","NE","ENE","E","ESE","SE"</v>
      </c>
    </row>
    <row r="10" spans="1:19" x14ac:dyDescent="0.3">
      <c r="A10" s="8">
        <v>0.62</v>
      </c>
      <c r="B10" s="9">
        <f t="shared" si="1"/>
        <v>126.852</v>
      </c>
      <c r="C10" s="9">
        <v>157.5</v>
      </c>
      <c r="D10" s="10">
        <v>0.64</v>
      </c>
      <c r="E10" s="11">
        <f t="shared" si="2"/>
        <v>131.072</v>
      </c>
      <c r="F10" s="12">
        <f t="shared" si="3"/>
        <v>3.2258064516129059E-2</v>
      </c>
      <c r="H10" s="7">
        <f t="shared" si="0"/>
        <v>157</v>
      </c>
      <c r="I10" t="s">
        <v>59</v>
      </c>
      <c r="J10" t="str">
        <f t="shared" ref="J10" si="7">CONCATENATE(J8, H9, ", ", H10, I10, ", ")</f>
        <v xml:space="preserve">erreur0, 22.5, 45, 67.5, 90, 112.5, 135, 157.5, </v>
      </c>
      <c r="R10" t="s">
        <v>67</v>
      </c>
      <c r="S10" t="str">
        <f t="shared" si="4"/>
        <v>,"N","NNE","NE","ENE","E","ESE","SE","SSE"</v>
      </c>
    </row>
    <row r="11" spans="1:19" x14ac:dyDescent="0.3">
      <c r="A11" s="8">
        <v>1.4</v>
      </c>
      <c r="B11" s="9">
        <f t="shared" si="1"/>
        <v>286.43999999999994</v>
      </c>
      <c r="C11" s="9">
        <v>180</v>
      </c>
      <c r="D11" s="10">
        <v>1.45</v>
      </c>
      <c r="E11" s="11">
        <f t="shared" si="2"/>
        <v>296.95999999999998</v>
      </c>
      <c r="F11" s="12">
        <f t="shared" si="3"/>
        <v>3.5714285714285747E-2</v>
      </c>
      <c r="H11" s="7">
        <f t="shared" si="0"/>
        <v>180</v>
      </c>
      <c r="R11" t="s">
        <v>68</v>
      </c>
      <c r="S11" t="str">
        <f t="shared" si="4"/>
        <v>,"N","NNE","NE","ENE","E","ESE","SE","SSE","S"</v>
      </c>
    </row>
    <row r="12" spans="1:19" x14ac:dyDescent="0.3">
      <c r="A12" s="8">
        <v>1.19</v>
      </c>
      <c r="B12" s="9">
        <f t="shared" si="1"/>
        <v>243.47399999999999</v>
      </c>
      <c r="C12" s="9">
        <v>202.5</v>
      </c>
      <c r="D12" s="10">
        <v>1.23</v>
      </c>
      <c r="E12" s="11">
        <f t="shared" si="2"/>
        <v>251.904</v>
      </c>
      <c r="F12" s="12">
        <f t="shared" si="3"/>
        <v>3.3613445378151294E-2</v>
      </c>
      <c r="H12" s="7">
        <f t="shared" si="0"/>
        <v>202</v>
      </c>
      <c r="I12" t="s">
        <v>59</v>
      </c>
      <c r="J12" t="str">
        <f t="shared" ref="J12" si="8">CONCATENATE(J10, H11, ", ", H12, I12, ", ")</f>
        <v xml:space="preserve">erreur0, 22.5, 45, 67.5, 90, 112.5, 135, 157.5, 180, 202.5, </v>
      </c>
      <c r="R12" t="s">
        <v>69</v>
      </c>
      <c r="S12" t="str">
        <f t="shared" si="4"/>
        <v>,"N","NNE","NE","ENE","E","ESE","SE","SSE","S","SSW"</v>
      </c>
    </row>
    <row r="13" spans="1:19" x14ac:dyDescent="0.3">
      <c r="A13" s="8">
        <v>3.08</v>
      </c>
      <c r="B13" s="9">
        <f t="shared" si="1"/>
        <v>630.16800000000001</v>
      </c>
      <c r="C13" s="9">
        <v>225</v>
      </c>
      <c r="D13" s="10">
        <v>3.2</v>
      </c>
      <c r="E13" s="11">
        <f t="shared" si="2"/>
        <v>655.36</v>
      </c>
      <c r="F13" s="12">
        <f t="shared" si="3"/>
        <v>3.8961038961038995E-2</v>
      </c>
      <c r="H13" s="7">
        <f t="shared" si="0"/>
        <v>225</v>
      </c>
      <c r="R13" t="s">
        <v>70</v>
      </c>
      <c r="S13" t="str">
        <f t="shared" si="4"/>
        <v>,"N","NNE","NE","ENE","E","ESE","SE","SSE","S","SSW","SW"</v>
      </c>
    </row>
    <row r="14" spans="1:19" x14ac:dyDescent="0.3">
      <c r="A14" s="8">
        <v>2.93</v>
      </c>
      <c r="B14" s="9">
        <f t="shared" si="1"/>
        <v>599.47800000000007</v>
      </c>
      <c r="C14" s="9">
        <v>247.5</v>
      </c>
      <c r="D14" s="10">
        <v>3.04</v>
      </c>
      <c r="E14" s="11">
        <f t="shared" si="2"/>
        <v>622.59199999999998</v>
      </c>
      <c r="F14" s="12">
        <f t="shared" si="3"/>
        <v>3.754266211604091E-2</v>
      </c>
      <c r="H14" s="7">
        <f t="shared" si="0"/>
        <v>247</v>
      </c>
      <c r="I14" t="s">
        <v>59</v>
      </c>
      <c r="J14" t="str">
        <f t="shared" ref="J14" si="9">CONCATENATE(J12, H13, ", ", H14, I14, ", ")</f>
        <v xml:space="preserve">erreur0, 22.5, 45, 67.5, 90, 112.5, 135, 157.5, 180, 202.5, 225, 247.5, </v>
      </c>
      <c r="R14" t="s">
        <v>71</v>
      </c>
      <c r="S14" t="str">
        <f t="shared" si="4"/>
        <v>,"N","NNE","NE","ENE","E","ESE","SE","SSE","S","SSW","SW","WSW"</v>
      </c>
    </row>
    <row r="15" spans="1:19" x14ac:dyDescent="0.3">
      <c r="A15" s="8">
        <v>4.62</v>
      </c>
      <c r="B15" s="9">
        <f t="shared" si="1"/>
        <v>945.25200000000007</v>
      </c>
      <c r="C15" s="9">
        <v>270</v>
      </c>
      <c r="D15" s="10">
        <v>4.79</v>
      </c>
      <c r="E15" s="11">
        <f t="shared" si="2"/>
        <v>980.99199999999996</v>
      </c>
      <c r="F15" s="12">
        <f t="shared" si="3"/>
        <v>3.6796536796536779E-2</v>
      </c>
      <c r="H15" s="7">
        <f t="shared" si="0"/>
        <v>270</v>
      </c>
      <c r="R15" t="s">
        <v>71</v>
      </c>
      <c r="S15" t="str">
        <f t="shared" si="4"/>
        <v>,"N","NNE","NE","ENE","E","ESE","SE","SSE","S","SSW","SW","WSW","WSW"</v>
      </c>
    </row>
    <row r="16" spans="1:19" x14ac:dyDescent="0.3">
      <c r="A16" s="8">
        <v>4.04</v>
      </c>
      <c r="B16" s="9">
        <f t="shared" si="1"/>
        <v>826.58400000000006</v>
      </c>
      <c r="C16" s="9">
        <v>292.5</v>
      </c>
      <c r="D16" s="10">
        <v>4.2</v>
      </c>
      <c r="E16" s="11">
        <f t="shared" si="2"/>
        <v>860.16000000000008</v>
      </c>
      <c r="F16" s="12">
        <f t="shared" si="3"/>
        <v>3.9603960396039639E-2</v>
      </c>
      <c r="H16" s="7">
        <f t="shared" si="0"/>
        <v>292</v>
      </c>
      <c r="I16" t="s">
        <v>59</v>
      </c>
      <c r="J16" t="str">
        <f t="shared" ref="J16" si="10">CONCATENATE(J14, H15, ", ", H16, I16, ", ")</f>
        <v xml:space="preserve">erreur0, 22.5, 45, 67.5, 90, 112.5, 135, 157.5, 180, 202.5, 225, 247.5, 270, 292.5, </v>
      </c>
      <c r="R16" t="s">
        <v>72</v>
      </c>
      <c r="S16" t="str">
        <f t="shared" si="4"/>
        <v>,"N","NNE","NE","ENE","E","ESE","SE","SSE","S","SSW","SW","WSW","WSW","WNW"</v>
      </c>
    </row>
    <row r="17" spans="1:19" x14ac:dyDescent="0.3">
      <c r="A17" s="8">
        <v>4.33</v>
      </c>
      <c r="B17" s="9">
        <f t="shared" si="1"/>
        <v>885.91800000000001</v>
      </c>
      <c r="C17" s="9">
        <v>315</v>
      </c>
      <c r="D17" s="10">
        <v>4.5</v>
      </c>
      <c r="E17" s="11">
        <f t="shared" si="2"/>
        <v>921.6</v>
      </c>
      <c r="F17" s="12">
        <f t="shared" si="3"/>
        <v>3.9260969976905293E-2</v>
      </c>
      <c r="H17" s="7">
        <f t="shared" si="0"/>
        <v>315</v>
      </c>
      <c r="R17" t="s">
        <v>73</v>
      </c>
      <c r="S17" t="str">
        <f t="shared" si="4"/>
        <v>,"N","NNE","NE","ENE","E","ESE","SE","SSE","S","SSW","SW","WSW","WSW","WNW","NW"</v>
      </c>
    </row>
    <row r="18" spans="1:19" x14ac:dyDescent="0.3">
      <c r="A18" s="8">
        <v>3.43</v>
      </c>
      <c r="B18" s="9">
        <f>A18*1023/5</f>
        <v>701.77800000000002</v>
      </c>
      <c r="C18" s="9">
        <v>337.5</v>
      </c>
      <c r="D18" s="10">
        <v>3.57</v>
      </c>
      <c r="E18" s="11">
        <f t="shared" si="2"/>
        <v>731.13599999999997</v>
      </c>
      <c r="F18" s="12">
        <f t="shared" si="3"/>
        <v>4.0816326530612151E-2</v>
      </c>
      <c r="H18" s="7">
        <f t="shared" si="0"/>
        <v>337</v>
      </c>
      <c r="I18" t="s">
        <v>59</v>
      </c>
      <c r="J18" t="str">
        <f t="shared" ref="J18" si="11">CONCATENATE(J16, H17, ", ", H18, I18, ", ")</f>
        <v xml:space="preserve">erreur0, 22.5, 45, 67.5, 90, 112.5, 135, 157.5, 180, 202.5, 225, 247.5, 270, 292.5, 315, 337.5, </v>
      </c>
      <c r="R18" t="s">
        <v>74</v>
      </c>
      <c r="S18" t="str">
        <f t="shared" si="4"/>
        <v>,"N","NNE","NE","ENE","E","ESE","SE","SSE","S","SSW","SW","WSW","WSW","WNW","NW","NNW"</v>
      </c>
    </row>
    <row r="22" spans="1:19" x14ac:dyDescent="0.3">
      <c r="A22">
        <v>65.471999999999994</v>
      </c>
      <c r="B22" s="7">
        <v>115</v>
      </c>
      <c r="D22">
        <f>(A23+A22)/2</f>
        <v>74.679000000000002</v>
      </c>
      <c r="G22" s="7" t="str">
        <f>_xlfn.CONCAT("if (WindAnalog &lt; ", ROUND(D22,0), ") return(", ROUND(B22, 1), ");")</f>
        <v>if (WindAnalog &lt; 75) return(115);</v>
      </c>
      <c r="K22">
        <v>0</v>
      </c>
      <c r="M22" t="s">
        <v>93</v>
      </c>
      <c r="O22" s="7" t="str">
        <f>_xlfn.CONCAT("if(WindAngle &lt; ",K22+5, ") return(""",M22,""");")</f>
        <v>if(WindAngle &lt; 5) return("Nord");</v>
      </c>
    </row>
    <row r="23" spans="1:19" x14ac:dyDescent="0.3">
      <c r="A23">
        <v>83.885999999999996</v>
      </c>
      <c r="B23" s="7">
        <v>70</v>
      </c>
      <c r="C23" s="7"/>
      <c r="D23">
        <f t="shared" ref="D23:D37" si="12">(A24+A23)/2</f>
        <v>87.978000000000009</v>
      </c>
      <c r="F23" s="7"/>
      <c r="G23" s="7" t="str">
        <f>_xlfn.CONCAT("if (WindAnalog &lt; ", ROUND(D23,0), ") return(", ROUND(B23, 1), ");")</f>
        <v>if (WindAnalog &lt; 88) return(70);</v>
      </c>
      <c r="K23">
        <v>22.5</v>
      </c>
      <c r="M23" t="s">
        <v>93</v>
      </c>
      <c r="O23" s="7" t="str">
        <f t="shared" ref="O23:O37" si="13">_xlfn.CONCAT("if(WindAngle &lt; ",K23+5, ") return(""",M23,""");")</f>
        <v>if(WindAngle &lt; 27,5) return("Nord");</v>
      </c>
    </row>
    <row r="24" spans="1:19" x14ac:dyDescent="0.3">
      <c r="A24">
        <v>92.070000000000007</v>
      </c>
      <c r="B24" s="7">
        <v>90</v>
      </c>
      <c r="C24" s="7"/>
      <c r="D24">
        <f t="shared" si="12"/>
        <v>109.46100000000001</v>
      </c>
      <c r="F24" s="7"/>
      <c r="G24" s="7" t="str">
        <f t="shared" ref="G24:G37" si="14">_xlfn.CONCAT("if (WindAnalog &lt; ", ROUND(D24,0), ") return(", ROUND(B24, 1), ");")</f>
        <v>if (WindAnalog &lt; 109) return(90);</v>
      </c>
      <c r="K24">
        <v>45</v>
      </c>
      <c r="M24" t="s">
        <v>94</v>
      </c>
      <c r="O24" s="7" t="str">
        <f t="shared" si="13"/>
        <v>if(WindAngle &lt; 50) return("Nord-Est");</v>
      </c>
    </row>
    <row r="25" spans="1:19" x14ac:dyDescent="0.3">
      <c r="A25">
        <v>126.852</v>
      </c>
      <c r="B25" s="7">
        <v>160</v>
      </c>
      <c r="C25" s="7"/>
      <c r="D25">
        <f t="shared" si="12"/>
        <v>155.49600000000001</v>
      </c>
      <c r="F25" s="7"/>
      <c r="G25" s="7" t="str">
        <f t="shared" si="14"/>
        <v>if (WindAnalog &lt; 155) return(160);</v>
      </c>
      <c r="K25">
        <v>67.5</v>
      </c>
      <c r="M25" t="s">
        <v>95</v>
      </c>
      <c r="O25" s="7" t="str">
        <f t="shared" si="13"/>
        <v>if(WindAngle &lt; 72,5) return("Est");</v>
      </c>
    </row>
    <row r="26" spans="1:19" x14ac:dyDescent="0.3">
      <c r="A26">
        <v>184.14000000000001</v>
      </c>
      <c r="B26" s="7">
        <v>135</v>
      </c>
      <c r="C26" s="7"/>
      <c r="D26">
        <f t="shared" si="12"/>
        <v>213.80700000000002</v>
      </c>
      <c r="F26" s="7"/>
      <c r="G26" s="7" t="str">
        <f t="shared" si="14"/>
        <v>if (WindAnalog &lt; 214) return(135);</v>
      </c>
      <c r="K26">
        <v>90</v>
      </c>
      <c r="M26" t="s">
        <v>95</v>
      </c>
      <c r="O26" s="7" t="str">
        <f t="shared" si="13"/>
        <v>if(WindAngle &lt; 95) return("Est");</v>
      </c>
    </row>
    <row r="27" spans="1:19" x14ac:dyDescent="0.3">
      <c r="A27">
        <v>243.47399999999999</v>
      </c>
      <c r="B27" s="7">
        <v>200</v>
      </c>
      <c r="C27" s="7"/>
      <c r="D27">
        <f t="shared" si="12"/>
        <v>264.95699999999999</v>
      </c>
      <c r="F27" s="7"/>
      <c r="G27" s="7" t="str">
        <f t="shared" si="14"/>
        <v>if (WindAnalog &lt; 265) return(200);</v>
      </c>
      <c r="K27">
        <v>112.5</v>
      </c>
      <c r="M27" t="s">
        <v>95</v>
      </c>
      <c r="O27" s="7" t="str">
        <f t="shared" si="13"/>
        <v>if(WindAngle &lt; 117,5) return("Est");</v>
      </c>
    </row>
    <row r="28" spans="1:19" x14ac:dyDescent="0.3">
      <c r="A28">
        <v>286.43999999999994</v>
      </c>
      <c r="B28" s="7">
        <v>180</v>
      </c>
      <c r="C28" s="7"/>
      <c r="D28">
        <f t="shared" si="12"/>
        <v>345.774</v>
      </c>
      <c r="F28" s="7"/>
      <c r="G28" s="7" t="str">
        <f t="shared" si="14"/>
        <v>if (WindAnalog &lt; 346) return(180);</v>
      </c>
      <c r="K28">
        <v>135</v>
      </c>
      <c r="M28" t="s">
        <v>96</v>
      </c>
      <c r="O28" s="7" t="str">
        <f t="shared" si="13"/>
        <v>if(WindAngle &lt; 140) return("Sud-Est");</v>
      </c>
    </row>
    <row r="29" spans="1:19" x14ac:dyDescent="0.3">
      <c r="A29">
        <v>405.108</v>
      </c>
      <c r="B29" s="7">
        <v>20</v>
      </c>
      <c r="C29" s="7"/>
      <c r="D29">
        <f t="shared" si="12"/>
        <v>432.72900000000004</v>
      </c>
      <c r="F29" s="7"/>
      <c r="G29" s="7" t="str">
        <f t="shared" si="14"/>
        <v>if (WindAnalog &lt; 433) return(20);</v>
      </c>
      <c r="K29">
        <v>157.5</v>
      </c>
      <c r="M29" t="s">
        <v>97</v>
      </c>
      <c r="O29" s="7" t="str">
        <f t="shared" si="13"/>
        <v>if(WindAngle &lt; 162,5) return("Sud");</v>
      </c>
    </row>
    <row r="30" spans="1:19" x14ac:dyDescent="0.3">
      <c r="A30">
        <v>460.35</v>
      </c>
      <c r="B30" s="7">
        <v>45</v>
      </c>
      <c r="C30" s="7"/>
      <c r="D30">
        <f t="shared" si="12"/>
        <v>529.91399999999999</v>
      </c>
      <c r="F30" s="7"/>
      <c r="G30" s="7" t="str">
        <f t="shared" si="14"/>
        <v>if (WindAnalog &lt; 530) return(45);</v>
      </c>
      <c r="K30">
        <v>180</v>
      </c>
      <c r="M30" t="s">
        <v>97</v>
      </c>
      <c r="O30" s="7" t="str">
        <f t="shared" si="13"/>
        <v>if(WindAngle &lt; 185) return("Sud");</v>
      </c>
    </row>
    <row r="31" spans="1:19" x14ac:dyDescent="0.3">
      <c r="A31">
        <v>599.47800000000007</v>
      </c>
      <c r="B31" s="7">
        <v>250</v>
      </c>
      <c r="C31" s="7"/>
      <c r="D31">
        <f t="shared" si="12"/>
        <v>614.82300000000009</v>
      </c>
      <c r="F31" s="7"/>
      <c r="G31" s="7" t="str">
        <f t="shared" si="14"/>
        <v>if (WindAnalog &lt; 615) return(250);</v>
      </c>
      <c r="K31">
        <v>202.5</v>
      </c>
      <c r="M31" t="s">
        <v>97</v>
      </c>
      <c r="O31" s="7" t="str">
        <f t="shared" si="13"/>
        <v>if(WindAngle &lt; 207,5) return("Sud");</v>
      </c>
    </row>
    <row r="32" spans="1:19" x14ac:dyDescent="0.3">
      <c r="A32">
        <v>630.16800000000001</v>
      </c>
      <c r="B32" s="7">
        <v>225</v>
      </c>
      <c r="C32" s="7"/>
      <c r="D32">
        <f t="shared" si="12"/>
        <v>665.97299999999996</v>
      </c>
      <c r="F32" s="7"/>
      <c r="G32" s="7" t="str">
        <f t="shared" si="14"/>
        <v>if (WindAnalog &lt; 666) return(225);</v>
      </c>
      <c r="K32">
        <v>225</v>
      </c>
      <c r="M32" t="s">
        <v>98</v>
      </c>
      <c r="O32" s="7" t="str">
        <f t="shared" si="13"/>
        <v>if(WindAngle &lt; 230) return("Sud-Ouest");</v>
      </c>
    </row>
    <row r="33" spans="1:15" x14ac:dyDescent="0.3">
      <c r="A33">
        <v>701.77800000000002</v>
      </c>
      <c r="B33" s="7">
        <v>340</v>
      </c>
      <c r="C33" s="7"/>
      <c r="D33">
        <f t="shared" si="12"/>
        <v>743.721</v>
      </c>
      <c r="F33" s="7"/>
      <c r="G33" s="7" t="str">
        <f t="shared" si="14"/>
        <v>if (WindAnalog &lt; 744) return(340);</v>
      </c>
      <c r="K33">
        <v>247.5</v>
      </c>
      <c r="M33" t="s">
        <v>99</v>
      </c>
      <c r="O33" s="7" t="str">
        <f t="shared" si="13"/>
        <v>if(WindAngle &lt; 252,5) return("Ouest");</v>
      </c>
    </row>
    <row r="34" spans="1:15" x14ac:dyDescent="0.3">
      <c r="A34">
        <v>785.66399999999999</v>
      </c>
      <c r="B34" s="7">
        <v>0</v>
      </c>
      <c r="C34" s="7"/>
      <c r="D34">
        <f t="shared" si="12"/>
        <v>806.12400000000002</v>
      </c>
      <c r="F34" s="7"/>
      <c r="G34" s="7" t="str">
        <f t="shared" si="14"/>
        <v>if (WindAnalog &lt; 806) return(0);</v>
      </c>
      <c r="K34">
        <v>270</v>
      </c>
      <c r="M34" t="s">
        <v>99</v>
      </c>
      <c r="O34" s="7" t="str">
        <f t="shared" si="13"/>
        <v>if(WindAngle &lt; 275) return("Ouest");</v>
      </c>
    </row>
    <row r="35" spans="1:15" x14ac:dyDescent="0.3">
      <c r="A35">
        <v>826.58400000000006</v>
      </c>
      <c r="B35" s="7">
        <v>290</v>
      </c>
      <c r="C35" s="7"/>
      <c r="D35">
        <f t="shared" si="12"/>
        <v>856.25099999999998</v>
      </c>
      <c r="F35" s="7"/>
      <c r="G35" s="7" t="str">
        <f t="shared" si="14"/>
        <v>if (WindAnalog &lt; 856) return(290);</v>
      </c>
      <c r="K35">
        <v>292.5</v>
      </c>
      <c r="M35" t="s">
        <v>99</v>
      </c>
      <c r="O35" s="7" t="str">
        <f t="shared" si="13"/>
        <v>if(WindAngle &lt; 297,5) return("Ouest");</v>
      </c>
    </row>
    <row r="36" spans="1:15" x14ac:dyDescent="0.3">
      <c r="A36">
        <v>885.91800000000001</v>
      </c>
      <c r="B36" s="7">
        <v>315</v>
      </c>
      <c r="C36" s="7"/>
      <c r="D36">
        <f t="shared" si="12"/>
        <v>915.58500000000004</v>
      </c>
      <c r="F36" s="7"/>
      <c r="G36" s="7" t="str">
        <f t="shared" si="14"/>
        <v>if (WindAnalog &lt; 916) return(315);</v>
      </c>
      <c r="K36">
        <v>315</v>
      </c>
      <c r="M36" t="s">
        <v>100</v>
      </c>
      <c r="O36" s="7" t="str">
        <f t="shared" si="13"/>
        <v>if(WindAngle &lt; 320) return("Nord-Ouest");</v>
      </c>
    </row>
    <row r="37" spans="1:15" x14ac:dyDescent="0.3">
      <c r="A37">
        <v>945.25200000000007</v>
      </c>
      <c r="B37" s="7">
        <v>270</v>
      </c>
      <c r="C37" s="7"/>
      <c r="D37">
        <f t="shared" si="12"/>
        <v>984.12599999999998</v>
      </c>
      <c r="F37" s="7"/>
      <c r="G37" s="7" t="str">
        <f t="shared" si="14"/>
        <v>if (WindAnalog &lt; 984) return(270);</v>
      </c>
      <c r="K37">
        <v>337.5</v>
      </c>
      <c r="M37" t="s">
        <v>93</v>
      </c>
      <c r="O37" s="7" t="str">
        <f t="shared" si="13"/>
        <v>if(WindAngle &lt; 342,5) return("Nord");</v>
      </c>
    </row>
    <row r="38" spans="1:15" x14ac:dyDescent="0.3">
      <c r="A38">
        <v>1023</v>
      </c>
    </row>
    <row r="42" spans="1:15" ht="37.200000000000003" customHeight="1" x14ac:dyDescent="0.3">
      <c r="A42" s="13" t="s">
        <v>86</v>
      </c>
      <c r="B42" s="13" t="s">
        <v>87</v>
      </c>
    </row>
    <row r="43" spans="1:15" x14ac:dyDescent="0.3">
      <c r="A43" s="7">
        <v>65.536000000000001</v>
      </c>
      <c r="B43">
        <f t="shared" ref="B43:B57" si="15">(A43+A44)/2</f>
        <v>75.775999999999996</v>
      </c>
      <c r="C43" s="7">
        <v>112.5</v>
      </c>
      <c r="E43" s="7"/>
      <c r="F43" s="7"/>
      <c r="G43" s="7" t="str">
        <f>_xlfn.CONCAT("if (WindAnalog &lt; ", ROUND(B43,0), ") return(", ROUND(C43, 1), ");")</f>
        <v>if (WindAnalog &lt; 76) return(112,5);</v>
      </c>
    </row>
    <row r="44" spans="1:15" x14ac:dyDescent="0.3">
      <c r="A44" s="7">
        <v>86.015999999999991</v>
      </c>
      <c r="B44">
        <f t="shared" si="15"/>
        <v>90.623999999999995</v>
      </c>
      <c r="C44" s="7">
        <v>67.5</v>
      </c>
      <c r="E44" s="7"/>
      <c r="F44" s="7"/>
      <c r="G44" s="7" t="str">
        <f t="shared" ref="G44:G58" si="16">_xlfn.CONCAT("if (WindAnalog &lt; ", ROUND(B44,0), ") return(", ROUND(C44, 1), ");")</f>
        <v>if (WindAnalog &lt; 91) return(67,5);</v>
      </c>
    </row>
    <row r="45" spans="1:15" x14ac:dyDescent="0.3">
      <c r="A45" s="7">
        <v>95.231999999999999</v>
      </c>
      <c r="B45">
        <f t="shared" si="15"/>
        <v>113.152</v>
      </c>
      <c r="C45" s="7">
        <v>90</v>
      </c>
      <c r="E45" s="7"/>
      <c r="F45" s="7"/>
      <c r="G45" s="7" t="str">
        <f t="shared" si="16"/>
        <v>if (WindAnalog &lt; 113) return(90);</v>
      </c>
    </row>
    <row r="46" spans="1:15" x14ac:dyDescent="0.3">
      <c r="A46" s="7">
        <v>131.072</v>
      </c>
      <c r="B46">
        <f t="shared" si="15"/>
        <v>160.768</v>
      </c>
      <c r="C46" s="7">
        <v>157.5</v>
      </c>
      <c r="E46" s="7"/>
      <c r="F46" s="7"/>
      <c r="G46" s="7" t="str">
        <f t="shared" si="16"/>
        <v>if (WindAnalog &lt; 161) return(157,5);</v>
      </c>
    </row>
    <row r="47" spans="1:15" x14ac:dyDescent="0.3">
      <c r="A47" s="7">
        <v>190.464</v>
      </c>
      <c r="B47">
        <f t="shared" si="15"/>
        <v>221.184</v>
      </c>
      <c r="C47" s="7">
        <v>135</v>
      </c>
      <c r="E47" s="7"/>
      <c r="F47" s="7"/>
      <c r="G47" s="7" t="str">
        <f t="shared" si="16"/>
        <v>if (WindAnalog &lt; 221) return(135);</v>
      </c>
    </row>
    <row r="48" spans="1:15" x14ac:dyDescent="0.3">
      <c r="A48" s="7">
        <v>251.904</v>
      </c>
      <c r="B48">
        <f t="shared" si="15"/>
        <v>274.43200000000002</v>
      </c>
      <c r="C48" s="7">
        <v>202.5</v>
      </c>
      <c r="E48" s="7"/>
      <c r="F48" s="7"/>
      <c r="G48" s="7" t="str">
        <f t="shared" si="16"/>
        <v>if (WindAnalog &lt; 274) return(202,5);</v>
      </c>
    </row>
    <row r="49" spans="1:7" x14ac:dyDescent="0.3">
      <c r="A49" s="7">
        <v>296.95999999999998</v>
      </c>
      <c r="B49">
        <f t="shared" si="15"/>
        <v>359.42399999999998</v>
      </c>
      <c r="C49" s="7">
        <v>180</v>
      </c>
      <c r="E49" s="7"/>
      <c r="F49" s="7"/>
      <c r="G49" s="7" t="str">
        <f t="shared" si="16"/>
        <v>if (WindAnalog &lt; 359) return(180);</v>
      </c>
    </row>
    <row r="50" spans="1:7" x14ac:dyDescent="0.3">
      <c r="A50" s="7">
        <v>421.88800000000003</v>
      </c>
      <c r="B50">
        <f t="shared" si="15"/>
        <v>450.56</v>
      </c>
      <c r="C50" s="7">
        <v>22.5</v>
      </c>
      <c r="E50" s="7"/>
      <c r="F50" s="7"/>
      <c r="G50" s="7" t="str">
        <f t="shared" si="16"/>
        <v>if (WindAnalog &lt; 451) return(22,5);</v>
      </c>
    </row>
    <row r="51" spans="1:7" x14ac:dyDescent="0.3">
      <c r="A51" s="7">
        <v>479.23199999999997</v>
      </c>
      <c r="B51">
        <f t="shared" si="15"/>
        <v>550.91200000000003</v>
      </c>
      <c r="C51" s="7">
        <v>45</v>
      </c>
      <c r="E51" s="7"/>
      <c r="F51" s="7"/>
      <c r="G51" s="7" t="str">
        <f t="shared" si="16"/>
        <v>if (WindAnalog &lt; 551) return(45);</v>
      </c>
    </row>
    <row r="52" spans="1:7" x14ac:dyDescent="0.3">
      <c r="A52" s="7">
        <v>622.59199999999998</v>
      </c>
      <c r="B52">
        <f t="shared" si="15"/>
        <v>638.976</v>
      </c>
      <c r="C52" s="7">
        <v>247.5</v>
      </c>
      <c r="E52" s="7"/>
      <c r="F52" s="7"/>
      <c r="G52" s="7" t="str">
        <f t="shared" si="16"/>
        <v>if (WindAnalog &lt; 639) return(247,5);</v>
      </c>
    </row>
    <row r="53" spans="1:7" x14ac:dyDescent="0.3">
      <c r="A53" s="7">
        <v>655.36</v>
      </c>
      <c r="B53">
        <f t="shared" si="15"/>
        <v>693.24800000000005</v>
      </c>
      <c r="C53" s="7">
        <v>225</v>
      </c>
      <c r="E53" s="7"/>
      <c r="F53" s="7"/>
      <c r="G53" s="7" t="str">
        <f t="shared" si="16"/>
        <v>if (WindAnalog &lt; 693) return(225);</v>
      </c>
    </row>
    <row r="54" spans="1:7" x14ac:dyDescent="0.3">
      <c r="A54" s="7">
        <v>731.13599999999997</v>
      </c>
      <c r="B54">
        <f t="shared" si="15"/>
        <v>774.14400000000001</v>
      </c>
      <c r="C54" s="7">
        <v>337.5</v>
      </c>
      <c r="E54" s="7"/>
      <c r="F54" s="7"/>
      <c r="G54" s="7" t="str">
        <f t="shared" si="16"/>
        <v>if (WindAnalog &lt; 774) return(337,5);</v>
      </c>
    </row>
    <row r="55" spans="1:7" x14ac:dyDescent="0.3">
      <c r="A55" s="7">
        <v>817.15200000000004</v>
      </c>
      <c r="B55">
        <f t="shared" si="15"/>
        <v>838.65600000000006</v>
      </c>
      <c r="C55" s="7">
        <v>0</v>
      </c>
      <c r="E55" s="7"/>
      <c r="F55" s="7"/>
      <c r="G55" s="7" t="str">
        <f t="shared" si="16"/>
        <v>if (WindAnalog &lt; 839) return(0);</v>
      </c>
    </row>
    <row r="56" spans="1:7" x14ac:dyDescent="0.3">
      <c r="A56" s="7">
        <v>860.16000000000008</v>
      </c>
      <c r="B56">
        <f t="shared" si="15"/>
        <v>890.88000000000011</v>
      </c>
      <c r="C56" s="7">
        <v>292.5</v>
      </c>
      <c r="E56" s="7"/>
      <c r="F56" s="7"/>
      <c r="G56" s="7" t="str">
        <f t="shared" si="16"/>
        <v>if (WindAnalog &lt; 891) return(292,5);</v>
      </c>
    </row>
    <row r="57" spans="1:7" x14ac:dyDescent="0.3">
      <c r="A57" s="7">
        <v>921.6</v>
      </c>
      <c r="B57">
        <f t="shared" si="15"/>
        <v>951.29600000000005</v>
      </c>
      <c r="C57" s="7">
        <v>315</v>
      </c>
      <c r="E57" s="7"/>
      <c r="F57" s="7"/>
      <c r="G57" s="7" t="str">
        <f t="shared" si="16"/>
        <v>if (WindAnalog &lt; 951) return(315);</v>
      </c>
    </row>
    <row r="58" spans="1:7" x14ac:dyDescent="0.3">
      <c r="A58" s="7">
        <v>980.99199999999996</v>
      </c>
      <c r="B58">
        <v>1023</v>
      </c>
      <c r="C58" s="7">
        <v>270</v>
      </c>
      <c r="E58" s="7"/>
      <c r="F58" s="7"/>
      <c r="G58" s="7" t="str">
        <f t="shared" si="16"/>
        <v>if (WindAnalog &lt; 1023) return(270);</v>
      </c>
    </row>
  </sheetData>
  <sortState xmlns:xlrd2="http://schemas.microsoft.com/office/spreadsheetml/2017/richdata2" ref="A43:B58">
    <sortCondition ref="A43:A58"/>
  </sortState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D8084-F7A6-4EC6-91BF-FA26D27417F0}">
  <dimension ref="A1:E22"/>
  <sheetViews>
    <sheetView workbookViewId="0">
      <selection activeCell="E4" sqref="E4:E22"/>
    </sheetView>
  </sheetViews>
  <sheetFormatPr baseColWidth="10" defaultRowHeight="14.4" x14ac:dyDescent="0.3"/>
  <cols>
    <col min="3" max="3" width="12.6640625" bestFit="1" customWidth="1"/>
    <col min="4" max="4" width="11.88671875" bestFit="1" customWidth="1"/>
    <col min="5" max="5" width="12.6640625" bestFit="1" customWidth="1"/>
  </cols>
  <sheetData>
    <row r="1" spans="1:5" x14ac:dyDescent="0.3">
      <c r="A1" t="s">
        <v>160</v>
      </c>
      <c r="B1">
        <v>80</v>
      </c>
      <c r="C1" t="s">
        <v>161</v>
      </c>
    </row>
    <row r="3" spans="1:5" x14ac:dyDescent="0.3">
      <c r="A3" t="s">
        <v>163</v>
      </c>
      <c r="B3" t="s">
        <v>164</v>
      </c>
      <c r="C3" t="s">
        <v>166</v>
      </c>
      <c r="D3" t="s">
        <v>165</v>
      </c>
      <c r="E3" t="s">
        <v>162</v>
      </c>
    </row>
    <row r="4" spans="1:5" x14ac:dyDescent="0.3">
      <c r="A4">
        <v>-10</v>
      </c>
      <c r="B4">
        <f>A4+273.15</f>
        <v>263.14999999999998</v>
      </c>
      <c r="C4">
        <f t="shared" ref="C4:C22" si="0">POWER(B$1/100, 1/8)*(112+(0.9*A4)) + (0.1*A4) - 112</f>
        <v>-12.833275335994472</v>
      </c>
      <c r="D4">
        <f>C4+273.15</f>
        <v>260.31672466400551</v>
      </c>
      <c r="E4">
        <f>D4+2671.02/((2954.61/B4)+2.193665*LN(B4)-13.3448)-B4-273.15</f>
        <v>-11.728485757879298</v>
      </c>
    </row>
    <row r="5" spans="1:5" x14ac:dyDescent="0.3">
      <c r="A5">
        <v>-7.5</v>
      </c>
      <c r="B5">
        <f t="shared" ref="B5:B22" si="1">A5+273.15</f>
        <v>265.64999999999998</v>
      </c>
      <c r="C5">
        <f t="shared" si="0"/>
        <v>-10.395167272945812</v>
      </c>
      <c r="D5">
        <f t="shared" ref="D5:D22" si="2">C5+273.15</f>
        <v>262.75483272705418</v>
      </c>
      <c r="E5">
        <f t="shared" ref="E5:E22" si="3">D5+2671.02/((2954.61/B5)+2.193665*LN(B5)-13.3448)-B5-273.15</f>
        <v>-9.5513855219751349</v>
      </c>
    </row>
    <row r="6" spans="1:5" x14ac:dyDescent="0.3">
      <c r="A6">
        <v>-5</v>
      </c>
      <c r="B6">
        <f t="shared" si="1"/>
        <v>268.14999999999998</v>
      </c>
      <c r="C6">
        <f t="shared" si="0"/>
        <v>-7.9570592098971389</v>
      </c>
      <c r="D6">
        <f t="shared" si="2"/>
        <v>265.19294079010285</v>
      </c>
      <c r="E6">
        <f t="shared" si="3"/>
        <v>-7.3840418502668399</v>
      </c>
    </row>
    <row r="7" spans="1:5" x14ac:dyDescent="0.3">
      <c r="A7">
        <v>-2.5</v>
      </c>
      <c r="B7">
        <f t="shared" si="1"/>
        <v>270.64999999999998</v>
      </c>
      <c r="C7">
        <f t="shared" si="0"/>
        <v>-5.5189511468484795</v>
      </c>
      <c r="D7">
        <f t="shared" si="2"/>
        <v>267.63104885315147</v>
      </c>
      <c r="E7">
        <f t="shared" si="3"/>
        <v>-5.2265049497882501</v>
      </c>
    </row>
    <row r="8" spans="1:5" x14ac:dyDescent="0.3">
      <c r="A8">
        <v>0</v>
      </c>
      <c r="B8">
        <f t="shared" si="1"/>
        <v>273.14999999999998</v>
      </c>
      <c r="C8">
        <f t="shared" si="0"/>
        <v>-3.0808430837998202</v>
      </c>
      <c r="D8">
        <f t="shared" si="2"/>
        <v>270.06915691620014</v>
      </c>
      <c r="E8">
        <f t="shared" si="3"/>
        <v>-3.0788229979063999</v>
      </c>
    </row>
    <row r="9" spans="1:5" x14ac:dyDescent="0.3">
      <c r="A9">
        <v>2.5</v>
      </c>
      <c r="B9">
        <f t="shared" si="1"/>
        <v>275.64999999999998</v>
      </c>
      <c r="C9">
        <f t="shared" si="0"/>
        <v>-0.64273502075114664</v>
      </c>
      <c r="D9">
        <f t="shared" si="2"/>
        <v>272.50726497924882</v>
      </c>
      <c r="E9">
        <f t="shared" si="3"/>
        <v>-0.94104217294557202</v>
      </c>
    </row>
    <row r="10" spans="1:5" x14ac:dyDescent="0.3">
      <c r="A10">
        <v>5</v>
      </c>
      <c r="B10">
        <f t="shared" si="1"/>
        <v>278.14999999999998</v>
      </c>
      <c r="C10">
        <f t="shared" si="0"/>
        <v>1.7953730422975127</v>
      </c>
      <c r="D10">
        <f t="shared" si="2"/>
        <v>274.94537304229749</v>
      </c>
      <c r="E10">
        <f t="shared" si="3"/>
        <v>1.1867933154213688</v>
      </c>
    </row>
    <row r="11" spans="1:5" x14ac:dyDescent="0.3">
      <c r="A11">
        <v>7.5</v>
      </c>
      <c r="B11">
        <f t="shared" si="1"/>
        <v>280.64999999999998</v>
      </c>
      <c r="C11">
        <f t="shared" si="0"/>
        <v>4.2334811053461721</v>
      </c>
      <c r="D11">
        <f t="shared" si="2"/>
        <v>277.38348110534616</v>
      </c>
      <c r="E11">
        <f t="shared" si="3"/>
        <v>3.3046411960151545</v>
      </c>
    </row>
    <row r="12" spans="1:5" x14ac:dyDescent="0.3">
      <c r="A12">
        <v>10</v>
      </c>
      <c r="B12">
        <f t="shared" si="1"/>
        <v>283.14999999999998</v>
      </c>
      <c r="C12">
        <f t="shared" si="0"/>
        <v>6.6715891683948456</v>
      </c>
      <c r="D12">
        <f t="shared" si="2"/>
        <v>279.82158916839484</v>
      </c>
      <c r="E12">
        <f t="shared" si="3"/>
        <v>5.4124611062245549</v>
      </c>
    </row>
    <row r="13" spans="1:5" x14ac:dyDescent="0.3">
      <c r="A13">
        <v>12.5</v>
      </c>
      <c r="B13">
        <f t="shared" si="1"/>
        <v>285.64999999999998</v>
      </c>
      <c r="C13">
        <f t="shared" si="0"/>
        <v>9.109697231443505</v>
      </c>
      <c r="D13">
        <f t="shared" si="2"/>
        <v>282.25969723144351</v>
      </c>
      <c r="E13">
        <f t="shared" si="3"/>
        <v>7.5102145623131946</v>
      </c>
    </row>
    <row r="14" spans="1:5" x14ac:dyDescent="0.3">
      <c r="A14">
        <v>15</v>
      </c>
      <c r="B14">
        <f t="shared" si="1"/>
        <v>288.14999999999998</v>
      </c>
      <c r="C14">
        <f t="shared" si="0"/>
        <v>11.547805294492164</v>
      </c>
      <c r="D14">
        <f t="shared" si="2"/>
        <v>284.69780529449213</v>
      </c>
      <c r="E14">
        <f t="shared" si="3"/>
        <v>9.5978649299599965</v>
      </c>
    </row>
    <row r="15" spans="1:5" x14ac:dyDescent="0.3">
      <c r="A15">
        <v>17.5</v>
      </c>
      <c r="B15">
        <f t="shared" si="1"/>
        <v>290.64999999999998</v>
      </c>
      <c r="C15">
        <f t="shared" si="0"/>
        <v>13.985913357540838</v>
      </c>
      <c r="D15">
        <f t="shared" si="2"/>
        <v>287.1359133575408</v>
      </c>
      <c r="E15">
        <f t="shared" si="3"/>
        <v>11.675377395031092</v>
      </c>
    </row>
    <row r="16" spans="1:5" x14ac:dyDescent="0.3">
      <c r="A16">
        <v>20</v>
      </c>
      <c r="B16">
        <f t="shared" si="1"/>
        <v>293.14999999999998</v>
      </c>
      <c r="C16">
        <f t="shared" si="0"/>
        <v>16.424021420589497</v>
      </c>
      <c r="D16">
        <f t="shared" si="2"/>
        <v>289.57402142058947</v>
      </c>
      <c r="E16">
        <f t="shared" si="3"/>
        <v>13.742718934587174</v>
      </c>
    </row>
    <row r="17" spans="1:5" x14ac:dyDescent="0.3">
      <c r="A17">
        <v>22.5</v>
      </c>
      <c r="B17">
        <f t="shared" si="1"/>
        <v>295.64999999999998</v>
      </c>
      <c r="C17">
        <f t="shared" si="0"/>
        <v>18.862129483638171</v>
      </c>
      <c r="D17">
        <f t="shared" si="2"/>
        <v>292.01212948363815</v>
      </c>
      <c r="E17">
        <f t="shared" si="3"/>
        <v>15.799858288123687</v>
      </c>
    </row>
    <row r="18" spans="1:5" x14ac:dyDescent="0.3">
      <c r="A18">
        <v>25</v>
      </c>
      <c r="B18">
        <f t="shared" si="1"/>
        <v>298.14999999999998</v>
      </c>
      <c r="C18">
        <f t="shared" si="0"/>
        <v>21.300237546686816</v>
      </c>
      <c r="D18">
        <f t="shared" si="2"/>
        <v>294.45023754668682</v>
      </c>
      <c r="E18">
        <f t="shared" si="3"/>
        <v>17.846765929045773</v>
      </c>
    </row>
    <row r="19" spans="1:5" x14ac:dyDescent="0.3">
      <c r="A19">
        <v>27.5</v>
      </c>
      <c r="B19">
        <f t="shared" si="1"/>
        <v>300.64999999999998</v>
      </c>
      <c r="C19">
        <f t="shared" si="0"/>
        <v>23.738345609735489</v>
      </c>
      <c r="D19">
        <f t="shared" si="2"/>
        <v>296.88834560973544</v>
      </c>
      <c r="E19">
        <f t="shared" si="3"/>
        <v>19.883414036378895</v>
      </c>
    </row>
    <row r="20" spans="1:5" x14ac:dyDescent="0.3">
      <c r="A20">
        <v>30</v>
      </c>
      <c r="B20">
        <f t="shared" si="1"/>
        <v>303.14999999999998</v>
      </c>
      <c r="C20">
        <f t="shared" si="0"/>
        <v>26.176453672784163</v>
      </c>
      <c r="D20">
        <f t="shared" si="2"/>
        <v>299.32645367278417</v>
      </c>
      <c r="E20">
        <f t="shared" si="3"/>
        <v>21.909776466715812</v>
      </c>
    </row>
    <row r="21" spans="1:5" x14ac:dyDescent="0.3">
      <c r="A21">
        <v>32.5</v>
      </c>
      <c r="B21">
        <f t="shared" si="1"/>
        <v>305.64999999999998</v>
      </c>
      <c r="C21">
        <f t="shared" si="0"/>
        <v>28.614561735832808</v>
      </c>
      <c r="D21">
        <f t="shared" si="2"/>
        <v>301.76456173583279</v>
      </c>
      <c r="E21">
        <f t="shared" si="3"/>
        <v>23.925828726399118</v>
      </c>
    </row>
    <row r="22" spans="1:5" x14ac:dyDescent="0.3">
      <c r="A22">
        <v>35</v>
      </c>
      <c r="B22">
        <f t="shared" si="1"/>
        <v>308.14999999999998</v>
      </c>
      <c r="C22">
        <f t="shared" si="0"/>
        <v>31.052669798881482</v>
      </c>
      <c r="D22">
        <f t="shared" si="2"/>
        <v>304.20266979888146</v>
      </c>
      <c r="E22">
        <f t="shared" si="3"/>
        <v>25.931547943942633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1D60-2DDE-4ECF-931F-0833C37335DF}">
  <dimension ref="A1:W242"/>
  <sheetViews>
    <sheetView workbookViewId="0">
      <selection activeCell="I2" sqref="I2"/>
    </sheetView>
  </sheetViews>
  <sheetFormatPr baseColWidth="10" defaultRowHeight="14.4" x14ac:dyDescent="0.3"/>
  <cols>
    <col min="7" max="7" width="12.21875" bestFit="1" customWidth="1"/>
    <col min="8" max="11" width="12.21875" customWidth="1"/>
  </cols>
  <sheetData>
    <row r="1" spans="1:23" s="66" customFormat="1" ht="26.4" x14ac:dyDescent="0.3">
      <c r="A1" s="44" t="s">
        <v>222</v>
      </c>
      <c r="B1" s="43" t="s">
        <v>221</v>
      </c>
      <c r="C1"/>
      <c r="D1"/>
      <c r="E1" s="64" t="s">
        <v>233</v>
      </c>
      <c r="F1" s="64" t="s">
        <v>234</v>
      </c>
      <c r="G1" s="66" t="s">
        <v>223</v>
      </c>
      <c r="H1" s="66" t="s">
        <v>242</v>
      </c>
      <c r="J1" s="66" t="s">
        <v>55</v>
      </c>
      <c r="K1" s="66" t="s">
        <v>243</v>
      </c>
      <c r="L1" s="63" t="s">
        <v>231</v>
      </c>
      <c r="M1" s="63" t="s">
        <v>232</v>
      </c>
      <c r="N1" s="65" t="s">
        <v>235</v>
      </c>
      <c r="O1" s="65" t="s">
        <v>236</v>
      </c>
      <c r="P1" s="65" t="s">
        <v>237</v>
      </c>
    </row>
    <row r="2" spans="1:23" x14ac:dyDescent="0.3">
      <c r="A2" s="46">
        <v>277.2</v>
      </c>
      <c r="B2" s="45">
        <v>-40</v>
      </c>
      <c r="C2" t="e">
        <f>LOG10(B2+40)</f>
        <v>#NUM!</v>
      </c>
      <c r="E2" s="45">
        <v>-40</v>
      </c>
      <c r="F2" s="46">
        <v>277.2</v>
      </c>
      <c r="G2" s="61">
        <f>LOG10(F2)</f>
        <v>2.4427932259397691</v>
      </c>
      <c r="H2" s="61">
        <f>LOG10(G2+2)</f>
        <v>0.64765610101420934</v>
      </c>
      <c r="I2" s="67">
        <f>(H2-W$3)/W$2</f>
        <v>-31.936510778118013</v>
      </c>
      <c r="J2" s="68">
        <f>ABS(I2-E2)/ABS(E2)</f>
        <v>0.20158723054704969</v>
      </c>
      <c r="K2" s="70">
        <f>ABS(I2-E2)</f>
        <v>8.0634892218819871</v>
      </c>
      <c r="L2" s="62">
        <f t="shared" ref="L2:L65" si="0">T$3^2-4*T$2*(T$4-G2)</f>
        <v>5.6024970110238803E-4</v>
      </c>
      <c r="M2" s="62">
        <f>(-T$3+SQRT(L2))/(2*T$2)</f>
        <v>611.04558969442064</v>
      </c>
      <c r="N2" s="62">
        <f>(-T$3-SQRT(L2))/(2*T$2)</f>
        <v>-41.950171226490262</v>
      </c>
      <c r="O2">
        <f>ABS(-M2-E$2)/E$2</f>
        <v>-14.276139742360517</v>
      </c>
      <c r="P2">
        <f>ABS(-N2-F$2)/F$2</f>
        <v>0.84866460596504234</v>
      </c>
      <c r="Q2">
        <f>ABS(G2-(T$2*E2^2+T$3*E2+T$4))</f>
        <v>4.602190593976907E-2</v>
      </c>
      <c r="S2" t="s">
        <v>224</v>
      </c>
      <c r="T2" s="62">
        <v>3.6247700000000002E-5</v>
      </c>
      <c r="V2" t="s">
        <v>224</v>
      </c>
      <c r="W2" s="62">
        <v>-3.0448598999999999E-3</v>
      </c>
    </row>
    <row r="3" spans="1:23" x14ac:dyDescent="0.3">
      <c r="A3" s="46">
        <v>263.60000000000002</v>
      </c>
      <c r="B3" s="45">
        <v>-39</v>
      </c>
      <c r="C3">
        <f t="shared" ref="C3:C66" si="1">LOG10(B3+40)</f>
        <v>0</v>
      </c>
      <c r="E3" s="45">
        <v>-39</v>
      </c>
      <c r="F3" s="46">
        <v>263.60000000000002</v>
      </c>
      <c r="G3" s="61">
        <f t="shared" ref="G3:G66" si="2">LOG10(F3)</f>
        <v>2.4209454059219722</v>
      </c>
      <c r="H3" s="61">
        <f t="shared" ref="H3:H66" si="3">LOG10(G3+2)</f>
        <v>0.64551515185379804</v>
      </c>
      <c r="I3" s="67">
        <f t="shared" ref="I3:I66" si="4">(H3-W$3)/W$2</f>
        <v>-31.233375254407612</v>
      </c>
      <c r="J3" s="68">
        <f t="shared" ref="J3:J66" si="5">ABS(I3-E3)/ABS(E3)</f>
        <v>0.19914422424595868</v>
      </c>
      <c r="K3" s="70">
        <f t="shared" ref="K3:K66" si="6">ABS(I3-E3)</f>
        <v>7.766624745592388</v>
      </c>
      <c r="L3" s="62">
        <f t="shared" si="0"/>
        <v>5.5708196819975156E-4</v>
      </c>
      <c r="M3" s="62">
        <f t="shared" ref="M3:M66" si="7">(-T$3+SQRT(L3))/(2*T$2)</f>
        <v>610.121248114683</v>
      </c>
      <c r="N3" s="62">
        <f t="shared" ref="N3:N66" si="8">(-T$3-SQRT(L3))/(2*T$2)</f>
        <v>-41.02582964675252</v>
      </c>
      <c r="O3">
        <f t="shared" ref="O3:O66" si="9">ABS(-M3-E$2)/E$2</f>
        <v>-14.253031202867074</v>
      </c>
      <c r="P3">
        <f t="shared" ref="P3:P66" si="10">ABS(-N3-F$2)/F$2</f>
        <v>0.85199917154851179</v>
      </c>
      <c r="Q3">
        <f t="shared" ref="Q3:Q66" si="11">ABS(G3-(T$2*E3^2+T$3*E3+T$4))</f>
        <v>4.7666054221972232E-2</v>
      </c>
      <c r="S3" t="s">
        <v>225</v>
      </c>
      <c r="T3">
        <v>-2.0628400000000002E-2</v>
      </c>
      <c r="V3" t="s">
        <v>225</v>
      </c>
      <c r="W3" s="62">
        <v>0.55041390000000001</v>
      </c>
    </row>
    <row r="4" spans="1:23" x14ac:dyDescent="0.3">
      <c r="A4" s="46">
        <v>250.1</v>
      </c>
      <c r="B4" s="45">
        <v>-38</v>
      </c>
      <c r="C4">
        <f t="shared" si="1"/>
        <v>0.3010299956639812</v>
      </c>
      <c r="E4" s="45">
        <v>-38</v>
      </c>
      <c r="F4" s="46">
        <v>250.1</v>
      </c>
      <c r="G4" s="61">
        <f t="shared" si="2"/>
        <v>2.3981136917305026</v>
      </c>
      <c r="H4" s="61">
        <f t="shared" si="3"/>
        <v>0.64326645173077568</v>
      </c>
      <c r="I4" s="67">
        <f t="shared" si="4"/>
        <v>-30.494851907890958</v>
      </c>
      <c r="J4" s="68">
        <f t="shared" si="5"/>
        <v>0.19750389716076427</v>
      </c>
      <c r="K4" s="70">
        <f t="shared" si="6"/>
        <v>7.5051480921090423</v>
      </c>
      <c r="L4" s="62">
        <f t="shared" si="0"/>
        <v>5.5377157969375903E-4</v>
      </c>
      <c r="M4" s="62">
        <f t="shared" si="7"/>
        <v>609.15246715196429</v>
      </c>
      <c r="N4" s="62">
        <f t="shared" si="8"/>
        <v>-40.057048684033894</v>
      </c>
      <c r="O4">
        <f t="shared" si="9"/>
        <v>-14.228811678799108</v>
      </c>
      <c r="P4">
        <f t="shared" si="10"/>
        <v>0.85549405236640008</v>
      </c>
      <c r="Q4">
        <f t="shared" si="11"/>
        <v>4.8253812930502349E-2</v>
      </c>
      <c r="S4" t="s">
        <v>226</v>
      </c>
      <c r="T4">
        <v>1.513639</v>
      </c>
      <c r="W4" s="62"/>
    </row>
    <row r="5" spans="1:23" x14ac:dyDescent="0.3">
      <c r="A5" s="46">
        <v>236.8</v>
      </c>
      <c r="B5" s="45">
        <v>-37</v>
      </c>
      <c r="C5">
        <f t="shared" si="1"/>
        <v>0.47712125471966244</v>
      </c>
      <c r="E5" s="45">
        <v>-37</v>
      </c>
      <c r="F5" s="46">
        <v>236.8</v>
      </c>
      <c r="G5" s="61">
        <f t="shared" si="2"/>
        <v>2.3743816980508821</v>
      </c>
      <c r="H5" s="61">
        <f t="shared" si="3"/>
        <v>0.64091667584947443</v>
      </c>
      <c r="I5" s="67">
        <f t="shared" si="4"/>
        <v>-29.723133024765581</v>
      </c>
      <c r="J5" s="68">
        <f t="shared" si="5"/>
        <v>0.19667208041174106</v>
      </c>
      <c r="K5" s="70">
        <f t="shared" si="6"/>
        <v>7.2768669752344195</v>
      </c>
      <c r="L5" s="62">
        <f t="shared" si="0"/>
        <v>5.5033065894455595E-4</v>
      </c>
      <c r="M5" s="62">
        <f t="shared" si="7"/>
        <v>608.14241196349042</v>
      </c>
      <c r="N5" s="62">
        <f t="shared" si="8"/>
        <v>-39.046993495560052</v>
      </c>
      <c r="O5">
        <f t="shared" si="9"/>
        <v>-14.203560299087261</v>
      </c>
      <c r="P5">
        <f t="shared" si="10"/>
        <v>0.85913783010259714</v>
      </c>
      <c r="Q5">
        <f t="shared" si="11"/>
        <v>4.7868796750881959E-2</v>
      </c>
      <c r="W5" s="62"/>
    </row>
    <row r="6" spans="1:23" x14ac:dyDescent="0.3">
      <c r="A6" s="46">
        <v>224</v>
      </c>
      <c r="B6" s="45">
        <v>-36</v>
      </c>
      <c r="C6">
        <f t="shared" si="1"/>
        <v>0.6020599913279624</v>
      </c>
      <c r="E6" s="45">
        <v>-36</v>
      </c>
      <c r="F6" s="46">
        <v>224</v>
      </c>
      <c r="G6" s="61">
        <f t="shared" si="2"/>
        <v>2.3502480183341627</v>
      </c>
      <c r="H6" s="61">
        <f t="shared" si="3"/>
        <v>0.6385140178565657</v>
      </c>
      <c r="I6" s="67">
        <f t="shared" si="4"/>
        <v>-28.934046475033444</v>
      </c>
      <c r="J6" s="68">
        <f t="shared" si="5"/>
        <v>0.19627648680462656</v>
      </c>
      <c r="K6" s="70">
        <f t="shared" si="6"/>
        <v>7.0659535249665559</v>
      </c>
      <c r="L6" s="62">
        <f t="shared" si="0"/>
        <v>5.46831497415485E-4</v>
      </c>
      <c r="M6" s="62">
        <f t="shared" si="7"/>
        <v>607.11201709981594</v>
      </c>
      <c r="N6" s="62">
        <f t="shared" si="8"/>
        <v>-38.016598631885586</v>
      </c>
      <c r="O6">
        <f t="shared" si="9"/>
        <v>-14.177800427495399</v>
      </c>
      <c r="P6">
        <f t="shared" si="10"/>
        <v>0.86285498329045607</v>
      </c>
      <c r="Q6">
        <f t="shared" si="11"/>
        <v>4.7009599134162805E-2</v>
      </c>
      <c r="S6" t="s">
        <v>227</v>
      </c>
      <c r="T6">
        <f>G242</f>
        <v>-1.2083093509798821</v>
      </c>
      <c r="W6" s="62"/>
    </row>
    <row r="7" spans="1:23" x14ac:dyDescent="0.3">
      <c r="A7" s="46">
        <v>211.5</v>
      </c>
      <c r="B7" s="45">
        <v>-35</v>
      </c>
      <c r="C7">
        <f t="shared" si="1"/>
        <v>0.69897000433601886</v>
      </c>
      <c r="E7" s="45">
        <v>-35</v>
      </c>
      <c r="F7" s="46">
        <v>211.5</v>
      </c>
      <c r="G7" s="61">
        <f t="shared" si="2"/>
        <v>2.325310371711061</v>
      </c>
      <c r="H7" s="61">
        <f t="shared" si="3"/>
        <v>0.63601727662977403</v>
      </c>
      <c r="I7" s="67">
        <f t="shared" si="4"/>
        <v>-28.114060889886598</v>
      </c>
      <c r="J7" s="68">
        <f t="shared" si="5"/>
        <v>0.19674111743181147</v>
      </c>
      <c r="K7" s="70">
        <f t="shared" si="6"/>
        <v>6.8859391101134015</v>
      </c>
      <c r="L7" s="62">
        <f t="shared" si="0"/>
        <v>5.4321576808148415E-4</v>
      </c>
      <c r="M7" s="62">
        <f t="shared" si="7"/>
        <v>606.04382737328751</v>
      </c>
      <c r="N7" s="62">
        <f t="shared" si="8"/>
        <v>-36.948408905357148</v>
      </c>
      <c r="O7">
        <f t="shared" si="9"/>
        <v>-14.151095684332187</v>
      </c>
      <c r="P7">
        <f t="shared" si="10"/>
        <v>0.86670848158240565</v>
      </c>
      <c r="Q7">
        <f t="shared" si="11"/>
        <v>4.5273939211060821E-2</v>
      </c>
      <c r="S7" t="s">
        <v>228</v>
      </c>
      <c r="T7">
        <f>G2</f>
        <v>2.4427932259397691</v>
      </c>
      <c r="W7" s="62"/>
    </row>
    <row r="8" spans="1:23" x14ac:dyDescent="0.3">
      <c r="A8" s="46">
        <v>199.6</v>
      </c>
      <c r="B8" s="45">
        <v>-34</v>
      </c>
      <c r="C8">
        <f t="shared" si="1"/>
        <v>0.77815125038364363</v>
      </c>
      <c r="E8" s="45">
        <v>-34</v>
      </c>
      <c r="F8" s="46">
        <v>199.6</v>
      </c>
      <c r="G8" s="61">
        <f t="shared" si="2"/>
        <v>2.3001605369513523</v>
      </c>
      <c r="H8" s="61">
        <f t="shared" si="3"/>
        <v>0.6334846693029984</v>
      </c>
      <c r="I8" s="67">
        <f t="shared" si="4"/>
        <v>-27.282296076413367</v>
      </c>
      <c r="J8" s="68">
        <f t="shared" si="5"/>
        <v>0.19757952716431273</v>
      </c>
      <c r="K8" s="70">
        <f t="shared" si="6"/>
        <v>6.7177039235866332</v>
      </c>
      <c r="L8" s="62">
        <f t="shared" si="0"/>
        <v>5.3956927341980627E-4</v>
      </c>
      <c r="M8" s="62">
        <f t="shared" si="7"/>
        <v>604.96294203521268</v>
      </c>
      <c r="N8" s="62">
        <f t="shared" si="8"/>
        <v>-35.867523567282227</v>
      </c>
      <c r="O8">
        <f t="shared" si="9"/>
        <v>-14.124073550880317</v>
      </c>
      <c r="P8">
        <f t="shared" si="10"/>
        <v>0.87060777933880873</v>
      </c>
      <c r="Q8">
        <f t="shared" si="11"/>
        <v>4.3253595751352236E-2</v>
      </c>
      <c r="W8" s="62"/>
    </row>
    <row r="9" spans="1:23" x14ac:dyDescent="0.3">
      <c r="A9" s="46">
        <v>188.1</v>
      </c>
      <c r="B9" s="45">
        <v>-33</v>
      </c>
      <c r="C9">
        <f t="shared" si="1"/>
        <v>0.84509804001425681</v>
      </c>
      <c r="E9" s="45">
        <v>-33</v>
      </c>
      <c r="F9" s="46">
        <v>188.1</v>
      </c>
      <c r="G9" s="61">
        <f t="shared" si="2"/>
        <v>2.274388795550379</v>
      </c>
      <c r="H9" s="61">
        <f t="shared" si="3"/>
        <v>0.63087402276079829</v>
      </c>
      <c r="I9" s="67">
        <f t="shared" si="4"/>
        <v>-26.42490144154031</v>
      </c>
      <c r="J9" s="68">
        <f t="shared" si="5"/>
        <v>0.19924541086241485</v>
      </c>
      <c r="K9" s="70">
        <f t="shared" si="6"/>
        <v>6.5750985584596897</v>
      </c>
      <c r="L9" s="62">
        <f t="shared" si="0"/>
        <v>5.3583260801668602E-4</v>
      </c>
      <c r="M9" s="62">
        <f t="shared" si="7"/>
        <v>603.85153274636104</v>
      </c>
      <c r="N9" s="62">
        <f t="shared" si="8"/>
        <v>-34.756114278430566</v>
      </c>
      <c r="O9">
        <f t="shared" si="9"/>
        <v>-14.096288318659026</v>
      </c>
      <c r="P9">
        <f t="shared" si="10"/>
        <v>0.87461719235775404</v>
      </c>
      <c r="Q9">
        <f t="shared" si="11"/>
        <v>4.0538850250378733E-2</v>
      </c>
      <c r="W9" s="62"/>
    </row>
    <row r="10" spans="1:23" x14ac:dyDescent="0.3">
      <c r="A10" s="46">
        <v>177.3</v>
      </c>
      <c r="B10" s="45">
        <v>-32</v>
      </c>
      <c r="C10">
        <f t="shared" si="1"/>
        <v>0.90308998699194354</v>
      </c>
      <c r="E10" s="45">
        <v>-32</v>
      </c>
      <c r="F10" s="46">
        <v>177.3</v>
      </c>
      <c r="G10" s="61">
        <f t="shared" si="2"/>
        <v>2.2487087356009177</v>
      </c>
      <c r="H10" s="61">
        <f t="shared" si="3"/>
        <v>0.62825695964752182</v>
      </c>
      <c r="I10" s="67">
        <f t="shared" si="4"/>
        <v>-25.565399461407669</v>
      </c>
      <c r="J10" s="68">
        <f t="shared" si="5"/>
        <v>0.20108126683101035</v>
      </c>
      <c r="K10" s="70">
        <f t="shared" si="6"/>
        <v>6.4346005385923313</v>
      </c>
      <c r="L10" s="62">
        <f t="shared" si="0"/>
        <v>5.3210923558056559E-4</v>
      </c>
      <c r="M10" s="62">
        <f t="shared" si="7"/>
        <v>602.74021592160352</v>
      </c>
      <c r="N10" s="62">
        <f t="shared" si="8"/>
        <v>-33.644797453673114</v>
      </c>
      <c r="O10">
        <f t="shared" si="9"/>
        <v>-14.068505398040088</v>
      </c>
      <c r="P10">
        <f t="shared" si="10"/>
        <v>0.87862627181214603</v>
      </c>
      <c r="Q10">
        <f t="shared" si="11"/>
        <v>3.7843290800917639E-2</v>
      </c>
      <c r="W10" s="62"/>
    </row>
    <row r="11" spans="1:23" x14ac:dyDescent="0.3">
      <c r="A11" s="46">
        <v>167</v>
      </c>
      <c r="B11" s="45">
        <v>-31</v>
      </c>
      <c r="C11">
        <f t="shared" si="1"/>
        <v>0.95424250943932487</v>
      </c>
      <c r="E11" s="45">
        <v>-31</v>
      </c>
      <c r="F11" s="46">
        <v>167</v>
      </c>
      <c r="G11" s="61">
        <f t="shared" si="2"/>
        <v>2.2227164711475833</v>
      </c>
      <c r="H11" s="61">
        <f t="shared" si="3"/>
        <v>0.62559192226084348</v>
      </c>
      <c r="I11" s="67">
        <f t="shared" si="4"/>
        <v>-24.690141658354616</v>
      </c>
      <c r="J11" s="68">
        <f t="shared" si="5"/>
        <v>0.20354381747243175</v>
      </c>
      <c r="K11" s="70">
        <f t="shared" si="6"/>
        <v>6.3098583416453842</v>
      </c>
      <c r="L11" s="62">
        <f t="shared" si="0"/>
        <v>5.2834059636366513E-4</v>
      </c>
      <c r="M11" s="62">
        <f t="shared" si="7"/>
        <v>601.61142180632351</v>
      </c>
      <c r="N11" s="62">
        <f t="shared" si="8"/>
        <v>-32.516003338393155</v>
      </c>
      <c r="O11">
        <f t="shared" si="9"/>
        <v>-14.040285545158088</v>
      </c>
      <c r="P11">
        <f t="shared" si="10"/>
        <v>0.88269840065514737</v>
      </c>
      <c r="Q11">
        <f t="shared" si="11"/>
        <v>3.4763031447583082E-2</v>
      </c>
      <c r="S11" t="s">
        <v>230</v>
      </c>
      <c r="T11" s="62">
        <f>T3^2-4*T2*(T4-T6)</f>
        <v>3.087341759274619E-5</v>
      </c>
      <c r="W11" s="62"/>
    </row>
    <row r="12" spans="1:23" x14ac:dyDescent="0.3">
      <c r="A12" s="46">
        <v>157.19999999999999</v>
      </c>
      <c r="B12" s="45">
        <v>-30</v>
      </c>
      <c r="C12">
        <f t="shared" si="1"/>
        <v>1</v>
      </c>
      <c r="E12" s="45">
        <v>-30</v>
      </c>
      <c r="F12" s="46">
        <v>157.19999999999999</v>
      </c>
      <c r="G12" s="61">
        <f t="shared" si="2"/>
        <v>2.1964525417033891</v>
      </c>
      <c r="H12" s="61">
        <f t="shared" si="3"/>
        <v>0.62288231597697274</v>
      </c>
      <c r="I12" s="67">
        <f t="shared" si="4"/>
        <v>-23.800246433989535</v>
      </c>
      <c r="J12" s="68">
        <f t="shared" si="5"/>
        <v>0.20665845220034881</v>
      </c>
      <c r="K12" s="70">
        <f t="shared" si="6"/>
        <v>6.1997535660104646</v>
      </c>
      <c r="L12" s="62">
        <f t="shared" si="0"/>
        <v>5.2453256822240779E-4</v>
      </c>
      <c r="M12" s="62">
        <f t="shared" si="7"/>
        <v>600.46673314041232</v>
      </c>
      <c r="N12" s="62">
        <f t="shared" si="8"/>
        <v>-31.371314672481983</v>
      </c>
      <c r="O12">
        <f t="shared" si="9"/>
        <v>-14.011668328510307</v>
      </c>
      <c r="P12">
        <f t="shared" si="10"/>
        <v>0.88682786914689038</v>
      </c>
      <c r="Q12">
        <f t="shared" si="11"/>
        <v>3.1338611703389141E-2</v>
      </c>
      <c r="S12" t="s">
        <v>229</v>
      </c>
      <c r="T12" s="62">
        <f>T3^2-4*T2*(T4-T7)</f>
        <v>5.6024970110238803E-4</v>
      </c>
      <c r="W12" s="62"/>
    </row>
    <row r="13" spans="1:23" x14ac:dyDescent="0.3">
      <c r="A13" s="46">
        <v>148.1</v>
      </c>
      <c r="B13" s="45">
        <v>-29</v>
      </c>
      <c r="C13">
        <f t="shared" si="1"/>
        <v>1.0413926851582251</v>
      </c>
      <c r="E13" s="45">
        <v>-29</v>
      </c>
      <c r="F13" s="46">
        <v>148.1</v>
      </c>
      <c r="G13" s="61">
        <f t="shared" si="2"/>
        <v>2.1705550585212086</v>
      </c>
      <c r="H13" s="61">
        <f t="shared" si="3"/>
        <v>0.620193859005158</v>
      </c>
      <c r="I13" s="67">
        <f t="shared" si="4"/>
        <v>-22.917297116086683</v>
      </c>
      <c r="J13" s="68">
        <f t="shared" si="5"/>
        <v>0.20974837530735577</v>
      </c>
      <c r="K13" s="70">
        <f t="shared" si="6"/>
        <v>6.082702883913317</v>
      </c>
      <c r="L13" s="62">
        <f t="shared" si="0"/>
        <v>5.2077767141783696E-4</v>
      </c>
      <c r="M13" s="62">
        <f t="shared" si="7"/>
        <v>599.33393988211242</v>
      </c>
      <c r="N13" s="62">
        <f t="shared" si="8"/>
        <v>-30.238521414182088</v>
      </c>
      <c r="O13">
        <f t="shared" si="9"/>
        <v>-13.983348497052811</v>
      </c>
      <c r="P13">
        <f t="shared" si="10"/>
        <v>0.89091442491276307</v>
      </c>
      <c r="Q13">
        <f t="shared" si="11"/>
        <v>2.8208142821208426E-2</v>
      </c>
      <c r="W13" s="62"/>
    </row>
    <row r="14" spans="1:23" x14ac:dyDescent="0.3">
      <c r="A14" s="46">
        <v>139.4</v>
      </c>
      <c r="B14" s="45">
        <v>-28</v>
      </c>
      <c r="C14">
        <f t="shared" si="1"/>
        <v>1.0791812460476249</v>
      </c>
      <c r="E14" s="45">
        <v>-28</v>
      </c>
      <c r="F14" s="46">
        <v>139.4</v>
      </c>
      <c r="G14" s="61">
        <f t="shared" si="2"/>
        <v>2.1442627737619908</v>
      </c>
      <c r="H14" s="61">
        <f t="shared" si="3"/>
        <v>0.61744728476244792</v>
      </c>
      <c r="I14" s="67">
        <f t="shared" si="4"/>
        <v>-22.015260788336406</v>
      </c>
      <c r="J14" s="68">
        <f t="shared" si="5"/>
        <v>0.21374068613084266</v>
      </c>
      <c r="K14" s="70">
        <f t="shared" si="6"/>
        <v>5.9847392116635945</v>
      </c>
      <c r="L14" s="62">
        <f t="shared" si="0"/>
        <v>5.1696553201677014E-4</v>
      </c>
      <c r="M14" s="62">
        <f t="shared" si="7"/>
        <v>598.17969194026318</v>
      </c>
      <c r="N14" s="62">
        <f t="shared" si="8"/>
        <v>-29.084273472332761</v>
      </c>
      <c r="O14">
        <f t="shared" si="9"/>
        <v>-13.95449229850658</v>
      </c>
      <c r="P14">
        <f t="shared" si="10"/>
        <v>0.89507837852693806</v>
      </c>
      <c r="Q14">
        <f t="shared" si="11"/>
        <v>2.4610376961990532E-2</v>
      </c>
      <c r="W14" s="62"/>
    </row>
    <row r="15" spans="1:23" x14ac:dyDescent="0.3">
      <c r="A15" s="46">
        <v>131.30000000000001</v>
      </c>
      <c r="B15" s="45">
        <v>-27</v>
      </c>
      <c r="C15">
        <f t="shared" si="1"/>
        <v>1.1139433523068367</v>
      </c>
      <c r="E15" s="45">
        <v>-27</v>
      </c>
      <c r="F15" s="46">
        <v>131.30000000000001</v>
      </c>
      <c r="G15" s="61">
        <f t="shared" si="2"/>
        <v>2.1182647260894796</v>
      </c>
      <c r="H15" s="61">
        <f t="shared" si="3"/>
        <v>0.61471426005390073</v>
      </c>
      <c r="I15" s="67">
        <f t="shared" si="4"/>
        <v>-21.117674430242495</v>
      </c>
      <c r="J15" s="68">
        <f t="shared" si="5"/>
        <v>0.21786390999101871</v>
      </c>
      <c r="K15" s="70">
        <f t="shared" si="6"/>
        <v>5.882325569757505</v>
      </c>
      <c r="L15" s="62">
        <f t="shared" si="0"/>
        <v>5.1319605428629459E-4</v>
      </c>
      <c r="M15" s="62">
        <f t="shared" si="7"/>
        <v>597.03416901595983</v>
      </c>
      <c r="N15" s="62">
        <f t="shared" si="8"/>
        <v>-27.9387505480295</v>
      </c>
      <c r="O15">
        <f t="shared" si="9"/>
        <v>-13.925854225398997</v>
      </c>
      <c r="P15">
        <f t="shared" si="10"/>
        <v>0.89921085660884015</v>
      </c>
      <c r="Q15">
        <f t="shared" si="11"/>
        <v>2.1234352789479605E-2</v>
      </c>
      <c r="S15" t="s">
        <v>238</v>
      </c>
      <c r="T15">
        <v>0</v>
      </c>
      <c r="W15" s="62"/>
    </row>
    <row r="16" spans="1:23" x14ac:dyDescent="0.3">
      <c r="A16" s="46">
        <v>123.7</v>
      </c>
      <c r="B16" s="45">
        <v>-26</v>
      </c>
      <c r="C16">
        <f t="shared" si="1"/>
        <v>1.146128035678238</v>
      </c>
      <c r="E16" s="45">
        <v>-26</v>
      </c>
      <c r="F16" s="46">
        <v>123.7</v>
      </c>
      <c r="G16" s="61">
        <f t="shared" si="2"/>
        <v>2.0923696996291206</v>
      </c>
      <c r="H16" s="61">
        <f t="shared" si="3"/>
        <v>0.61197486044001048</v>
      </c>
      <c r="I16" s="67">
        <f t="shared" si="4"/>
        <v>-20.217994410846448</v>
      </c>
      <c r="J16" s="68">
        <f t="shared" si="5"/>
        <v>0.22238483035205972</v>
      </c>
      <c r="K16" s="70">
        <f t="shared" si="6"/>
        <v>5.7820055891535524</v>
      </c>
      <c r="L16" s="62">
        <f t="shared" si="0"/>
        <v>5.0944151368378595E-4</v>
      </c>
      <c r="M16" s="62">
        <f t="shared" si="7"/>
        <v>595.88899570700448</v>
      </c>
      <c r="N16" s="62">
        <f t="shared" si="8"/>
        <v>-26.793577239074114</v>
      </c>
      <c r="O16">
        <f t="shared" si="9"/>
        <v>-13.897224892675112</v>
      </c>
      <c r="P16">
        <f t="shared" si="10"/>
        <v>0.90334207345211359</v>
      </c>
      <c r="Q16">
        <f t="shared" si="11"/>
        <v>1.7888854429120471E-2</v>
      </c>
      <c r="S16" t="s">
        <v>239</v>
      </c>
      <c r="T16" s="62">
        <f>MIN(W2:W242)</f>
        <v>-3.0448598999999999E-3</v>
      </c>
      <c r="W16" s="62"/>
    </row>
    <row r="17" spans="1:23" x14ac:dyDescent="0.3">
      <c r="A17" s="46">
        <v>116.6</v>
      </c>
      <c r="B17" s="45">
        <v>-25</v>
      </c>
      <c r="C17">
        <f t="shared" si="1"/>
        <v>1.1760912590556813</v>
      </c>
      <c r="E17" s="45">
        <v>-25</v>
      </c>
      <c r="F17" s="46">
        <v>116.6</v>
      </c>
      <c r="G17" s="61">
        <f t="shared" si="2"/>
        <v>2.0666985504229953</v>
      </c>
      <c r="H17" s="61">
        <f t="shared" si="3"/>
        <v>0.60924198092684501</v>
      </c>
      <c r="I17" s="67">
        <f t="shared" si="4"/>
        <v>-19.32045573815892</v>
      </c>
      <c r="J17" s="68">
        <f t="shared" si="5"/>
        <v>0.22718177047364321</v>
      </c>
      <c r="K17" s="70">
        <f t="shared" si="6"/>
        <v>5.6795442618410803</v>
      </c>
      <c r="L17" s="62">
        <f t="shared" si="0"/>
        <v>5.0571943322347051E-4</v>
      </c>
      <c r="M17" s="62">
        <f t="shared" si="7"/>
        <v>594.74955012860187</v>
      </c>
      <c r="N17" s="62">
        <f t="shared" si="8"/>
        <v>-25.654131660671382</v>
      </c>
      <c r="O17">
        <f t="shared" si="9"/>
        <v>-13.868738753215046</v>
      </c>
      <c r="P17">
        <f t="shared" si="10"/>
        <v>0.90745262748675537</v>
      </c>
      <c r="Q17">
        <f t="shared" si="11"/>
        <v>1.4694737922995582E-2</v>
      </c>
      <c r="S17" t="s">
        <v>240</v>
      </c>
      <c r="T17" s="62">
        <f>MAX(W2:W242)</f>
        <v>0.55041390000000001</v>
      </c>
      <c r="W17" s="62"/>
    </row>
    <row r="18" spans="1:23" x14ac:dyDescent="0.3">
      <c r="A18" s="46">
        <v>110</v>
      </c>
      <c r="B18" s="45">
        <v>-24</v>
      </c>
      <c r="C18">
        <f t="shared" si="1"/>
        <v>1.2041199826559248</v>
      </c>
      <c r="E18" s="45">
        <v>-24</v>
      </c>
      <c r="F18" s="46">
        <v>110</v>
      </c>
      <c r="G18" s="61">
        <f t="shared" si="2"/>
        <v>2.0413926851582249</v>
      </c>
      <c r="H18" s="61">
        <f t="shared" si="3"/>
        <v>0.60653105106420158</v>
      </c>
      <c r="I18" s="67">
        <f t="shared" si="4"/>
        <v>-18.430125820961933</v>
      </c>
      <c r="J18" s="68">
        <f t="shared" si="5"/>
        <v>0.23207809079325278</v>
      </c>
      <c r="K18" s="70">
        <f t="shared" si="6"/>
        <v>5.5698741790380666</v>
      </c>
      <c r="L18" s="62">
        <f t="shared" si="0"/>
        <v>5.0205031557403921E-4</v>
      </c>
      <c r="M18" s="62">
        <f t="shared" si="7"/>
        <v>593.62220666772942</v>
      </c>
      <c r="N18" s="62">
        <f t="shared" si="8"/>
        <v>-24.526788199799043</v>
      </c>
      <c r="O18">
        <f t="shared" si="9"/>
        <v>-13.840555166693235</v>
      </c>
      <c r="P18">
        <f t="shared" si="10"/>
        <v>0.91151952308874795</v>
      </c>
      <c r="Q18">
        <f t="shared" si="11"/>
        <v>1.1793409958225087E-2</v>
      </c>
      <c r="W18" s="62"/>
    </row>
    <row r="19" spans="1:23" x14ac:dyDescent="0.3">
      <c r="A19" s="46">
        <v>103.7</v>
      </c>
      <c r="B19" s="45">
        <v>-23</v>
      </c>
      <c r="C19">
        <f t="shared" si="1"/>
        <v>1.2304489213782739</v>
      </c>
      <c r="E19" s="45">
        <v>-23</v>
      </c>
      <c r="F19" s="46">
        <v>103.7</v>
      </c>
      <c r="G19" s="61">
        <f t="shared" si="2"/>
        <v>2.0157787563890408</v>
      </c>
      <c r="H19" s="61">
        <f t="shared" si="3"/>
        <v>0.60376977796012599</v>
      </c>
      <c r="I19" s="67">
        <f t="shared" si="4"/>
        <v>-17.523262058831008</v>
      </c>
      <c r="J19" s="68">
        <f t="shared" si="5"/>
        <v>0.23811904092039093</v>
      </c>
      <c r="K19" s="70">
        <f t="shared" si="6"/>
        <v>5.4767379411689916</v>
      </c>
      <c r="L19" s="62">
        <f t="shared" si="0"/>
        <v>4.9833653155065228E-4</v>
      </c>
      <c r="M19" s="62">
        <f t="shared" si="7"/>
        <v>592.47693647723872</v>
      </c>
      <c r="N19" s="62">
        <f t="shared" si="8"/>
        <v>-23.38151800930828</v>
      </c>
      <c r="O19">
        <f t="shared" si="9"/>
        <v>-13.811923411930968</v>
      </c>
      <c r="P19">
        <f t="shared" si="10"/>
        <v>0.91565108943250983</v>
      </c>
      <c r="Q19">
        <f t="shared" si="11"/>
        <v>8.5115230890409066E-3</v>
      </c>
      <c r="W19" s="62"/>
    </row>
    <row r="20" spans="1:23" x14ac:dyDescent="0.3">
      <c r="A20" s="46">
        <v>97.9</v>
      </c>
      <c r="B20" s="45">
        <v>-22</v>
      </c>
      <c r="C20">
        <f t="shared" si="1"/>
        <v>1.255272505103306</v>
      </c>
      <c r="E20" s="45">
        <v>-22</v>
      </c>
      <c r="F20" s="46">
        <v>97.9</v>
      </c>
      <c r="G20" s="61">
        <f t="shared" si="2"/>
        <v>1.9907826918031379</v>
      </c>
      <c r="H20" s="61">
        <f t="shared" si="3"/>
        <v>0.60105807999644567</v>
      </c>
      <c r="I20" s="67">
        <f t="shared" si="4"/>
        <v>-16.632679880097491</v>
      </c>
      <c r="J20" s="68">
        <f t="shared" si="5"/>
        <v>0.24396909635920494</v>
      </c>
      <c r="K20" s="70">
        <f t="shared" si="6"/>
        <v>5.3673201199025087</v>
      </c>
      <c r="L20" s="62">
        <f t="shared" si="0"/>
        <v>4.9471233214949055E-4</v>
      </c>
      <c r="M20" s="62">
        <f t="shared" si="7"/>
        <v>591.35517105335077</v>
      </c>
      <c r="N20" s="62">
        <f t="shared" si="8"/>
        <v>-22.25975258542034</v>
      </c>
      <c r="O20">
        <f t="shared" si="9"/>
        <v>-13.783879276333769</v>
      </c>
      <c r="P20">
        <f t="shared" si="10"/>
        <v>0.9196978622459584</v>
      </c>
      <c r="Q20">
        <f t="shared" si="11"/>
        <v>5.7750050031379896E-3</v>
      </c>
      <c r="S20" t="s">
        <v>241</v>
      </c>
      <c r="T20" s="62">
        <f>(-T3+SQRT(T3^2-4*T2*T4))/(2*T2)</f>
        <v>482.56081668723482</v>
      </c>
      <c r="W20" s="62"/>
    </row>
    <row r="21" spans="1:23" x14ac:dyDescent="0.3">
      <c r="A21" s="58">
        <v>92.5</v>
      </c>
      <c r="B21" s="45">
        <v>-21</v>
      </c>
      <c r="C21">
        <f t="shared" si="1"/>
        <v>1.2787536009528289</v>
      </c>
      <c r="E21" s="45">
        <v>-21</v>
      </c>
      <c r="F21" s="58">
        <v>92.5</v>
      </c>
      <c r="G21" s="61">
        <f t="shared" si="2"/>
        <v>1.9661417327390327</v>
      </c>
      <c r="H21" s="61">
        <f t="shared" si="3"/>
        <v>0.5983682299516393</v>
      </c>
      <c r="I21" s="67">
        <f t="shared" si="4"/>
        <v>-15.749273045909037</v>
      </c>
      <c r="J21" s="68">
        <f t="shared" si="5"/>
        <v>0.25003461686147443</v>
      </c>
      <c r="K21" s="70">
        <f t="shared" si="6"/>
        <v>5.2507269540909629</v>
      </c>
      <c r="L21" s="62">
        <f t="shared" si="0"/>
        <v>4.911396197820186E-4</v>
      </c>
      <c r="M21" s="62">
        <f t="shared" si="7"/>
        <v>590.24531292336599</v>
      </c>
      <c r="N21" s="62">
        <f t="shared" si="8"/>
        <v>-21.149894455435557</v>
      </c>
      <c r="O21">
        <f t="shared" si="9"/>
        <v>-13.756132823084149</v>
      </c>
      <c r="P21">
        <f t="shared" si="10"/>
        <v>0.92370167945369563</v>
      </c>
      <c r="Q21">
        <f t="shared" si="11"/>
        <v>3.3210970390327166E-3</v>
      </c>
      <c r="W21" s="62"/>
    </row>
    <row r="22" spans="1:23" x14ac:dyDescent="0.3">
      <c r="A22" s="58">
        <v>87.43</v>
      </c>
      <c r="B22" s="45">
        <v>-20</v>
      </c>
      <c r="C22">
        <f t="shared" si="1"/>
        <v>1.3010299956639813</v>
      </c>
      <c r="E22" s="45">
        <v>-20</v>
      </c>
      <c r="F22" s="58">
        <v>87.43</v>
      </c>
      <c r="G22" s="61">
        <f t="shared" si="2"/>
        <v>1.9416604783883924</v>
      </c>
      <c r="H22" s="61">
        <f t="shared" si="3"/>
        <v>0.59567921286256309</v>
      </c>
      <c r="I22" s="67">
        <f t="shared" si="4"/>
        <v>-14.866139772986955</v>
      </c>
      <c r="J22" s="68">
        <f t="shared" si="5"/>
        <v>0.25669301135065226</v>
      </c>
      <c r="K22" s="70">
        <f t="shared" si="6"/>
        <v>5.1338602270130451</v>
      </c>
      <c r="L22" s="62">
        <f t="shared" si="0"/>
        <v>4.8759006312871584E-4</v>
      </c>
      <c r="M22" s="62">
        <f t="shared" si="7"/>
        <v>589.13864327771932</v>
      </c>
      <c r="N22" s="62">
        <f t="shared" si="8"/>
        <v>-20.043224809789013</v>
      </c>
      <c r="O22">
        <f t="shared" si="9"/>
        <v>-13.728466081942983</v>
      </c>
      <c r="P22">
        <f t="shared" si="10"/>
        <v>0.92769399419268028</v>
      </c>
      <c r="Q22">
        <f t="shared" si="11"/>
        <v>9.5439838839239677E-4</v>
      </c>
      <c r="W22" s="62"/>
    </row>
    <row r="23" spans="1:23" x14ac:dyDescent="0.3">
      <c r="A23" s="58">
        <v>82.79</v>
      </c>
      <c r="B23" s="45">
        <v>-19</v>
      </c>
      <c r="C23">
        <f t="shared" si="1"/>
        <v>1.3222192947339193</v>
      </c>
      <c r="E23" s="45">
        <v>-19</v>
      </c>
      <c r="F23" s="58">
        <v>82.79</v>
      </c>
      <c r="G23" s="61">
        <f t="shared" si="2"/>
        <v>1.9179778825929084</v>
      </c>
      <c r="H23" s="61">
        <f t="shared" si="3"/>
        <v>0.593061980026516</v>
      </c>
      <c r="I23" s="67">
        <f t="shared" si="4"/>
        <v>-14.00658205210558</v>
      </c>
      <c r="J23" s="68">
        <f t="shared" si="5"/>
        <v>0.26281147094181156</v>
      </c>
      <c r="K23" s="70">
        <f t="shared" si="6"/>
        <v>4.9934179478944198</v>
      </c>
      <c r="L23" s="62">
        <f t="shared" si="0"/>
        <v>4.8415630461825197E-4</v>
      </c>
      <c r="M23" s="62">
        <f t="shared" si="7"/>
        <v>588.06423705406951</v>
      </c>
      <c r="N23" s="62">
        <f t="shared" si="8"/>
        <v>-18.96881858613909</v>
      </c>
      <c r="O23">
        <f t="shared" si="9"/>
        <v>-13.701605926351737</v>
      </c>
      <c r="P23">
        <f t="shared" si="10"/>
        <v>0.9315699185204217</v>
      </c>
      <c r="Q23">
        <f t="shared" si="11"/>
        <v>6.8613710709164444E-4</v>
      </c>
      <c r="W23" s="62"/>
    </row>
    <row r="24" spans="1:23" x14ac:dyDescent="0.3">
      <c r="A24" s="58">
        <v>78.44</v>
      </c>
      <c r="B24" s="45">
        <v>-18</v>
      </c>
      <c r="C24">
        <f t="shared" si="1"/>
        <v>1.3424226808222062</v>
      </c>
      <c r="E24" s="45">
        <v>-18</v>
      </c>
      <c r="F24" s="58">
        <v>78.44</v>
      </c>
      <c r="G24" s="61">
        <f t="shared" si="2"/>
        <v>1.8945375849957464</v>
      </c>
      <c r="H24" s="61">
        <f t="shared" si="3"/>
        <v>0.5904558994394985</v>
      </c>
      <c r="I24" s="67">
        <f t="shared" si="4"/>
        <v>-13.150686978897943</v>
      </c>
      <c r="J24" s="68">
        <f t="shared" si="5"/>
        <v>0.26940627895011432</v>
      </c>
      <c r="K24" s="70">
        <f t="shared" si="6"/>
        <v>4.8493130211020574</v>
      </c>
      <c r="L24" s="62">
        <f t="shared" si="0"/>
        <v>4.8075767711740138E-4</v>
      </c>
      <c r="M24" s="62">
        <f t="shared" si="7"/>
        <v>586.99706487991136</v>
      </c>
      <c r="N24" s="62">
        <f t="shared" si="8"/>
        <v>-17.90164641198097</v>
      </c>
      <c r="O24">
        <f t="shared" si="9"/>
        <v>-13.674926621997784</v>
      </c>
      <c r="P24">
        <f t="shared" si="10"/>
        <v>0.93541974598852473</v>
      </c>
      <c r="Q24">
        <f t="shared" si="11"/>
        <v>2.1568698042535583E-3</v>
      </c>
      <c r="W24" s="62"/>
    </row>
    <row r="25" spans="1:23" x14ac:dyDescent="0.3">
      <c r="A25" s="58">
        <v>74.36</v>
      </c>
      <c r="B25" s="45">
        <v>-17</v>
      </c>
      <c r="C25">
        <f t="shared" si="1"/>
        <v>1.3617278360175928</v>
      </c>
      <c r="E25" s="45">
        <v>-17</v>
      </c>
      <c r="F25" s="58">
        <v>74.36</v>
      </c>
      <c r="G25" s="61">
        <f t="shared" si="2"/>
        <v>1.8713393810998609</v>
      </c>
      <c r="H25" s="61">
        <f t="shared" si="3"/>
        <v>0.58786124542854168</v>
      </c>
      <c r="I25" s="67">
        <f t="shared" si="4"/>
        <v>-12.298544648488315</v>
      </c>
      <c r="J25" s="68">
        <f t="shared" si="5"/>
        <v>0.27655619714774615</v>
      </c>
      <c r="K25" s="70">
        <f t="shared" si="6"/>
        <v>4.7014553515116848</v>
      </c>
      <c r="L25" s="62">
        <f t="shared" si="0"/>
        <v>4.7739415097597382E-4</v>
      </c>
      <c r="M25" s="62">
        <f t="shared" si="7"/>
        <v>585.93719423969412</v>
      </c>
      <c r="N25" s="62">
        <f t="shared" si="8"/>
        <v>-16.841775771763714</v>
      </c>
      <c r="O25">
        <f t="shared" si="9"/>
        <v>-13.648429855992353</v>
      </c>
      <c r="P25">
        <f t="shared" si="10"/>
        <v>0.93924323314659552</v>
      </c>
      <c r="Q25">
        <f t="shared" si="11"/>
        <v>3.4580042001390865E-3</v>
      </c>
      <c r="W25" s="62"/>
    </row>
    <row r="26" spans="1:23" x14ac:dyDescent="0.3">
      <c r="A26" s="58">
        <v>70.53</v>
      </c>
      <c r="B26" s="45">
        <v>-16</v>
      </c>
      <c r="C26">
        <f t="shared" si="1"/>
        <v>1.3802112417116059</v>
      </c>
      <c r="E26" s="45">
        <v>-16</v>
      </c>
      <c r="F26" s="58">
        <v>70.53</v>
      </c>
      <c r="G26" s="61">
        <f t="shared" si="2"/>
        <v>1.8483738838446018</v>
      </c>
      <c r="H26" s="61">
        <f t="shared" si="3"/>
        <v>0.58527725874067826</v>
      </c>
      <c r="I26" s="67">
        <f t="shared" si="4"/>
        <v>-11.449905705243861</v>
      </c>
      <c r="J26" s="68">
        <f t="shared" si="5"/>
        <v>0.2843808934222587</v>
      </c>
      <c r="K26" s="70">
        <f t="shared" si="6"/>
        <v>4.5500942947561391</v>
      </c>
      <c r="L26" s="62">
        <f t="shared" si="0"/>
        <v>4.7406436515653598E-4</v>
      </c>
      <c r="M26" s="62">
        <f t="shared" si="7"/>
        <v>584.88427130101547</v>
      </c>
      <c r="N26" s="62">
        <f t="shared" si="8"/>
        <v>-15.78885283308505</v>
      </c>
      <c r="O26">
        <f t="shared" si="9"/>
        <v>-13.622106782525387</v>
      </c>
      <c r="P26">
        <f t="shared" si="10"/>
        <v>0.94304165644630211</v>
      </c>
      <c r="Q26">
        <f t="shared" si="11"/>
        <v>4.5989273553981302E-3</v>
      </c>
      <c r="W26" s="62"/>
    </row>
    <row r="27" spans="1:23" x14ac:dyDescent="0.3">
      <c r="A27" s="58">
        <v>66.92</v>
      </c>
      <c r="B27" s="45">
        <v>-15</v>
      </c>
      <c r="C27">
        <f t="shared" si="1"/>
        <v>1.3979400086720377</v>
      </c>
      <c r="E27" s="45">
        <v>-15</v>
      </c>
      <c r="F27" s="58">
        <v>66.92</v>
      </c>
      <c r="G27" s="61">
        <f t="shared" si="2"/>
        <v>1.825555932290357</v>
      </c>
      <c r="H27" s="61">
        <f t="shared" si="3"/>
        <v>0.58269455603399622</v>
      </c>
      <c r="I27" s="67">
        <f t="shared" si="4"/>
        <v>-10.601688450097889</v>
      </c>
      <c r="J27" s="68">
        <f t="shared" si="5"/>
        <v>0.29322076999347407</v>
      </c>
      <c r="K27" s="70">
        <f t="shared" si="6"/>
        <v>4.398311549902111</v>
      </c>
      <c r="L27" s="62">
        <f t="shared" si="0"/>
        <v>4.707559721063248E-4</v>
      </c>
      <c r="M27" s="62">
        <f t="shared" si="7"/>
        <v>583.83444439105813</v>
      </c>
      <c r="N27" s="62">
        <f t="shared" si="8"/>
        <v>-14.739025923127702</v>
      </c>
      <c r="O27">
        <f t="shared" si="9"/>
        <v>-13.595861109776454</v>
      </c>
      <c r="P27">
        <f t="shared" si="10"/>
        <v>0.94682891081122755</v>
      </c>
      <c r="Q27">
        <f t="shared" si="11"/>
        <v>5.664800209643106E-3</v>
      </c>
      <c r="W27" s="62"/>
    </row>
    <row r="28" spans="1:23" x14ac:dyDescent="0.3">
      <c r="A28" s="58">
        <v>63.54</v>
      </c>
      <c r="B28" s="45">
        <v>-14</v>
      </c>
      <c r="C28">
        <f t="shared" si="1"/>
        <v>1.414973347970818</v>
      </c>
      <c r="E28" s="45">
        <v>-14</v>
      </c>
      <c r="F28" s="58">
        <v>63.54</v>
      </c>
      <c r="G28" s="61">
        <f t="shared" si="2"/>
        <v>1.8030472104911286</v>
      </c>
      <c r="H28" s="61">
        <f t="shared" si="3"/>
        <v>0.5801317167154274</v>
      </c>
      <c r="I28" s="67">
        <f t="shared" si="4"/>
        <v>-9.759994775269428</v>
      </c>
      <c r="J28" s="68">
        <f t="shared" si="5"/>
        <v>0.3028575160521837</v>
      </c>
      <c r="K28" s="70">
        <f t="shared" si="6"/>
        <v>4.240005224730572</v>
      </c>
      <c r="L28" s="62">
        <f t="shared" si="0"/>
        <v>4.674924145256772E-4</v>
      </c>
      <c r="M28" s="62">
        <f t="shared" si="7"/>
        <v>582.79522420266937</v>
      </c>
      <c r="N28" s="62">
        <f t="shared" si="8"/>
        <v>-13.699805734738932</v>
      </c>
      <c r="O28">
        <f t="shared" si="9"/>
        <v>-13.569880605066734</v>
      </c>
      <c r="P28">
        <f t="shared" si="10"/>
        <v>0.95057790138983056</v>
      </c>
      <c r="Q28">
        <f t="shared" si="11"/>
        <v>6.4939387088713829E-3</v>
      </c>
      <c r="W28" s="62"/>
    </row>
    <row r="29" spans="1:23" x14ac:dyDescent="0.3">
      <c r="A29" s="58">
        <v>60.34</v>
      </c>
      <c r="B29" s="45">
        <v>-13</v>
      </c>
      <c r="C29">
        <f t="shared" si="1"/>
        <v>1.4313637641589874</v>
      </c>
      <c r="E29" s="45">
        <v>-13</v>
      </c>
      <c r="F29" s="58">
        <v>60.34</v>
      </c>
      <c r="G29" s="61">
        <f t="shared" si="2"/>
        <v>1.7806053058389697</v>
      </c>
      <c r="H29" s="61">
        <f t="shared" si="3"/>
        <v>0.57756133950386734</v>
      </c>
      <c r="I29" s="67">
        <f t="shared" si="4"/>
        <v>-8.9158254880191148</v>
      </c>
      <c r="J29" s="68">
        <f t="shared" si="5"/>
        <v>0.31416727015237578</v>
      </c>
      <c r="K29" s="70">
        <f t="shared" si="6"/>
        <v>4.0841745119808852</v>
      </c>
      <c r="L29" s="62">
        <f t="shared" si="0"/>
        <v>4.6423854481663696E-4</v>
      </c>
      <c r="M29" s="62">
        <f t="shared" si="7"/>
        <v>581.75547137624756</v>
      </c>
      <c r="N29" s="62">
        <f t="shared" si="8"/>
        <v>-12.660052908317189</v>
      </c>
      <c r="O29">
        <f t="shared" si="9"/>
        <v>-13.543886784406189</v>
      </c>
      <c r="P29">
        <f t="shared" si="10"/>
        <v>0.95432881346205922</v>
      </c>
      <c r="Q29">
        <f t="shared" si="11"/>
        <v>7.3287554610301786E-3</v>
      </c>
      <c r="W29" s="62"/>
    </row>
    <row r="30" spans="1:23" x14ac:dyDescent="0.3">
      <c r="A30" s="58">
        <v>57.33</v>
      </c>
      <c r="B30" s="45">
        <v>-12</v>
      </c>
      <c r="C30">
        <f t="shared" si="1"/>
        <v>1.4471580313422192</v>
      </c>
      <c r="E30" s="45">
        <v>-12</v>
      </c>
      <c r="F30" s="58">
        <v>57.33</v>
      </c>
      <c r="G30" s="61">
        <f t="shared" si="2"/>
        <v>1.7583819417746753</v>
      </c>
      <c r="H30" s="61">
        <f t="shared" si="3"/>
        <v>0.57500091274599008</v>
      </c>
      <c r="I30" s="67">
        <f t="shared" si="4"/>
        <v>-8.0749241520078048</v>
      </c>
      <c r="J30" s="68">
        <f t="shared" si="5"/>
        <v>0.32708965399934958</v>
      </c>
      <c r="K30" s="70">
        <f t="shared" si="6"/>
        <v>3.9250758479921952</v>
      </c>
      <c r="L30" s="62">
        <f t="shared" si="0"/>
        <v>4.6101636148226368E-4</v>
      </c>
      <c r="M30" s="62">
        <f t="shared" si="7"/>
        <v>580.72224672604432</v>
      </c>
      <c r="N30" s="62">
        <f t="shared" si="8"/>
        <v>-11.62682825811396</v>
      </c>
      <c r="O30">
        <f t="shared" si="9"/>
        <v>-13.518056168151109</v>
      </c>
      <c r="P30">
        <f t="shared" si="10"/>
        <v>0.95805617511502905</v>
      </c>
      <c r="Q30">
        <f t="shared" si="11"/>
        <v>8.0175270253246556E-3</v>
      </c>
      <c r="W30" s="62"/>
    </row>
    <row r="31" spans="1:23" x14ac:dyDescent="0.3">
      <c r="A31" s="58">
        <v>54.5</v>
      </c>
      <c r="B31" s="45">
        <v>-11</v>
      </c>
      <c r="C31">
        <f t="shared" si="1"/>
        <v>1.4623979978989561</v>
      </c>
      <c r="E31" s="45">
        <v>-11</v>
      </c>
      <c r="F31" s="58">
        <v>54.5</v>
      </c>
      <c r="G31" s="61">
        <f t="shared" si="2"/>
        <v>1.7363965022766426</v>
      </c>
      <c r="H31" s="61">
        <f t="shared" si="3"/>
        <v>0.57245295685508835</v>
      </c>
      <c r="I31" s="67">
        <f t="shared" si="4"/>
        <v>-7.2381185272558302</v>
      </c>
      <c r="J31" s="68">
        <f t="shared" si="5"/>
        <v>0.34198922479492455</v>
      </c>
      <c r="K31" s="70">
        <f t="shared" si="6"/>
        <v>3.7618814727441698</v>
      </c>
      <c r="L31" s="62">
        <f t="shared" si="0"/>
        <v>4.5782867502109232E-4</v>
      </c>
      <c r="M31" s="62">
        <f t="shared" si="7"/>
        <v>579.6965247363255</v>
      </c>
      <c r="N31" s="62">
        <f t="shared" si="8"/>
        <v>-10.601106268395109</v>
      </c>
      <c r="O31">
        <f t="shared" si="9"/>
        <v>-13.492413118408138</v>
      </c>
      <c r="P31">
        <f t="shared" si="10"/>
        <v>0.96175647089323557</v>
      </c>
      <c r="Q31">
        <f t="shared" si="11"/>
        <v>8.5408694233573001E-3</v>
      </c>
      <c r="W31" s="62"/>
    </row>
    <row r="32" spans="1:23" x14ac:dyDescent="0.3">
      <c r="A32" s="58">
        <v>51.82</v>
      </c>
      <c r="B32" s="45">
        <v>-10</v>
      </c>
      <c r="C32">
        <f t="shared" si="1"/>
        <v>1.4771212547196624</v>
      </c>
      <c r="E32" s="45">
        <v>-10</v>
      </c>
      <c r="F32" s="58">
        <v>51.82</v>
      </c>
      <c r="G32" s="61">
        <f t="shared" si="2"/>
        <v>1.7144974086498059</v>
      </c>
      <c r="H32" s="61">
        <f t="shared" si="3"/>
        <v>0.56990005970733337</v>
      </c>
      <c r="I32" s="67">
        <f t="shared" si="4"/>
        <v>-6.399690083387207</v>
      </c>
      <c r="J32" s="68">
        <f t="shared" si="5"/>
        <v>0.36003099166127928</v>
      </c>
      <c r="K32" s="70">
        <f t="shared" si="6"/>
        <v>3.600309916612793</v>
      </c>
      <c r="L32" s="62">
        <f t="shared" si="0"/>
        <v>4.5465350791686239E-4</v>
      </c>
      <c r="M32" s="62">
        <f t="shared" si="7"/>
        <v>578.6712751589921</v>
      </c>
      <c r="N32" s="62">
        <f t="shared" si="8"/>
        <v>-9.5758566910616914</v>
      </c>
      <c r="O32">
        <f t="shared" si="9"/>
        <v>-13.466781878974803</v>
      </c>
      <c r="P32">
        <f t="shared" si="10"/>
        <v>0.96545506244205737</v>
      </c>
      <c r="Q32">
        <f t="shared" si="11"/>
        <v>9.0503613501939917E-3</v>
      </c>
      <c r="W32" s="62"/>
    </row>
    <row r="33" spans="1:23" x14ac:dyDescent="0.3">
      <c r="A33" s="58">
        <v>49.28</v>
      </c>
      <c r="B33" s="45">
        <v>-9</v>
      </c>
      <c r="C33">
        <f t="shared" si="1"/>
        <v>1.4913616938342726</v>
      </c>
      <c r="E33" s="45">
        <v>-9</v>
      </c>
      <c r="F33" s="58">
        <v>49.28</v>
      </c>
      <c r="G33" s="61">
        <f t="shared" si="2"/>
        <v>1.6926706991563691</v>
      </c>
      <c r="H33" s="61">
        <f t="shared" si="3"/>
        <v>0.56734058035180845</v>
      </c>
      <c r="I33" s="67">
        <f t="shared" si="4"/>
        <v>-5.5590998954692274</v>
      </c>
      <c r="J33" s="68">
        <f t="shared" si="5"/>
        <v>0.38232223383675251</v>
      </c>
      <c r="K33" s="70">
        <f t="shared" si="6"/>
        <v>3.4409001045307726</v>
      </c>
      <c r="L33" s="62">
        <f t="shared" si="0"/>
        <v>4.5148883584604136E-4</v>
      </c>
      <c r="M33" s="62">
        <f t="shared" si="7"/>
        <v>577.6458458756756</v>
      </c>
      <c r="N33" s="62">
        <f t="shared" si="8"/>
        <v>-8.5504274077452322</v>
      </c>
      <c r="O33">
        <f t="shared" si="9"/>
        <v>-13.44114614689189</v>
      </c>
      <c r="P33">
        <f t="shared" si="10"/>
        <v>0.9691543022808613</v>
      </c>
      <c r="Q33">
        <f t="shared" si="11"/>
        <v>9.5599645436308389E-3</v>
      </c>
      <c r="W33" s="62"/>
    </row>
    <row r="34" spans="1:23" x14ac:dyDescent="0.3">
      <c r="A34" s="58">
        <v>46.89</v>
      </c>
      <c r="B34" s="45">
        <v>-8</v>
      </c>
      <c r="C34">
        <f t="shared" si="1"/>
        <v>1.505149978319906</v>
      </c>
      <c r="E34" s="45">
        <v>-8</v>
      </c>
      <c r="F34" s="58">
        <v>46.89</v>
      </c>
      <c r="G34" s="61">
        <f t="shared" si="2"/>
        <v>1.6710802327388494</v>
      </c>
      <c r="H34" s="61">
        <f t="shared" si="3"/>
        <v>0.56479387626508093</v>
      </c>
      <c r="I34" s="67">
        <f t="shared" si="4"/>
        <v>-4.7227053911678887</v>
      </c>
      <c r="J34" s="68">
        <f t="shared" si="5"/>
        <v>0.40966182610401392</v>
      </c>
      <c r="K34" s="70">
        <f t="shared" si="6"/>
        <v>3.2772946088321113</v>
      </c>
      <c r="L34" s="62">
        <f t="shared" si="0"/>
        <v>4.4835841684779206E-4</v>
      </c>
      <c r="M34" s="62">
        <f t="shared" si="7"/>
        <v>576.62797360854393</v>
      </c>
      <c r="N34" s="62">
        <f t="shared" si="8"/>
        <v>-7.5325551406136002</v>
      </c>
      <c r="O34">
        <f t="shared" si="9"/>
        <v>-13.415699340213598</v>
      </c>
      <c r="P34">
        <f t="shared" si="10"/>
        <v>0.97282628015651651</v>
      </c>
      <c r="Q34">
        <f t="shared" si="11"/>
        <v>9.9058200611505942E-3</v>
      </c>
      <c r="W34" s="62"/>
    </row>
    <row r="35" spans="1:23" x14ac:dyDescent="0.3">
      <c r="A35" s="58">
        <v>44.62</v>
      </c>
      <c r="B35" s="45">
        <v>-7</v>
      </c>
      <c r="C35">
        <f t="shared" si="1"/>
        <v>1.5185139398778875</v>
      </c>
      <c r="E35" s="45">
        <v>-7</v>
      </c>
      <c r="F35" s="58">
        <v>44.62</v>
      </c>
      <c r="G35" s="61">
        <f t="shared" si="2"/>
        <v>1.6495295659478189</v>
      </c>
      <c r="H35" s="61">
        <f t="shared" si="3"/>
        <v>0.56223688635229718</v>
      </c>
      <c r="I35" s="67">
        <f t="shared" si="4"/>
        <v>-3.8829327918493628</v>
      </c>
      <c r="J35" s="68">
        <f t="shared" si="5"/>
        <v>0.44529531545009104</v>
      </c>
      <c r="K35" s="70">
        <f t="shared" si="6"/>
        <v>3.1170672081506372</v>
      </c>
      <c r="L35" s="62">
        <f t="shared" si="0"/>
        <v>4.4523376842922711E-4</v>
      </c>
      <c r="M35" s="62">
        <f t="shared" si="7"/>
        <v>575.60842791960522</v>
      </c>
      <c r="N35" s="62">
        <f t="shared" si="8"/>
        <v>-6.5130094516747814</v>
      </c>
      <c r="O35">
        <f t="shared" si="9"/>
        <v>-13.390210697990131</v>
      </c>
      <c r="P35">
        <f t="shared" si="10"/>
        <v>0.976504294907378</v>
      </c>
      <c r="Q35">
        <f t="shared" si="11"/>
        <v>1.0284371352181187E-2</v>
      </c>
      <c r="W35" s="62"/>
    </row>
    <row r="36" spans="1:23" x14ac:dyDescent="0.3">
      <c r="A36" s="58">
        <v>42.48</v>
      </c>
      <c r="B36" s="45">
        <v>-6</v>
      </c>
      <c r="C36">
        <f t="shared" si="1"/>
        <v>1.5314789170422551</v>
      </c>
      <c r="E36" s="45">
        <v>-6</v>
      </c>
      <c r="F36" s="58">
        <v>42.48</v>
      </c>
      <c r="G36" s="61">
        <f t="shared" si="2"/>
        <v>1.6281845080734125</v>
      </c>
      <c r="H36" s="61">
        <f t="shared" si="3"/>
        <v>0.55968936460653185</v>
      </c>
      <c r="I36" s="67">
        <f t="shared" si="4"/>
        <v>-3.0462697500570837</v>
      </c>
      <c r="J36" s="68">
        <f t="shared" si="5"/>
        <v>0.49228837499048606</v>
      </c>
      <c r="K36" s="70">
        <f t="shared" si="6"/>
        <v>2.9537302499429163</v>
      </c>
      <c r="L36" s="62">
        <f t="shared" si="0"/>
        <v>4.4213893141197062E-4</v>
      </c>
      <c r="M36" s="62">
        <f t="shared" si="7"/>
        <v>574.59507677328963</v>
      </c>
      <c r="N36" s="62">
        <f t="shared" si="8"/>
        <v>-5.4996583053592865</v>
      </c>
      <c r="O36">
        <f t="shared" si="9"/>
        <v>-13.364876919332241</v>
      </c>
      <c r="P36">
        <f t="shared" si="10"/>
        <v>0.98015996282337925</v>
      </c>
      <c r="Q36">
        <f t="shared" si="11"/>
        <v>1.0529809126587519E-2</v>
      </c>
      <c r="W36" s="62"/>
    </row>
    <row r="37" spans="1:23" x14ac:dyDescent="0.3">
      <c r="A37" s="58">
        <v>40.450000000000003</v>
      </c>
      <c r="B37" s="45">
        <v>-5</v>
      </c>
      <c r="C37">
        <f t="shared" si="1"/>
        <v>1.5440680443502757</v>
      </c>
      <c r="E37" s="45">
        <v>-5</v>
      </c>
      <c r="F37" s="58">
        <v>40.450000000000003</v>
      </c>
      <c r="G37" s="61">
        <f t="shared" si="2"/>
        <v>1.6069185259482912</v>
      </c>
      <c r="H37" s="61">
        <f t="shared" si="3"/>
        <v>0.55713633246787764</v>
      </c>
      <c r="I37" s="67">
        <f t="shared" si="4"/>
        <v>-2.2077969721620447</v>
      </c>
      <c r="J37" s="68">
        <f t="shared" si="5"/>
        <v>0.55844060556759101</v>
      </c>
      <c r="K37" s="70">
        <f t="shared" si="6"/>
        <v>2.7922030278379553</v>
      </c>
      <c r="L37" s="62">
        <f t="shared" si="0"/>
        <v>4.3905555965086357E-4</v>
      </c>
      <c r="M37" s="62">
        <f t="shared" si="7"/>
        <v>573.58194666887152</v>
      </c>
      <c r="N37" s="62">
        <f t="shared" si="8"/>
        <v>-4.4865282009411995</v>
      </c>
      <c r="O37">
        <f t="shared" si="9"/>
        <v>-13.339548666721788</v>
      </c>
      <c r="P37">
        <f t="shared" si="10"/>
        <v>0.98381483332993791</v>
      </c>
      <c r="Q37">
        <f t="shared" si="11"/>
        <v>1.0768666551708828E-2</v>
      </c>
      <c r="W37" s="62"/>
    </row>
    <row r="38" spans="1:23" x14ac:dyDescent="0.3">
      <c r="A38" s="58">
        <v>38.53</v>
      </c>
      <c r="B38" s="45">
        <v>-4</v>
      </c>
      <c r="C38">
        <f t="shared" si="1"/>
        <v>1.5563025007672873</v>
      </c>
      <c r="E38" s="45">
        <v>-4</v>
      </c>
      <c r="F38" s="58">
        <v>38.53</v>
      </c>
      <c r="G38" s="61">
        <f t="shared" si="2"/>
        <v>1.585799009013001</v>
      </c>
      <c r="H38" s="61">
        <f t="shared" si="3"/>
        <v>0.55458594286060714</v>
      </c>
      <c r="I38" s="67">
        <f t="shared" si="4"/>
        <v>-1.3701920605959992</v>
      </c>
      <c r="J38" s="68">
        <f t="shared" si="5"/>
        <v>0.6574519848510002</v>
      </c>
      <c r="K38" s="70">
        <f t="shared" si="6"/>
        <v>2.6298079394040008</v>
      </c>
      <c r="L38" s="62">
        <f t="shared" si="0"/>
        <v>4.3599342399480229E-4</v>
      </c>
      <c r="M38" s="62">
        <f t="shared" si="7"/>
        <v>572.57226735022618</v>
      </c>
      <c r="N38" s="62">
        <f t="shared" si="8"/>
        <v>-3.4768488822958492</v>
      </c>
      <c r="O38">
        <f t="shared" si="9"/>
        <v>-13.314306683755655</v>
      </c>
      <c r="P38">
        <f t="shared" si="10"/>
        <v>0.98745725511437288</v>
      </c>
      <c r="Q38">
        <f t="shared" si="11"/>
        <v>1.0933554186999039E-2</v>
      </c>
      <c r="W38" s="62"/>
    </row>
    <row r="39" spans="1:23" x14ac:dyDescent="0.3">
      <c r="A39" s="58">
        <v>36.700000000000003</v>
      </c>
      <c r="B39" s="45">
        <v>-3</v>
      </c>
      <c r="C39">
        <f t="shared" si="1"/>
        <v>1.568201724066995</v>
      </c>
      <c r="E39" s="45">
        <v>-3</v>
      </c>
      <c r="F39" s="58">
        <v>36.700000000000003</v>
      </c>
      <c r="G39" s="61">
        <f t="shared" si="2"/>
        <v>1.5646660642520893</v>
      </c>
      <c r="H39" s="61">
        <f t="shared" si="3"/>
        <v>0.55201885165060227</v>
      </c>
      <c r="I39" s="67">
        <f t="shared" si="4"/>
        <v>-0.52710196965129985</v>
      </c>
      <c r="J39" s="68">
        <f t="shared" si="5"/>
        <v>0.82429934344956679</v>
      </c>
      <c r="K39" s="70">
        <f t="shared" si="6"/>
        <v>2.4728980303487003</v>
      </c>
      <c r="L39" s="62">
        <f t="shared" si="0"/>
        <v>4.3292934142756192E-4</v>
      </c>
      <c r="M39" s="62">
        <f t="shared" si="7"/>
        <v>571.55839074299388</v>
      </c>
      <c r="N39" s="62">
        <f t="shared" si="8"/>
        <v>-2.4629722750634562</v>
      </c>
      <c r="O39">
        <f t="shared" si="9"/>
        <v>-13.288959768574847</v>
      </c>
      <c r="P39">
        <f t="shared" si="10"/>
        <v>0.99111481863252715</v>
      </c>
      <c r="Q39">
        <f t="shared" si="11"/>
        <v>1.1184365047910649E-2</v>
      </c>
      <c r="W39" s="62"/>
    </row>
    <row r="40" spans="1:23" x14ac:dyDescent="0.3">
      <c r="A40" s="58">
        <v>34.97</v>
      </c>
      <c r="B40" s="45">
        <v>-2</v>
      </c>
      <c r="C40">
        <f t="shared" si="1"/>
        <v>1.5797835966168101</v>
      </c>
      <c r="E40" s="45">
        <v>-2</v>
      </c>
      <c r="F40" s="58">
        <v>34.97</v>
      </c>
      <c r="G40" s="61">
        <f t="shared" si="2"/>
        <v>1.5436956323092448</v>
      </c>
      <c r="H40" s="61">
        <f t="shared" si="3"/>
        <v>0.54945641330387041</v>
      </c>
      <c r="I40" s="67">
        <f t="shared" si="4"/>
        <v>0.31446001706994986</v>
      </c>
      <c r="J40" s="68">
        <f t="shared" si="5"/>
        <v>1.1572300085349749</v>
      </c>
      <c r="K40" s="70">
        <f t="shared" si="6"/>
        <v>2.3144600170699499</v>
      </c>
      <c r="L40" s="62">
        <f t="shared" si="0"/>
        <v>4.2988882172382333E-4</v>
      </c>
      <c r="M40" s="62">
        <f t="shared" si="7"/>
        <v>570.54875804178528</v>
      </c>
      <c r="N40" s="62">
        <f t="shared" si="8"/>
        <v>-1.4533395738547978</v>
      </c>
      <c r="O40">
        <f t="shared" si="9"/>
        <v>-13.263718951044632</v>
      </c>
      <c r="P40">
        <f t="shared" si="10"/>
        <v>0.99475707224439103</v>
      </c>
      <c r="Q40">
        <f t="shared" si="11"/>
        <v>1.1345158490755125E-2</v>
      </c>
      <c r="W40" s="62"/>
    </row>
    <row r="41" spans="1:23" x14ac:dyDescent="0.3">
      <c r="A41" s="58">
        <v>33.33</v>
      </c>
      <c r="B41" s="45">
        <v>-1</v>
      </c>
      <c r="C41">
        <f t="shared" si="1"/>
        <v>1.5910646070264991</v>
      </c>
      <c r="E41" s="45">
        <v>-1</v>
      </c>
      <c r="F41" s="58">
        <v>33.33</v>
      </c>
      <c r="G41" s="61">
        <f t="shared" si="2"/>
        <v>1.5228353136605299</v>
      </c>
      <c r="H41" s="61">
        <f t="shared" si="3"/>
        <v>0.54689234115449747</v>
      </c>
      <c r="I41" s="67">
        <f t="shared" si="4"/>
        <v>1.1565585810705239</v>
      </c>
      <c r="J41" s="68">
        <f t="shared" si="5"/>
        <v>2.1565585810705237</v>
      </c>
      <c r="K41" s="70">
        <f t="shared" si="6"/>
        <v>2.1565585810705237</v>
      </c>
      <c r="L41" s="62">
        <f t="shared" si="0"/>
        <v>4.2686426743469125E-4</v>
      </c>
      <c r="M41" s="62">
        <f t="shared" si="7"/>
        <v>569.54087816775939</v>
      </c>
      <c r="N41" s="62">
        <f t="shared" si="8"/>
        <v>-0.44545969982901107</v>
      </c>
      <c r="O41">
        <f t="shared" si="9"/>
        <v>-13.238521954193985</v>
      </c>
      <c r="P41">
        <f t="shared" si="10"/>
        <v>0.99839300252586927</v>
      </c>
      <c r="Q41">
        <f t="shared" si="11"/>
        <v>1.1468334039470118E-2</v>
      </c>
      <c r="W41" s="62"/>
    </row>
    <row r="42" spans="1:23" x14ac:dyDescent="0.3">
      <c r="A42" s="58">
        <v>31.77</v>
      </c>
      <c r="B42" s="45">
        <v>0</v>
      </c>
      <c r="C42">
        <f t="shared" si="1"/>
        <v>1.6020599913279623</v>
      </c>
      <c r="E42" s="45">
        <v>0</v>
      </c>
      <c r="F42" s="58">
        <v>31.77</v>
      </c>
      <c r="G42" s="61">
        <f t="shared" si="2"/>
        <v>1.5020172148271473</v>
      </c>
      <c r="H42" s="61">
        <f t="shared" si="3"/>
        <v>0.54431827660923815</v>
      </c>
      <c r="I42" s="67">
        <f t="shared" si="4"/>
        <v>2.0019388710665678</v>
      </c>
      <c r="J42" s="68" t="e">
        <f t="shared" si="5"/>
        <v>#DIV/0!</v>
      </c>
      <c r="K42" s="70">
        <f t="shared" si="6"/>
        <v>2.0019388710665678</v>
      </c>
      <c r="L42" s="62">
        <f t="shared" si="0"/>
        <v>4.2384583463036006E-4</v>
      </c>
      <c r="M42" s="62">
        <f t="shared" si="7"/>
        <v>568.53147200420199</v>
      </c>
      <c r="N42" s="62">
        <f t="shared" si="8"/>
        <v>0.56394646372845414</v>
      </c>
      <c r="O42">
        <f t="shared" si="9"/>
        <v>-13.213286800105049</v>
      </c>
      <c r="P42">
        <f t="shared" si="10"/>
        <v>1.0020344389023392</v>
      </c>
      <c r="Q42">
        <f t="shared" si="11"/>
        <v>1.1621785172852617E-2</v>
      </c>
      <c r="W42" s="62"/>
    </row>
    <row r="43" spans="1:23" x14ac:dyDescent="0.3">
      <c r="A43" s="48">
        <v>30.25</v>
      </c>
      <c r="B43" s="47">
        <v>1</v>
      </c>
      <c r="C43">
        <f t="shared" si="1"/>
        <v>1.6127838567197355</v>
      </c>
      <c r="E43" s="47">
        <v>1</v>
      </c>
      <c r="F43" s="48">
        <v>30.25</v>
      </c>
      <c r="G43" s="61">
        <f t="shared" si="2"/>
        <v>1.4807253789884878</v>
      </c>
      <c r="H43" s="61">
        <f t="shared" si="3"/>
        <v>0.54166975982703214</v>
      </c>
      <c r="I43" s="67">
        <f t="shared" si="4"/>
        <v>2.8717709386129306</v>
      </c>
      <c r="J43" s="68">
        <f t="shared" si="5"/>
        <v>1.8717709386129306</v>
      </c>
      <c r="K43" s="70">
        <f t="shared" si="6"/>
        <v>1.8717709386129306</v>
      </c>
      <c r="L43" s="62">
        <f t="shared" si="0"/>
        <v>4.2075871431864414E-4</v>
      </c>
      <c r="M43" s="62">
        <f t="shared" si="7"/>
        <v>567.49537092969774</v>
      </c>
      <c r="N43" s="62">
        <f t="shared" si="8"/>
        <v>1.6000475382326866</v>
      </c>
      <c r="O43">
        <f t="shared" si="9"/>
        <v>-13.187384273242444</v>
      </c>
      <c r="P43">
        <f t="shared" si="10"/>
        <v>1.0057721772663517</v>
      </c>
      <c r="Q43">
        <f t="shared" si="11"/>
        <v>1.2321468711512074E-2</v>
      </c>
      <c r="W43" s="62"/>
    </row>
    <row r="44" spans="1:23" x14ac:dyDescent="0.3">
      <c r="A44" s="48">
        <v>28.82</v>
      </c>
      <c r="B44" s="47">
        <v>2</v>
      </c>
      <c r="C44">
        <f t="shared" si="1"/>
        <v>1.6232492903979006</v>
      </c>
      <c r="E44" s="47">
        <v>2</v>
      </c>
      <c r="F44" s="48">
        <v>28.82</v>
      </c>
      <c r="G44" s="61">
        <f t="shared" si="2"/>
        <v>1.4596939764779706</v>
      </c>
      <c r="H44" s="61">
        <f t="shared" si="3"/>
        <v>0.53903768543880792</v>
      </c>
      <c r="I44" s="67">
        <f t="shared" si="4"/>
        <v>3.7362029567245734</v>
      </c>
      <c r="J44" s="68">
        <f t="shared" si="5"/>
        <v>0.86810147836228668</v>
      </c>
      <c r="K44" s="70">
        <f t="shared" si="6"/>
        <v>1.7362029567245734</v>
      </c>
      <c r="L44" s="62">
        <f t="shared" si="0"/>
        <v>4.1770935444352222E-4</v>
      </c>
      <c r="M44" s="62">
        <f t="shared" si="7"/>
        <v>566.46820480773658</v>
      </c>
      <c r="N44" s="62">
        <f t="shared" si="8"/>
        <v>2.6272136601938141</v>
      </c>
      <c r="O44">
        <f t="shared" si="9"/>
        <v>-13.161705120193414</v>
      </c>
      <c r="P44">
        <f t="shared" si="10"/>
        <v>1.0094776827568319</v>
      </c>
      <c r="Q44">
        <f t="shared" si="11"/>
        <v>1.2833214322029329E-2</v>
      </c>
      <c r="W44" s="62"/>
    </row>
    <row r="45" spans="1:23" x14ac:dyDescent="0.3">
      <c r="A45" s="48">
        <v>27.45</v>
      </c>
      <c r="B45" s="47">
        <v>3</v>
      </c>
      <c r="C45">
        <f t="shared" si="1"/>
        <v>1.6334684555795864</v>
      </c>
      <c r="E45" s="47">
        <v>3</v>
      </c>
      <c r="F45" s="48">
        <v>27.45</v>
      </c>
      <c r="G45" s="61">
        <f t="shared" si="2"/>
        <v>1.4385423487861106</v>
      </c>
      <c r="H45" s="61">
        <f t="shared" si="3"/>
        <v>0.53637437744374339</v>
      </c>
      <c r="I45" s="67">
        <f t="shared" si="4"/>
        <v>4.6108927889446152</v>
      </c>
      <c r="J45" s="68">
        <f t="shared" si="5"/>
        <v>0.53696426298153843</v>
      </c>
      <c r="K45" s="70">
        <f t="shared" si="6"/>
        <v>1.6108927889446152</v>
      </c>
      <c r="L45" s="62">
        <f t="shared" si="0"/>
        <v>4.1464256302317729E-4</v>
      </c>
      <c r="M45" s="62">
        <f t="shared" si="7"/>
        <v>565.43137843327827</v>
      </c>
      <c r="N45" s="62">
        <f t="shared" si="8"/>
        <v>3.664040034652051</v>
      </c>
      <c r="O45">
        <f t="shared" si="9"/>
        <v>-13.135784460831957</v>
      </c>
      <c r="P45">
        <f t="shared" si="10"/>
        <v>1.0132180376430449</v>
      </c>
      <c r="Q45">
        <f t="shared" si="11"/>
        <v>1.3537680513889372E-2</v>
      </c>
      <c r="W45" s="62"/>
    </row>
    <row r="46" spans="1:23" x14ac:dyDescent="0.3">
      <c r="A46" s="48">
        <v>26.16</v>
      </c>
      <c r="B46" s="47">
        <v>4</v>
      </c>
      <c r="C46">
        <f t="shared" si="1"/>
        <v>1.6434526764861874</v>
      </c>
      <c r="E46" s="47">
        <v>4</v>
      </c>
      <c r="F46" s="48">
        <v>26.16</v>
      </c>
      <c r="G46" s="61">
        <f t="shared" si="2"/>
        <v>1.4176377396522297</v>
      </c>
      <c r="H46" s="61">
        <f t="shared" si="3"/>
        <v>0.53372602678497905</v>
      </c>
      <c r="I46" s="67">
        <f t="shared" si="4"/>
        <v>5.4806702978422637</v>
      </c>
      <c r="J46" s="68">
        <f t="shared" si="5"/>
        <v>0.37016757446056592</v>
      </c>
      <c r="K46" s="70">
        <f t="shared" si="6"/>
        <v>1.4806702978422637</v>
      </c>
      <c r="L46" s="62">
        <f t="shared" si="0"/>
        <v>4.1161158702116859E-4</v>
      </c>
      <c r="M46" s="62">
        <f t="shared" si="7"/>
        <v>564.40288634993078</v>
      </c>
      <c r="N46" s="62">
        <f t="shared" si="8"/>
        <v>4.6925321179995478</v>
      </c>
      <c r="O46">
        <f t="shared" si="9"/>
        <v>-13.11007215874827</v>
      </c>
      <c r="P46">
        <f t="shared" si="10"/>
        <v>1.0169283265440099</v>
      </c>
      <c r="Q46">
        <f t="shared" si="11"/>
        <v>1.4067623547770136E-2</v>
      </c>
      <c r="W46" s="62"/>
    </row>
    <row r="47" spans="1:23" x14ac:dyDescent="0.3">
      <c r="A47" s="48">
        <v>24.94</v>
      </c>
      <c r="B47" s="47">
        <v>5</v>
      </c>
      <c r="C47">
        <f t="shared" si="1"/>
        <v>1.6532125137753437</v>
      </c>
      <c r="E47" s="47">
        <v>5</v>
      </c>
      <c r="F47" s="48">
        <v>24.94</v>
      </c>
      <c r="G47" s="61">
        <f t="shared" si="2"/>
        <v>1.3968964491425238</v>
      </c>
      <c r="H47" s="61">
        <f t="shared" si="3"/>
        <v>0.53108230805594292</v>
      </c>
      <c r="I47" s="67">
        <f t="shared" si="4"/>
        <v>6.3489265775601345</v>
      </c>
      <c r="J47" s="68">
        <f t="shared" si="5"/>
        <v>0.26978531551202689</v>
      </c>
      <c r="K47" s="70">
        <f t="shared" si="6"/>
        <v>1.3489265775601345</v>
      </c>
      <c r="L47" s="62">
        <f t="shared" si="0"/>
        <v>4.0860429071713393E-4</v>
      </c>
      <c r="M47" s="62">
        <f t="shared" si="7"/>
        <v>563.3786801134188</v>
      </c>
      <c r="N47" s="62">
        <f t="shared" si="8"/>
        <v>5.7167383545116319</v>
      </c>
      <c r="O47">
        <f t="shared" si="9"/>
        <v>-13.084467002835471</v>
      </c>
      <c r="P47">
        <f t="shared" si="10"/>
        <v>1.020623154237055</v>
      </c>
      <c r="Q47">
        <f t="shared" si="11"/>
        <v>1.4506743357476148E-2</v>
      </c>
      <c r="W47" s="62"/>
    </row>
    <row r="48" spans="1:23" x14ac:dyDescent="0.3">
      <c r="A48" s="48">
        <v>23.77</v>
      </c>
      <c r="B48" s="47">
        <v>6</v>
      </c>
      <c r="C48">
        <f t="shared" si="1"/>
        <v>1.6627578316815741</v>
      </c>
      <c r="E48" s="47">
        <v>6</v>
      </c>
      <c r="F48" s="48">
        <v>23.77</v>
      </c>
      <c r="G48" s="61">
        <f t="shared" si="2"/>
        <v>1.3760291817281802</v>
      </c>
      <c r="H48" s="61">
        <f t="shared" si="3"/>
        <v>0.52840619192540283</v>
      </c>
      <c r="I48" s="67">
        <f t="shared" si="4"/>
        <v>7.2278228875480206</v>
      </c>
      <c r="J48" s="68">
        <f t="shared" si="5"/>
        <v>0.20463714792467011</v>
      </c>
      <c r="K48" s="70">
        <f t="shared" si="6"/>
        <v>1.2278228875480206</v>
      </c>
      <c r="L48" s="62">
        <f t="shared" si="0"/>
        <v>4.0557872892091432E-4</v>
      </c>
      <c r="M48" s="62">
        <f t="shared" si="7"/>
        <v>562.34444254644018</v>
      </c>
      <c r="N48" s="62">
        <f t="shared" si="8"/>
        <v>6.7509759214902472</v>
      </c>
      <c r="O48">
        <f t="shared" si="9"/>
        <v>-13.058611063661004</v>
      </c>
      <c r="P48">
        <f t="shared" si="10"/>
        <v>1.024354169990946</v>
      </c>
      <c r="Q48">
        <f t="shared" si="11"/>
        <v>1.5144335471819703E-2</v>
      </c>
      <c r="W48" s="62"/>
    </row>
    <row r="49" spans="1:23" x14ac:dyDescent="0.3">
      <c r="A49" s="48">
        <v>22.67</v>
      </c>
      <c r="B49" s="47">
        <v>7</v>
      </c>
      <c r="C49">
        <f t="shared" si="1"/>
        <v>1.6720978579357175</v>
      </c>
      <c r="E49" s="47">
        <v>7</v>
      </c>
      <c r="F49" s="48">
        <v>22.67</v>
      </c>
      <c r="G49" s="61">
        <f t="shared" si="2"/>
        <v>1.3554515201265174</v>
      </c>
      <c r="H49" s="61">
        <f t="shared" si="3"/>
        <v>0.52575096847085212</v>
      </c>
      <c r="I49" s="67">
        <f t="shared" si="4"/>
        <v>8.0998575760900824</v>
      </c>
      <c r="J49" s="68">
        <f t="shared" si="5"/>
        <v>0.15712251087001178</v>
      </c>
      <c r="K49" s="70">
        <f t="shared" si="6"/>
        <v>1.0998575760900824</v>
      </c>
      <c r="L49" s="62">
        <f t="shared" si="0"/>
        <v>4.0259515730315992E-4</v>
      </c>
      <c r="M49" s="62">
        <f t="shared" si="7"/>
        <v>561.32077401697734</v>
      </c>
      <c r="N49" s="62">
        <f t="shared" si="8"/>
        <v>7.774644450953085</v>
      </c>
      <c r="O49">
        <f t="shared" si="9"/>
        <v>-13.033019350424434</v>
      </c>
      <c r="P49">
        <f t="shared" si="10"/>
        <v>1.0280470579038712</v>
      </c>
      <c r="Q49">
        <f t="shared" si="11"/>
        <v>1.556481717348257E-2</v>
      </c>
      <c r="W49" s="62"/>
    </row>
    <row r="50" spans="1:23" x14ac:dyDescent="0.3">
      <c r="A50" s="48">
        <v>21.62</v>
      </c>
      <c r="B50" s="47">
        <v>8</v>
      </c>
      <c r="C50">
        <f t="shared" si="1"/>
        <v>1.6812412373755872</v>
      </c>
      <c r="E50" s="47">
        <v>8</v>
      </c>
      <c r="F50" s="48">
        <v>21.62</v>
      </c>
      <c r="G50" s="61">
        <f t="shared" si="2"/>
        <v>1.3348556896172916</v>
      </c>
      <c r="H50" s="61">
        <f t="shared" si="3"/>
        <v>0.52307704528137977</v>
      </c>
      <c r="I50" s="67">
        <f t="shared" si="4"/>
        <v>8.9780336752506216</v>
      </c>
      <c r="J50" s="68">
        <f t="shared" si="5"/>
        <v>0.1222542094063277</v>
      </c>
      <c r="K50" s="70">
        <f t="shared" si="6"/>
        <v>0.97803367525062157</v>
      </c>
      <c r="L50" s="62">
        <f t="shared" si="0"/>
        <v>3.9960895136096291E-4</v>
      </c>
      <c r="M50" s="62">
        <f t="shared" si="7"/>
        <v>560.29239639336345</v>
      </c>
      <c r="N50" s="62">
        <f t="shared" si="8"/>
        <v>8.8030220745669112</v>
      </c>
      <c r="O50">
        <f t="shared" si="9"/>
        <v>-13.007309909834087</v>
      </c>
      <c r="P50">
        <f t="shared" si="10"/>
        <v>1.031756933890934</v>
      </c>
      <c r="Q50">
        <f t="shared" si="11"/>
        <v>1.6075963182708319E-2</v>
      </c>
      <c r="W50" s="62"/>
    </row>
    <row r="51" spans="1:23" x14ac:dyDescent="0.3">
      <c r="A51" s="48">
        <v>20.63</v>
      </c>
      <c r="B51" s="47">
        <v>9</v>
      </c>
      <c r="C51">
        <f t="shared" si="1"/>
        <v>1.6901960800285136</v>
      </c>
      <c r="E51" s="47">
        <v>9</v>
      </c>
      <c r="F51" s="48">
        <v>20.63</v>
      </c>
      <c r="G51" s="61">
        <f t="shared" si="2"/>
        <v>1.3144992279731516</v>
      </c>
      <c r="H51" s="61">
        <f t="shared" si="3"/>
        <v>0.52041792219589655</v>
      </c>
      <c r="I51" s="67">
        <f t="shared" si="4"/>
        <v>9.8513490896916007</v>
      </c>
      <c r="J51" s="68">
        <f t="shared" si="5"/>
        <v>9.4594343299066741E-2</v>
      </c>
      <c r="K51" s="70">
        <f t="shared" si="6"/>
        <v>0.85134908969160072</v>
      </c>
      <c r="L51" s="62">
        <f t="shared" si="0"/>
        <v>3.9665745170200969E-4</v>
      </c>
      <c r="M51" s="62">
        <f t="shared" si="7"/>
        <v>559.27218812493982</v>
      </c>
      <c r="N51" s="62">
        <f t="shared" si="8"/>
        <v>9.8232303429906604</v>
      </c>
      <c r="O51">
        <f t="shared" si="9"/>
        <v>-12.981804703123496</v>
      </c>
      <c r="P51">
        <f t="shared" si="10"/>
        <v>1.0354373388996776</v>
      </c>
      <c r="Q51">
        <f t="shared" si="11"/>
        <v>1.6420235726848365E-2</v>
      </c>
      <c r="W51" s="62"/>
    </row>
    <row r="52" spans="1:23" x14ac:dyDescent="0.3">
      <c r="A52" s="48">
        <v>19.68</v>
      </c>
      <c r="B52" s="47">
        <v>10</v>
      </c>
      <c r="C52">
        <f t="shared" si="1"/>
        <v>1.6989700043360187</v>
      </c>
      <c r="E52" s="47">
        <v>10</v>
      </c>
      <c r="F52" s="48">
        <v>19.68</v>
      </c>
      <c r="G52" s="61">
        <f t="shared" si="2"/>
        <v>1.2940250940953226</v>
      </c>
      <c r="H52" s="61">
        <f t="shared" si="3"/>
        <v>0.51772690332967219</v>
      </c>
      <c r="I52" s="67">
        <f t="shared" si="4"/>
        <v>10.735139790940075</v>
      </c>
      <c r="J52" s="68">
        <f t="shared" si="5"/>
        <v>7.3513979094007448E-2</v>
      </c>
      <c r="K52" s="70">
        <f t="shared" si="6"/>
        <v>0.73513979094007453</v>
      </c>
      <c r="L52" s="62">
        <f t="shared" si="0"/>
        <v>3.9368889065175618E-4</v>
      </c>
      <c r="M52" s="62">
        <f t="shared" si="7"/>
        <v>558.24224657558193</v>
      </c>
      <c r="N52" s="62">
        <f t="shared" si="8"/>
        <v>10.853171892348477</v>
      </c>
      <c r="O52">
        <f t="shared" si="9"/>
        <v>-12.956056164389548</v>
      </c>
      <c r="P52">
        <f t="shared" si="10"/>
        <v>1.0391528567545039</v>
      </c>
      <c r="Q52">
        <f t="shared" si="11"/>
        <v>1.6954675904677252E-2</v>
      </c>
      <c r="W52" s="62"/>
    </row>
    <row r="53" spans="1:23" x14ac:dyDescent="0.3">
      <c r="A53" s="48">
        <v>18.78</v>
      </c>
      <c r="B53" s="47">
        <v>11</v>
      </c>
      <c r="C53">
        <f t="shared" si="1"/>
        <v>1.7075701760979363</v>
      </c>
      <c r="E53" s="47">
        <v>11</v>
      </c>
      <c r="F53" s="48">
        <v>18.78</v>
      </c>
      <c r="G53" s="61">
        <f t="shared" si="2"/>
        <v>1.2736955879300922</v>
      </c>
      <c r="H53" s="61">
        <f t="shared" si="3"/>
        <v>0.51503829308793758</v>
      </c>
      <c r="I53" s="67">
        <f t="shared" si="4"/>
        <v>11.618139446107991</v>
      </c>
      <c r="J53" s="68">
        <f t="shared" si="5"/>
        <v>5.6194495100726431E-2</v>
      </c>
      <c r="K53" s="70">
        <f t="shared" si="6"/>
        <v>0.61813944610799076</v>
      </c>
      <c r="L53" s="62">
        <f t="shared" si="0"/>
        <v>3.9074129928925452E-4</v>
      </c>
      <c r="M53" s="62">
        <f t="shared" si="7"/>
        <v>557.21573123604378</v>
      </c>
      <c r="N53" s="62">
        <f t="shared" si="8"/>
        <v>11.879687231886578</v>
      </c>
      <c r="O53">
        <f t="shared" si="9"/>
        <v>-12.930393280901095</v>
      </c>
      <c r="P53">
        <f t="shared" si="10"/>
        <v>1.0428560145450454</v>
      </c>
      <c r="Q53">
        <f t="shared" si="11"/>
        <v>1.7416983769907635E-2</v>
      </c>
      <c r="W53" s="62"/>
    </row>
    <row r="54" spans="1:23" x14ac:dyDescent="0.3">
      <c r="A54" s="48">
        <v>17.93</v>
      </c>
      <c r="B54" s="47">
        <v>12</v>
      </c>
      <c r="C54">
        <f t="shared" si="1"/>
        <v>1.7160033436347992</v>
      </c>
      <c r="E54" s="47">
        <v>12</v>
      </c>
      <c r="F54" s="48">
        <v>17.93</v>
      </c>
      <c r="G54" s="61">
        <f t="shared" si="2"/>
        <v>1.2535802895621828</v>
      </c>
      <c r="H54" s="61">
        <f t="shared" si="3"/>
        <v>0.51236152841536908</v>
      </c>
      <c r="I54" s="67">
        <f t="shared" si="4"/>
        <v>12.497248751783598</v>
      </c>
      <c r="J54" s="68">
        <f t="shared" si="5"/>
        <v>4.1437395981966496E-2</v>
      </c>
      <c r="K54" s="70">
        <f t="shared" si="6"/>
        <v>0.49724875178359795</v>
      </c>
      <c r="L54" s="62">
        <f t="shared" si="0"/>
        <v>3.878247660866526E-4</v>
      </c>
      <c r="M54" s="62">
        <f t="shared" si="7"/>
        <v>556.19621416262714</v>
      </c>
      <c r="N54" s="62">
        <f t="shared" si="8"/>
        <v>12.899204305303272</v>
      </c>
      <c r="O54">
        <f t="shared" si="9"/>
        <v>-12.904905354065679</v>
      </c>
      <c r="P54">
        <f t="shared" si="10"/>
        <v>1.0465339260653077</v>
      </c>
      <c r="Q54">
        <f t="shared" si="11"/>
        <v>1.7737579237817158E-2</v>
      </c>
      <c r="W54" s="62"/>
    </row>
    <row r="55" spans="1:23" x14ac:dyDescent="0.3">
      <c r="A55" s="48">
        <v>17.12</v>
      </c>
      <c r="B55" s="47">
        <v>13</v>
      </c>
      <c r="C55">
        <f t="shared" si="1"/>
        <v>1.7242758696007889</v>
      </c>
      <c r="E55" s="47">
        <v>13</v>
      </c>
      <c r="F55" s="48">
        <v>17.12</v>
      </c>
      <c r="G55" s="61">
        <f t="shared" si="2"/>
        <v>1.2335037603411345</v>
      </c>
      <c r="H55" s="61">
        <f t="shared" si="3"/>
        <v>0.5096733703378612</v>
      </c>
      <c r="I55" s="67">
        <f t="shared" si="4"/>
        <v>13.380099906120087</v>
      </c>
      <c r="J55" s="68">
        <f t="shared" si="5"/>
        <v>2.9238454316929764E-2</v>
      </c>
      <c r="K55" s="70">
        <f t="shared" si="6"/>
        <v>0.38009990612008693</v>
      </c>
      <c r="L55" s="62">
        <f t="shared" si="0"/>
        <v>3.8491385405366944E-4</v>
      </c>
      <c r="M55" s="62">
        <f t="shared" si="7"/>
        <v>555.17483241085017</v>
      </c>
      <c r="N55" s="62">
        <f t="shared" si="8"/>
        <v>13.920586057080246</v>
      </c>
      <c r="O55">
        <f t="shared" si="9"/>
        <v>-12.879370810271254</v>
      </c>
      <c r="P55">
        <f t="shared" si="10"/>
        <v>1.0502185644194815</v>
      </c>
      <c r="Q55">
        <f t="shared" si="11"/>
        <v>1.809190095886537E-2</v>
      </c>
      <c r="W55" s="62"/>
    </row>
    <row r="56" spans="1:23" x14ac:dyDescent="0.3">
      <c r="A56" s="48">
        <v>16.350000000000001</v>
      </c>
      <c r="B56" s="47">
        <v>14</v>
      </c>
      <c r="C56">
        <f t="shared" si="1"/>
        <v>1.7323937598229686</v>
      </c>
      <c r="E56" s="47">
        <v>14</v>
      </c>
      <c r="F56" s="48">
        <v>16.350000000000001</v>
      </c>
      <c r="G56" s="61">
        <f t="shared" si="2"/>
        <v>1.2135177569963049</v>
      </c>
      <c r="H56" s="61">
        <f t="shared" si="3"/>
        <v>0.50698070404234352</v>
      </c>
      <c r="I56" s="67">
        <f t="shared" si="4"/>
        <v>14.264431659944844</v>
      </c>
      <c r="J56" s="68">
        <f t="shared" si="5"/>
        <v>1.8887975710345981E-2</v>
      </c>
      <c r="K56" s="70">
        <f t="shared" si="6"/>
        <v>0.26443165994484374</v>
      </c>
      <c r="L56" s="62">
        <f t="shared" si="0"/>
        <v>3.8201606743989991E-4</v>
      </c>
      <c r="M56" s="62">
        <f t="shared" si="7"/>
        <v>554.15421284992863</v>
      </c>
      <c r="N56" s="62">
        <f t="shared" si="8"/>
        <v>14.941205618001668</v>
      </c>
      <c r="O56">
        <f t="shared" si="9"/>
        <v>-12.853855321248215</v>
      </c>
      <c r="P56">
        <f t="shared" si="10"/>
        <v>1.0539004531673941</v>
      </c>
      <c r="Q56">
        <f t="shared" si="11"/>
        <v>1.8428192203695071E-2</v>
      </c>
      <c r="W56" s="62"/>
    </row>
    <row r="57" spans="1:23" x14ac:dyDescent="0.3">
      <c r="A57" s="48">
        <v>15.62</v>
      </c>
      <c r="B57" s="47">
        <v>15</v>
      </c>
      <c r="C57">
        <f t="shared" si="1"/>
        <v>1.7403626894942439</v>
      </c>
      <c r="E57" s="47">
        <v>15</v>
      </c>
      <c r="F57" s="48">
        <v>15.62</v>
      </c>
      <c r="G57" s="61">
        <f t="shared" si="2"/>
        <v>1.1936810295412814</v>
      </c>
      <c r="H57" s="61">
        <f t="shared" si="3"/>
        <v>0.50429153859406939</v>
      </c>
      <c r="I57" s="67">
        <f t="shared" si="4"/>
        <v>15.147613657341221</v>
      </c>
      <c r="J57" s="68">
        <f t="shared" si="5"/>
        <v>9.8409104894147479E-3</v>
      </c>
      <c r="K57" s="70">
        <f t="shared" si="6"/>
        <v>0.14761365734122123</v>
      </c>
      <c r="L57" s="62">
        <f t="shared" si="0"/>
        <v>3.7913992445681412E-4</v>
      </c>
      <c r="M57" s="62">
        <f t="shared" si="7"/>
        <v>553.13738141427609</v>
      </c>
      <c r="N57" s="62">
        <f t="shared" si="8"/>
        <v>15.958037053654271</v>
      </c>
      <c r="O57">
        <f t="shared" si="9"/>
        <v>-12.828434535356902</v>
      </c>
      <c r="P57">
        <f t="shared" si="10"/>
        <v>1.0575686762397341</v>
      </c>
      <c r="Q57">
        <f t="shared" si="11"/>
        <v>1.8687702958718466E-2</v>
      </c>
      <c r="W57" s="62"/>
    </row>
    <row r="58" spans="1:23" x14ac:dyDescent="0.3">
      <c r="A58" s="48">
        <v>14.93</v>
      </c>
      <c r="B58" s="47">
        <v>16</v>
      </c>
      <c r="C58">
        <f t="shared" si="1"/>
        <v>1.7481880270062005</v>
      </c>
      <c r="E58" s="47">
        <v>16</v>
      </c>
      <c r="F58" s="48">
        <v>14.93</v>
      </c>
      <c r="G58" s="61">
        <f t="shared" si="2"/>
        <v>1.1740598077250255</v>
      </c>
      <c r="H58" s="61">
        <f t="shared" si="3"/>
        <v>0.50161510575853985</v>
      </c>
      <c r="I58" s="67">
        <f t="shared" si="4"/>
        <v>16.026613980321446</v>
      </c>
      <c r="J58" s="68">
        <f t="shared" si="5"/>
        <v>1.6633737700904039E-3</v>
      </c>
      <c r="K58" s="70">
        <f t="shared" si="6"/>
        <v>2.6613980321446462E-2</v>
      </c>
      <c r="L58" s="62">
        <f t="shared" si="0"/>
        <v>3.7629502780869774E-4</v>
      </c>
      <c r="M58" s="62">
        <f t="shared" si="7"/>
        <v>552.12779551130859</v>
      </c>
      <c r="N58" s="62">
        <f t="shared" si="8"/>
        <v>16.967622956621838</v>
      </c>
      <c r="O58">
        <f t="shared" si="9"/>
        <v>-12.803194887782714</v>
      </c>
      <c r="P58">
        <f t="shared" si="10"/>
        <v>1.0612107610267743</v>
      </c>
      <c r="Q58">
        <f t="shared" si="11"/>
        <v>1.8804203474974468E-2</v>
      </c>
      <c r="W58" s="62"/>
    </row>
    <row r="59" spans="1:23" x14ac:dyDescent="0.3">
      <c r="A59" s="48">
        <v>14.26</v>
      </c>
      <c r="B59" s="47">
        <v>17</v>
      </c>
      <c r="C59">
        <f t="shared" si="1"/>
        <v>1.7558748556724915</v>
      </c>
      <c r="E59" s="47">
        <v>17</v>
      </c>
      <c r="F59" s="48">
        <v>14.26</v>
      </c>
      <c r="G59" s="61">
        <f t="shared" si="2"/>
        <v>1.1541195255158467</v>
      </c>
      <c r="H59" s="61">
        <f t="shared" si="3"/>
        <v>0.4988781469156533</v>
      </c>
      <c r="I59" s="67">
        <f t="shared" si="4"/>
        <v>16.925492396003744</v>
      </c>
      <c r="J59" s="68">
        <f t="shared" si="5"/>
        <v>4.3828002350738953E-3</v>
      </c>
      <c r="K59" s="70">
        <f t="shared" si="6"/>
        <v>7.4507603996256222E-2</v>
      </c>
      <c r="L59" s="62">
        <f t="shared" si="0"/>
        <v>3.7340387033896313E-4</v>
      </c>
      <c r="M59" s="62">
        <f t="shared" si="7"/>
        <v>551.09787509014416</v>
      </c>
      <c r="N59" s="62">
        <f t="shared" si="8"/>
        <v>17.997543377786304</v>
      </c>
      <c r="O59">
        <f t="shared" si="9"/>
        <v>-12.777446877253604</v>
      </c>
      <c r="P59">
        <f t="shared" si="10"/>
        <v>1.0649262026615669</v>
      </c>
      <c r="Q59">
        <f t="shared" si="11"/>
        <v>1.9312259784153296E-2</v>
      </c>
      <c r="W59" s="62"/>
    </row>
    <row r="60" spans="1:23" x14ac:dyDescent="0.3">
      <c r="A60" s="48">
        <v>13.63</v>
      </c>
      <c r="B60" s="47">
        <v>18</v>
      </c>
      <c r="C60">
        <f t="shared" si="1"/>
        <v>1.7634279935629373</v>
      </c>
      <c r="E60" s="47">
        <v>18</v>
      </c>
      <c r="F60" s="48">
        <v>13.63</v>
      </c>
      <c r="G60" s="61">
        <f t="shared" si="2"/>
        <v>1.1344958558346736</v>
      </c>
      <c r="H60" s="61">
        <f t="shared" si="3"/>
        <v>0.49616769998792293</v>
      </c>
      <c r="I60" s="67">
        <f t="shared" si="4"/>
        <v>17.81566370658863</v>
      </c>
      <c r="J60" s="68">
        <f t="shared" si="5"/>
        <v>1.0240905189520552E-2</v>
      </c>
      <c r="K60" s="70">
        <f t="shared" si="6"/>
        <v>0.18433629341136992</v>
      </c>
      <c r="L60" s="62">
        <f t="shared" si="0"/>
        <v>3.705586187729541E-4</v>
      </c>
      <c r="M60" s="62">
        <f t="shared" si="7"/>
        <v>550.08040770371531</v>
      </c>
      <c r="N60" s="62">
        <f t="shared" si="8"/>
        <v>19.015010764215024</v>
      </c>
      <c r="O60">
        <f t="shared" si="9"/>
        <v>-12.752010192592882</v>
      </c>
      <c r="P60">
        <f t="shared" si="10"/>
        <v>1.0685967199286257</v>
      </c>
      <c r="Q60">
        <f t="shared" si="11"/>
        <v>1.9576198965326252E-2</v>
      </c>
      <c r="W60" s="62"/>
    </row>
    <row r="61" spans="1:23" x14ac:dyDescent="0.3">
      <c r="A61" s="48">
        <v>13.04</v>
      </c>
      <c r="B61" s="57">
        <v>19</v>
      </c>
      <c r="C61">
        <f t="shared" si="1"/>
        <v>1.7708520116421442</v>
      </c>
      <c r="E61" s="57">
        <v>19</v>
      </c>
      <c r="F61" s="48">
        <v>13.04</v>
      </c>
      <c r="G61" s="61">
        <f t="shared" si="2"/>
        <v>1.1152775913959014</v>
      </c>
      <c r="H61" s="61">
        <f t="shared" si="3"/>
        <v>0.4934967511685836</v>
      </c>
      <c r="I61" s="67">
        <f t="shared" si="4"/>
        <v>18.692862956163076</v>
      </c>
      <c r="J61" s="68">
        <f t="shared" si="5"/>
        <v>1.6165107570364438E-2</v>
      </c>
      <c r="K61" s="70">
        <f t="shared" si="6"/>
        <v>0.30713704383692431</v>
      </c>
      <c r="L61" s="62">
        <f t="shared" si="0"/>
        <v>3.6777214723736492E-4</v>
      </c>
      <c r="M61" s="62">
        <f t="shared" si="7"/>
        <v>549.08016716269765</v>
      </c>
      <c r="N61" s="62">
        <f t="shared" si="8"/>
        <v>20.01525130523282</v>
      </c>
      <c r="O61">
        <f t="shared" si="9"/>
        <v>-12.727004179067441</v>
      </c>
      <c r="P61">
        <f t="shared" si="10"/>
        <v>1.0722050912887187</v>
      </c>
      <c r="Q61">
        <f t="shared" si="11"/>
        <v>1.9507228304098456E-2</v>
      </c>
      <c r="W61" s="62"/>
    </row>
    <row r="62" spans="1:23" x14ac:dyDescent="0.3">
      <c r="A62" s="48">
        <v>12.47</v>
      </c>
      <c r="B62" s="47">
        <v>20</v>
      </c>
      <c r="C62">
        <f t="shared" si="1"/>
        <v>1.7781512503836436</v>
      </c>
      <c r="E62" s="47">
        <v>20</v>
      </c>
      <c r="F62" s="48">
        <v>12.47</v>
      </c>
      <c r="G62" s="61">
        <f t="shared" si="2"/>
        <v>1.0958664534785427</v>
      </c>
      <c r="H62" s="61">
        <f t="shared" si="3"/>
        <v>0.49078221823557383</v>
      </c>
      <c r="I62" s="67">
        <f t="shared" si="4"/>
        <v>19.58437620214519</v>
      </c>
      <c r="J62" s="68">
        <f t="shared" si="5"/>
        <v>2.0781189892740491E-2</v>
      </c>
      <c r="K62" s="70">
        <f t="shared" si="6"/>
        <v>0.41562379785480985</v>
      </c>
      <c r="L62" s="62">
        <f t="shared" si="0"/>
        <v>3.6495771082181678E-4</v>
      </c>
      <c r="M62" s="62">
        <f t="shared" si="7"/>
        <v>548.06603431537849</v>
      </c>
      <c r="N62" s="62">
        <f t="shared" si="8"/>
        <v>21.029384152551948</v>
      </c>
      <c r="O62">
        <f t="shared" si="9"/>
        <v>-12.701650857884463</v>
      </c>
      <c r="P62">
        <f t="shared" si="10"/>
        <v>1.0758635791939102</v>
      </c>
      <c r="Q62">
        <f t="shared" si="11"/>
        <v>1.9703626521457185E-2</v>
      </c>
      <c r="W62" s="62"/>
    </row>
    <row r="63" spans="1:23" x14ac:dyDescent="0.3">
      <c r="A63" s="48">
        <v>11.92</v>
      </c>
      <c r="B63" s="47">
        <v>21</v>
      </c>
      <c r="C63">
        <f t="shared" si="1"/>
        <v>1.7853298350107671</v>
      </c>
      <c r="E63" s="47">
        <v>21</v>
      </c>
      <c r="F63" s="48">
        <v>11.92</v>
      </c>
      <c r="G63" s="61">
        <f t="shared" si="2"/>
        <v>1.0762762554042176</v>
      </c>
      <c r="H63" s="61">
        <f t="shared" si="3"/>
        <v>0.48802533334345133</v>
      </c>
      <c r="I63" s="67">
        <f t="shared" si="4"/>
        <v>20.489798777457278</v>
      </c>
      <c r="J63" s="68">
        <f t="shared" si="5"/>
        <v>2.4295296311558207E-2</v>
      </c>
      <c r="K63" s="70">
        <f t="shared" si="6"/>
        <v>0.51020122254272238</v>
      </c>
      <c r="L63" s="62">
        <f t="shared" si="0"/>
        <v>3.6211731233086193E-4</v>
      </c>
      <c r="M63" s="62">
        <f t="shared" si="7"/>
        <v>547.03857403814243</v>
      </c>
      <c r="N63" s="62">
        <f t="shared" si="8"/>
        <v>22.056844429788004</v>
      </c>
      <c r="O63">
        <f t="shared" si="9"/>
        <v>-12.67596435095356</v>
      </c>
      <c r="P63">
        <f t="shared" si="10"/>
        <v>1.079570145850606</v>
      </c>
      <c r="Q63">
        <f t="shared" si="11"/>
        <v>2.0151580295782345E-2</v>
      </c>
      <c r="W63" s="62"/>
    </row>
    <row r="64" spans="1:23" x14ac:dyDescent="0.3">
      <c r="A64" s="48">
        <v>11.41</v>
      </c>
      <c r="B64" s="47">
        <v>22</v>
      </c>
      <c r="C64">
        <f t="shared" si="1"/>
        <v>1.7923916894982539</v>
      </c>
      <c r="E64" s="47">
        <v>22</v>
      </c>
      <c r="F64" s="48">
        <v>11.41</v>
      </c>
      <c r="G64" s="61">
        <f t="shared" si="2"/>
        <v>1.0572856444182146</v>
      </c>
      <c r="H64" s="61">
        <f t="shared" si="3"/>
        <v>0.48533601707061563</v>
      </c>
      <c r="I64" s="67">
        <f t="shared" si="4"/>
        <v>21.373030309008431</v>
      </c>
      <c r="J64" s="68">
        <f t="shared" si="5"/>
        <v>2.849862231779858E-2</v>
      </c>
      <c r="K64" s="70">
        <f t="shared" si="6"/>
        <v>0.62696969099156874</v>
      </c>
      <c r="L64" s="62">
        <f t="shared" si="0"/>
        <v>3.5936384845151257E-4</v>
      </c>
      <c r="M64" s="62">
        <f t="shared" si="7"/>
        <v>546.03870705333452</v>
      </c>
      <c r="N64" s="62">
        <f t="shared" si="8"/>
        <v>23.056711414595835</v>
      </c>
      <c r="O64">
        <f t="shared" si="9"/>
        <v>-12.650967676333362</v>
      </c>
      <c r="P64">
        <f t="shared" si="10"/>
        <v>1.0831771696053241</v>
      </c>
      <c r="Q64">
        <f t="shared" si="11"/>
        <v>2.0072442381785294E-2</v>
      </c>
      <c r="W64" s="62"/>
    </row>
    <row r="65" spans="1:23" x14ac:dyDescent="0.3">
      <c r="A65" s="48">
        <v>10.91</v>
      </c>
      <c r="B65" s="47">
        <v>23</v>
      </c>
      <c r="C65">
        <f t="shared" si="1"/>
        <v>1.7993405494535817</v>
      </c>
      <c r="E65" s="47">
        <v>23</v>
      </c>
      <c r="F65" s="48">
        <v>10.91</v>
      </c>
      <c r="G65" s="61">
        <f t="shared" si="2"/>
        <v>1.0378247505883418</v>
      </c>
      <c r="H65" s="61">
        <f t="shared" si="3"/>
        <v>0.48256271618649349</v>
      </c>
      <c r="I65" s="67">
        <f t="shared" si="4"/>
        <v>22.283844262754592</v>
      </c>
      <c r="J65" s="68">
        <f t="shared" si="5"/>
        <v>3.1137205967191668E-2</v>
      </c>
      <c r="K65" s="70">
        <f t="shared" si="6"/>
        <v>0.71615573724540837</v>
      </c>
      <c r="L65" s="62">
        <f t="shared" si="0"/>
        <v>3.5654219788640426E-4</v>
      </c>
      <c r="M65" s="62">
        <f t="shared" si="7"/>
        <v>545.0100973679838</v>
      </c>
      <c r="N65" s="62">
        <f t="shared" si="8"/>
        <v>24.085321099946601</v>
      </c>
      <c r="O65">
        <f t="shared" si="9"/>
        <v>-12.625252434199595</v>
      </c>
      <c r="P65">
        <f t="shared" si="10"/>
        <v>1.0868878827559401</v>
      </c>
      <c r="Q65">
        <f t="shared" si="11"/>
        <v>2.0536082711658077E-2</v>
      </c>
      <c r="W65" s="62"/>
    </row>
    <row r="66" spans="1:23" x14ac:dyDescent="0.3">
      <c r="A66" s="48">
        <v>10.45</v>
      </c>
      <c r="B66" s="47">
        <v>24</v>
      </c>
      <c r="C66">
        <f t="shared" si="1"/>
        <v>1.8061799739838871</v>
      </c>
      <c r="E66" s="47">
        <v>24</v>
      </c>
      <c r="F66" s="48">
        <v>10.45</v>
      </c>
      <c r="G66" s="61">
        <f t="shared" si="2"/>
        <v>1.0191162904470727</v>
      </c>
      <c r="H66" s="61">
        <f t="shared" si="3"/>
        <v>0.47987984151822394</v>
      </c>
      <c r="I66" s="67">
        <f t="shared" si="4"/>
        <v>23.164960227488979</v>
      </c>
      <c r="J66" s="68">
        <f t="shared" si="5"/>
        <v>3.4793323854625857E-2</v>
      </c>
      <c r="K66" s="70">
        <f t="shared" si="6"/>
        <v>0.83503977251102057</v>
      </c>
      <c r="L66" s="62">
        <f t="shared" ref="L66:L129" si="12">T$3^2-4*T$2*(T$4-G66)</f>
        <v>3.5382964328375353E-4</v>
      </c>
      <c r="M66" s="62">
        <f t="shared" si="7"/>
        <v>544.01741350184079</v>
      </c>
      <c r="N66" s="62">
        <f t="shared" si="8"/>
        <v>25.078004966089573</v>
      </c>
      <c r="O66">
        <f t="shared" si="9"/>
        <v>-12.600435337546021</v>
      </c>
      <c r="P66">
        <f t="shared" si="10"/>
        <v>1.0904689933841616</v>
      </c>
      <c r="Q66">
        <f t="shared" si="11"/>
        <v>2.0319784752927061E-2</v>
      </c>
      <c r="W66" s="62"/>
    </row>
    <row r="67" spans="1:23" x14ac:dyDescent="0.3">
      <c r="A67" s="48">
        <v>10</v>
      </c>
      <c r="B67" s="47">
        <v>25</v>
      </c>
      <c r="C67">
        <f t="shared" ref="C67:C130" si="13">LOG10(B67+40)</f>
        <v>1.8129133566428555</v>
      </c>
      <c r="E67" s="47">
        <v>25</v>
      </c>
      <c r="F67" s="48">
        <v>10</v>
      </c>
      <c r="G67" s="61">
        <f t="shared" ref="G67:G130" si="14">LOG10(F67)</f>
        <v>1</v>
      </c>
      <c r="H67" s="61">
        <f t="shared" ref="H67:H130" si="15">LOG10(G67+2)</f>
        <v>0.47712125471966244</v>
      </c>
      <c r="I67" s="67">
        <f t="shared" ref="I67:I130" si="16">(H67-W$3)/W$2</f>
        <v>24.070941746888774</v>
      </c>
      <c r="J67" s="68">
        <f t="shared" ref="J67:J130" si="17">ABS(I67-E67)/ABS(E67)</f>
        <v>3.7162330124449028E-2</v>
      </c>
      <c r="K67" s="70">
        <f t="shared" ref="K67:K130" si="18">ABS(I67-E67)</f>
        <v>0.9290582531112257</v>
      </c>
      <c r="L67" s="62">
        <f t="shared" si="12"/>
        <v>3.5105795703880009E-4</v>
      </c>
      <c r="M67" s="62">
        <f t="shared" ref="M67:M130" si="19">(-T$3+SQRT(L67))/(2*T$2)</f>
        <v>542.99915153633913</v>
      </c>
      <c r="N67" s="62">
        <f t="shared" ref="N67:N130" si="20">(-T$3-SQRT(L67))/(2*T$2)</f>
        <v>26.096266931591206</v>
      </c>
      <c r="O67">
        <f t="shared" ref="O67:O130" si="21">ABS(-M67-E$2)/E$2</f>
        <v>-12.574978788408478</v>
      </c>
      <c r="P67">
        <f t="shared" ref="P67:P130" si="22">ABS(-N67-F$2)/F$2</f>
        <v>1.0941423770980925</v>
      </c>
      <c r="Q67">
        <f t="shared" ref="Q67:Q130" si="23">ABS(G67-(T$2*E67^2+T$3*E67+T$4))</f>
        <v>2.0583812499999965E-2</v>
      </c>
      <c r="W67" s="62"/>
    </row>
    <row r="68" spans="1:23" x14ac:dyDescent="0.3">
      <c r="A68" s="59">
        <v>9.5749999999999993</v>
      </c>
      <c r="B68" s="47">
        <v>26</v>
      </c>
      <c r="C68">
        <f t="shared" si="13"/>
        <v>1.8195439355418688</v>
      </c>
      <c r="E68" s="47">
        <v>26</v>
      </c>
      <c r="F68" s="59">
        <v>9.5749999999999993</v>
      </c>
      <c r="G68" s="61">
        <f t="shared" si="14"/>
        <v>0.98113878264066035</v>
      </c>
      <c r="H68" s="61">
        <f t="shared" si="15"/>
        <v>0.474382194460021</v>
      </c>
      <c r="I68" s="67">
        <f t="shared" si="16"/>
        <v>24.970510314769825</v>
      </c>
      <c r="J68" s="68">
        <f t="shared" si="17"/>
        <v>3.9595757124237491E-2</v>
      </c>
      <c r="K68" s="70">
        <f t="shared" si="18"/>
        <v>1.0294896852301747</v>
      </c>
      <c r="L68" s="62">
        <f t="shared" si="12"/>
        <v>3.4832325404489557E-4</v>
      </c>
      <c r="M68" s="62">
        <f t="shared" si="19"/>
        <v>541.99052923279498</v>
      </c>
      <c r="N68" s="62">
        <f t="shared" si="20"/>
        <v>27.104889235135399</v>
      </c>
      <c r="O68">
        <f t="shared" si="21"/>
        <v>-12.549763230819874</v>
      </c>
      <c r="P68">
        <f t="shared" si="22"/>
        <v>1.0977809856967367</v>
      </c>
      <c r="Q68">
        <f t="shared" si="23"/>
        <v>2.0665262559339759E-2</v>
      </c>
      <c r="W68" s="62"/>
    </row>
    <row r="69" spans="1:23" x14ac:dyDescent="0.3">
      <c r="A69" s="59">
        <v>9.17</v>
      </c>
      <c r="B69" s="47">
        <v>27</v>
      </c>
      <c r="C69">
        <f t="shared" si="13"/>
        <v>1.8260748027008264</v>
      </c>
      <c r="E69" s="47">
        <v>27</v>
      </c>
      <c r="F69" s="59">
        <v>9.17</v>
      </c>
      <c r="G69" s="61">
        <f t="shared" si="14"/>
        <v>0.96236933567002114</v>
      </c>
      <c r="H69" s="61">
        <f t="shared" si="15"/>
        <v>0.47163920355859296</v>
      </c>
      <c r="I69" s="67">
        <f t="shared" si="16"/>
        <v>25.871369793206924</v>
      </c>
      <c r="J69" s="68">
        <f t="shared" si="17"/>
        <v>4.1801118770113936E-2</v>
      </c>
      <c r="K69" s="70">
        <f t="shared" si="18"/>
        <v>1.1286302067930762</v>
      </c>
      <c r="L69" s="62">
        <f t="shared" si="12"/>
        <v>3.4560185691306499E-4</v>
      </c>
      <c r="M69" s="62">
        <f t="shared" si="19"/>
        <v>540.98287622025771</v>
      </c>
      <c r="N69" s="62">
        <f t="shared" si="20"/>
        <v>28.112542247672707</v>
      </c>
      <c r="O69">
        <f t="shared" si="21"/>
        <v>-12.524571905506443</v>
      </c>
      <c r="P69">
        <f t="shared" si="22"/>
        <v>1.1014160975745768</v>
      </c>
      <c r="Q69">
        <f t="shared" si="23"/>
        <v>2.0727437629978751E-2</v>
      </c>
      <c r="W69" s="62"/>
    </row>
    <row r="70" spans="1:23" x14ac:dyDescent="0.3">
      <c r="A70" s="59">
        <v>8.7840000000000007</v>
      </c>
      <c r="B70" s="47">
        <v>28</v>
      </c>
      <c r="C70">
        <f t="shared" si="13"/>
        <v>1.8325089127062364</v>
      </c>
      <c r="E70" s="47">
        <v>28</v>
      </c>
      <c r="F70" s="59">
        <v>8.7840000000000007</v>
      </c>
      <c r="G70" s="61">
        <f t="shared" si="14"/>
        <v>0.94369232710601669</v>
      </c>
      <c r="H70" s="61">
        <f t="shared" si="15"/>
        <v>0.4688924158479279</v>
      </c>
      <c r="I70" s="67">
        <f t="shared" si="16"/>
        <v>26.773476228601556</v>
      </c>
      <c r="J70" s="68">
        <f t="shared" si="17"/>
        <v>4.3804420407087284E-2</v>
      </c>
      <c r="K70" s="70">
        <f t="shared" si="18"/>
        <v>1.226523771398444</v>
      </c>
      <c r="L70" s="62">
        <f t="shared" si="12"/>
        <v>3.4289386249976311E-4</v>
      </c>
      <c r="M70" s="62">
        <f t="shared" si="19"/>
        <v>539.97624004530803</v>
      </c>
      <c r="N70" s="62">
        <f t="shared" si="20"/>
        <v>29.119178422622319</v>
      </c>
      <c r="O70">
        <f t="shared" si="21"/>
        <v>-12.499406001132702</v>
      </c>
      <c r="P70">
        <f t="shared" si="22"/>
        <v>1.1050475412071512</v>
      </c>
      <c r="Q70">
        <f t="shared" si="23"/>
        <v>2.0769669693983195E-2</v>
      </c>
      <c r="W70" s="62"/>
    </row>
    <row r="71" spans="1:23" x14ac:dyDescent="0.3">
      <c r="A71" s="59">
        <v>8.4160000000000004</v>
      </c>
      <c r="B71" s="47">
        <v>29</v>
      </c>
      <c r="C71">
        <f t="shared" si="13"/>
        <v>1.8388490907372552</v>
      </c>
      <c r="E71" s="47">
        <v>29</v>
      </c>
      <c r="F71" s="59">
        <v>8.4160000000000004</v>
      </c>
      <c r="G71" s="61">
        <f t="shared" si="14"/>
        <v>0.92510572680966385</v>
      </c>
      <c r="H71" s="61">
        <f t="shared" si="15"/>
        <v>0.46614156810715585</v>
      </c>
      <c r="I71" s="67">
        <f t="shared" si="16"/>
        <v>27.676916068566626</v>
      </c>
      <c r="J71" s="68">
        <f t="shared" si="17"/>
        <v>4.5623583842530124E-2</v>
      </c>
      <c r="K71" s="70">
        <f t="shared" si="18"/>
        <v>1.3230839314333736</v>
      </c>
      <c r="L71" s="62">
        <f t="shared" si="12"/>
        <v>3.4019897645351472E-4</v>
      </c>
      <c r="M71" s="62">
        <f t="shared" si="19"/>
        <v>538.97052270992401</v>
      </c>
      <c r="N71" s="62">
        <f t="shared" si="20"/>
        <v>30.124895758006371</v>
      </c>
      <c r="O71">
        <f t="shared" si="21"/>
        <v>-12.474263067748101</v>
      </c>
      <c r="P71">
        <f t="shared" si="22"/>
        <v>1.1086756701226781</v>
      </c>
      <c r="Q71">
        <f t="shared" si="23"/>
        <v>2.0793988890336013E-2</v>
      </c>
      <c r="W71" s="62"/>
    </row>
    <row r="72" spans="1:23" x14ac:dyDescent="0.3">
      <c r="A72" s="59">
        <v>8.0640000000000001</v>
      </c>
      <c r="B72" s="47">
        <v>30</v>
      </c>
      <c r="C72">
        <f t="shared" si="13"/>
        <v>1.8450980400142569</v>
      </c>
      <c r="E72" s="47">
        <v>30</v>
      </c>
      <c r="F72" s="59">
        <v>8.0640000000000001</v>
      </c>
      <c r="G72" s="61">
        <f t="shared" si="14"/>
        <v>0.90655051910145013</v>
      </c>
      <c r="H72" s="61">
        <f t="shared" si="15"/>
        <v>0.46337787588222873</v>
      </c>
      <c r="I72" s="67">
        <f t="shared" si="16"/>
        <v>28.584574324017762</v>
      </c>
      <c r="J72" s="68">
        <f t="shared" si="17"/>
        <v>4.7180855866074602E-2</v>
      </c>
      <c r="K72" s="70">
        <f t="shared" si="18"/>
        <v>1.4154256759822381</v>
      </c>
      <c r="L72" s="62">
        <f t="shared" si="12"/>
        <v>3.3750864204373462E-4</v>
      </c>
      <c r="M72" s="62">
        <f t="shared" si="19"/>
        <v>537.96252280843873</v>
      </c>
      <c r="N72" s="62">
        <f t="shared" si="20"/>
        <v>31.132895659491613</v>
      </c>
      <c r="O72">
        <f t="shared" si="21"/>
        <v>-12.449063070210968</v>
      </c>
      <c r="P72">
        <f t="shared" si="22"/>
        <v>1.1123120334036494</v>
      </c>
      <c r="Q72">
        <f t="shared" si="23"/>
        <v>2.0859410898549813E-2</v>
      </c>
      <c r="W72" s="62"/>
    </row>
    <row r="73" spans="1:23" x14ac:dyDescent="0.3">
      <c r="A73" s="59">
        <v>7.73</v>
      </c>
      <c r="B73" s="47">
        <v>31</v>
      </c>
      <c r="C73">
        <f t="shared" si="13"/>
        <v>1.8512583487190752</v>
      </c>
      <c r="E73" s="47">
        <v>31</v>
      </c>
      <c r="F73" s="59">
        <v>7.73</v>
      </c>
      <c r="G73" s="61">
        <f t="shared" si="14"/>
        <v>0.88817949391832496</v>
      </c>
      <c r="H73" s="61">
        <f t="shared" si="15"/>
        <v>0.4606241801704215</v>
      </c>
      <c r="I73" s="67">
        <f t="shared" si="16"/>
        <v>29.488949501281983</v>
      </c>
      <c r="J73" s="68">
        <f t="shared" si="17"/>
        <v>4.8743564474774743E-2</v>
      </c>
      <c r="K73" s="70">
        <f t="shared" si="18"/>
        <v>1.5110504987180171</v>
      </c>
      <c r="L73" s="62">
        <f t="shared" si="12"/>
        <v>3.3484501240561317E-4</v>
      </c>
      <c r="M73" s="62">
        <f t="shared" si="19"/>
        <v>536.96056286980195</v>
      </c>
      <c r="N73" s="62">
        <f t="shared" si="20"/>
        <v>32.134855598128475</v>
      </c>
      <c r="O73">
        <f t="shared" si="21"/>
        <v>-12.424014071745049</v>
      </c>
      <c r="P73">
        <f t="shared" si="22"/>
        <v>1.1159266074968559</v>
      </c>
      <c r="Q73">
        <f t="shared" si="23"/>
        <v>2.0813145781674924E-2</v>
      </c>
      <c r="W73" s="62"/>
    </row>
    <row r="74" spans="1:23" x14ac:dyDescent="0.3">
      <c r="A74" s="59">
        <v>7.41</v>
      </c>
      <c r="B74" s="57">
        <v>32</v>
      </c>
      <c r="C74">
        <f t="shared" si="13"/>
        <v>1.8573324964312685</v>
      </c>
      <c r="E74" s="57">
        <v>32</v>
      </c>
      <c r="F74" s="59">
        <v>7.41</v>
      </c>
      <c r="G74" s="61">
        <f t="shared" si="14"/>
        <v>0.86981820797932818</v>
      </c>
      <c r="H74" s="61">
        <f t="shared" si="15"/>
        <v>0.45785438670890188</v>
      </c>
      <c r="I74" s="67">
        <f t="shared" si="16"/>
        <v>30.398611539105012</v>
      </c>
      <c r="J74" s="68">
        <f t="shared" si="17"/>
        <v>5.0043389402968375E-2</v>
      </c>
      <c r="K74" s="70">
        <f t="shared" si="18"/>
        <v>1.601388460894988</v>
      </c>
      <c r="L74" s="62">
        <f t="shared" si="12"/>
        <v>3.3218279486828923E-4</v>
      </c>
      <c r="M74" s="62">
        <f t="shared" si="19"/>
        <v>535.95514410421447</v>
      </c>
      <c r="N74" s="62">
        <f t="shared" si="20"/>
        <v>33.140274363715925</v>
      </c>
      <c r="O74">
        <f t="shared" si="21"/>
        <v>-12.398878602605361</v>
      </c>
      <c r="P74">
        <f t="shared" si="22"/>
        <v>1.1195536593207647</v>
      </c>
      <c r="Q74">
        <f t="shared" si="23"/>
        <v>2.0829636820671737E-2</v>
      </c>
      <c r="W74" s="62"/>
    </row>
    <row r="75" spans="1:23" x14ac:dyDescent="0.3">
      <c r="A75" s="59">
        <v>7.1059999999999999</v>
      </c>
      <c r="B75" s="57">
        <v>33</v>
      </c>
      <c r="C75">
        <f t="shared" si="13"/>
        <v>1.8633228601204559</v>
      </c>
      <c r="E75" s="57">
        <v>33</v>
      </c>
      <c r="F75" s="59">
        <v>7.1059999999999999</v>
      </c>
      <c r="G75" s="61">
        <f t="shared" si="14"/>
        <v>0.85162520315330914</v>
      </c>
      <c r="H75" s="61">
        <f t="shared" si="15"/>
        <v>0.45509244442713498</v>
      </c>
      <c r="I75" s="67">
        <f t="shared" si="16"/>
        <v>31.305695074136263</v>
      </c>
      <c r="J75" s="68">
        <f t="shared" si="17"/>
        <v>5.1342573511022324E-2</v>
      </c>
      <c r="K75" s="70">
        <f t="shared" si="18"/>
        <v>1.6943049258637366</v>
      </c>
      <c r="L75" s="62">
        <f t="shared" si="12"/>
        <v>3.2954497654416089E-4</v>
      </c>
      <c r="M75" s="62">
        <f t="shared" si="19"/>
        <v>534.95495846539416</v>
      </c>
      <c r="N75" s="62">
        <f t="shared" si="20"/>
        <v>34.140460002536202</v>
      </c>
      <c r="O75">
        <f t="shared" si="21"/>
        <v>-12.373873961634853</v>
      </c>
      <c r="P75">
        <f t="shared" si="22"/>
        <v>1.123161832620982</v>
      </c>
      <c r="Q75">
        <f t="shared" si="23"/>
        <v>2.0750342146690803E-2</v>
      </c>
      <c r="W75" s="62"/>
    </row>
    <row r="76" spans="1:23" x14ac:dyDescent="0.3">
      <c r="A76" s="59">
        <v>6.8150000000000004</v>
      </c>
      <c r="B76" s="57">
        <v>34</v>
      </c>
      <c r="C76">
        <f t="shared" si="13"/>
        <v>1.8692317197309762</v>
      </c>
      <c r="E76" s="57">
        <v>34</v>
      </c>
      <c r="F76" s="59">
        <v>6.8150000000000004</v>
      </c>
      <c r="G76" s="61">
        <f t="shared" si="14"/>
        <v>0.83346586017069235</v>
      </c>
      <c r="H76" s="61">
        <f t="shared" si="15"/>
        <v>0.45231798428691905</v>
      </c>
      <c r="I76" s="67">
        <f t="shared" si="16"/>
        <v>32.21688975347633</v>
      </c>
      <c r="J76" s="68">
        <f t="shared" si="17"/>
        <v>5.2444419015402047E-2</v>
      </c>
      <c r="K76" s="70">
        <f t="shared" si="18"/>
        <v>1.7831102465236697</v>
      </c>
      <c r="L76" s="62">
        <f t="shared" si="12"/>
        <v>3.269120388776369E-4</v>
      </c>
      <c r="M76" s="62">
        <f t="shared" si="19"/>
        <v>533.95262355756461</v>
      </c>
      <c r="N76" s="62">
        <f t="shared" si="20"/>
        <v>35.142794910365801</v>
      </c>
      <c r="O76">
        <f t="shared" si="21"/>
        <v>-12.348815588939114</v>
      </c>
      <c r="P76">
        <f t="shared" si="22"/>
        <v>1.1267777594169042</v>
      </c>
      <c r="Q76">
        <f t="shared" si="23"/>
        <v>2.0709881029307597E-2</v>
      </c>
      <c r="W76" s="62"/>
    </row>
    <row r="77" spans="1:23" x14ac:dyDescent="0.3">
      <c r="A77" s="59">
        <v>6.5380000000000003</v>
      </c>
      <c r="B77" s="57">
        <v>35</v>
      </c>
      <c r="C77">
        <f t="shared" si="13"/>
        <v>1.8750612633917001</v>
      </c>
      <c r="E77" s="57">
        <v>35</v>
      </c>
      <c r="F77" s="59">
        <v>6.5380000000000003</v>
      </c>
      <c r="G77" s="61">
        <f t="shared" si="14"/>
        <v>0.81544491624435023</v>
      </c>
      <c r="H77" s="61">
        <f t="shared" si="15"/>
        <v>0.44954703485403325</v>
      </c>
      <c r="I77" s="67">
        <f t="shared" si="16"/>
        <v>33.126931438115356</v>
      </c>
      <c r="J77" s="68">
        <f t="shared" si="17"/>
        <v>5.351624462527553E-2</v>
      </c>
      <c r="K77" s="70">
        <f t="shared" si="18"/>
        <v>1.8730685618846437</v>
      </c>
      <c r="L77" s="62">
        <f t="shared" si="12"/>
        <v>3.242991678010014E-4</v>
      </c>
      <c r="M77" s="62">
        <f t="shared" si="19"/>
        <v>532.95392948041649</v>
      </c>
      <c r="N77" s="62">
        <f t="shared" si="20"/>
        <v>36.141488987513988</v>
      </c>
      <c r="O77">
        <f t="shared" si="21"/>
        <v>-12.323848237010413</v>
      </c>
      <c r="P77">
        <f t="shared" si="22"/>
        <v>1.1303805519030086</v>
      </c>
      <c r="Q77">
        <f t="shared" si="23"/>
        <v>2.0603516255649712E-2</v>
      </c>
      <c r="W77" s="62"/>
    </row>
    <row r="78" spans="1:23" x14ac:dyDescent="0.3">
      <c r="A78" s="59">
        <v>6.2729999999999997</v>
      </c>
      <c r="B78" s="57">
        <v>36</v>
      </c>
      <c r="C78">
        <f t="shared" si="13"/>
        <v>1.8808135922807914</v>
      </c>
      <c r="E78" s="57">
        <v>36</v>
      </c>
      <c r="F78" s="59">
        <v>6.2729999999999997</v>
      </c>
      <c r="G78" s="61">
        <f t="shared" si="14"/>
        <v>0.79747528753733432</v>
      </c>
      <c r="H78" s="61">
        <f t="shared" si="15"/>
        <v>0.44676625872726011</v>
      </c>
      <c r="I78" s="67">
        <f t="shared" si="16"/>
        <v>34.040200428512293</v>
      </c>
      <c r="J78" s="68">
        <f t="shared" si="17"/>
        <v>5.4438876985769644E-2</v>
      </c>
      <c r="K78" s="70">
        <f t="shared" si="18"/>
        <v>1.9597995714877072</v>
      </c>
      <c r="L78" s="62">
        <f t="shared" si="12"/>
        <v>3.2169373695906822E-4</v>
      </c>
      <c r="M78" s="62">
        <f t="shared" si="19"/>
        <v>531.95406506900588</v>
      </c>
      <c r="N78" s="62">
        <f t="shared" si="20"/>
        <v>37.14135339892448</v>
      </c>
      <c r="O78">
        <f t="shared" si="21"/>
        <v>-12.298851626725147</v>
      </c>
      <c r="P78">
        <f t="shared" si="22"/>
        <v>1.1339875663741865</v>
      </c>
      <c r="Q78">
        <f t="shared" si="23"/>
        <v>2.051833166266559E-2</v>
      </c>
      <c r="W78" s="62"/>
    </row>
    <row r="79" spans="1:23" x14ac:dyDescent="0.3">
      <c r="A79" s="59">
        <v>6.02</v>
      </c>
      <c r="B79" s="57">
        <v>37</v>
      </c>
      <c r="C79">
        <f t="shared" si="13"/>
        <v>1.8864907251724818</v>
      </c>
      <c r="E79" s="57">
        <v>37</v>
      </c>
      <c r="F79" s="59">
        <v>6.02</v>
      </c>
      <c r="G79" s="61">
        <f t="shared" si="14"/>
        <v>0.77959649125782449</v>
      </c>
      <c r="H79" s="61">
        <f t="shared" si="15"/>
        <v>0.44398175478884688</v>
      </c>
      <c r="I79" s="67">
        <f t="shared" si="16"/>
        <v>34.954693715514836</v>
      </c>
      <c r="J79" s="68">
        <f t="shared" si="17"/>
        <v>5.5278548229328768E-2</v>
      </c>
      <c r="K79" s="70">
        <f t="shared" si="18"/>
        <v>2.0453062844851644</v>
      </c>
      <c r="L79" s="62">
        <f t="shared" si="12"/>
        <v>3.1910147598346506E-4</v>
      </c>
      <c r="M79" s="62">
        <f t="shared" si="19"/>
        <v>530.95522827336674</v>
      </c>
      <c r="N79" s="62">
        <f t="shared" si="20"/>
        <v>38.140190194563601</v>
      </c>
      <c r="O79">
        <f t="shared" si="21"/>
        <v>-12.273880706834168</v>
      </c>
      <c r="P79">
        <f t="shared" si="22"/>
        <v>1.137590873717762</v>
      </c>
      <c r="Q79">
        <f t="shared" si="23"/>
        <v>2.0414810042175491E-2</v>
      </c>
      <c r="W79" s="62"/>
    </row>
    <row r="80" spans="1:23" x14ac:dyDescent="0.3">
      <c r="A80" s="59">
        <v>5.7779999999999996</v>
      </c>
      <c r="B80" s="57">
        <v>38</v>
      </c>
      <c r="C80">
        <f t="shared" si="13"/>
        <v>1.8920946026904804</v>
      </c>
      <c r="E80" s="57">
        <v>38</v>
      </c>
      <c r="F80" s="59">
        <v>5.7779999999999996</v>
      </c>
      <c r="G80" s="61">
        <f t="shared" si="14"/>
        <v>0.76177753750817812</v>
      </c>
      <c r="H80" s="61">
        <f t="shared" si="15"/>
        <v>0.44118869302476837</v>
      </c>
      <c r="I80" s="67">
        <f t="shared" si="16"/>
        <v>35.871997583610217</v>
      </c>
      <c r="J80" s="68">
        <f t="shared" si="17"/>
        <v>5.6000063589204827E-2</v>
      </c>
      <c r="K80" s="70">
        <f t="shared" si="18"/>
        <v>2.1280024163897835</v>
      </c>
      <c r="L80" s="62">
        <f t="shared" si="12"/>
        <v>3.1651789162414083E-4</v>
      </c>
      <c r="M80" s="62">
        <f t="shared" si="19"/>
        <v>529.95568975597314</v>
      </c>
      <c r="N80" s="62">
        <f t="shared" si="20"/>
        <v>39.139728711957254</v>
      </c>
      <c r="O80">
        <f t="shared" si="21"/>
        <v>-12.248892243899329</v>
      </c>
      <c r="P80">
        <f t="shared" si="22"/>
        <v>1.1411967125250984</v>
      </c>
      <c r="Q80">
        <f t="shared" si="23"/>
        <v>2.032394129182169E-2</v>
      </c>
      <c r="W80" s="62"/>
    </row>
    <row r="81" spans="1:23" x14ac:dyDescent="0.3">
      <c r="A81" s="59">
        <v>5.548</v>
      </c>
      <c r="B81" s="57">
        <v>39</v>
      </c>
      <c r="C81">
        <f t="shared" si="13"/>
        <v>1.8976270912904414</v>
      </c>
      <c r="E81" s="57">
        <v>39</v>
      </c>
      <c r="F81" s="59">
        <v>5.548</v>
      </c>
      <c r="G81" s="61">
        <f t="shared" si="14"/>
        <v>0.74413645240124726</v>
      </c>
      <c r="H81" s="61">
        <f t="shared" si="15"/>
        <v>0.43840570289896791</v>
      </c>
      <c r="I81" s="67">
        <f t="shared" si="16"/>
        <v>36.785993700738779</v>
      </c>
      <c r="J81" s="68">
        <f t="shared" si="17"/>
        <v>5.6769392288749269E-2</v>
      </c>
      <c r="K81" s="70">
        <f t="shared" si="18"/>
        <v>2.2140062992612215</v>
      </c>
      <c r="L81" s="62">
        <f t="shared" si="12"/>
        <v>3.1396009658161885E-4</v>
      </c>
      <c r="M81" s="62">
        <f t="shared" si="19"/>
        <v>528.9621020203731</v>
      </c>
      <c r="N81" s="62">
        <f t="shared" si="20"/>
        <v>40.133316447557199</v>
      </c>
      <c r="O81">
        <f t="shared" si="21"/>
        <v>-12.224052550509327</v>
      </c>
      <c r="P81">
        <f t="shared" si="22"/>
        <v>1.1447810838656465</v>
      </c>
      <c r="Q81">
        <f t="shared" si="23"/>
        <v>2.0127699298752577E-2</v>
      </c>
      <c r="W81" s="62"/>
    </row>
    <row r="82" spans="1:23" x14ac:dyDescent="0.3">
      <c r="A82" s="60">
        <v>5.327</v>
      </c>
      <c r="B82" s="57">
        <v>40</v>
      </c>
      <c r="C82">
        <f t="shared" si="13"/>
        <v>1.9030899869919435</v>
      </c>
      <c r="E82" s="57">
        <v>40</v>
      </c>
      <c r="F82" s="60">
        <v>5.327</v>
      </c>
      <c r="G82" s="61">
        <f t="shared" si="14"/>
        <v>0.72648269678482968</v>
      </c>
      <c r="H82" s="61">
        <f t="shared" si="15"/>
        <v>0.43560274584652869</v>
      </c>
      <c r="I82" s="67">
        <f t="shared" si="16"/>
        <v>37.706547402549234</v>
      </c>
      <c r="J82" s="68">
        <f t="shared" si="17"/>
        <v>5.7336314936269159E-2</v>
      </c>
      <c r="K82" s="70">
        <f t="shared" si="18"/>
        <v>2.2934525974507665</v>
      </c>
      <c r="L82" s="62">
        <f t="shared" si="12"/>
        <v>3.1140046443178999E-4</v>
      </c>
      <c r="M82" s="62">
        <f t="shared" si="19"/>
        <v>527.96374063890789</v>
      </c>
      <c r="N82" s="62">
        <f t="shared" si="20"/>
        <v>41.131677829022458</v>
      </c>
      <c r="O82">
        <f t="shared" si="21"/>
        <v>-12.199093515972697</v>
      </c>
      <c r="P82">
        <f t="shared" si="22"/>
        <v>1.1483826761508746</v>
      </c>
      <c r="Q82">
        <f t="shared" si="23"/>
        <v>2.0016623215170171E-2</v>
      </c>
      <c r="W82" s="62"/>
    </row>
    <row r="83" spans="1:23" x14ac:dyDescent="0.3">
      <c r="A83" s="60">
        <v>5.117</v>
      </c>
      <c r="B83" s="47">
        <v>41</v>
      </c>
      <c r="C83">
        <f t="shared" si="13"/>
        <v>1.9084850188786497</v>
      </c>
      <c r="E83" s="47">
        <v>41</v>
      </c>
      <c r="F83" s="60">
        <v>5.117</v>
      </c>
      <c r="G83" s="61">
        <f t="shared" si="14"/>
        <v>0.70901541697211734</v>
      </c>
      <c r="H83" s="61">
        <f t="shared" si="15"/>
        <v>0.43281147660454738</v>
      </c>
      <c r="I83" s="67">
        <f t="shared" si="16"/>
        <v>38.623262566350796</v>
      </c>
      <c r="J83" s="68">
        <f t="shared" si="17"/>
        <v>5.7969205698761073E-2</v>
      </c>
      <c r="K83" s="70">
        <f t="shared" si="18"/>
        <v>2.376737433649204</v>
      </c>
      <c r="L83" s="62">
        <f t="shared" si="12"/>
        <v>3.0886786955792094E-4</v>
      </c>
      <c r="M83" s="62">
        <f t="shared" si="19"/>
        <v>526.97187835748025</v>
      </c>
      <c r="N83" s="62">
        <f t="shared" si="20"/>
        <v>42.123540110450179</v>
      </c>
      <c r="O83">
        <f t="shared" si="21"/>
        <v>-12.174296958937006</v>
      </c>
      <c r="P83">
        <f t="shared" si="22"/>
        <v>1.1519608229092719</v>
      </c>
      <c r="Q83">
        <f t="shared" si="23"/>
        <v>1.9791566727882515E-2</v>
      </c>
      <c r="W83" s="62"/>
    </row>
    <row r="84" spans="1:23" x14ac:dyDescent="0.3">
      <c r="A84" s="49">
        <v>4.915</v>
      </c>
      <c r="B84" s="47">
        <v>42</v>
      </c>
      <c r="C84">
        <f t="shared" si="13"/>
        <v>1.9138138523837167</v>
      </c>
      <c r="E84" s="47">
        <v>42</v>
      </c>
      <c r="F84" s="49">
        <v>4.915</v>
      </c>
      <c r="G84" s="61">
        <f t="shared" si="14"/>
        <v>0.69152352216815438</v>
      </c>
      <c r="H84" s="61">
        <f t="shared" si="15"/>
        <v>0.42999817962010461</v>
      </c>
      <c r="I84" s="67">
        <f t="shared" si="16"/>
        <v>39.547212132780032</v>
      </c>
      <c r="J84" s="68">
        <f t="shared" si="17"/>
        <v>5.8399711124284943E-2</v>
      </c>
      <c r="K84" s="70">
        <f t="shared" si="18"/>
        <v>2.4527878672199677</v>
      </c>
      <c r="L84" s="62">
        <f t="shared" si="12"/>
        <v>3.0633170573677855E-4</v>
      </c>
      <c r="M84" s="62">
        <f t="shared" si="19"/>
        <v>525.97453485239862</v>
      </c>
      <c r="N84" s="62">
        <f t="shared" si="20"/>
        <v>43.120883615531717</v>
      </c>
      <c r="O84">
        <f t="shared" si="21"/>
        <v>-12.149363371309965</v>
      </c>
      <c r="P84">
        <f t="shared" si="22"/>
        <v>1.155558743201774</v>
      </c>
      <c r="Q84">
        <f t="shared" si="23"/>
        <v>1.9663620631845458E-2</v>
      </c>
      <c r="W84" s="62"/>
    </row>
    <row r="85" spans="1:23" x14ac:dyDescent="0.3">
      <c r="A85" s="49">
        <v>4.7229999999999999</v>
      </c>
      <c r="B85" s="47">
        <v>43</v>
      </c>
      <c r="C85">
        <f t="shared" si="13"/>
        <v>1.919078092376074</v>
      </c>
      <c r="E85" s="47">
        <v>43</v>
      </c>
      <c r="F85" s="49">
        <v>4.7229999999999999</v>
      </c>
      <c r="G85" s="61">
        <f t="shared" si="14"/>
        <v>0.6742179455766999</v>
      </c>
      <c r="H85" s="61">
        <f t="shared" si="15"/>
        <v>0.42719679885123701</v>
      </c>
      <c r="I85" s="67">
        <f t="shared" si="16"/>
        <v>40.467248147858299</v>
      </c>
      <c r="J85" s="68">
        <f t="shared" si="17"/>
        <v>5.8901205863760478E-2</v>
      </c>
      <c r="K85" s="70">
        <f t="shared" si="18"/>
        <v>2.5327518521417005</v>
      </c>
      <c r="L85" s="62">
        <f t="shared" si="12"/>
        <v>3.0382255634232229E-4</v>
      </c>
      <c r="M85" s="62">
        <f t="shared" si="19"/>
        <v>524.98374359664581</v>
      </c>
      <c r="N85" s="62">
        <f t="shared" si="20"/>
        <v>44.111674871284549</v>
      </c>
      <c r="O85">
        <f t="shared" si="21"/>
        <v>-12.124593589916145</v>
      </c>
      <c r="P85">
        <f t="shared" si="22"/>
        <v>1.1591330262311852</v>
      </c>
      <c r="Q85">
        <f t="shared" si="23"/>
        <v>1.9421851723300021E-2</v>
      </c>
      <c r="W85" s="62"/>
    </row>
    <row r="86" spans="1:23" x14ac:dyDescent="0.3">
      <c r="A86" s="49">
        <v>4.5389999999999997</v>
      </c>
      <c r="B86" s="47">
        <v>44</v>
      </c>
      <c r="C86">
        <f t="shared" si="13"/>
        <v>1.9242792860618816</v>
      </c>
      <c r="E86" s="47">
        <v>44</v>
      </c>
      <c r="F86" s="49">
        <v>4.5389999999999997</v>
      </c>
      <c r="G86" s="61">
        <f t="shared" si="14"/>
        <v>0.65696018274284917</v>
      </c>
      <c r="H86" s="61">
        <f t="shared" si="15"/>
        <v>0.42438504611346278</v>
      </c>
      <c r="I86" s="67">
        <f t="shared" si="16"/>
        <v>41.390690549189877</v>
      </c>
      <c r="J86" s="68">
        <f t="shared" si="17"/>
        <v>5.9302487518411891E-2</v>
      </c>
      <c r="K86" s="70">
        <f t="shared" si="18"/>
        <v>2.6093094508101231</v>
      </c>
      <c r="L86" s="62">
        <f t="shared" si="12"/>
        <v>3.0132033950283198E-4</v>
      </c>
      <c r="M86" s="62">
        <f t="shared" si="19"/>
        <v>523.99160703847008</v>
      </c>
      <c r="N86" s="62">
        <f t="shared" si="20"/>
        <v>45.103811429460343</v>
      </c>
      <c r="O86">
        <f t="shared" si="21"/>
        <v>-12.099790175961752</v>
      </c>
      <c r="P86">
        <f t="shared" si="22"/>
        <v>1.1627121624439407</v>
      </c>
      <c r="Q86">
        <f t="shared" si="23"/>
        <v>1.9204764457150691E-2</v>
      </c>
      <c r="W86" s="62"/>
    </row>
    <row r="87" spans="1:23" x14ac:dyDescent="0.3">
      <c r="A87" s="49">
        <v>4.3630000000000004</v>
      </c>
      <c r="B87" s="47">
        <v>45</v>
      </c>
      <c r="C87">
        <f t="shared" si="13"/>
        <v>1.9294189257142926</v>
      </c>
      <c r="E87" s="47">
        <v>45</v>
      </c>
      <c r="F87" s="49">
        <v>4.3630000000000004</v>
      </c>
      <c r="G87" s="61">
        <f t="shared" si="14"/>
        <v>0.63978521298682012</v>
      </c>
      <c r="H87" s="61">
        <f t="shared" si="15"/>
        <v>0.42156859179050604</v>
      </c>
      <c r="I87" s="67">
        <f t="shared" si="16"/>
        <v>42.315677056108221</v>
      </c>
      <c r="J87" s="68">
        <f t="shared" si="17"/>
        <v>5.9651620975372861E-2</v>
      </c>
      <c r="K87" s="70">
        <f t="shared" si="18"/>
        <v>2.6843229438917788</v>
      </c>
      <c r="L87" s="62">
        <f t="shared" si="12"/>
        <v>2.9883012689792948E-4</v>
      </c>
      <c r="M87" s="62">
        <f t="shared" si="19"/>
        <v>523.0001318751963</v>
      </c>
      <c r="N87" s="62">
        <f t="shared" si="20"/>
        <v>46.095286592734134</v>
      </c>
      <c r="O87">
        <f t="shared" si="21"/>
        <v>-12.075003296879908</v>
      </c>
      <c r="P87">
        <f t="shared" si="22"/>
        <v>1.1662889126722009</v>
      </c>
      <c r="Q87">
        <f t="shared" si="23"/>
        <v>1.8977379513179793E-2</v>
      </c>
      <c r="W87" s="62"/>
    </row>
    <row r="88" spans="1:23" x14ac:dyDescent="0.3">
      <c r="A88" s="49">
        <v>4.1950000000000003</v>
      </c>
      <c r="B88" s="47">
        <v>46</v>
      </c>
      <c r="C88">
        <f t="shared" si="13"/>
        <v>1.9344984512435677</v>
      </c>
      <c r="E88" s="47">
        <v>46</v>
      </c>
      <c r="F88" s="49">
        <v>4.1950000000000003</v>
      </c>
      <c r="G88" s="61">
        <f t="shared" si="14"/>
        <v>0.62273196516471907</v>
      </c>
      <c r="H88" s="61">
        <f t="shared" si="15"/>
        <v>0.41875390934830969</v>
      </c>
      <c r="I88" s="67">
        <f t="shared" si="16"/>
        <v>43.240081637808792</v>
      </c>
      <c r="J88" s="68">
        <f t="shared" si="17"/>
        <v>5.9998225265026253E-2</v>
      </c>
      <c r="K88" s="70">
        <f t="shared" si="18"/>
        <v>2.7599183621912076</v>
      </c>
      <c r="L88" s="62">
        <f t="shared" si="12"/>
        <v>2.9635756285360484E-4</v>
      </c>
      <c r="M88" s="62">
        <f t="shared" si="19"/>
        <v>522.01158773056227</v>
      </c>
      <c r="N88" s="62">
        <f t="shared" si="20"/>
        <v>47.083830737368032</v>
      </c>
      <c r="O88">
        <f t="shared" si="21"/>
        <v>-12.050289693264057</v>
      </c>
      <c r="P88">
        <f t="shared" si="22"/>
        <v>1.1698550892401445</v>
      </c>
      <c r="Q88">
        <f t="shared" si="23"/>
        <v>1.8700768035280868E-2</v>
      </c>
      <c r="W88" s="62"/>
    </row>
    <row r="89" spans="1:23" x14ac:dyDescent="0.3">
      <c r="A89" s="49">
        <v>4.0339999999999998</v>
      </c>
      <c r="B89" s="47">
        <v>47</v>
      </c>
      <c r="C89">
        <f t="shared" si="13"/>
        <v>1.9395192526186185</v>
      </c>
      <c r="E89" s="47">
        <v>47</v>
      </c>
      <c r="F89" s="49">
        <v>4.0339999999999998</v>
      </c>
      <c r="G89" s="61">
        <f t="shared" si="14"/>
        <v>0.60573589387674664</v>
      </c>
      <c r="H89" s="61">
        <f t="shared" si="15"/>
        <v>0.41593039539632454</v>
      </c>
      <c r="I89" s="67">
        <f t="shared" si="16"/>
        <v>44.167386684581274</v>
      </c>
      <c r="J89" s="68">
        <f t="shared" si="17"/>
        <v>6.0268368413164387E-2</v>
      </c>
      <c r="K89" s="70">
        <f t="shared" si="18"/>
        <v>2.8326133154187261</v>
      </c>
      <c r="L89" s="62">
        <f t="shared" si="12"/>
        <v>2.9389328888070466E-4</v>
      </c>
      <c r="M89" s="62">
        <f t="shared" si="19"/>
        <v>521.02224634441916</v>
      </c>
      <c r="N89" s="62">
        <f t="shared" si="20"/>
        <v>48.073172123511299</v>
      </c>
      <c r="O89">
        <f t="shared" si="21"/>
        <v>-12.025556158610479</v>
      </c>
      <c r="P89">
        <f t="shared" si="22"/>
        <v>1.1734241418597089</v>
      </c>
      <c r="Q89">
        <f t="shared" si="23"/>
        <v>1.8439475423253304E-2</v>
      </c>
      <c r="W89" s="62"/>
    </row>
    <row r="90" spans="1:23" x14ac:dyDescent="0.3">
      <c r="A90" s="49">
        <v>3.88</v>
      </c>
      <c r="B90" s="47">
        <v>48</v>
      </c>
      <c r="C90">
        <f t="shared" si="13"/>
        <v>1.9444826721501687</v>
      </c>
      <c r="E90" s="47">
        <v>48</v>
      </c>
      <c r="F90" s="49">
        <v>3.88</v>
      </c>
      <c r="G90" s="61">
        <f t="shared" si="14"/>
        <v>0.58883172559420727</v>
      </c>
      <c r="H90" s="61">
        <f t="shared" si="15"/>
        <v>0.41310382215331326</v>
      </c>
      <c r="I90" s="67">
        <f t="shared" si="16"/>
        <v>45.095696470857902</v>
      </c>
      <c r="J90" s="68">
        <f t="shared" si="17"/>
        <v>6.0506323523793704E-2</v>
      </c>
      <c r="K90" s="70">
        <f t="shared" si="18"/>
        <v>2.9043035291420978</v>
      </c>
      <c r="L90" s="62">
        <f t="shared" si="12"/>
        <v>2.9144233999808464E-4</v>
      </c>
      <c r="M90" s="62">
        <f t="shared" si="19"/>
        <v>520.03413183355008</v>
      </c>
      <c r="N90" s="62">
        <f t="shared" si="20"/>
        <v>49.061286634380316</v>
      </c>
      <c r="O90">
        <f t="shared" si="21"/>
        <v>-12.000853295838752</v>
      </c>
      <c r="P90">
        <f t="shared" si="22"/>
        <v>1.1769887685222955</v>
      </c>
      <c r="Q90">
        <f t="shared" si="23"/>
        <v>1.8158775205792677E-2</v>
      </c>
      <c r="W90" s="62"/>
    </row>
    <row r="91" spans="1:23" x14ac:dyDescent="0.3">
      <c r="A91" s="49">
        <v>3.7330000000000001</v>
      </c>
      <c r="B91" s="47">
        <v>49</v>
      </c>
      <c r="C91">
        <f t="shared" si="13"/>
        <v>1.9493900066449128</v>
      </c>
      <c r="E91" s="47">
        <v>49</v>
      </c>
      <c r="F91" s="49">
        <v>3.7330000000000001</v>
      </c>
      <c r="G91" s="61">
        <f t="shared" si="14"/>
        <v>0.57205798992630452</v>
      </c>
      <c r="H91" s="61">
        <f t="shared" si="15"/>
        <v>0.41028075601777125</v>
      </c>
      <c r="I91" s="67">
        <f t="shared" si="16"/>
        <v>46.022854444708202</v>
      </c>
      <c r="J91" s="68">
        <f t="shared" si="17"/>
        <v>6.0758072556975476E-2</v>
      </c>
      <c r="K91" s="70">
        <f t="shared" si="18"/>
        <v>2.9771455552917985</v>
      </c>
      <c r="L91" s="62">
        <f t="shared" si="12"/>
        <v>2.8901030264460688E-4</v>
      </c>
      <c r="M91" s="62">
        <f t="shared" si="19"/>
        <v>519.04952612522277</v>
      </c>
      <c r="N91" s="62">
        <f t="shared" si="20"/>
        <v>50.045892342707674</v>
      </c>
      <c r="O91">
        <f t="shared" si="21"/>
        <v>-11.97623815313057</v>
      </c>
      <c r="P91">
        <f t="shared" si="22"/>
        <v>1.1805407371670551</v>
      </c>
      <c r="Q91">
        <f t="shared" si="23"/>
        <v>1.7820137773695288E-2</v>
      </c>
      <c r="W91" s="62"/>
    </row>
    <row r="92" spans="1:23" x14ac:dyDescent="0.3">
      <c r="A92" s="49">
        <v>3.5920000000000001</v>
      </c>
      <c r="B92" s="47">
        <v>50</v>
      </c>
      <c r="C92">
        <f t="shared" si="13"/>
        <v>1.954242509439325</v>
      </c>
      <c r="E92" s="47">
        <v>50</v>
      </c>
      <c r="F92" s="49">
        <v>3.5920000000000001</v>
      </c>
      <c r="G92" s="61">
        <f t="shared" si="14"/>
        <v>0.55533632799526678</v>
      </c>
      <c r="H92" s="61">
        <f t="shared" si="15"/>
        <v>0.4074480691594291</v>
      </c>
      <c r="I92" s="67">
        <f t="shared" si="16"/>
        <v>46.953172078810887</v>
      </c>
      <c r="J92" s="68">
        <f t="shared" si="17"/>
        <v>6.0936558423782261E-2</v>
      </c>
      <c r="K92" s="70">
        <f t="shared" si="18"/>
        <v>3.0468279211891129</v>
      </c>
      <c r="L92" s="62">
        <f t="shared" si="12"/>
        <v>2.8658581550389619E-4</v>
      </c>
      <c r="M92" s="62">
        <f t="shared" si="19"/>
        <v>518.06384492886912</v>
      </c>
      <c r="N92" s="62">
        <f t="shared" si="20"/>
        <v>51.031573539061213</v>
      </c>
      <c r="O92">
        <f t="shared" si="21"/>
        <v>-11.951596123221728</v>
      </c>
      <c r="P92">
        <f t="shared" si="22"/>
        <v>1.1840965856387489</v>
      </c>
      <c r="Q92">
        <f t="shared" si="23"/>
        <v>1.7501922004733217E-2</v>
      </c>
      <c r="W92" s="62"/>
    </row>
    <row r="93" spans="1:23" x14ac:dyDescent="0.3">
      <c r="A93" s="50">
        <v>3.4569999999999999</v>
      </c>
      <c r="B93" s="47">
        <v>51</v>
      </c>
      <c r="C93">
        <f t="shared" si="13"/>
        <v>1.9590413923210936</v>
      </c>
      <c r="E93" s="47">
        <v>51</v>
      </c>
      <c r="F93" s="50">
        <v>3.4569999999999999</v>
      </c>
      <c r="G93" s="61">
        <f t="shared" si="14"/>
        <v>0.53869937954240676</v>
      </c>
      <c r="H93" s="61">
        <f t="shared" si="15"/>
        <v>0.40461127687388537</v>
      </c>
      <c r="I93" s="67">
        <f t="shared" si="16"/>
        <v>47.88483802690385</v>
      </c>
      <c r="J93" s="68">
        <f t="shared" si="17"/>
        <v>6.1081607315610784E-2</v>
      </c>
      <c r="K93" s="70">
        <f t="shared" si="18"/>
        <v>3.1151619730961499</v>
      </c>
      <c r="L93" s="62">
        <f t="shared" si="12"/>
        <v>2.8417361103815728E-4</v>
      </c>
      <c r="M93" s="62">
        <f t="shared" si="19"/>
        <v>517.0790107963137</v>
      </c>
      <c r="N93" s="62">
        <f t="shared" si="20"/>
        <v>52.016407671616683</v>
      </c>
      <c r="O93">
        <f t="shared" si="21"/>
        <v>-11.926975269907842</v>
      </c>
      <c r="P93">
        <f t="shared" si="22"/>
        <v>1.1876493783247355</v>
      </c>
      <c r="Q93">
        <f t="shared" si="23"/>
        <v>1.7171488157593062E-2</v>
      </c>
      <c r="W93" s="62"/>
    </row>
    <row r="94" spans="1:23" x14ac:dyDescent="0.3">
      <c r="A94" s="50">
        <v>3.3279999999999998</v>
      </c>
      <c r="B94" s="47">
        <v>52</v>
      </c>
      <c r="C94">
        <f t="shared" si="13"/>
        <v>1.9637878273455553</v>
      </c>
      <c r="E94" s="47">
        <v>52</v>
      </c>
      <c r="F94" s="50">
        <v>3.3279999999999998</v>
      </c>
      <c r="G94" s="61">
        <f t="shared" si="14"/>
        <v>0.5221833176186863</v>
      </c>
      <c r="H94" s="61">
        <f t="shared" si="15"/>
        <v>0.40177664882584557</v>
      </c>
      <c r="I94" s="67">
        <f t="shared" si="16"/>
        <v>48.815793191060926</v>
      </c>
      <c r="J94" s="68">
        <f t="shared" si="17"/>
        <v>6.1234746325751419E-2</v>
      </c>
      <c r="K94" s="70">
        <f t="shared" si="18"/>
        <v>3.1842068089390736</v>
      </c>
      <c r="L94" s="62">
        <f t="shared" si="12"/>
        <v>2.8177893400698753E-4</v>
      </c>
      <c r="M94" s="62">
        <f t="shared" si="19"/>
        <v>516.09718946461385</v>
      </c>
      <c r="N94" s="62">
        <f t="shared" si="20"/>
        <v>52.99822900331651</v>
      </c>
      <c r="O94">
        <f t="shared" si="21"/>
        <v>-11.902429736615346</v>
      </c>
      <c r="P94">
        <f t="shared" si="22"/>
        <v>1.1911913023207665</v>
      </c>
      <c r="Q94">
        <f t="shared" si="23"/>
        <v>1.6792663181313672E-2</v>
      </c>
      <c r="W94" s="62"/>
    </row>
    <row r="95" spans="1:23" x14ac:dyDescent="0.3">
      <c r="A95" s="50">
        <v>3.2040000000000002</v>
      </c>
      <c r="B95" s="47">
        <v>53</v>
      </c>
      <c r="C95">
        <f t="shared" si="13"/>
        <v>1.968482948553935</v>
      </c>
      <c r="E95" s="47">
        <v>53</v>
      </c>
      <c r="F95" s="50">
        <v>3.2040000000000002</v>
      </c>
      <c r="G95" s="61">
        <f t="shared" si="14"/>
        <v>0.50569250741220007</v>
      </c>
      <c r="H95" s="61">
        <f t="shared" si="15"/>
        <v>0.39892777434856602</v>
      </c>
      <c r="I95" s="67">
        <f t="shared" si="16"/>
        <v>49.751427200783191</v>
      </c>
      <c r="J95" s="68">
        <f t="shared" si="17"/>
        <v>6.1293826400317157E-2</v>
      </c>
      <c r="K95" s="70">
        <f t="shared" si="18"/>
        <v>3.2485727992168094</v>
      </c>
      <c r="L95" s="62">
        <f t="shared" si="12"/>
        <v>2.7938791824250089E-4</v>
      </c>
      <c r="M95" s="62">
        <f t="shared" si="19"/>
        <v>515.11269796205499</v>
      </c>
      <c r="N95" s="62">
        <f t="shared" si="20"/>
        <v>53.982720505875371</v>
      </c>
      <c r="O95">
        <f t="shared" si="21"/>
        <v>-11.877817449051374</v>
      </c>
      <c r="P95">
        <f t="shared" si="22"/>
        <v>1.1947428589678044</v>
      </c>
      <c r="Q95">
        <f t="shared" si="23"/>
        <v>1.6461081887799822E-2</v>
      </c>
      <c r="W95" s="62"/>
    </row>
    <row r="96" spans="1:23" x14ac:dyDescent="0.3">
      <c r="A96" s="50">
        <v>3.0859999999999999</v>
      </c>
      <c r="B96" s="47">
        <v>54</v>
      </c>
      <c r="C96">
        <f t="shared" si="13"/>
        <v>1.9731278535996986</v>
      </c>
      <c r="E96" s="47">
        <v>54</v>
      </c>
      <c r="F96" s="50">
        <v>3.0859999999999999</v>
      </c>
      <c r="G96" s="61">
        <f t="shared" si="14"/>
        <v>0.48939592172712942</v>
      </c>
      <c r="H96" s="61">
        <f t="shared" si="15"/>
        <v>0.39609397372677496</v>
      </c>
      <c r="I96" s="67">
        <f t="shared" si="16"/>
        <v>50.682110619679101</v>
      </c>
      <c r="J96" s="68">
        <f t="shared" si="17"/>
        <v>6.1442395931868503E-2</v>
      </c>
      <c r="K96" s="70">
        <f t="shared" si="18"/>
        <v>3.3178893803208993</v>
      </c>
      <c r="L96" s="62">
        <f t="shared" si="12"/>
        <v>2.7702506324675394E-4</v>
      </c>
      <c r="M96" s="62">
        <f t="shared" si="19"/>
        <v>514.13565429443474</v>
      </c>
      <c r="N96" s="62">
        <f t="shared" si="20"/>
        <v>54.959764173495678</v>
      </c>
      <c r="O96">
        <f t="shared" si="21"/>
        <v>-11.853391357360868</v>
      </c>
      <c r="P96">
        <f t="shared" si="22"/>
        <v>1.1982675475234332</v>
      </c>
      <c r="Q96">
        <f t="shared" si="23"/>
        <v>1.6007771472870247E-2</v>
      </c>
      <c r="W96" s="62"/>
    </row>
    <row r="97" spans="1:23" x14ac:dyDescent="0.3">
      <c r="A97" s="50">
        <v>2.972</v>
      </c>
      <c r="B97" s="47">
        <v>55</v>
      </c>
      <c r="C97">
        <f t="shared" si="13"/>
        <v>1.9777236052888478</v>
      </c>
      <c r="E97" s="47">
        <v>55</v>
      </c>
      <c r="F97" s="50">
        <v>2.972</v>
      </c>
      <c r="G97" s="61">
        <f t="shared" si="14"/>
        <v>0.47304880508853769</v>
      </c>
      <c r="H97" s="61">
        <f t="shared" si="15"/>
        <v>0.3932326871544603</v>
      </c>
      <c r="I97" s="67">
        <f t="shared" si="16"/>
        <v>51.621821038642764</v>
      </c>
      <c r="J97" s="68">
        <f t="shared" si="17"/>
        <v>6.1421435661040649E-2</v>
      </c>
      <c r="K97" s="70">
        <f t="shared" si="18"/>
        <v>3.3781789613572357</v>
      </c>
      <c r="L97" s="62">
        <f t="shared" si="12"/>
        <v>2.7465488172763127E-4</v>
      </c>
      <c r="M97" s="62">
        <f t="shared" si="19"/>
        <v>513.15138584745694</v>
      </c>
      <c r="N97" s="62">
        <f t="shared" si="20"/>
        <v>55.944032620473521</v>
      </c>
      <c r="O97">
        <f t="shared" si="21"/>
        <v>-11.828784646186424</v>
      </c>
      <c r="P97">
        <f t="shared" si="22"/>
        <v>1.2018182994966577</v>
      </c>
      <c r="Q97">
        <f t="shared" si="23"/>
        <v>1.5677487411462299E-2</v>
      </c>
      <c r="W97" s="62"/>
    </row>
    <row r="98" spans="1:23" x14ac:dyDescent="0.3">
      <c r="A98" s="50">
        <v>2.863</v>
      </c>
      <c r="B98" s="47">
        <v>56</v>
      </c>
      <c r="C98">
        <f t="shared" si="13"/>
        <v>1.9822712330395684</v>
      </c>
      <c r="E98" s="47">
        <v>56</v>
      </c>
      <c r="F98" s="50">
        <v>2.863</v>
      </c>
      <c r="G98" s="61">
        <f t="shared" si="14"/>
        <v>0.45682134802159863</v>
      </c>
      <c r="H98" s="61">
        <f t="shared" si="15"/>
        <v>0.39037357716006099</v>
      </c>
      <c r="I98" s="67">
        <f t="shared" si="16"/>
        <v>52.560816620803813</v>
      </c>
      <c r="J98" s="68">
        <f t="shared" si="17"/>
        <v>6.1413988914217628E-2</v>
      </c>
      <c r="K98" s="70">
        <f t="shared" si="18"/>
        <v>3.4391833791961872</v>
      </c>
      <c r="L98" s="62">
        <f t="shared" si="12"/>
        <v>2.7230204974553005E-4</v>
      </c>
      <c r="M98" s="62">
        <f t="shared" si="19"/>
        <v>512.17011271937872</v>
      </c>
      <c r="N98" s="62">
        <f t="shared" si="20"/>
        <v>56.925305748551622</v>
      </c>
      <c r="O98">
        <f t="shared" si="21"/>
        <v>-11.804252817984468</v>
      </c>
      <c r="P98">
        <f t="shared" si="22"/>
        <v>1.2053582458461458</v>
      </c>
      <c r="Q98">
        <f t="shared" si="23"/>
        <v>1.5300039178401226E-2</v>
      </c>
      <c r="W98" s="62"/>
    </row>
    <row r="99" spans="1:23" x14ac:dyDescent="0.3">
      <c r="A99" s="50">
        <v>2.7589999999999999</v>
      </c>
      <c r="B99" s="47">
        <v>57</v>
      </c>
      <c r="C99">
        <f t="shared" si="13"/>
        <v>1.9867717342662448</v>
      </c>
      <c r="E99" s="47">
        <v>57</v>
      </c>
      <c r="F99" s="50">
        <v>2.7589999999999999</v>
      </c>
      <c r="G99" s="61">
        <f t="shared" si="14"/>
        <v>0.44075170047918544</v>
      </c>
      <c r="H99" s="61">
        <f t="shared" si="15"/>
        <v>0.38752360055744389</v>
      </c>
      <c r="I99" s="67">
        <f t="shared" si="16"/>
        <v>53.496812593103584</v>
      </c>
      <c r="J99" s="68">
        <f t="shared" si="17"/>
        <v>6.1459428191165191E-2</v>
      </c>
      <c r="K99" s="70">
        <f t="shared" si="18"/>
        <v>3.5031874068964157</v>
      </c>
      <c r="L99" s="62">
        <f t="shared" si="12"/>
        <v>2.6997209869263755E-4</v>
      </c>
      <c r="M99" s="62">
        <f t="shared" si="19"/>
        <v>511.19419567964542</v>
      </c>
      <c r="N99" s="62">
        <f t="shared" si="20"/>
        <v>57.90122278828499</v>
      </c>
      <c r="O99">
        <f t="shared" si="21"/>
        <v>-11.779854891991135</v>
      </c>
      <c r="P99">
        <f t="shared" si="22"/>
        <v>1.2088788700876083</v>
      </c>
      <c r="Q99">
        <f t="shared" si="23"/>
        <v>1.4837276820814482E-2</v>
      </c>
      <c r="W99" s="62"/>
    </row>
    <row r="100" spans="1:23" x14ac:dyDescent="0.3">
      <c r="A100" s="50">
        <v>2.6589999999999998</v>
      </c>
      <c r="B100" s="47">
        <v>58</v>
      </c>
      <c r="C100">
        <f t="shared" si="13"/>
        <v>1.9912260756924949</v>
      </c>
      <c r="E100" s="47">
        <v>58</v>
      </c>
      <c r="F100" s="50">
        <v>2.6589999999999998</v>
      </c>
      <c r="G100" s="61">
        <f t="shared" si="14"/>
        <v>0.424718337331567</v>
      </c>
      <c r="H100" s="61">
        <f t="shared" si="15"/>
        <v>0.38466129689820855</v>
      </c>
      <c r="I100" s="67">
        <f t="shared" si="16"/>
        <v>54.436857046129269</v>
      </c>
      <c r="J100" s="68">
        <f t="shared" si="17"/>
        <v>6.1433499204667771E-2</v>
      </c>
      <c r="K100" s="70">
        <f t="shared" si="18"/>
        <v>3.5631429538707309</v>
      </c>
      <c r="L100" s="62">
        <f t="shared" si="12"/>
        <v>2.6764740854317388E-4</v>
      </c>
      <c r="M100" s="62">
        <f t="shared" si="19"/>
        <v>510.21627611956808</v>
      </c>
      <c r="N100" s="62">
        <f t="shared" si="20"/>
        <v>58.879142348362315</v>
      </c>
      <c r="O100">
        <f t="shared" si="21"/>
        <v>-11.755406902989202</v>
      </c>
      <c r="P100">
        <f t="shared" si="22"/>
        <v>1.2124067184284355</v>
      </c>
      <c r="Q100">
        <f t="shared" si="23"/>
        <v>1.441072546843275E-2</v>
      </c>
      <c r="W100" s="62"/>
    </row>
    <row r="101" spans="1:23" x14ac:dyDescent="0.3">
      <c r="A101" s="50">
        <v>2.5640000000000001</v>
      </c>
      <c r="B101" s="47">
        <v>59</v>
      </c>
      <c r="C101">
        <f t="shared" si="13"/>
        <v>1.9956351945975499</v>
      </c>
      <c r="E101" s="47">
        <v>59</v>
      </c>
      <c r="F101" s="50">
        <v>2.5640000000000001</v>
      </c>
      <c r="G101" s="61">
        <f t="shared" si="14"/>
        <v>0.40891802084677981</v>
      </c>
      <c r="H101" s="61">
        <f t="shared" si="15"/>
        <v>0.38182202054642078</v>
      </c>
      <c r="I101" s="67">
        <f t="shared" si="16"/>
        <v>55.369338817059933</v>
      </c>
      <c r="J101" s="68">
        <f t="shared" si="17"/>
        <v>6.1536630219323159E-2</v>
      </c>
      <c r="K101" s="70">
        <f t="shared" si="18"/>
        <v>3.6306611829400666</v>
      </c>
      <c r="L101" s="62">
        <f t="shared" si="12"/>
        <v>2.6535650801579134E-4</v>
      </c>
      <c r="M101" s="62">
        <f t="shared" si="19"/>
        <v>509.24840710474604</v>
      </c>
      <c r="N101" s="62">
        <f t="shared" si="20"/>
        <v>59.847011363184329</v>
      </c>
      <c r="O101">
        <f t="shared" si="21"/>
        <v>-11.731210177618651</v>
      </c>
      <c r="P101">
        <f t="shared" si="22"/>
        <v>1.2158983093909967</v>
      </c>
      <c r="Q101">
        <f t="shared" si="23"/>
        <v>1.3823622853220197E-2</v>
      </c>
      <c r="W101" s="62"/>
    </row>
    <row r="102" spans="1:23" x14ac:dyDescent="0.3">
      <c r="A102" s="49">
        <v>2.472</v>
      </c>
      <c r="B102" s="47">
        <v>60</v>
      </c>
      <c r="C102">
        <f t="shared" si="13"/>
        <v>2</v>
      </c>
      <c r="E102" s="47">
        <v>60</v>
      </c>
      <c r="F102" s="49">
        <v>2.472</v>
      </c>
      <c r="G102" s="61">
        <f t="shared" si="14"/>
        <v>0.39304846641677821</v>
      </c>
      <c r="H102" s="61">
        <f t="shared" si="15"/>
        <v>0.37895149446977389</v>
      </c>
      <c r="I102" s="67">
        <f t="shared" si="16"/>
        <v>56.31208369561638</v>
      </c>
      <c r="J102" s="68">
        <f t="shared" si="17"/>
        <v>6.1465271739727004E-2</v>
      </c>
      <c r="K102" s="70">
        <f t="shared" si="18"/>
        <v>3.6879163043836201</v>
      </c>
      <c r="L102" s="62">
        <f t="shared" si="12"/>
        <v>2.6305556862334187E-4</v>
      </c>
      <c r="M102" s="62">
        <f t="shared" si="19"/>
        <v>508.27208214302857</v>
      </c>
      <c r="N102" s="62">
        <f t="shared" si="20"/>
        <v>60.823336324901845</v>
      </c>
      <c r="O102">
        <f t="shared" si="21"/>
        <v>-11.706802053575714</v>
      </c>
      <c r="P102">
        <f t="shared" si="22"/>
        <v>1.2194204052124886</v>
      </c>
      <c r="Q102">
        <f t="shared" si="23"/>
        <v>1.3378253583221589E-2</v>
      </c>
      <c r="W102" s="62"/>
    </row>
    <row r="103" spans="1:23" x14ac:dyDescent="0.3">
      <c r="A103" s="50">
        <v>2.3839999999999999</v>
      </c>
      <c r="B103" s="47">
        <v>61</v>
      </c>
      <c r="C103">
        <f t="shared" si="13"/>
        <v>2.0043213737826426</v>
      </c>
      <c r="E103" s="47">
        <v>61</v>
      </c>
      <c r="F103" s="50">
        <v>2.3839999999999999</v>
      </c>
      <c r="G103" s="61">
        <f t="shared" si="14"/>
        <v>0.37730625106819882</v>
      </c>
      <c r="H103" s="61">
        <f t="shared" si="15"/>
        <v>0.37608513233049995</v>
      </c>
      <c r="I103" s="67">
        <f t="shared" si="16"/>
        <v>57.25346104413542</v>
      </c>
      <c r="J103" s="68">
        <f t="shared" si="17"/>
        <v>6.141867140761606E-2</v>
      </c>
      <c r="K103" s="70">
        <f t="shared" si="18"/>
        <v>3.7465389558645796</v>
      </c>
      <c r="L103" s="62">
        <f t="shared" si="12"/>
        <v>2.6077309222617912E-4</v>
      </c>
      <c r="M103" s="62">
        <f t="shared" si="19"/>
        <v>507.2993634784014</v>
      </c>
      <c r="N103" s="62">
        <f t="shared" si="20"/>
        <v>61.79605498952899</v>
      </c>
      <c r="O103">
        <f t="shared" si="21"/>
        <v>-11.682484086960034</v>
      </c>
      <c r="P103">
        <f t="shared" si="22"/>
        <v>1.2229294913042172</v>
      </c>
      <c r="Q103">
        <f t="shared" si="23"/>
        <v>1.2878040631801202E-2</v>
      </c>
      <c r="W103" s="62"/>
    </row>
    <row r="104" spans="1:23" x14ac:dyDescent="0.3">
      <c r="A104" s="50">
        <v>2.2989999999999999</v>
      </c>
      <c r="B104" s="47">
        <v>62</v>
      </c>
      <c r="C104">
        <f t="shared" si="13"/>
        <v>2.0086001717619175</v>
      </c>
      <c r="E104" s="47">
        <v>62</v>
      </c>
      <c r="F104" s="50">
        <v>2.2989999999999999</v>
      </c>
      <c r="G104" s="61">
        <f t="shared" si="14"/>
        <v>0.36153897126927903</v>
      </c>
      <c r="H104" s="61">
        <f t="shared" si="15"/>
        <v>0.37319511691146851</v>
      </c>
      <c r="I104" s="67">
        <f t="shared" si="16"/>
        <v>58.202606658037539</v>
      </c>
      <c r="J104" s="68">
        <f t="shared" si="17"/>
        <v>6.1248279709071957E-2</v>
      </c>
      <c r="K104" s="70">
        <f t="shared" si="18"/>
        <v>3.7973933419624615</v>
      </c>
      <c r="L104" s="62">
        <f t="shared" si="12"/>
        <v>2.5848698171430988E-4</v>
      </c>
      <c r="M104" s="62">
        <f t="shared" si="19"/>
        <v>506.3208194766774</v>
      </c>
      <c r="N104" s="62">
        <f t="shared" si="20"/>
        <v>62.77459899125293</v>
      </c>
      <c r="O104">
        <f t="shared" si="21"/>
        <v>-11.658020486916936</v>
      </c>
      <c r="P104">
        <f t="shared" si="22"/>
        <v>1.2264595923205375</v>
      </c>
      <c r="Q104">
        <f t="shared" si="23"/>
        <v>1.247538753072075E-2</v>
      </c>
      <c r="W104" s="62"/>
    </row>
    <row r="105" spans="1:23" x14ac:dyDescent="0.3">
      <c r="A105" s="50">
        <v>2.218</v>
      </c>
      <c r="B105" s="47">
        <v>63</v>
      </c>
      <c r="C105">
        <f t="shared" si="13"/>
        <v>2.012837224705172</v>
      </c>
      <c r="E105" s="47">
        <v>63</v>
      </c>
      <c r="F105" s="50">
        <v>2.218</v>
      </c>
      <c r="G105" s="61">
        <f t="shared" si="14"/>
        <v>0.34596154181314126</v>
      </c>
      <c r="H105" s="61">
        <f t="shared" si="15"/>
        <v>0.3703208882930491</v>
      </c>
      <c r="I105" s="67">
        <f t="shared" si="16"/>
        <v>59.14656753401065</v>
      </c>
      <c r="J105" s="68">
        <f t="shared" si="17"/>
        <v>6.1165594698243647E-2</v>
      </c>
      <c r="K105" s="70">
        <f t="shared" si="18"/>
        <v>3.85343246598935</v>
      </c>
      <c r="L105" s="62">
        <f t="shared" si="12"/>
        <v>2.5622839775552085E-4</v>
      </c>
      <c r="M105" s="62">
        <f t="shared" si="19"/>
        <v>505.34979927835434</v>
      </c>
      <c r="N105" s="62">
        <f t="shared" si="20"/>
        <v>63.745619189576075</v>
      </c>
      <c r="O105">
        <f t="shared" si="21"/>
        <v>-11.633744981958859</v>
      </c>
      <c r="P105">
        <f t="shared" si="22"/>
        <v>1.2299625511889469</v>
      </c>
      <c r="Q105">
        <f t="shared" si="23"/>
        <v>1.1955379486858708E-2</v>
      </c>
      <c r="W105" s="62"/>
    </row>
    <row r="106" spans="1:23" x14ac:dyDescent="0.3">
      <c r="A106" s="50">
        <v>2.141</v>
      </c>
      <c r="B106" s="47">
        <v>64</v>
      </c>
      <c r="C106">
        <f t="shared" si="13"/>
        <v>2.0170333392987803</v>
      </c>
      <c r="E106" s="47">
        <v>64</v>
      </c>
      <c r="F106" s="50">
        <v>2.141</v>
      </c>
      <c r="G106" s="61">
        <f t="shared" si="14"/>
        <v>0.33061666729443834</v>
      </c>
      <c r="H106" s="61">
        <f t="shared" si="15"/>
        <v>0.36747084796544616</v>
      </c>
      <c r="I106" s="67">
        <f t="shared" si="16"/>
        <v>60.082584435019115</v>
      </c>
      <c r="J106" s="68">
        <f t="shared" si="17"/>
        <v>6.1209618202826332E-2</v>
      </c>
      <c r="K106" s="70">
        <f t="shared" si="18"/>
        <v>3.9174155649808853</v>
      </c>
      <c r="L106" s="62">
        <f t="shared" si="12"/>
        <v>2.540035321231545E-4</v>
      </c>
      <c r="M106" s="62">
        <f t="shared" si="19"/>
        <v>504.38908210290418</v>
      </c>
      <c r="N106" s="62">
        <f t="shared" si="20"/>
        <v>64.706336365026232</v>
      </c>
      <c r="O106">
        <f t="shared" si="21"/>
        <v>-11.609727052572605</v>
      </c>
      <c r="P106">
        <f t="shared" si="22"/>
        <v>1.2334283418651739</v>
      </c>
      <c r="Q106">
        <f t="shared" si="23"/>
        <v>1.127531190556158E-2</v>
      </c>
      <c r="W106" s="62"/>
    </row>
    <row r="107" spans="1:23" x14ac:dyDescent="0.3">
      <c r="A107" s="50">
        <v>2.0659999999999998</v>
      </c>
      <c r="B107" s="47">
        <v>65</v>
      </c>
      <c r="C107">
        <f t="shared" si="13"/>
        <v>2.0211892990699383</v>
      </c>
      <c r="E107" s="47">
        <v>65</v>
      </c>
      <c r="F107" s="50">
        <v>2.0659999999999998</v>
      </c>
      <c r="G107" s="61">
        <f t="shared" si="14"/>
        <v>0.31513031718360174</v>
      </c>
      <c r="H107" s="61">
        <f t="shared" si="15"/>
        <v>0.36457544219666249</v>
      </c>
      <c r="I107" s="67">
        <f t="shared" si="16"/>
        <v>61.033500360176681</v>
      </c>
      <c r="J107" s="68">
        <f t="shared" si="17"/>
        <v>6.1023071381897206E-2</v>
      </c>
      <c r="K107" s="70">
        <f t="shared" si="18"/>
        <v>3.9664996398233185</v>
      </c>
      <c r="L107" s="62">
        <f t="shared" si="12"/>
        <v>2.5175815383150421E-4</v>
      </c>
      <c r="M107" s="62">
        <f t="shared" si="19"/>
        <v>503.41523185720342</v>
      </c>
      <c r="N107" s="62">
        <f t="shared" si="20"/>
        <v>65.680186610726949</v>
      </c>
      <c r="O107">
        <f t="shared" si="21"/>
        <v>-11.585380796430085</v>
      </c>
      <c r="P107">
        <f t="shared" si="22"/>
        <v>1.2369415101397077</v>
      </c>
      <c r="Q107">
        <f t="shared" si="23"/>
        <v>1.0809215316398113E-2</v>
      </c>
      <c r="W107" s="62"/>
    </row>
    <row r="108" spans="1:23" x14ac:dyDescent="0.3">
      <c r="A108" s="50">
        <v>1.994</v>
      </c>
      <c r="B108" s="47">
        <v>66</v>
      </c>
      <c r="C108">
        <f t="shared" si="13"/>
        <v>2.0253058652647704</v>
      </c>
      <c r="E108" s="47">
        <v>66</v>
      </c>
      <c r="F108" s="50">
        <v>1.994</v>
      </c>
      <c r="G108" s="61">
        <f t="shared" si="14"/>
        <v>0.29972515397563693</v>
      </c>
      <c r="H108" s="61">
        <f t="shared" si="15"/>
        <v>0.36167593547662569</v>
      </c>
      <c r="I108" s="67">
        <f t="shared" si="16"/>
        <v>61.985763129323068</v>
      </c>
      <c r="J108" s="68">
        <f t="shared" si="17"/>
        <v>6.0821770767832302E-2</v>
      </c>
      <c r="K108" s="70">
        <f t="shared" si="18"/>
        <v>4.0142368706769318</v>
      </c>
      <c r="L108" s="62">
        <f t="shared" si="12"/>
        <v>2.4952454689385084E-4</v>
      </c>
      <c r="M108" s="62">
        <f t="shared" si="19"/>
        <v>502.44216871923464</v>
      </c>
      <c r="N108" s="62">
        <f t="shared" si="20"/>
        <v>66.653249748695771</v>
      </c>
      <c r="O108">
        <f t="shared" si="21"/>
        <v>-11.561054217980866</v>
      </c>
      <c r="P108">
        <f t="shared" si="22"/>
        <v>1.240451838920259</v>
      </c>
      <c r="Q108">
        <f t="shared" si="23"/>
        <v>1.0334427224363063E-2</v>
      </c>
      <c r="W108" s="62"/>
    </row>
    <row r="109" spans="1:23" x14ac:dyDescent="0.3">
      <c r="A109" s="50">
        <v>1.9259999999999999</v>
      </c>
      <c r="B109" s="47">
        <v>67</v>
      </c>
      <c r="C109">
        <f t="shared" si="13"/>
        <v>2.0293837776852097</v>
      </c>
      <c r="E109" s="47">
        <v>67</v>
      </c>
      <c r="F109" s="50">
        <v>1.9259999999999999</v>
      </c>
      <c r="G109" s="61">
        <f t="shared" si="14"/>
        <v>0.28465628278851568</v>
      </c>
      <c r="H109" s="61">
        <f t="shared" si="15"/>
        <v>0.35882087148832487</v>
      </c>
      <c r="I109" s="67">
        <f t="shared" si="16"/>
        <v>62.923429912711306</v>
      </c>
      <c r="J109" s="68">
        <f t="shared" si="17"/>
        <v>6.0844329661025279E-2</v>
      </c>
      <c r="K109" s="70">
        <f t="shared" si="18"/>
        <v>4.0765700872886939</v>
      </c>
      <c r="L109" s="62">
        <f t="shared" si="12"/>
        <v>2.4733969920533324E-4</v>
      </c>
      <c r="M109" s="62">
        <f t="shared" si="19"/>
        <v>501.48612468737144</v>
      </c>
      <c r="N109" s="62">
        <f t="shared" si="20"/>
        <v>67.609293780558886</v>
      </c>
      <c r="O109">
        <f t="shared" si="21"/>
        <v>-11.537153117184285</v>
      </c>
      <c r="P109">
        <f t="shared" si="22"/>
        <v>1.2439007712141372</v>
      </c>
      <c r="Q109">
        <f t="shared" si="23"/>
        <v>9.5958425114842094E-3</v>
      </c>
      <c r="W109" s="62"/>
    </row>
    <row r="110" spans="1:23" x14ac:dyDescent="0.3">
      <c r="A110" s="50">
        <v>1.86</v>
      </c>
      <c r="B110" s="47">
        <v>68</v>
      </c>
      <c r="C110">
        <f t="shared" si="13"/>
        <v>2.0334237554869499</v>
      </c>
      <c r="E110" s="47">
        <v>68</v>
      </c>
      <c r="F110" s="50">
        <v>1.86</v>
      </c>
      <c r="G110" s="61">
        <f t="shared" si="14"/>
        <v>0.26951294421791633</v>
      </c>
      <c r="H110" s="61">
        <f t="shared" si="15"/>
        <v>0.35593266409423796</v>
      </c>
      <c r="I110" s="67">
        <f t="shared" si="16"/>
        <v>63.871981730838279</v>
      </c>
      <c r="J110" s="68">
        <f t="shared" si="17"/>
        <v>6.070615101708414E-2</v>
      </c>
      <c r="K110" s="70">
        <f t="shared" si="18"/>
        <v>4.1280182691617213</v>
      </c>
      <c r="L110" s="62">
        <f t="shared" si="12"/>
        <v>2.4514405443131111E-4</v>
      </c>
      <c r="M110" s="62">
        <f t="shared" si="19"/>
        <v>500.52109259750773</v>
      </c>
      <c r="N110" s="62">
        <f t="shared" si="20"/>
        <v>68.574325870422669</v>
      </c>
      <c r="O110">
        <f t="shared" si="21"/>
        <v>-11.513027314937693</v>
      </c>
      <c r="P110">
        <f t="shared" si="22"/>
        <v>1.2473821279596777</v>
      </c>
      <c r="Q110">
        <f t="shared" si="23"/>
        <v>9.0042205820836663E-3</v>
      </c>
      <c r="W110" s="62"/>
    </row>
    <row r="111" spans="1:23" x14ac:dyDescent="0.3">
      <c r="A111" s="50">
        <v>1.796</v>
      </c>
      <c r="B111" s="47">
        <v>69</v>
      </c>
      <c r="C111">
        <f t="shared" si="13"/>
        <v>2.0374264979406238</v>
      </c>
      <c r="E111" s="47">
        <v>69</v>
      </c>
      <c r="F111" s="50">
        <v>1.796</v>
      </c>
      <c r="G111" s="61">
        <f t="shared" si="14"/>
        <v>0.25430633233128558</v>
      </c>
      <c r="H111" s="61">
        <f t="shared" si="15"/>
        <v>0.35301293096543718</v>
      </c>
      <c r="I111" s="67">
        <f t="shared" si="16"/>
        <v>64.830887304392178</v>
      </c>
      <c r="J111" s="68">
        <f t="shared" si="17"/>
        <v>6.0421923124751045E-2</v>
      </c>
      <c r="K111" s="70">
        <f t="shared" si="18"/>
        <v>4.1691126956078222</v>
      </c>
      <c r="L111" s="62">
        <f t="shared" si="12"/>
        <v>2.4293923560857902E-4</v>
      </c>
      <c r="M111" s="62">
        <f t="shared" si="19"/>
        <v>499.54766961074176</v>
      </c>
      <c r="N111" s="62">
        <f t="shared" si="20"/>
        <v>69.547748857188594</v>
      </c>
      <c r="O111">
        <f t="shared" si="21"/>
        <v>-11.488691740268544</v>
      </c>
      <c r="P111">
        <f t="shared" si="22"/>
        <v>1.2508937548960628</v>
      </c>
      <c r="Q111">
        <f t="shared" si="23"/>
        <v>8.5483673687142825E-3</v>
      </c>
      <c r="W111" s="62"/>
    </row>
    <row r="112" spans="1:23" x14ac:dyDescent="0.3">
      <c r="A112" s="50">
        <v>1.7350000000000001</v>
      </c>
      <c r="B112" s="47">
        <v>70</v>
      </c>
      <c r="C112">
        <f t="shared" si="13"/>
        <v>2.0413926851582249</v>
      </c>
      <c r="E112" s="47">
        <v>70</v>
      </c>
      <c r="F112" s="50">
        <v>1.7350000000000001</v>
      </c>
      <c r="G112" s="61">
        <f t="shared" si="14"/>
        <v>0.23929947912689256</v>
      </c>
      <c r="H112" s="61">
        <f t="shared" si="15"/>
        <v>0.35011217907914244</v>
      </c>
      <c r="I112" s="67">
        <f t="shared" si="16"/>
        <v>65.783559013949244</v>
      </c>
      <c r="J112" s="68">
        <f t="shared" si="17"/>
        <v>6.0234871229296515E-2</v>
      </c>
      <c r="K112" s="70">
        <f t="shared" si="18"/>
        <v>4.2164409860507561</v>
      </c>
      <c r="L112" s="62">
        <f t="shared" si="12"/>
        <v>2.4076337995699153E-4</v>
      </c>
      <c r="M112" s="62">
        <f t="shared" si="19"/>
        <v>498.5826936092588</v>
      </c>
      <c r="N112" s="62">
        <f t="shared" si="20"/>
        <v>70.512724858671646</v>
      </c>
      <c r="O112">
        <f t="shared" si="21"/>
        <v>-11.46456734023147</v>
      </c>
      <c r="P112">
        <f t="shared" si="22"/>
        <v>1.2543749093025673</v>
      </c>
      <c r="Q112">
        <f t="shared" si="23"/>
        <v>7.9652508731073712E-3</v>
      </c>
      <c r="W112" s="62"/>
    </row>
    <row r="113" spans="1:23" x14ac:dyDescent="0.3">
      <c r="A113" s="50">
        <v>1.677</v>
      </c>
      <c r="B113" s="47">
        <v>71</v>
      </c>
      <c r="C113">
        <f t="shared" si="13"/>
        <v>2.0453229787866576</v>
      </c>
      <c r="E113" s="47">
        <v>71</v>
      </c>
      <c r="F113" s="50">
        <v>1.677</v>
      </c>
      <c r="G113" s="61">
        <f t="shared" si="14"/>
        <v>0.22453306260608574</v>
      </c>
      <c r="H113" s="61">
        <f t="shared" si="15"/>
        <v>0.3472388649281512</v>
      </c>
      <c r="I113" s="67">
        <f t="shared" si="16"/>
        <v>66.727219558393742</v>
      </c>
      <c r="J113" s="68">
        <f t="shared" si="17"/>
        <v>6.0180006219806452E-2</v>
      </c>
      <c r="K113" s="70">
        <f t="shared" si="18"/>
        <v>4.2727804416062583</v>
      </c>
      <c r="L113" s="62">
        <f t="shared" si="12"/>
        <v>2.3862238541250654E-4</v>
      </c>
      <c r="M113" s="62">
        <f t="shared" si="19"/>
        <v>497.62891269407822</v>
      </c>
      <c r="N113" s="62">
        <f t="shared" si="20"/>
        <v>71.46650577385212</v>
      </c>
      <c r="O113">
        <f t="shared" si="21"/>
        <v>-11.440722817351956</v>
      </c>
      <c r="P113">
        <f t="shared" si="22"/>
        <v>1.257815677394849</v>
      </c>
      <c r="Q113">
        <f t="shared" si="23"/>
        <v>7.2141930939140231E-3</v>
      </c>
      <c r="W113" s="62"/>
    </row>
    <row r="114" spans="1:23" x14ac:dyDescent="0.3">
      <c r="A114" s="50">
        <v>1.621</v>
      </c>
      <c r="B114" s="47">
        <v>72</v>
      </c>
      <c r="C114">
        <f t="shared" si="13"/>
        <v>2.0492180226701815</v>
      </c>
      <c r="E114" s="47">
        <v>72</v>
      </c>
      <c r="F114" s="50">
        <v>1.621</v>
      </c>
      <c r="G114" s="61">
        <f t="shared" si="14"/>
        <v>0.20978301484851494</v>
      </c>
      <c r="H114" s="61">
        <f t="shared" si="15"/>
        <v>0.34434963111478362</v>
      </c>
      <c r="I114" s="67">
        <f t="shared" si="16"/>
        <v>67.6761084755382</v>
      </c>
      <c r="J114" s="68">
        <f t="shared" si="17"/>
        <v>6.0054048950858335E-2</v>
      </c>
      <c r="K114" s="70">
        <f t="shared" si="18"/>
        <v>4.3238915244617999</v>
      </c>
      <c r="L114" s="62">
        <f t="shared" si="12"/>
        <v>2.3648376418809814E-4</v>
      </c>
      <c r="M114" s="62">
        <f t="shared" si="19"/>
        <v>496.67190771266149</v>
      </c>
      <c r="N114" s="62">
        <f t="shared" si="20"/>
        <v>72.423510755268907</v>
      </c>
      <c r="O114">
        <f t="shared" si="21"/>
        <v>-11.416797692816537</v>
      </c>
      <c r="P114">
        <f t="shared" si="22"/>
        <v>1.2612680763177089</v>
      </c>
      <c r="Q114">
        <f t="shared" si="23"/>
        <v>6.5192619514850836E-3</v>
      </c>
      <c r="W114" s="62"/>
    </row>
    <row r="115" spans="1:23" x14ac:dyDescent="0.3">
      <c r="A115" s="49">
        <v>1.5669999999999999</v>
      </c>
      <c r="B115" s="47">
        <v>73</v>
      </c>
      <c r="C115">
        <f t="shared" si="13"/>
        <v>2.0530784434834195</v>
      </c>
      <c r="E115" s="47">
        <v>73</v>
      </c>
      <c r="F115" s="49">
        <v>1.5669999999999999</v>
      </c>
      <c r="G115" s="61">
        <f t="shared" si="14"/>
        <v>0.19506899646859011</v>
      </c>
      <c r="H115" s="61">
        <f t="shared" si="15"/>
        <v>0.34144817574654146</v>
      </c>
      <c r="I115" s="67">
        <f t="shared" si="16"/>
        <v>68.629011224279495</v>
      </c>
      <c r="J115" s="68">
        <f t="shared" si="17"/>
        <v>5.987655857151377E-2</v>
      </c>
      <c r="K115" s="70">
        <f t="shared" si="18"/>
        <v>4.3709887757205053</v>
      </c>
      <c r="L115" s="62">
        <f t="shared" si="12"/>
        <v>2.3435036689197812E-4</v>
      </c>
      <c r="M115" s="62">
        <f t="shared" si="19"/>
        <v>495.71291912750036</v>
      </c>
      <c r="N115" s="62">
        <f t="shared" si="20"/>
        <v>73.382499340429973</v>
      </c>
      <c r="O115">
        <f t="shared" si="21"/>
        <v>-11.392822978187509</v>
      </c>
      <c r="P115">
        <f t="shared" si="22"/>
        <v>1.2647276310982323</v>
      </c>
      <c r="Q115">
        <f t="shared" si="23"/>
        <v>5.8607968314097203E-3</v>
      </c>
      <c r="W115" s="62"/>
    </row>
    <row r="116" spans="1:23" x14ac:dyDescent="0.3">
      <c r="A116" s="49">
        <v>1.5149999999999999</v>
      </c>
      <c r="B116" s="47">
        <v>74</v>
      </c>
      <c r="C116">
        <f t="shared" si="13"/>
        <v>2.0569048513364727</v>
      </c>
      <c r="E116" s="47">
        <v>74</v>
      </c>
      <c r="F116" s="49">
        <v>1.5149999999999999</v>
      </c>
      <c r="G116" s="61">
        <f t="shared" si="14"/>
        <v>0.18041263283832379</v>
      </c>
      <c r="H116" s="61">
        <f t="shared" si="15"/>
        <v>0.33853868957106981</v>
      </c>
      <c r="I116" s="67">
        <f t="shared" si="16"/>
        <v>69.584551469488048</v>
      </c>
      <c r="J116" s="68">
        <f t="shared" si="17"/>
        <v>5.9668223385296648E-2</v>
      </c>
      <c r="K116" s="70">
        <f t="shared" si="18"/>
        <v>4.4154485305119522</v>
      </c>
      <c r="L116" s="62">
        <f t="shared" si="12"/>
        <v>2.3222532900413491E-4</v>
      </c>
      <c r="M116" s="62">
        <f t="shared" si="19"/>
        <v>494.75333888099499</v>
      </c>
      <c r="N116" s="62">
        <f t="shared" si="20"/>
        <v>74.342079586935398</v>
      </c>
      <c r="O116">
        <f t="shared" si="21"/>
        <v>-11.368833472024875</v>
      </c>
      <c r="P116">
        <f t="shared" si="22"/>
        <v>1.2681893202991898</v>
      </c>
      <c r="Q116">
        <f t="shared" si="23"/>
        <v>5.2171723616762644E-3</v>
      </c>
      <c r="W116" s="62"/>
    </row>
    <row r="117" spans="1:23" x14ac:dyDescent="0.3">
      <c r="A117" s="49">
        <v>1.4650000000000001</v>
      </c>
      <c r="B117" s="47">
        <v>75</v>
      </c>
      <c r="C117">
        <f t="shared" si="13"/>
        <v>2.0606978403536118</v>
      </c>
      <c r="E117" s="47">
        <v>75</v>
      </c>
      <c r="F117" s="49">
        <v>1.4650000000000001</v>
      </c>
      <c r="G117" s="61">
        <f t="shared" si="14"/>
        <v>0.16583762469012828</v>
      </c>
      <c r="H117" s="61">
        <f t="shared" si="15"/>
        <v>0.33562589395853415</v>
      </c>
      <c r="I117" s="67">
        <f t="shared" si="16"/>
        <v>70.541178607746744</v>
      </c>
      <c r="J117" s="68">
        <f t="shared" si="17"/>
        <v>5.9450951896710083E-2</v>
      </c>
      <c r="K117" s="70">
        <f t="shared" si="18"/>
        <v>4.458821392253256</v>
      </c>
      <c r="L117" s="62">
        <f t="shared" si="12"/>
        <v>2.3011208691272152E-4</v>
      </c>
      <c r="M117" s="62">
        <f t="shared" si="19"/>
        <v>493.79472123842277</v>
      </c>
      <c r="N117" s="62">
        <f t="shared" si="20"/>
        <v>75.300697229507662</v>
      </c>
      <c r="O117">
        <f t="shared" si="21"/>
        <v>-11.344868030960569</v>
      </c>
      <c r="P117">
        <f t="shared" si="22"/>
        <v>1.2716475369029858</v>
      </c>
      <c r="Q117">
        <f t="shared" si="23"/>
        <v>4.5646878098715427E-3</v>
      </c>
      <c r="W117" s="62"/>
    </row>
    <row r="118" spans="1:23" x14ac:dyDescent="0.3">
      <c r="A118" s="49">
        <v>1.417</v>
      </c>
      <c r="B118" s="47">
        <v>76</v>
      </c>
      <c r="C118">
        <f t="shared" si="13"/>
        <v>2.0644579892269186</v>
      </c>
      <c r="E118" s="47">
        <v>76</v>
      </c>
      <c r="F118" s="49">
        <v>1.417</v>
      </c>
      <c r="G118" s="61">
        <f t="shared" si="14"/>
        <v>0.15136985024746041</v>
      </c>
      <c r="H118" s="61">
        <f t="shared" si="15"/>
        <v>0.33271507803696226</v>
      </c>
      <c r="I118" s="67">
        <f t="shared" si="16"/>
        <v>71.4971555712753</v>
      </c>
      <c r="J118" s="68">
        <f t="shared" si="17"/>
        <v>5.9247953009535524E-2</v>
      </c>
      <c r="K118" s="70">
        <f t="shared" si="18"/>
        <v>4.5028444287246998</v>
      </c>
      <c r="L118" s="62">
        <f t="shared" si="12"/>
        <v>2.2801439272205953E-4</v>
      </c>
      <c r="M118" s="62">
        <f t="shared" si="19"/>
        <v>492.83879327063897</v>
      </c>
      <c r="N118" s="62">
        <f t="shared" si="20"/>
        <v>76.25662519729147</v>
      </c>
      <c r="O118">
        <f t="shared" si="21"/>
        <v>-11.320969831765975</v>
      </c>
      <c r="P118">
        <f t="shared" si="22"/>
        <v>1.2750960504952795</v>
      </c>
      <c r="Q118">
        <f t="shared" si="23"/>
        <v>3.8774649525393778E-3</v>
      </c>
      <c r="W118" s="62"/>
    </row>
    <row r="119" spans="1:23" x14ac:dyDescent="0.3">
      <c r="A119" s="49">
        <v>1.371</v>
      </c>
      <c r="B119" s="47">
        <v>77</v>
      </c>
      <c r="C119">
        <f t="shared" si="13"/>
        <v>2.0681858617461617</v>
      </c>
      <c r="E119" s="47">
        <v>77</v>
      </c>
      <c r="F119" s="49">
        <v>1.371</v>
      </c>
      <c r="G119" s="61">
        <f t="shared" si="14"/>
        <v>0.13703745478951265</v>
      </c>
      <c r="H119" s="61">
        <f t="shared" si="15"/>
        <v>0.32981213389353065</v>
      </c>
      <c r="I119" s="67">
        <f t="shared" si="16"/>
        <v>72.450547267041543</v>
      </c>
      <c r="J119" s="68">
        <f t="shared" si="17"/>
        <v>5.9083801726733207E-2</v>
      </c>
      <c r="K119" s="70">
        <f t="shared" si="18"/>
        <v>4.5494527329584571</v>
      </c>
      <c r="L119" s="62">
        <f t="shared" si="12"/>
        <v>2.2593632723869533E-4</v>
      </c>
      <c r="M119" s="62">
        <f t="shared" si="19"/>
        <v>491.88746464812158</v>
      </c>
      <c r="N119" s="62">
        <f t="shared" si="20"/>
        <v>77.207953819808793</v>
      </c>
      <c r="O119">
        <f t="shared" si="21"/>
        <v>-11.297186616203039</v>
      </c>
      <c r="P119">
        <f t="shared" si="22"/>
        <v>1.2785279719329321</v>
      </c>
      <c r="Q119">
        <f t="shared" si="23"/>
        <v>3.1273585104870938E-3</v>
      </c>
      <c r="W119" s="62"/>
    </row>
    <row r="120" spans="1:23" x14ac:dyDescent="0.3">
      <c r="A120" s="49">
        <v>1.3260000000000001</v>
      </c>
      <c r="B120" s="47">
        <v>78</v>
      </c>
      <c r="C120">
        <f t="shared" si="13"/>
        <v>2.0718820073061255</v>
      </c>
      <c r="E120" s="47">
        <v>78</v>
      </c>
      <c r="F120" s="49">
        <v>1.3260000000000001</v>
      </c>
      <c r="G120" s="61">
        <f t="shared" si="14"/>
        <v>0.12254352406875435</v>
      </c>
      <c r="H120" s="61">
        <f t="shared" si="15"/>
        <v>0.32685660448446491</v>
      </c>
      <c r="I120" s="67">
        <f t="shared" si="16"/>
        <v>73.421209138566638</v>
      </c>
      <c r="J120" s="68">
        <f t="shared" si="17"/>
        <v>5.8702446941453358E-2</v>
      </c>
      <c r="K120" s="70">
        <f t="shared" si="18"/>
        <v>4.5787908614333617</v>
      </c>
      <c r="L120" s="62">
        <f t="shared" si="12"/>
        <v>2.2383484062834803E-4</v>
      </c>
      <c r="M120" s="62">
        <f t="shared" si="19"/>
        <v>490.92095418906604</v>
      </c>
      <c r="N120" s="62">
        <f t="shared" si="20"/>
        <v>78.174464278864306</v>
      </c>
      <c r="O120">
        <f t="shared" si="21"/>
        <v>-11.273023854726651</v>
      </c>
      <c r="P120">
        <f t="shared" si="22"/>
        <v>1.2820146619006649</v>
      </c>
      <c r="Q120">
        <f t="shared" si="23"/>
        <v>2.6112827312453346E-3</v>
      </c>
      <c r="W120" s="62"/>
    </row>
    <row r="121" spans="1:23" x14ac:dyDescent="0.3">
      <c r="A121" s="49">
        <v>1.284</v>
      </c>
      <c r="B121" s="47">
        <v>79</v>
      </c>
      <c r="C121">
        <f t="shared" si="13"/>
        <v>2.0755469613925306</v>
      </c>
      <c r="E121" s="47">
        <v>79</v>
      </c>
      <c r="F121" s="49">
        <v>1.284</v>
      </c>
      <c r="G121" s="61">
        <f t="shared" si="14"/>
        <v>0.10856502373283448</v>
      </c>
      <c r="H121" s="61">
        <f t="shared" si="15"/>
        <v>0.32398699829038213</v>
      </c>
      <c r="I121" s="67">
        <f t="shared" si="16"/>
        <v>74.363651907142881</v>
      </c>
      <c r="J121" s="68">
        <f t="shared" si="17"/>
        <v>5.8687950542495183E-2</v>
      </c>
      <c r="K121" s="70">
        <f t="shared" si="18"/>
        <v>4.6363480928571192</v>
      </c>
      <c r="L121" s="62">
        <f t="shared" si="12"/>
        <v>2.2180808668184271E-4</v>
      </c>
      <c r="M121" s="62">
        <f t="shared" si="19"/>
        <v>489.98450721048283</v>
      </c>
      <c r="N121" s="62">
        <f t="shared" si="20"/>
        <v>79.11091125744764</v>
      </c>
      <c r="O121">
        <f t="shared" si="21"/>
        <v>-11.249612680262072</v>
      </c>
      <c r="P121">
        <f t="shared" si="22"/>
        <v>1.2853928977541402</v>
      </c>
      <c r="Q121">
        <f t="shared" si="23"/>
        <v>1.6522719671653446E-3</v>
      </c>
      <c r="W121" s="62"/>
    </row>
    <row r="122" spans="1:23" x14ac:dyDescent="0.3">
      <c r="A122" s="49">
        <v>1.2430000000000001</v>
      </c>
      <c r="B122" s="47">
        <v>80</v>
      </c>
      <c r="C122">
        <f t="shared" si="13"/>
        <v>2.0791812460476247</v>
      </c>
      <c r="E122" s="47">
        <v>80</v>
      </c>
      <c r="F122" s="49">
        <v>1.2430000000000001</v>
      </c>
      <c r="G122" s="61">
        <f t="shared" si="14"/>
        <v>9.4471128641644794E-2</v>
      </c>
      <c r="H122" s="61">
        <f t="shared" si="15"/>
        <v>0.32107437818110635</v>
      </c>
      <c r="I122" s="67">
        <f t="shared" si="16"/>
        <v>75.320221406211061</v>
      </c>
      <c r="J122" s="68">
        <f t="shared" si="17"/>
        <v>5.8497232422361732E-2</v>
      </c>
      <c r="K122" s="70">
        <f t="shared" si="18"/>
        <v>4.6797785937889387</v>
      </c>
      <c r="L122" s="62">
        <f t="shared" si="12"/>
        <v>2.1976460155745509E-4</v>
      </c>
      <c r="M122" s="62">
        <f t="shared" si="19"/>
        <v>489.03598808341258</v>
      </c>
      <c r="N122" s="62">
        <f t="shared" si="20"/>
        <v>80.059430384517839</v>
      </c>
      <c r="O122">
        <f t="shared" si="21"/>
        <v>-11.225899702085314</v>
      </c>
      <c r="P122">
        <f t="shared" si="22"/>
        <v>1.288814683926832</v>
      </c>
      <c r="Q122">
        <f t="shared" si="23"/>
        <v>8.8115135835493963E-4</v>
      </c>
      <c r="W122" s="62"/>
    </row>
    <row r="123" spans="1:23" x14ac:dyDescent="0.3">
      <c r="A123" s="49">
        <v>1.2030000000000001</v>
      </c>
      <c r="B123" s="47">
        <v>81</v>
      </c>
      <c r="C123">
        <f t="shared" si="13"/>
        <v>2.0827853703164503</v>
      </c>
      <c r="E123" s="47">
        <v>81</v>
      </c>
      <c r="F123" s="49">
        <v>1.2030000000000001</v>
      </c>
      <c r="G123" s="61">
        <f t="shared" si="14"/>
        <v>8.0265627339844769E-2</v>
      </c>
      <c r="H123" s="61">
        <f t="shared" si="15"/>
        <v>0.31811879319472436</v>
      </c>
      <c r="I123" s="67">
        <f t="shared" si="16"/>
        <v>76.290901530568178</v>
      </c>
      <c r="J123" s="68">
        <f t="shared" si="17"/>
        <v>5.813701814113361E-2</v>
      </c>
      <c r="K123" s="70">
        <f t="shared" si="18"/>
        <v>4.7090984694318223</v>
      </c>
      <c r="L123" s="62">
        <f t="shared" si="12"/>
        <v>2.1770493455930604E-4</v>
      </c>
      <c r="M123" s="62">
        <f t="shared" si="19"/>
        <v>488.07548479150654</v>
      </c>
      <c r="N123" s="62">
        <f t="shared" si="20"/>
        <v>81.019933676423904</v>
      </c>
      <c r="O123">
        <f t="shared" si="21"/>
        <v>-11.201887119787663</v>
      </c>
      <c r="P123">
        <f t="shared" si="22"/>
        <v>1.2922797030174025</v>
      </c>
      <c r="Q123">
        <f t="shared" si="23"/>
        <v>2.9413236015507493E-4</v>
      </c>
      <c r="W123" s="62"/>
    </row>
    <row r="124" spans="1:23" x14ac:dyDescent="0.3">
      <c r="A124" s="49">
        <v>1.165</v>
      </c>
      <c r="B124" s="47">
        <v>82</v>
      </c>
      <c r="C124">
        <f t="shared" si="13"/>
        <v>2.0863598306747484</v>
      </c>
      <c r="E124" s="47">
        <v>82</v>
      </c>
      <c r="F124" s="49">
        <v>1.165</v>
      </c>
      <c r="G124" s="61">
        <f t="shared" si="14"/>
        <v>6.6325925362037796E-2</v>
      </c>
      <c r="H124" s="61">
        <f t="shared" si="15"/>
        <v>0.31519882464845106</v>
      </c>
      <c r="I124" s="67">
        <f t="shared" si="16"/>
        <v>77.249884420478253</v>
      </c>
      <c r="J124" s="68">
        <f t="shared" si="17"/>
        <v>5.7928238774655451E-2</v>
      </c>
      <c r="K124" s="70">
        <f t="shared" si="18"/>
        <v>4.7501155795217471</v>
      </c>
      <c r="L124" s="62">
        <f t="shared" si="12"/>
        <v>2.1568380601778224E-4</v>
      </c>
      <c r="M124" s="62">
        <f t="shared" si="19"/>
        <v>487.12852649067003</v>
      </c>
      <c r="N124" s="62">
        <f t="shared" si="20"/>
        <v>81.966891977260318</v>
      </c>
      <c r="O124">
        <f t="shared" si="21"/>
        <v>-11.178213162266751</v>
      </c>
      <c r="P124">
        <f t="shared" si="22"/>
        <v>1.2956958585038252</v>
      </c>
      <c r="Q124">
        <f t="shared" si="23"/>
        <v>4.861905620380802E-4</v>
      </c>
      <c r="W124" s="62"/>
    </row>
    <row r="125" spans="1:23" x14ac:dyDescent="0.3">
      <c r="A125" s="50">
        <v>1.1279999999999999</v>
      </c>
      <c r="B125" s="47">
        <v>83</v>
      </c>
      <c r="C125">
        <f t="shared" si="13"/>
        <v>2.0899051114393981</v>
      </c>
      <c r="E125" s="47">
        <v>83</v>
      </c>
      <c r="F125" s="50">
        <v>1.1279999999999999</v>
      </c>
      <c r="G125" s="61">
        <f t="shared" si="14"/>
        <v>5.2309099647323443E-2</v>
      </c>
      <c r="H125" s="61">
        <f t="shared" si="15"/>
        <v>0.31224277074858703</v>
      </c>
      <c r="I125" s="67">
        <f t="shared" si="16"/>
        <v>78.220718546496343</v>
      </c>
      <c r="J125" s="68">
        <f t="shared" si="17"/>
        <v>5.7581704259080206E-2</v>
      </c>
      <c r="K125" s="70">
        <f t="shared" si="18"/>
        <v>4.779281453503657</v>
      </c>
      <c r="L125" s="62">
        <f t="shared" si="12"/>
        <v>2.1365149524394522E-4</v>
      </c>
      <c r="M125" s="62">
        <f t="shared" si="19"/>
        <v>486.17184452294049</v>
      </c>
      <c r="N125" s="62">
        <f t="shared" si="20"/>
        <v>82.923573944989926</v>
      </c>
      <c r="O125">
        <f t="shared" si="21"/>
        <v>-11.154296113073512</v>
      </c>
      <c r="P125">
        <f t="shared" si="22"/>
        <v>1.2991470921536432</v>
      </c>
      <c r="Q125">
        <f t="shared" si="23"/>
        <v>1.1168943473234272E-3</v>
      </c>
      <c r="W125" s="62"/>
    </row>
    <row r="126" spans="1:23" x14ac:dyDescent="0.3">
      <c r="A126" s="50">
        <v>1.093</v>
      </c>
      <c r="B126" s="47">
        <v>84</v>
      </c>
      <c r="C126">
        <f t="shared" si="13"/>
        <v>2.0934216851622351</v>
      </c>
      <c r="E126" s="47">
        <v>84</v>
      </c>
      <c r="F126" s="50">
        <v>1.093</v>
      </c>
      <c r="G126" s="61">
        <f t="shared" si="14"/>
        <v>3.8620161949702782E-2</v>
      </c>
      <c r="H126" s="61">
        <f t="shared" si="15"/>
        <v>0.30933631506886039</v>
      </c>
      <c r="I126" s="67">
        <f t="shared" si="16"/>
        <v>79.175263509214204</v>
      </c>
      <c r="J126" s="68">
        <f t="shared" si="17"/>
        <v>5.7437339176021375E-2</v>
      </c>
      <c r="K126" s="70">
        <f t="shared" si="18"/>
        <v>4.8247364907857957</v>
      </c>
      <c r="L126" s="62">
        <f t="shared" si="12"/>
        <v>2.1166672521601704E-4</v>
      </c>
      <c r="M126" s="62">
        <f t="shared" si="19"/>
        <v>485.23313995148374</v>
      </c>
      <c r="N126" s="62">
        <f t="shared" si="20"/>
        <v>83.862278516446693</v>
      </c>
      <c r="O126">
        <f t="shared" si="21"/>
        <v>-11.130828498787093</v>
      </c>
      <c r="P126">
        <f t="shared" si="22"/>
        <v>1.3025334722815536</v>
      </c>
      <c r="Q126">
        <f t="shared" si="23"/>
        <v>2.0029907497029278E-3</v>
      </c>
      <c r="W126" s="62"/>
    </row>
    <row r="127" spans="1:23" x14ac:dyDescent="0.3">
      <c r="A127" s="50">
        <v>1.0589999999999999</v>
      </c>
      <c r="B127" s="47">
        <v>85</v>
      </c>
      <c r="C127">
        <f t="shared" si="13"/>
        <v>2.0969100130080562</v>
      </c>
      <c r="E127" s="47">
        <v>85</v>
      </c>
      <c r="F127" s="50">
        <v>1.0589999999999999</v>
      </c>
      <c r="G127" s="61">
        <f t="shared" si="14"/>
        <v>2.4895960107484977E-2</v>
      </c>
      <c r="H127" s="61">
        <f t="shared" si="15"/>
        <v>0.30640271391514112</v>
      </c>
      <c r="I127" s="67">
        <f t="shared" si="16"/>
        <v>80.138723651902311</v>
      </c>
      <c r="J127" s="68">
        <f t="shared" si="17"/>
        <v>5.7191486448208109E-2</v>
      </c>
      <c r="K127" s="70">
        <f t="shared" si="18"/>
        <v>4.8612763480976895</v>
      </c>
      <c r="L127" s="62">
        <f t="shared" si="12"/>
        <v>2.096768422115524E-4</v>
      </c>
      <c r="M127" s="62">
        <f t="shared" si="19"/>
        <v>484.28758859662349</v>
      </c>
      <c r="N127" s="62">
        <f t="shared" si="20"/>
        <v>84.807829871306865</v>
      </c>
      <c r="O127">
        <f t="shared" si="21"/>
        <v>-11.107189714915588</v>
      </c>
      <c r="P127">
        <f t="shared" si="22"/>
        <v>1.3059445522052917</v>
      </c>
      <c r="Q127">
        <f t="shared" si="23"/>
        <v>2.7813276074850797E-3</v>
      </c>
      <c r="W127" s="62"/>
    </row>
    <row r="128" spans="1:23" x14ac:dyDescent="0.3">
      <c r="A128" s="50">
        <v>1.0269999999999999</v>
      </c>
      <c r="B128" s="47">
        <v>86</v>
      </c>
      <c r="C128">
        <f t="shared" si="13"/>
        <v>2.1003705451175629</v>
      </c>
      <c r="E128" s="47">
        <v>86</v>
      </c>
      <c r="F128" s="50">
        <v>1.0269999999999999</v>
      </c>
      <c r="G128" s="61">
        <f t="shared" si="14"/>
        <v>1.1570443597278161E-2</v>
      </c>
      <c r="H128" s="61">
        <f t="shared" si="15"/>
        <v>0.30353524582097702</v>
      </c>
      <c r="I128" s="67">
        <f t="shared" si="16"/>
        <v>81.080464220709473</v>
      </c>
      <c r="J128" s="68">
        <f t="shared" si="17"/>
        <v>5.7203904410354965E-2</v>
      </c>
      <c r="K128" s="70">
        <f t="shared" si="18"/>
        <v>4.919535779290527</v>
      </c>
      <c r="L128" s="62">
        <f t="shared" si="12"/>
        <v>2.0774476491232431E-4</v>
      </c>
      <c r="M128" s="62">
        <f t="shared" si="19"/>
        <v>483.36520249665642</v>
      </c>
      <c r="N128" s="62">
        <f t="shared" si="20"/>
        <v>85.730215971273964</v>
      </c>
      <c r="O128">
        <f t="shared" si="21"/>
        <v>-11.08413006241641</v>
      </c>
      <c r="P128">
        <f t="shared" si="22"/>
        <v>1.309272063388434</v>
      </c>
      <c r="Q128">
        <f t="shared" si="23"/>
        <v>3.8858543972784577E-3</v>
      </c>
      <c r="W128" s="62"/>
    </row>
    <row r="129" spans="1:23" x14ac:dyDescent="0.3">
      <c r="A129" s="54">
        <v>0.99550000000000005</v>
      </c>
      <c r="B129" s="47">
        <v>87</v>
      </c>
      <c r="C129">
        <f t="shared" si="13"/>
        <v>2.1038037209559568</v>
      </c>
      <c r="E129" s="47">
        <v>87</v>
      </c>
      <c r="F129" s="54">
        <v>0.99550000000000005</v>
      </c>
      <c r="G129" s="61">
        <f t="shared" si="14"/>
        <v>-1.9587356365716219E-3</v>
      </c>
      <c r="H129" s="61">
        <f t="shared" si="15"/>
        <v>0.30060445320942308</v>
      </c>
      <c r="I129" s="67">
        <f t="shared" si="16"/>
        <v>82.043001975419926</v>
      </c>
      <c r="J129" s="68">
        <f t="shared" si="17"/>
        <v>5.6976988788276707E-2</v>
      </c>
      <c r="K129" s="70">
        <f t="shared" si="18"/>
        <v>4.9569980245800735</v>
      </c>
      <c r="L129" s="62">
        <f t="shared" si="12"/>
        <v>2.0578315839186504E-4</v>
      </c>
      <c r="M129" s="62">
        <f t="shared" si="19"/>
        <v>482.42432030305241</v>
      </c>
      <c r="N129" s="62">
        <f t="shared" si="20"/>
        <v>86.671098164878018</v>
      </c>
      <c r="O129">
        <f t="shared" si="21"/>
        <v>-11.06060800757631</v>
      </c>
      <c r="P129">
        <f t="shared" si="22"/>
        <v>1.3126662992960967</v>
      </c>
      <c r="Q129">
        <f t="shared" si="23"/>
        <v>4.7142230634286651E-3</v>
      </c>
      <c r="W129" s="62"/>
    </row>
    <row r="130" spans="1:23" x14ac:dyDescent="0.3">
      <c r="A130" s="54">
        <v>0.96540000000000004</v>
      </c>
      <c r="B130" s="47">
        <v>88</v>
      </c>
      <c r="C130">
        <f t="shared" si="13"/>
        <v>2.1072099696478683</v>
      </c>
      <c r="E130" s="47">
        <v>88</v>
      </c>
      <c r="F130" s="54">
        <v>0.96540000000000004</v>
      </c>
      <c r="G130" s="61">
        <f t="shared" si="14"/>
        <v>-1.5292705517326801E-2</v>
      </c>
      <c r="H130" s="61">
        <f t="shared" si="15"/>
        <v>0.29769646587776211</v>
      </c>
      <c r="I130" s="67">
        <f t="shared" si="16"/>
        <v>82.998049966843439</v>
      </c>
      <c r="J130" s="68">
        <f t="shared" si="17"/>
        <v>5.6840341285870011E-2</v>
      </c>
      <c r="K130" s="70">
        <f t="shared" si="18"/>
        <v>5.0019500331565609</v>
      </c>
      <c r="L130" s="62">
        <f t="shared" ref="L130:L193" si="24">T$3^2-4*T$2*(T$4-G130)</f>
        <v>2.0384985543167843E-4</v>
      </c>
      <c r="M130" s="62">
        <f t="shared" si="19"/>
        <v>481.49261578504104</v>
      </c>
      <c r="N130" s="62">
        <f t="shared" si="20"/>
        <v>87.602802682889347</v>
      </c>
      <c r="O130">
        <f t="shared" si="21"/>
        <v>-11.037315394626026</v>
      </c>
      <c r="P130">
        <f t="shared" si="22"/>
        <v>1.3160274267059502</v>
      </c>
      <c r="Q130">
        <f t="shared" si="23"/>
        <v>5.6653056826732693E-3</v>
      </c>
      <c r="W130" s="62"/>
    </row>
    <row r="131" spans="1:23" x14ac:dyDescent="0.3">
      <c r="A131" s="54">
        <v>0.93630000000000002</v>
      </c>
      <c r="B131" s="47">
        <v>89</v>
      </c>
      <c r="C131">
        <f t="shared" ref="C131:C194" si="25">LOG10(B131+40)</f>
        <v>2.1105897102992488</v>
      </c>
      <c r="E131" s="47">
        <v>89</v>
      </c>
      <c r="F131" s="54">
        <v>0.93630000000000002</v>
      </c>
      <c r="G131" s="61">
        <f t="shared" ref="G131:G194" si="26">LOG10(F131)</f>
        <v>-2.8584976615004861E-2</v>
      </c>
      <c r="H131" s="61">
        <f t="shared" ref="H131:H194" si="27">LOG10(G131+2)</f>
        <v>0.29477806181991567</v>
      </c>
      <c r="I131" s="67">
        <f t="shared" ref="I131:I194" si="28">(H131-W$3)/W$2</f>
        <v>83.956519043810303</v>
      </c>
      <c r="J131" s="68">
        <f t="shared" ref="J131:J194" si="29">ABS(I131-E131)/ABS(E131)</f>
        <v>5.6668325350446032E-2</v>
      </c>
      <c r="K131" s="70">
        <f t="shared" ref="K131:K194" si="30">ABS(I131-E131)</f>
        <v>5.0434809561896969</v>
      </c>
      <c r="L131" s="62">
        <f t="shared" si="24"/>
        <v>2.0192259841140923E-4</v>
      </c>
      <c r="M131" s="62">
        <f t="shared" ref="M131:M194" si="31">(-T$3+SQRT(L131))/(2*T$2)</f>
        <v>480.55941707021771</v>
      </c>
      <c r="N131" s="62">
        <f t="shared" ref="N131:N194" si="32">(-T$3-SQRT(L131))/(2*T$2)</f>
        <v>88.53600139771271</v>
      </c>
      <c r="O131">
        <f t="shared" ref="O131:O194" si="33">ABS(-M131-E$2)/E$2</f>
        <v>-11.013985426755443</v>
      </c>
      <c r="P131">
        <f t="shared" ref="P131:P194" si="34">ABS(-N131-F$2)/F$2</f>
        <v>1.3193939444361931</v>
      </c>
      <c r="Q131">
        <f t="shared" ref="Q131:Q194" si="35">ABS(G131-(T$2*E131^2+T$3*E131+T$4))</f>
        <v>6.5855916849954545E-3</v>
      </c>
      <c r="W131" s="62"/>
    </row>
    <row r="132" spans="1:23" x14ac:dyDescent="0.3">
      <c r="A132" s="54">
        <v>0.9083</v>
      </c>
      <c r="B132" s="47">
        <v>90</v>
      </c>
      <c r="C132">
        <f t="shared" si="25"/>
        <v>2.1139433523068369</v>
      </c>
      <c r="E132" s="47">
        <v>90</v>
      </c>
      <c r="F132" s="54">
        <v>0.9083</v>
      </c>
      <c r="G132" s="61">
        <f t="shared" si="26"/>
        <v>-4.1770685811617865E-2</v>
      </c>
      <c r="H132" s="61">
        <f t="shared" si="27"/>
        <v>0.29186354755663907</v>
      </c>
      <c r="I132" s="67">
        <f t="shared" si="28"/>
        <v>84.913710625359457</v>
      </c>
      <c r="J132" s="68">
        <f t="shared" si="29"/>
        <v>5.6514326384894925E-2</v>
      </c>
      <c r="K132" s="70">
        <f t="shared" si="30"/>
        <v>5.0862893746405433</v>
      </c>
      <c r="L132" s="62">
        <f t="shared" si="24"/>
        <v>2.0001079188642495E-4</v>
      </c>
      <c r="M132" s="62">
        <f t="shared" si="31"/>
        <v>479.62928916024555</v>
      </c>
      <c r="N132" s="62">
        <f t="shared" si="32"/>
        <v>89.466129307684824</v>
      </c>
      <c r="O132">
        <f t="shared" si="33"/>
        <v>-10.990732229006138</v>
      </c>
      <c r="P132">
        <f t="shared" si="34"/>
        <v>1.3227493842268572</v>
      </c>
      <c r="Q132">
        <f t="shared" si="35"/>
        <v>7.5399441883822679E-3</v>
      </c>
      <c r="W132" s="62"/>
    </row>
    <row r="133" spans="1:23" x14ac:dyDescent="0.3">
      <c r="A133" s="54">
        <v>0.88119999999999998</v>
      </c>
      <c r="B133" s="47">
        <v>91</v>
      </c>
      <c r="C133">
        <f t="shared" si="25"/>
        <v>2.1172712956557644</v>
      </c>
      <c r="E133" s="47">
        <v>91</v>
      </c>
      <c r="F133" s="54">
        <v>0.88119999999999998</v>
      </c>
      <c r="G133" s="61">
        <f t="shared" si="26"/>
        <v>-5.4925511521270003E-2</v>
      </c>
      <c r="H133" s="61">
        <f t="shared" si="27"/>
        <v>0.2889362377007158</v>
      </c>
      <c r="I133" s="67">
        <f t="shared" si="28"/>
        <v>85.875104565331299</v>
      </c>
      <c r="J133" s="68">
        <f t="shared" si="29"/>
        <v>5.6317532249106607E-2</v>
      </c>
      <c r="K133" s="70">
        <f t="shared" si="30"/>
        <v>5.1248954346687015</v>
      </c>
      <c r="L133" s="62">
        <f t="shared" si="24"/>
        <v>1.9810346318292193E-4</v>
      </c>
      <c r="M133" s="62">
        <f t="shared" si="31"/>
        <v>478.69689943702195</v>
      </c>
      <c r="N133" s="62">
        <f t="shared" si="32"/>
        <v>90.398519030908375</v>
      </c>
      <c r="O133">
        <f t="shared" si="33"/>
        <v>-10.96742248592555</v>
      </c>
      <c r="P133">
        <f t="shared" si="34"/>
        <v>1.3261129835169856</v>
      </c>
      <c r="Q133">
        <f t="shared" si="35"/>
        <v>8.4526847787301865E-3</v>
      </c>
      <c r="W133" s="62"/>
    </row>
    <row r="134" spans="1:23" x14ac:dyDescent="0.3">
      <c r="A134" s="54">
        <v>0.85499999999999998</v>
      </c>
      <c r="B134" s="47">
        <v>92</v>
      </c>
      <c r="C134">
        <f t="shared" si="25"/>
        <v>2.12057393120585</v>
      </c>
      <c r="E134" s="47">
        <v>92</v>
      </c>
      <c r="F134" s="54">
        <v>0.85499999999999998</v>
      </c>
      <c r="G134" s="61">
        <f t="shared" si="26"/>
        <v>-6.8033885271827368E-2</v>
      </c>
      <c r="H134" s="61">
        <f t="shared" si="27"/>
        <v>0.28599950493888071</v>
      </c>
      <c r="I134" s="67">
        <f t="shared" si="28"/>
        <v>86.839593198071057</v>
      </c>
      <c r="J134" s="68">
        <f t="shared" si="29"/>
        <v>5.6091378281836336E-2</v>
      </c>
      <c r="K134" s="70">
        <f t="shared" si="30"/>
        <v>5.1604068019289429</v>
      </c>
      <c r="L134" s="62">
        <f t="shared" si="24"/>
        <v>1.9620286958612961E-4</v>
      </c>
      <c r="M134" s="62">
        <f t="shared" si="31"/>
        <v>477.76332661810937</v>
      </c>
      <c r="N134" s="62">
        <f t="shared" si="32"/>
        <v>91.33209184982104</v>
      </c>
      <c r="O134">
        <f t="shared" si="33"/>
        <v>-10.944083165452735</v>
      </c>
      <c r="P134">
        <f t="shared" si="34"/>
        <v>1.3294808508290803</v>
      </c>
      <c r="Q134">
        <f t="shared" si="35"/>
        <v>9.3393819281726714E-3</v>
      </c>
      <c r="W134" s="62"/>
    </row>
    <row r="135" spans="1:23" x14ac:dyDescent="0.3">
      <c r="A135" s="54">
        <v>0.82969999999999999</v>
      </c>
      <c r="B135" s="47">
        <v>93</v>
      </c>
      <c r="C135">
        <f t="shared" si="25"/>
        <v>2.1238516409670858</v>
      </c>
      <c r="E135" s="47">
        <v>93</v>
      </c>
      <c r="F135" s="54">
        <v>0.82969999999999999</v>
      </c>
      <c r="G135" s="61">
        <f t="shared" si="26"/>
        <v>-8.1078909908664218E-2</v>
      </c>
      <c r="H135" s="61">
        <f t="shared" si="27"/>
        <v>0.28305711603692058</v>
      </c>
      <c r="I135" s="67">
        <f t="shared" si="28"/>
        <v>87.805939433561278</v>
      </c>
      <c r="J135" s="68">
        <f t="shared" si="29"/>
        <v>5.585011361762067E-2</v>
      </c>
      <c r="K135" s="70">
        <f t="shared" si="30"/>
        <v>5.194060566438722</v>
      </c>
      <c r="L135" s="62">
        <f t="shared" si="24"/>
        <v>1.9431146102801493E-4</v>
      </c>
      <c r="M135" s="62">
        <f t="shared" si="31"/>
        <v>476.82976564696975</v>
      </c>
      <c r="N135" s="62">
        <f t="shared" si="32"/>
        <v>92.265652820960668</v>
      </c>
      <c r="O135">
        <f t="shared" si="33"/>
        <v>-10.920744141174243</v>
      </c>
      <c r="P135">
        <f t="shared" si="34"/>
        <v>1.3328486754002911</v>
      </c>
      <c r="Q135">
        <f t="shared" si="35"/>
        <v>1.0216932791335911E-2</v>
      </c>
      <c r="W135" s="62"/>
    </row>
    <row r="136" spans="1:23" x14ac:dyDescent="0.3">
      <c r="A136" s="54">
        <v>0.80520000000000003</v>
      </c>
      <c r="B136" s="47">
        <v>94</v>
      </c>
      <c r="C136">
        <f t="shared" si="25"/>
        <v>2.1271047983648077</v>
      </c>
      <c r="E136" s="47">
        <v>94</v>
      </c>
      <c r="F136" s="54">
        <v>0.80520000000000003</v>
      </c>
      <c r="G136" s="61">
        <f t="shared" si="26"/>
        <v>-9.4096233783383082E-2</v>
      </c>
      <c r="H136" s="61">
        <f t="shared" si="27"/>
        <v>0.28010096825602521</v>
      </c>
      <c r="I136" s="67">
        <f t="shared" si="28"/>
        <v>88.776804392206955</v>
      </c>
      <c r="J136" s="68">
        <f t="shared" si="29"/>
        <v>5.5565910721202608E-2</v>
      </c>
      <c r="K136" s="70">
        <f t="shared" si="30"/>
        <v>5.2231956077930448</v>
      </c>
      <c r="L136" s="62">
        <f t="shared" si="24"/>
        <v>1.9242406882556034E-4</v>
      </c>
      <c r="M136" s="62">
        <f t="shared" si="31"/>
        <v>475.89364685254742</v>
      </c>
      <c r="N136" s="62">
        <f t="shared" si="32"/>
        <v>93.201771615382981</v>
      </c>
      <c r="O136">
        <f t="shared" si="33"/>
        <v>-10.897341171313686</v>
      </c>
      <c r="P136">
        <f t="shared" si="34"/>
        <v>1.3362257273282214</v>
      </c>
      <c r="Q136">
        <f t="shared" si="35"/>
        <v>1.1049689016616931E-2</v>
      </c>
      <c r="W136" s="62"/>
    </row>
    <row r="137" spans="1:23" x14ac:dyDescent="0.3">
      <c r="A137" s="54">
        <v>0.78159999999999996</v>
      </c>
      <c r="B137" s="47">
        <v>95</v>
      </c>
      <c r="C137">
        <f t="shared" si="25"/>
        <v>2.1303337684950061</v>
      </c>
      <c r="E137" s="47">
        <v>95</v>
      </c>
      <c r="F137" s="54">
        <v>0.78159999999999996</v>
      </c>
      <c r="G137" s="61">
        <f t="shared" si="26"/>
        <v>-0.10701544928928336</v>
      </c>
      <c r="H137" s="61">
        <f t="shared" si="27"/>
        <v>0.27714706955362006</v>
      </c>
      <c r="I137" s="67">
        <f t="shared" si="28"/>
        <v>89.746930703241873</v>
      </c>
      <c r="J137" s="68">
        <f t="shared" si="29"/>
        <v>5.5295466281664499E-2</v>
      </c>
      <c r="K137" s="70">
        <f t="shared" si="30"/>
        <v>5.2530692967581274</v>
      </c>
      <c r="L137" s="62">
        <f t="shared" si="24"/>
        <v>1.9055090143398743E-4</v>
      </c>
      <c r="M137" s="62">
        <f t="shared" si="31"/>
        <v>474.96003309286107</v>
      </c>
      <c r="N137" s="62">
        <f t="shared" si="32"/>
        <v>94.135385375069276</v>
      </c>
      <c r="O137">
        <f t="shared" si="33"/>
        <v>-10.874000827321527</v>
      </c>
      <c r="P137">
        <f t="shared" si="34"/>
        <v>1.3395937423343047</v>
      </c>
      <c r="Q137">
        <f t="shared" si="35"/>
        <v>1.1908058210716777E-2</v>
      </c>
      <c r="W137" s="62"/>
    </row>
    <row r="138" spans="1:23" x14ac:dyDescent="0.3">
      <c r="A138" s="54">
        <v>0.75870000000000004</v>
      </c>
      <c r="B138" s="47">
        <v>96</v>
      </c>
      <c r="C138">
        <f t="shared" si="25"/>
        <v>2.1335389083702174</v>
      </c>
      <c r="E138" s="47">
        <v>96</v>
      </c>
      <c r="F138" s="54">
        <v>0.75870000000000004</v>
      </c>
      <c r="G138" s="61">
        <f t="shared" si="26"/>
        <v>-0.11992991593593277</v>
      </c>
      <c r="H138" s="61">
        <f t="shared" si="27"/>
        <v>0.27417403892058345</v>
      </c>
      <c r="I138" s="67">
        <f t="shared" si="28"/>
        <v>90.723340367619727</v>
      </c>
      <c r="J138" s="68">
        <f t="shared" si="29"/>
        <v>5.4965204503961175E-2</v>
      </c>
      <c r="K138" s="70">
        <f t="shared" si="30"/>
        <v>5.276659632380273</v>
      </c>
      <c r="L138" s="62">
        <f t="shared" si="24"/>
        <v>1.8867842258331641E-4</v>
      </c>
      <c r="M138" s="62">
        <f t="shared" si="31"/>
        <v>474.02216482859683</v>
      </c>
      <c r="N138" s="62">
        <f t="shared" si="32"/>
        <v>95.073253639333558</v>
      </c>
      <c r="O138">
        <f t="shared" si="33"/>
        <v>-10.850554120714921</v>
      </c>
      <c r="P138">
        <f t="shared" si="34"/>
        <v>1.3429771054810014</v>
      </c>
      <c r="Q138">
        <f t="shared" si="35"/>
        <v>1.269868086406728E-2</v>
      </c>
      <c r="W138" s="62"/>
    </row>
    <row r="139" spans="1:23" x14ac:dyDescent="0.3">
      <c r="A139" s="54">
        <v>0.73660000000000003</v>
      </c>
      <c r="B139" s="47">
        <v>97</v>
      </c>
      <c r="C139">
        <f t="shared" si="25"/>
        <v>2.1367205671564067</v>
      </c>
      <c r="E139" s="47">
        <v>97</v>
      </c>
      <c r="F139" s="54">
        <v>0.73660000000000003</v>
      </c>
      <c r="G139" s="61">
        <f t="shared" si="26"/>
        <v>-0.13276828548110584</v>
      </c>
      <c r="H139" s="61">
        <f t="shared" si="27"/>
        <v>0.27119821515993991</v>
      </c>
      <c r="I139" s="67">
        <f t="shared" si="28"/>
        <v>91.700667357489948</v>
      </c>
      <c r="J139" s="68">
        <f t="shared" si="29"/>
        <v>5.4632295283608787E-2</v>
      </c>
      <c r="K139" s="70">
        <f t="shared" si="30"/>
        <v>5.299332642510052</v>
      </c>
      <c r="L139" s="62">
        <f t="shared" si="24"/>
        <v>1.8681697711226615E-4</v>
      </c>
      <c r="M139" s="62">
        <f t="shared" si="31"/>
        <v>473.08519869429927</v>
      </c>
      <c r="N139" s="62">
        <f t="shared" si="32"/>
        <v>96.010219773631164</v>
      </c>
      <c r="O139">
        <f t="shared" si="33"/>
        <v>-10.827129967357482</v>
      </c>
      <c r="P139">
        <f t="shared" si="34"/>
        <v>1.3463572141905886</v>
      </c>
      <c r="Q139">
        <f t="shared" si="35"/>
        <v>1.3492905218894374E-2</v>
      </c>
      <c r="W139" s="62"/>
    </row>
    <row r="140" spans="1:23" x14ac:dyDescent="0.3">
      <c r="A140" s="54">
        <v>0.71519999999999995</v>
      </c>
      <c r="B140" s="47">
        <v>98</v>
      </c>
      <c r="C140">
        <f t="shared" si="25"/>
        <v>2.1398790864012365</v>
      </c>
      <c r="E140" s="47">
        <v>98</v>
      </c>
      <c r="F140" s="54">
        <v>0.71519999999999995</v>
      </c>
      <c r="G140" s="61">
        <f t="shared" si="26"/>
        <v>-0.14557249421213878</v>
      </c>
      <c r="H140" s="61">
        <f t="shared" si="27"/>
        <v>0.26820986033829586</v>
      </c>
      <c r="I140" s="67">
        <f t="shared" si="28"/>
        <v>92.682109827681785</v>
      </c>
      <c r="J140" s="68">
        <f t="shared" si="29"/>
        <v>5.4264185431818518E-2</v>
      </c>
      <c r="K140" s="70">
        <f t="shared" si="30"/>
        <v>5.317890172318215</v>
      </c>
      <c r="L140" s="62">
        <f t="shared" si="24"/>
        <v>1.849604846449867E-4</v>
      </c>
      <c r="M140" s="62">
        <f t="shared" si="31"/>
        <v>472.14606468574181</v>
      </c>
      <c r="N140" s="62">
        <f t="shared" si="32"/>
        <v>96.949353782188666</v>
      </c>
      <c r="O140">
        <f t="shared" si="33"/>
        <v>-10.803651617143545</v>
      </c>
      <c r="P140">
        <f t="shared" si="34"/>
        <v>1.3497451435143892</v>
      </c>
      <c r="Q140">
        <f t="shared" si="35"/>
        <v>1.4248794987861607E-2</v>
      </c>
      <c r="W140" s="62"/>
    </row>
    <row r="141" spans="1:23" x14ac:dyDescent="0.3">
      <c r="A141" s="54">
        <v>0.69450000000000001</v>
      </c>
      <c r="B141" s="47">
        <v>99</v>
      </c>
      <c r="C141">
        <f t="shared" si="25"/>
        <v>2.143014800254095</v>
      </c>
      <c r="E141" s="47">
        <v>99</v>
      </c>
      <c r="F141" s="54">
        <v>0.69450000000000001</v>
      </c>
      <c r="G141" s="61">
        <f t="shared" si="26"/>
        <v>-0.15832774992636561</v>
      </c>
      <c r="H141" s="61">
        <f t="shared" si="27"/>
        <v>0.26521234429223373</v>
      </c>
      <c r="I141" s="67">
        <f t="shared" si="28"/>
        <v>93.666561048594161</v>
      </c>
      <c r="J141" s="68">
        <f t="shared" si="29"/>
        <v>5.3873120721271095E-2</v>
      </c>
      <c r="K141" s="70">
        <f t="shared" si="30"/>
        <v>5.3334389514058387</v>
      </c>
      <c r="L141" s="62">
        <f t="shared" si="24"/>
        <v>1.8311108991477641E-4</v>
      </c>
      <c r="M141" s="62">
        <f t="shared" si="31"/>
        <v>471.20582322356438</v>
      </c>
      <c r="N141" s="62">
        <f t="shared" si="32"/>
        <v>97.889595244365964</v>
      </c>
      <c r="O141">
        <f t="shared" si="33"/>
        <v>-10.78014558058911</v>
      </c>
      <c r="P141">
        <f t="shared" si="34"/>
        <v>1.3531370679811183</v>
      </c>
      <c r="Q141">
        <f t="shared" si="35"/>
        <v>1.4981142373634737E-2</v>
      </c>
      <c r="W141" s="62"/>
    </row>
    <row r="142" spans="1:23" x14ac:dyDescent="0.3">
      <c r="A142" s="56">
        <v>0.6744</v>
      </c>
      <c r="B142" s="47">
        <v>100</v>
      </c>
      <c r="C142">
        <f t="shared" si="25"/>
        <v>2.1461280356782382</v>
      </c>
      <c r="E142" s="47">
        <v>100</v>
      </c>
      <c r="F142" s="56">
        <v>0.6744</v>
      </c>
      <c r="G142" s="61">
        <f t="shared" si="26"/>
        <v>-0.17108243838331408</v>
      </c>
      <c r="H142" s="61">
        <f t="shared" si="27"/>
        <v>0.26219413011181486</v>
      </c>
      <c r="I142" s="67">
        <f t="shared" si="28"/>
        <v>94.657809999134983</v>
      </c>
      <c r="J142" s="68">
        <f t="shared" si="29"/>
        <v>5.3421900008650172E-2</v>
      </c>
      <c r="K142" s="70">
        <f t="shared" si="30"/>
        <v>5.3421900008650169</v>
      </c>
      <c r="L142" s="62">
        <f t="shared" si="24"/>
        <v>1.8126177743165269E-4</v>
      </c>
      <c r="M142" s="62">
        <f t="shared" si="31"/>
        <v>470.26086363495773</v>
      </c>
      <c r="N142" s="62">
        <f t="shared" si="32"/>
        <v>98.8345548329726</v>
      </c>
      <c r="O142">
        <f t="shared" si="33"/>
        <v>-10.756521590873943</v>
      </c>
      <c r="P142">
        <f t="shared" si="34"/>
        <v>1.3565460131059619</v>
      </c>
      <c r="Q142">
        <f t="shared" si="35"/>
        <v>1.5641561616686034E-2</v>
      </c>
      <c r="W142" s="62"/>
    </row>
    <row r="143" spans="1:23" x14ac:dyDescent="0.3">
      <c r="A143" s="54">
        <v>0.65580000000000005</v>
      </c>
      <c r="B143" s="47">
        <v>101</v>
      </c>
      <c r="C143">
        <f t="shared" si="25"/>
        <v>2.1492191126553797</v>
      </c>
      <c r="E143" s="47">
        <v>101</v>
      </c>
      <c r="F143" s="54">
        <v>0.65580000000000005</v>
      </c>
      <c r="G143" s="61">
        <f t="shared" si="26"/>
        <v>-0.18322858766665354</v>
      </c>
      <c r="H143" s="61">
        <f t="shared" si="27"/>
        <v>0.25930028745806866</v>
      </c>
      <c r="I143" s="67">
        <f t="shared" si="28"/>
        <v>95.608212562401107</v>
      </c>
      <c r="J143" s="68">
        <f t="shared" si="29"/>
        <v>5.3384034035632605E-2</v>
      </c>
      <c r="K143" s="70">
        <f t="shared" si="30"/>
        <v>5.391787437598893</v>
      </c>
      <c r="L143" s="62">
        <f t="shared" si="24"/>
        <v>1.7950069753014185E-4</v>
      </c>
      <c r="M143" s="62">
        <f t="shared" si="31"/>
        <v>469.35649763354178</v>
      </c>
      <c r="N143" s="62">
        <f t="shared" si="32"/>
        <v>99.738920834388608</v>
      </c>
      <c r="O143">
        <f t="shared" si="33"/>
        <v>-10.733912440838544</v>
      </c>
      <c r="P143">
        <f t="shared" si="34"/>
        <v>1.3598085167185736</v>
      </c>
      <c r="Q143">
        <f t="shared" si="35"/>
        <v>1.6838024633346577E-2</v>
      </c>
      <c r="W143" s="62"/>
    </row>
    <row r="144" spans="1:23" x14ac:dyDescent="0.3">
      <c r="A144" s="56">
        <v>0.63759999999999994</v>
      </c>
      <c r="B144" s="47">
        <v>102</v>
      </c>
      <c r="C144">
        <f t="shared" si="25"/>
        <v>2.1522883443830563</v>
      </c>
      <c r="E144" s="47">
        <v>102</v>
      </c>
      <c r="F144" s="56">
        <v>0.63759999999999994</v>
      </c>
      <c r="G144" s="61">
        <f t="shared" si="26"/>
        <v>-0.19545169161194412</v>
      </c>
      <c r="H144" s="61">
        <f t="shared" si="27"/>
        <v>0.25636851276600975</v>
      </c>
      <c r="I144" s="67">
        <f t="shared" si="28"/>
        <v>96.571072854284779</v>
      </c>
      <c r="J144" s="68">
        <f t="shared" si="29"/>
        <v>5.3224775938384518E-2</v>
      </c>
      <c r="K144" s="70">
        <f t="shared" si="30"/>
        <v>5.4289271457152211</v>
      </c>
      <c r="L144" s="62">
        <f t="shared" si="24"/>
        <v>1.77728459910631E-4</v>
      </c>
      <c r="M144" s="62">
        <f t="shared" si="31"/>
        <v>468.44191197005944</v>
      </c>
      <c r="N144" s="62">
        <f t="shared" si="32"/>
        <v>100.65350649787098</v>
      </c>
      <c r="O144">
        <f t="shared" si="33"/>
        <v>-10.711047799251485</v>
      </c>
      <c r="P144">
        <f t="shared" si="34"/>
        <v>1.3631078877989573</v>
      </c>
      <c r="Q144">
        <f t="shared" si="35"/>
        <v>1.7885037588056235E-2</v>
      </c>
      <c r="W144" s="62"/>
    </row>
    <row r="145" spans="1:23" x14ac:dyDescent="0.3">
      <c r="A145" s="56">
        <v>0.61990000000000001</v>
      </c>
      <c r="B145" s="47">
        <v>103</v>
      </c>
      <c r="C145">
        <f t="shared" si="25"/>
        <v>2.1553360374650619</v>
      </c>
      <c r="E145" s="47">
        <v>103</v>
      </c>
      <c r="F145" s="56">
        <v>0.61990000000000001</v>
      </c>
      <c r="G145" s="61">
        <f t="shared" si="26"/>
        <v>-0.20767836364842648</v>
      </c>
      <c r="H145" s="61">
        <f t="shared" si="27"/>
        <v>0.25341594749046248</v>
      </c>
      <c r="I145" s="67">
        <f t="shared" si="28"/>
        <v>97.540761238156648</v>
      </c>
      <c r="J145" s="68">
        <f t="shared" si="29"/>
        <v>5.3002318076149045E-2</v>
      </c>
      <c r="K145" s="70">
        <f t="shared" si="30"/>
        <v>5.459238761843352</v>
      </c>
      <c r="L145" s="62">
        <f t="shared" si="24"/>
        <v>1.7595570495072382E-4</v>
      </c>
      <c r="M145" s="62">
        <f t="shared" si="31"/>
        <v>467.52248589408441</v>
      </c>
      <c r="N145" s="62">
        <f t="shared" si="32"/>
        <v>101.57293257384597</v>
      </c>
      <c r="O145">
        <f t="shared" si="33"/>
        <v>-10.68806214735211</v>
      </c>
      <c r="P145">
        <f t="shared" si="34"/>
        <v>1.3664247206848701</v>
      </c>
      <c r="Q145">
        <f t="shared" si="35"/>
        <v>1.8855987051573903E-2</v>
      </c>
      <c r="W145" s="62"/>
    </row>
    <row r="146" spans="1:23" x14ac:dyDescent="0.3">
      <c r="A146" s="56">
        <v>0.60260000000000002</v>
      </c>
      <c r="B146" s="47">
        <v>104</v>
      </c>
      <c r="C146">
        <f t="shared" si="25"/>
        <v>2.1583624920952498</v>
      </c>
      <c r="E146" s="47">
        <v>104</v>
      </c>
      <c r="F146" s="56">
        <v>0.60260000000000002</v>
      </c>
      <c r="G146" s="61">
        <f t="shared" si="26"/>
        <v>-0.21997087266266166</v>
      </c>
      <c r="H146" s="61">
        <f t="shared" si="27"/>
        <v>0.2504271089034899</v>
      </c>
      <c r="I146" s="67">
        <f t="shared" si="28"/>
        <v>98.522362587687567</v>
      </c>
      <c r="J146" s="68">
        <f t="shared" si="29"/>
        <v>5.2669590503004161E-2</v>
      </c>
      <c r="K146" s="70">
        <f t="shared" si="30"/>
        <v>5.4776374123124327</v>
      </c>
      <c r="L146" s="62">
        <f t="shared" si="24"/>
        <v>1.7417340423474264E-4</v>
      </c>
      <c r="M146" s="62">
        <f t="shared" si="31"/>
        <v>466.59342788718146</v>
      </c>
      <c r="N146" s="62">
        <f t="shared" si="32"/>
        <v>102.50199058074894</v>
      </c>
      <c r="O146">
        <f t="shared" si="33"/>
        <v>-10.664835697179537</v>
      </c>
      <c r="P146">
        <f t="shared" si="34"/>
        <v>1.3697763007963526</v>
      </c>
      <c r="Q146">
        <f t="shared" si="35"/>
        <v>1.9688604137338334E-2</v>
      </c>
      <c r="W146" s="62"/>
    </row>
    <row r="147" spans="1:23" x14ac:dyDescent="0.3">
      <c r="A147" s="56">
        <v>0.58579999999999999</v>
      </c>
      <c r="B147" s="47">
        <v>105</v>
      </c>
      <c r="C147">
        <f t="shared" si="25"/>
        <v>2.1613680022349748</v>
      </c>
      <c r="E147" s="47">
        <v>105</v>
      </c>
      <c r="F147" s="56">
        <v>0.58579999999999999</v>
      </c>
      <c r="G147" s="61">
        <f t="shared" si="26"/>
        <v>-0.23225063265442014</v>
      </c>
      <c r="H147" s="61">
        <f t="shared" si="27"/>
        <v>0.24742069048772641</v>
      </c>
      <c r="I147" s="67">
        <f t="shared" si="28"/>
        <v>99.509737545649841</v>
      </c>
      <c r="J147" s="68">
        <f t="shared" si="29"/>
        <v>5.2288213850953891E-2</v>
      </c>
      <c r="K147" s="70">
        <f t="shared" si="30"/>
        <v>5.4902624543501588</v>
      </c>
      <c r="L147" s="62">
        <f t="shared" si="24"/>
        <v>1.7239295200972957E-4</v>
      </c>
      <c r="M147" s="62">
        <f t="shared" si="31"/>
        <v>465.66057510936122</v>
      </c>
      <c r="N147" s="62">
        <f t="shared" si="32"/>
        <v>103.43484335856917</v>
      </c>
      <c r="O147">
        <f t="shared" si="33"/>
        <v>-10.64151437773403</v>
      </c>
      <c r="P147">
        <f t="shared" si="34"/>
        <v>1.3731415705576087</v>
      </c>
      <c r="Q147">
        <f t="shared" si="35"/>
        <v>2.0461474845579919E-2</v>
      </c>
      <c r="W147" s="62"/>
    </row>
    <row r="148" spans="1:23" x14ac:dyDescent="0.3">
      <c r="A148" s="56">
        <v>0.56940000000000002</v>
      </c>
      <c r="B148" s="47">
        <v>106</v>
      </c>
      <c r="C148">
        <f t="shared" si="25"/>
        <v>2.1643528557844371</v>
      </c>
      <c r="E148" s="47">
        <v>106</v>
      </c>
      <c r="F148" s="56">
        <v>0.56940000000000002</v>
      </c>
      <c r="G148" s="61">
        <f t="shared" si="26"/>
        <v>-0.2445825371890637</v>
      </c>
      <c r="H148" s="61">
        <f t="shared" si="27"/>
        <v>0.24438041438328428</v>
      </c>
      <c r="I148" s="67">
        <f t="shared" si="28"/>
        <v>100.50823212480671</v>
      </c>
      <c r="J148" s="68">
        <f t="shared" si="29"/>
        <v>5.18091308980499E-2</v>
      </c>
      <c r="K148" s="70">
        <f t="shared" si="30"/>
        <v>5.4917678751932897</v>
      </c>
      <c r="L148" s="62">
        <f t="shared" si="24"/>
        <v>1.7060493930572796E-4</v>
      </c>
      <c r="M148" s="62">
        <f t="shared" si="31"/>
        <v>464.71890041005088</v>
      </c>
      <c r="N148" s="62">
        <f t="shared" si="32"/>
        <v>104.37651805787949</v>
      </c>
      <c r="O148">
        <f t="shared" si="33"/>
        <v>-10.617972510251272</v>
      </c>
      <c r="P148">
        <f t="shared" si="34"/>
        <v>1.3765386654324656</v>
      </c>
      <c r="Q148">
        <f t="shared" si="35"/>
        <v>2.1109705610936447E-2</v>
      </c>
      <c r="W148" s="62"/>
    </row>
    <row r="149" spans="1:23" x14ac:dyDescent="0.3">
      <c r="A149" s="56">
        <v>0.55349999999999999</v>
      </c>
      <c r="B149" s="47">
        <v>107</v>
      </c>
      <c r="C149">
        <f t="shared" si="25"/>
        <v>2.167317334748176</v>
      </c>
      <c r="E149" s="47">
        <v>107</v>
      </c>
      <c r="F149" s="56">
        <v>0.55349999999999999</v>
      </c>
      <c r="G149" s="61">
        <f t="shared" si="26"/>
        <v>-0.25688237478525838</v>
      </c>
      <c r="H149" s="61">
        <f t="shared" si="27"/>
        <v>0.24132669420011821</v>
      </c>
      <c r="I149" s="67">
        <f t="shared" si="28"/>
        <v>101.51114203969838</v>
      </c>
      <c r="J149" s="68">
        <f t="shared" si="29"/>
        <v>5.1297737946744068E-2</v>
      </c>
      <c r="K149" s="70">
        <f t="shared" si="30"/>
        <v>5.4888579603016154</v>
      </c>
      <c r="L149" s="62">
        <f t="shared" si="24"/>
        <v>1.6882157601278563E-4</v>
      </c>
      <c r="M149" s="62">
        <f t="shared" si="31"/>
        <v>463.77474607648202</v>
      </c>
      <c r="N149" s="62">
        <f t="shared" si="32"/>
        <v>105.32067239144837</v>
      </c>
      <c r="O149">
        <f t="shared" si="33"/>
        <v>-10.594368651912051</v>
      </c>
      <c r="P149">
        <f t="shared" si="34"/>
        <v>1.3799447055968554</v>
      </c>
      <c r="Q149">
        <f t="shared" si="35"/>
        <v>2.1717507914741863E-2</v>
      </c>
      <c r="W149" s="62"/>
    </row>
    <row r="150" spans="1:23" x14ac:dyDescent="0.3">
      <c r="A150" s="56">
        <v>0.53800000000000003</v>
      </c>
      <c r="B150" s="47">
        <v>108</v>
      </c>
      <c r="C150">
        <f t="shared" si="25"/>
        <v>2.1702617153949575</v>
      </c>
      <c r="E150" s="47">
        <v>108</v>
      </c>
      <c r="F150" s="56">
        <v>0.53800000000000003</v>
      </c>
      <c r="G150" s="61">
        <f t="shared" si="26"/>
        <v>-0.2692177243336108</v>
      </c>
      <c r="H150" s="61">
        <f t="shared" si="27"/>
        <v>0.23824243909214973</v>
      </c>
      <c r="I150" s="67">
        <f t="shared" si="28"/>
        <v>102.52408030591171</v>
      </c>
      <c r="J150" s="68">
        <f t="shared" si="29"/>
        <v>5.0702960130447131E-2</v>
      </c>
      <c r="K150" s="70">
        <f t="shared" si="30"/>
        <v>5.4759196940882902</v>
      </c>
      <c r="L150" s="62">
        <f t="shared" si="24"/>
        <v>1.6703306381349038E-4</v>
      </c>
      <c r="M150" s="62">
        <f t="shared" si="31"/>
        <v>462.82284389572391</v>
      </c>
      <c r="N150" s="62">
        <f t="shared" si="32"/>
        <v>106.27257457220649</v>
      </c>
      <c r="O150">
        <f t="shared" si="33"/>
        <v>-10.570571097393097</v>
      </c>
      <c r="P150">
        <f t="shared" si="34"/>
        <v>1.3833786961479311</v>
      </c>
      <c r="Q150">
        <f t="shared" si="35"/>
        <v>2.2217302866389566E-2</v>
      </c>
      <c r="W150" s="62"/>
    </row>
    <row r="151" spans="1:23" x14ac:dyDescent="0.3">
      <c r="A151" s="56">
        <v>0.52290000000000003</v>
      </c>
      <c r="B151" s="47">
        <v>109</v>
      </c>
      <c r="C151">
        <f t="shared" si="25"/>
        <v>2.173186268412274</v>
      </c>
      <c r="E151" s="47">
        <v>109</v>
      </c>
      <c r="F151" s="56">
        <v>0.52290000000000003</v>
      </c>
      <c r="G151" s="61">
        <f t="shared" si="26"/>
        <v>-0.28158135817034435</v>
      </c>
      <c r="H151" s="61">
        <f t="shared" si="27"/>
        <v>0.23512897537877137</v>
      </c>
      <c r="I151" s="67">
        <f t="shared" si="28"/>
        <v>103.54661133053401</v>
      </c>
      <c r="J151" s="68">
        <f t="shared" si="29"/>
        <v>5.0031088710697197E-2</v>
      </c>
      <c r="K151" s="70">
        <f t="shared" si="30"/>
        <v>5.4533886694659941</v>
      </c>
      <c r="L151" s="62">
        <f t="shared" si="24"/>
        <v>1.652404506525953E-4</v>
      </c>
      <c r="M151" s="62">
        <f t="shared" si="31"/>
        <v>461.86363135109281</v>
      </c>
      <c r="N151" s="62">
        <f t="shared" si="32"/>
        <v>107.23178711683759</v>
      </c>
      <c r="O151">
        <f t="shared" si="33"/>
        <v>-10.546590783777321</v>
      </c>
      <c r="P151">
        <f t="shared" si="34"/>
        <v>1.3868390588630506</v>
      </c>
      <c r="Q151">
        <f t="shared" si="35"/>
        <v>2.2616318129655699E-2</v>
      </c>
      <c r="W151" s="62"/>
    </row>
    <row r="152" spans="1:23" x14ac:dyDescent="0.3">
      <c r="A152" s="56">
        <v>0.50829999999999997</v>
      </c>
      <c r="B152" s="47">
        <v>110</v>
      </c>
      <c r="C152">
        <f t="shared" si="25"/>
        <v>2.1760912590556813</v>
      </c>
      <c r="E152" s="47">
        <v>110</v>
      </c>
      <c r="F152" s="56">
        <v>0.50829999999999997</v>
      </c>
      <c r="G152" s="61">
        <f t="shared" si="26"/>
        <v>-0.29387989029729644</v>
      </c>
      <c r="H152" s="61">
        <f t="shared" si="27"/>
        <v>0.23200960194577436</v>
      </c>
      <c r="I152" s="67">
        <f t="shared" si="28"/>
        <v>104.57108323907634</v>
      </c>
      <c r="J152" s="68">
        <f t="shared" si="29"/>
        <v>4.9353788735669597E-2</v>
      </c>
      <c r="K152" s="70">
        <f t="shared" si="30"/>
        <v>5.4289167609236557</v>
      </c>
      <c r="L152" s="62">
        <f t="shared" si="24"/>
        <v>1.6345727664068285E-4</v>
      </c>
      <c r="M152" s="62">
        <f t="shared" si="31"/>
        <v>460.90429362200621</v>
      </c>
      <c r="N152" s="62">
        <f t="shared" si="32"/>
        <v>108.19112484592414</v>
      </c>
      <c r="O152">
        <f t="shared" si="33"/>
        <v>-10.522607340550156</v>
      </c>
      <c r="P152">
        <f t="shared" si="34"/>
        <v>1.3902998731815446</v>
      </c>
      <c r="Q152">
        <f t="shared" si="35"/>
        <v>2.3007939702703761E-2</v>
      </c>
      <c r="W152" s="62"/>
    </row>
    <row r="153" spans="1:23" x14ac:dyDescent="0.3">
      <c r="A153" s="56">
        <v>0.49409999999999998</v>
      </c>
      <c r="B153" s="47">
        <v>111</v>
      </c>
      <c r="C153">
        <f t="shared" si="25"/>
        <v>2.1789769472931693</v>
      </c>
      <c r="E153" s="47">
        <v>111</v>
      </c>
      <c r="F153" s="56">
        <v>0.49409999999999998</v>
      </c>
      <c r="G153" s="61">
        <f t="shared" si="26"/>
        <v>-0.30618514611058323</v>
      </c>
      <c r="H153" s="61">
        <f t="shared" si="27"/>
        <v>0.22886593708760783</v>
      </c>
      <c r="I153" s="67">
        <f t="shared" si="28"/>
        <v>105.60353299420844</v>
      </c>
      <c r="J153" s="68">
        <f t="shared" si="29"/>
        <v>4.8616819871996071E-2</v>
      </c>
      <c r="K153" s="70">
        <f t="shared" si="30"/>
        <v>5.396467005791564</v>
      </c>
      <c r="L153" s="62">
        <f t="shared" si="24"/>
        <v>1.6167312775610971E-4</v>
      </c>
      <c r="M153" s="62">
        <f t="shared" si="31"/>
        <v>459.93917990746655</v>
      </c>
      <c r="N153" s="62">
        <f t="shared" si="32"/>
        <v>109.15623856046382</v>
      </c>
      <c r="O153">
        <f t="shared" si="33"/>
        <v>-10.498479497686663</v>
      </c>
      <c r="P153">
        <f t="shared" si="34"/>
        <v>1.3937815243883975</v>
      </c>
      <c r="Q153">
        <f t="shared" si="35"/>
        <v>2.332034218941692E-2</v>
      </c>
      <c r="W153" s="62"/>
    </row>
    <row r="154" spans="1:23" x14ac:dyDescent="0.3">
      <c r="A154" s="56">
        <v>0.4803</v>
      </c>
      <c r="B154" s="47">
        <v>112</v>
      </c>
      <c r="C154">
        <f t="shared" si="25"/>
        <v>2.1818435879447726</v>
      </c>
      <c r="E154" s="47">
        <v>112</v>
      </c>
      <c r="F154" s="56">
        <v>0.4803</v>
      </c>
      <c r="G154" s="61">
        <f t="shared" si="26"/>
        <v>-0.31848741336103781</v>
      </c>
      <c r="H154" s="61">
        <f t="shared" si="27"/>
        <v>0.22570012249061183</v>
      </c>
      <c r="I154" s="67">
        <f t="shared" si="28"/>
        <v>106.64325721830032</v>
      </c>
      <c r="J154" s="68">
        <f t="shared" si="29"/>
        <v>4.7828060550889999E-2</v>
      </c>
      <c r="K154" s="70">
        <f t="shared" si="30"/>
        <v>5.3567427816996798</v>
      </c>
      <c r="L154" s="62">
        <f t="shared" si="24"/>
        <v>1.598894121856525E-4</v>
      </c>
      <c r="M154" s="62">
        <f t="shared" si="31"/>
        <v>458.96896241532198</v>
      </c>
      <c r="N154" s="62">
        <f t="shared" si="32"/>
        <v>110.12645605260842</v>
      </c>
      <c r="O154">
        <f t="shared" si="33"/>
        <v>-10.474224060383049</v>
      </c>
      <c r="P154">
        <f t="shared" si="34"/>
        <v>1.3972815874913724</v>
      </c>
      <c r="Q154">
        <f t="shared" si="35"/>
        <v>2.3563237838962525E-2</v>
      </c>
      <c r="W154" s="62"/>
    </row>
    <row r="155" spans="1:23" x14ac:dyDescent="0.3">
      <c r="A155" s="56">
        <v>0.46689999999999998</v>
      </c>
      <c r="B155" s="47">
        <v>113</v>
      </c>
      <c r="C155">
        <f t="shared" si="25"/>
        <v>2.1846914308175989</v>
      </c>
      <c r="E155" s="47">
        <v>113</v>
      </c>
      <c r="F155" s="56">
        <v>0.46689999999999998</v>
      </c>
      <c r="G155" s="61">
        <f t="shared" si="26"/>
        <v>-0.33077612606919421</v>
      </c>
      <c r="H155" s="61">
        <f t="shared" si="27"/>
        <v>0.22251458754354375</v>
      </c>
      <c r="I155" s="67">
        <f t="shared" si="28"/>
        <v>107.68945804582216</v>
      </c>
      <c r="J155" s="68">
        <f t="shared" si="29"/>
        <v>4.6995946497148992E-2</v>
      </c>
      <c r="K155" s="70">
        <f t="shared" si="30"/>
        <v>5.310541954177836</v>
      </c>
      <c r="L155" s="62">
        <f t="shared" si="24"/>
        <v>1.5810766189912676E-4</v>
      </c>
      <c r="M155" s="62">
        <f t="shared" si="31"/>
        <v>457.99439579738856</v>
      </c>
      <c r="N155" s="62">
        <f t="shared" si="32"/>
        <v>111.10102267054178</v>
      </c>
      <c r="O155">
        <f t="shared" si="33"/>
        <v>-10.449859894934715</v>
      </c>
      <c r="P155">
        <f t="shared" si="34"/>
        <v>1.4007973400813196</v>
      </c>
      <c r="Q155">
        <f t="shared" si="35"/>
        <v>2.374719263080588E-2</v>
      </c>
      <c r="W155" s="62"/>
    </row>
    <row r="156" spans="1:23" x14ac:dyDescent="0.3">
      <c r="A156" s="54">
        <v>0.45390000000000003</v>
      </c>
      <c r="B156" s="47">
        <v>114</v>
      </c>
      <c r="C156">
        <f t="shared" si="25"/>
        <v>2.1875207208364631</v>
      </c>
      <c r="E156" s="47">
        <v>114</v>
      </c>
      <c r="F156" s="54">
        <v>0.45390000000000003</v>
      </c>
      <c r="G156" s="61">
        <f t="shared" si="26"/>
        <v>-0.34303981725715083</v>
      </c>
      <c r="H156" s="61">
        <f t="shared" si="27"/>
        <v>0.21931207231623806</v>
      </c>
      <c r="I156" s="67">
        <f t="shared" si="28"/>
        <v>108.74123557663916</v>
      </c>
      <c r="J156" s="68">
        <f t="shared" si="29"/>
        <v>4.6129512485621443E-2</v>
      </c>
      <c r="K156" s="70">
        <f t="shared" si="30"/>
        <v>5.2587644233608444</v>
      </c>
      <c r="L156" s="62">
        <f t="shared" si="24"/>
        <v>1.5632953950283198E-4</v>
      </c>
      <c r="M156" s="62">
        <f t="shared" si="31"/>
        <v>457.01632345387742</v>
      </c>
      <c r="N156" s="62">
        <f t="shared" si="32"/>
        <v>112.07909501405301</v>
      </c>
      <c r="O156">
        <f t="shared" si="33"/>
        <v>-10.425408086346936</v>
      </c>
      <c r="P156">
        <f t="shared" si="34"/>
        <v>1.4043257395889357</v>
      </c>
      <c r="Q156">
        <f t="shared" si="35"/>
        <v>2.388367354284926E-2</v>
      </c>
      <c r="W156" s="62"/>
    </row>
    <row r="157" spans="1:23" x14ac:dyDescent="0.3">
      <c r="A157" s="54">
        <v>0.44119999999999998</v>
      </c>
      <c r="B157" s="47">
        <v>115</v>
      </c>
      <c r="C157">
        <f t="shared" si="25"/>
        <v>2.1903316981702914</v>
      </c>
      <c r="E157" s="47">
        <v>115</v>
      </c>
      <c r="F157" s="54">
        <v>0.44119999999999998</v>
      </c>
      <c r="G157" s="61">
        <f t="shared" si="26"/>
        <v>-0.35536449623184702</v>
      </c>
      <c r="H157" s="61">
        <f t="shared" si="27"/>
        <v>0.21606966140907397</v>
      </c>
      <c r="I157" s="67">
        <f t="shared" si="28"/>
        <v>109.80611573981649</v>
      </c>
      <c r="J157" s="68">
        <f t="shared" si="29"/>
        <v>4.5164210958117471E-2</v>
      </c>
      <c r="K157" s="70">
        <f t="shared" si="30"/>
        <v>5.1938842601835091</v>
      </c>
      <c r="L157" s="62">
        <f t="shared" si="24"/>
        <v>1.5454257443854759E-4</v>
      </c>
      <c r="M157" s="62">
        <f t="shared" si="31"/>
        <v>456.02776688961984</v>
      </c>
      <c r="N157" s="62">
        <f t="shared" si="32"/>
        <v>113.06765157831049</v>
      </c>
      <c r="O157">
        <f t="shared" si="33"/>
        <v>-10.400694172240495</v>
      </c>
      <c r="P157">
        <f t="shared" si="34"/>
        <v>1.4078919609607161</v>
      </c>
      <c r="Q157">
        <f t="shared" si="35"/>
        <v>2.3886671268153081E-2</v>
      </c>
      <c r="W157" s="62"/>
    </row>
    <row r="158" spans="1:23" x14ac:dyDescent="0.3">
      <c r="A158" s="54">
        <v>0.42899999999999999</v>
      </c>
      <c r="B158" s="47">
        <v>116</v>
      </c>
      <c r="C158">
        <f t="shared" si="25"/>
        <v>2.1931245983544616</v>
      </c>
      <c r="E158" s="47">
        <v>116</v>
      </c>
      <c r="F158" s="54">
        <v>0.42899999999999999</v>
      </c>
      <c r="G158" s="61">
        <f t="shared" si="26"/>
        <v>-0.36754270781527576</v>
      </c>
      <c r="H158" s="61">
        <f t="shared" si="27"/>
        <v>0.21284182822513503</v>
      </c>
      <c r="I158" s="67">
        <f t="shared" si="28"/>
        <v>110.86620825308415</v>
      </c>
      <c r="J158" s="68">
        <f t="shared" si="29"/>
        <v>4.4256825404446955E-2</v>
      </c>
      <c r="K158" s="70">
        <f t="shared" si="30"/>
        <v>5.1337917469158469</v>
      </c>
      <c r="L158" s="62">
        <f t="shared" si="24"/>
        <v>1.5277684579849697E-4</v>
      </c>
      <c r="M158" s="62">
        <f t="shared" si="31"/>
        <v>455.04532854981744</v>
      </c>
      <c r="N158" s="62">
        <f t="shared" si="32"/>
        <v>114.05008991811297</v>
      </c>
      <c r="O158">
        <f t="shared" si="33"/>
        <v>-10.376133213745437</v>
      </c>
      <c r="P158">
        <f t="shared" si="34"/>
        <v>1.4114361108157034</v>
      </c>
      <c r="Q158">
        <f t="shared" si="35"/>
        <v>2.3963640984724588E-2</v>
      </c>
      <c r="W158" s="62"/>
    </row>
    <row r="159" spans="1:23" x14ac:dyDescent="0.3">
      <c r="A159" s="54">
        <v>0.41710000000000003</v>
      </c>
      <c r="B159" s="47">
        <v>117</v>
      </c>
      <c r="C159">
        <f t="shared" si="25"/>
        <v>2.1958996524092336</v>
      </c>
      <c r="E159" s="47">
        <v>117</v>
      </c>
      <c r="F159" s="54">
        <v>0.41710000000000003</v>
      </c>
      <c r="G159" s="61">
        <f t="shared" si="26"/>
        <v>-0.3797598101541686</v>
      </c>
      <c r="H159" s="61">
        <f t="shared" si="27"/>
        <v>0.2095794005873271</v>
      </c>
      <c r="I159" s="67">
        <f t="shared" si="28"/>
        <v>111.93766235769104</v>
      </c>
      <c r="J159" s="68">
        <f t="shared" si="29"/>
        <v>4.3267843096657786E-2</v>
      </c>
      <c r="K159" s="70">
        <f t="shared" si="30"/>
        <v>5.062337642308961</v>
      </c>
      <c r="L159" s="62">
        <f t="shared" si="24"/>
        <v>1.5100547835669904E-4</v>
      </c>
      <c r="M159" s="62">
        <f t="shared" si="31"/>
        <v>454.05403151917847</v>
      </c>
      <c r="N159" s="62">
        <f t="shared" si="32"/>
        <v>115.04138694875198</v>
      </c>
      <c r="O159">
        <f t="shared" si="33"/>
        <v>-10.351350787979461</v>
      </c>
      <c r="P159">
        <f t="shared" si="34"/>
        <v>1.415012218429841</v>
      </c>
      <c r="Q159">
        <f t="shared" si="35"/>
        <v>2.3929224545831351E-2</v>
      </c>
      <c r="W159" s="62"/>
    </row>
    <row r="160" spans="1:23" x14ac:dyDescent="0.3">
      <c r="A160" s="54">
        <v>0.40550000000000003</v>
      </c>
      <c r="B160" s="47">
        <v>118</v>
      </c>
      <c r="C160">
        <f t="shared" si="25"/>
        <v>2.1986570869544226</v>
      </c>
      <c r="E160" s="47">
        <v>118</v>
      </c>
      <c r="F160" s="54">
        <v>0.40550000000000003</v>
      </c>
      <c r="G160" s="61">
        <f t="shared" si="26"/>
        <v>-0.39200914145282512</v>
      </c>
      <c r="H160" s="61">
        <f t="shared" si="27"/>
        <v>0.20628357544862433</v>
      </c>
      <c r="I160" s="67">
        <f t="shared" si="28"/>
        <v>113.02008494754577</v>
      </c>
      <c r="J160" s="68">
        <f t="shared" si="29"/>
        <v>4.220266993605281E-2</v>
      </c>
      <c r="K160" s="70">
        <f t="shared" si="30"/>
        <v>4.9799150524542313</v>
      </c>
      <c r="L160" s="62">
        <f t="shared" si="24"/>
        <v>1.4922943801224178E-4</v>
      </c>
      <c r="M160" s="62">
        <f t="shared" si="31"/>
        <v>453.05426479124293</v>
      </c>
      <c r="N160" s="62">
        <f t="shared" si="32"/>
        <v>116.04115367668744</v>
      </c>
      <c r="O160">
        <f t="shared" si="33"/>
        <v>-10.326356619781073</v>
      </c>
      <c r="P160">
        <f t="shared" si="34"/>
        <v>1.4186188805075304</v>
      </c>
      <c r="Q160">
        <f t="shared" si="35"/>
        <v>2.3790083747175117E-2</v>
      </c>
      <c r="W160" s="62"/>
    </row>
    <row r="161" spans="1:23" x14ac:dyDescent="0.3">
      <c r="A161" s="54">
        <v>0.39439999999999997</v>
      </c>
      <c r="B161" s="47">
        <v>119</v>
      </c>
      <c r="C161">
        <f t="shared" si="25"/>
        <v>2.2013971243204513</v>
      </c>
      <c r="E161" s="47">
        <v>119</v>
      </c>
      <c r="F161" s="54">
        <v>0.39439999999999997</v>
      </c>
      <c r="G161" s="61">
        <f t="shared" si="26"/>
        <v>-0.40406309373082644</v>
      </c>
      <c r="H161" s="61">
        <f t="shared" si="27"/>
        <v>0.2030157179666067</v>
      </c>
      <c r="I161" s="67">
        <f t="shared" si="28"/>
        <v>114.09332233427008</v>
      </c>
      <c r="J161" s="68">
        <f t="shared" si="29"/>
        <v>4.1232585426301815E-2</v>
      </c>
      <c r="K161" s="70">
        <f t="shared" si="30"/>
        <v>4.9066776657299158</v>
      </c>
      <c r="L161" s="62">
        <f t="shared" si="24"/>
        <v>1.4748172582829258E-4</v>
      </c>
      <c r="M161" s="62">
        <f t="shared" si="31"/>
        <v>452.0646198578703</v>
      </c>
      <c r="N161" s="62">
        <f t="shared" si="32"/>
        <v>117.03079861006009</v>
      </c>
      <c r="O161">
        <f t="shared" si="33"/>
        <v>-10.301615496446757</v>
      </c>
      <c r="P161">
        <f t="shared" si="34"/>
        <v>1.42218902817482</v>
      </c>
      <c r="Q161">
        <f t="shared" si="35"/>
        <v>2.3773826569173873E-2</v>
      </c>
      <c r="W161" s="62"/>
    </row>
    <row r="162" spans="1:23" x14ac:dyDescent="0.3">
      <c r="A162" s="54">
        <v>0.38350000000000001</v>
      </c>
      <c r="B162" s="47">
        <v>120</v>
      </c>
      <c r="C162">
        <f t="shared" si="25"/>
        <v>2.2041199826559246</v>
      </c>
      <c r="E162" s="47">
        <v>120</v>
      </c>
      <c r="F162" s="54">
        <v>0.38350000000000001</v>
      </c>
      <c r="G162" s="61">
        <f t="shared" si="26"/>
        <v>-0.41623463171500025</v>
      </c>
      <c r="H162" s="61">
        <f t="shared" si="27"/>
        <v>0.19969084214815996</v>
      </c>
      <c r="I162" s="67">
        <f t="shared" si="28"/>
        <v>115.1852858162177</v>
      </c>
      <c r="J162" s="68">
        <f t="shared" si="29"/>
        <v>4.0122618198185835E-2</v>
      </c>
      <c r="K162" s="70">
        <f t="shared" si="30"/>
        <v>4.8147141837823</v>
      </c>
      <c r="L162" s="62">
        <f t="shared" si="24"/>
        <v>1.4571696479873683E-4</v>
      </c>
      <c r="M162" s="62">
        <f t="shared" si="31"/>
        <v>451.05935289510785</v>
      </c>
      <c r="N162" s="62">
        <f t="shared" si="32"/>
        <v>118.03606557282259</v>
      </c>
      <c r="O162">
        <f t="shared" si="33"/>
        <v>-10.276483822377696</v>
      </c>
      <c r="P162">
        <f t="shared" si="34"/>
        <v>1.4258155323694899</v>
      </c>
      <c r="Q162">
        <f t="shared" si="35"/>
        <v>2.356748828500016E-2</v>
      </c>
      <c r="W162" s="62"/>
    </row>
    <row r="163" spans="1:23" x14ac:dyDescent="0.3">
      <c r="A163" s="54">
        <v>0.373</v>
      </c>
      <c r="B163" s="47">
        <v>121</v>
      </c>
      <c r="C163">
        <f t="shared" si="25"/>
        <v>2.2068258760318495</v>
      </c>
      <c r="E163" s="47">
        <v>121</v>
      </c>
      <c r="F163" s="54">
        <v>0.373</v>
      </c>
      <c r="G163" s="61">
        <f t="shared" si="26"/>
        <v>-0.42829116819131241</v>
      </c>
      <c r="H163" s="61">
        <f t="shared" si="27"/>
        <v>0.19637209357926586</v>
      </c>
      <c r="I163" s="67">
        <f t="shared" si="28"/>
        <v>116.27523697255631</v>
      </c>
      <c r="J163" s="68">
        <f t="shared" si="29"/>
        <v>3.9047628325980875E-2</v>
      </c>
      <c r="K163" s="70">
        <f t="shared" si="30"/>
        <v>4.7247630274436858</v>
      </c>
      <c r="L163" s="62">
        <f t="shared" si="24"/>
        <v>1.4396887792980716E-4</v>
      </c>
      <c r="M163" s="62">
        <f t="shared" si="31"/>
        <v>450.05756471448376</v>
      </c>
      <c r="N163" s="62">
        <f t="shared" si="32"/>
        <v>119.03785375344663</v>
      </c>
      <c r="O163">
        <f t="shared" si="33"/>
        <v>-10.251439117862095</v>
      </c>
      <c r="P163">
        <f t="shared" si="34"/>
        <v>1.4294294868450457</v>
      </c>
      <c r="Q163">
        <f t="shared" si="35"/>
        <v>2.3403656108688109E-2</v>
      </c>
      <c r="W163" s="62"/>
    </row>
    <row r="164" spans="1:23" x14ac:dyDescent="0.3">
      <c r="A164" s="54">
        <v>0.36280000000000001</v>
      </c>
      <c r="B164" s="47">
        <v>122</v>
      </c>
      <c r="C164">
        <f t="shared" si="25"/>
        <v>2.2095150145426308</v>
      </c>
      <c r="E164" s="47">
        <v>122</v>
      </c>
      <c r="F164" s="54">
        <v>0.36280000000000001</v>
      </c>
      <c r="G164" s="61">
        <f t="shared" si="26"/>
        <v>-0.44033272161194231</v>
      </c>
      <c r="H164" s="61">
        <f t="shared" si="27"/>
        <v>0.19303196080838389</v>
      </c>
      <c r="I164" s="67">
        <f t="shared" si="28"/>
        <v>117.37221117845721</v>
      </c>
      <c r="J164" s="68">
        <f t="shared" si="29"/>
        <v>3.7932695258547491E-2</v>
      </c>
      <c r="K164" s="70">
        <f t="shared" si="30"/>
        <v>4.6277888215427936</v>
      </c>
      <c r="L164" s="62">
        <f t="shared" si="24"/>
        <v>1.4222296346610725E-4</v>
      </c>
      <c r="M164" s="62">
        <f t="shared" si="31"/>
        <v>449.0509323012638</v>
      </c>
      <c r="N164" s="62">
        <f t="shared" si="32"/>
        <v>120.04448616666662</v>
      </c>
      <c r="O164">
        <f t="shared" si="33"/>
        <v>-10.226273307531596</v>
      </c>
      <c r="P164">
        <f t="shared" si="34"/>
        <v>1.4330609169071666</v>
      </c>
      <c r="Q164">
        <f t="shared" si="35"/>
        <v>2.3182311588057891E-2</v>
      </c>
      <c r="W164" s="62"/>
    </row>
    <row r="165" spans="1:23" x14ac:dyDescent="0.3">
      <c r="A165" s="54">
        <v>0.35299999999999998</v>
      </c>
      <c r="B165" s="47">
        <v>123</v>
      </c>
      <c r="C165">
        <f t="shared" si="25"/>
        <v>2.2121876044039577</v>
      </c>
      <c r="E165" s="47">
        <v>123</v>
      </c>
      <c r="F165" s="54">
        <v>0.35299999999999998</v>
      </c>
      <c r="G165" s="61">
        <f t="shared" si="26"/>
        <v>-0.45222529461217748</v>
      </c>
      <c r="H165" s="61">
        <f t="shared" si="27"/>
        <v>0.18970774489490758</v>
      </c>
      <c r="I165" s="67">
        <f t="shared" si="28"/>
        <v>118.46395793287317</v>
      </c>
      <c r="J165" s="68">
        <f t="shared" si="29"/>
        <v>3.6878390789649017E-2</v>
      </c>
      <c r="K165" s="70">
        <f t="shared" si="30"/>
        <v>4.5360420671268287</v>
      </c>
      <c r="L165" s="62">
        <f t="shared" si="24"/>
        <v>1.4049864979274475E-4</v>
      </c>
      <c r="M165" s="62">
        <f t="shared" si="31"/>
        <v>448.05067129690093</v>
      </c>
      <c r="N165" s="62">
        <f t="shared" si="32"/>
        <v>121.04474717102954</v>
      </c>
      <c r="O165">
        <f t="shared" si="33"/>
        <v>-10.201266782422524</v>
      </c>
      <c r="P165">
        <f t="shared" si="34"/>
        <v>1.4366693620888511</v>
      </c>
      <c r="Q165">
        <f t="shared" si="35"/>
        <v>2.3037452087822652E-2</v>
      </c>
      <c r="W165" s="62"/>
    </row>
    <row r="166" spans="1:23" x14ac:dyDescent="0.3">
      <c r="A166" s="52">
        <v>0.34339999999999998</v>
      </c>
      <c r="B166" s="51">
        <v>124</v>
      </c>
      <c r="C166">
        <f t="shared" si="25"/>
        <v>2.214843848047698</v>
      </c>
      <c r="E166" s="51">
        <v>124</v>
      </c>
      <c r="F166" s="52">
        <v>0.34339999999999998</v>
      </c>
      <c r="G166" s="61">
        <f t="shared" si="26"/>
        <v>-0.46419970917510234</v>
      </c>
      <c r="H166" s="61">
        <f t="shared" si="27"/>
        <v>0.1863347454925873</v>
      </c>
      <c r="I166" s="67">
        <f t="shared" si="28"/>
        <v>119.57172627463507</v>
      </c>
      <c r="J166" s="68">
        <f t="shared" si="29"/>
        <v>3.5711884881975256E-2</v>
      </c>
      <c r="K166" s="70">
        <f t="shared" si="30"/>
        <v>4.4282737253649316</v>
      </c>
      <c r="L166" s="62">
        <f t="shared" si="24"/>
        <v>1.3876246984573465E-4</v>
      </c>
      <c r="M166" s="62">
        <f t="shared" si="31"/>
        <v>447.03730571829681</v>
      </c>
      <c r="N166" s="62">
        <f t="shared" si="32"/>
        <v>122.05811274963359</v>
      </c>
      <c r="O166">
        <f t="shared" si="33"/>
        <v>-10.17593264295742</v>
      </c>
      <c r="P166">
        <f t="shared" si="34"/>
        <v>1.4403250820693854</v>
      </c>
      <c r="Q166">
        <f t="shared" si="35"/>
        <v>2.2738255624898174E-2</v>
      </c>
      <c r="W166" s="62"/>
    </row>
    <row r="167" spans="1:23" x14ac:dyDescent="0.3">
      <c r="A167" s="52">
        <v>0.33410000000000001</v>
      </c>
      <c r="B167" s="51">
        <v>125</v>
      </c>
      <c r="C167">
        <f t="shared" si="25"/>
        <v>2.2174839442139063</v>
      </c>
      <c r="E167" s="51">
        <v>125</v>
      </c>
      <c r="F167" s="52">
        <v>0.33410000000000001</v>
      </c>
      <c r="G167" s="61">
        <f t="shared" si="26"/>
        <v>-0.47612352436186867</v>
      </c>
      <c r="H167" s="61">
        <f t="shared" si="27"/>
        <v>0.18294976482317946</v>
      </c>
      <c r="I167" s="67">
        <f t="shared" si="28"/>
        <v>120.68342953211757</v>
      </c>
      <c r="J167" s="68">
        <f t="shared" si="29"/>
        <v>3.4532563743059429E-2</v>
      </c>
      <c r="K167" s="70">
        <f t="shared" si="30"/>
        <v>4.3165704678824284</v>
      </c>
      <c r="L167" s="62">
        <f t="shared" si="24"/>
        <v>1.3703362634275327E-4</v>
      </c>
      <c r="M167" s="62">
        <f t="shared" si="31"/>
        <v>446.02190302776353</v>
      </c>
      <c r="N167" s="62">
        <f t="shared" si="32"/>
        <v>123.07351544016683</v>
      </c>
      <c r="O167">
        <f t="shared" si="33"/>
        <v>-10.150547575694087</v>
      </c>
      <c r="P167">
        <f t="shared" si="34"/>
        <v>1.4439881509385528</v>
      </c>
      <c r="Q167">
        <f t="shared" si="35"/>
        <v>2.2417163138131579E-2</v>
      </c>
      <c r="W167" s="62"/>
    </row>
    <row r="168" spans="1:23" x14ac:dyDescent="0.3">
      <c r="A168" s="52">
        <v>0.32529999999999998</v>
      </c>
      <c r="B168" s="51">
        <v>126</v>
      </c>
      <c r="C168">
        <f t="shared" si="25"/>
        <v>2.220108088040055</v>
      </c>
      <c r="E168" s="51">
        <v>126</v>
      </c>
      <c r="F168" s="52">
        <v>0.32529999999999998</v>
      </c>
      <c r="G168" s="61">
        <f t="shared" si="26"/>
        <v>-0.48771593671814645</v>
      </c>
      <c r="H168" s="61">
        <f t="shared" si="27"/>
        <v>0.1796333755095163</v>
      </c>
      <c r="I168" s="67">
        <f t="shared" si="28"/>
        <v>121.77260585634292</v>
      </c>
      <c r="J168" s="68">
        <f t="shared" si="29"/>
        <v>3.3550747171881584E-2</v>
      </c>
      <c r="K168" s="70">
        <f t="shared" si="30"/>
        <v>4.2273941436570794</v>
      </c>
      <c r="L168" s="62">
        <f t="shared" si="24"/>
        <v>1.3535283320128665E-4</v>
      </c>
      <c r="M168" s="62">
        <f t="shared" si="31"/>
        <v>445.02856255987331</v>
      </c>
      <c r="N168" s="62">
        <f t="shared" si="32"/>
        <v>124.06685590805709</v>
      </c>
      <c r="O168">
        <f t="shared" si="33"/>
        <v>-10.125714063996833</v>
      </c>
      <c r="P168">
        <f t="shared" si="34"/>
        <v>1.4475716302599464</v>
      </c>
      <c r="Q168">
        <f t="shared" si="35"/>
        <v>2.2354978081853549E-2</v>
      </c>
      <c r="W168" s="62"/>
    </row>
    <row r="169" spans="1:23" x14ac:dyDescent="0.3">
      <c r="A169" s="52">
        <v>0.31669999999999998</v>
      </c>
      <c r="B169" s="51">
        <v>127</v>
      </c>
      <c r="C169">
        <f t="shared" si="25"/>
        <v>2.2227164711475833</v>
      </c>
      <c r="E169" s="51">
        <v>127</v>
      </c>
      <c r="F169" s="52">
        <v>0.31669999999999998</v>
      </c>
      <c r="G169" s="61">
        <f t="shared" si="26"/>
        <v>-0.49935193662808808</v>
      </c>
      <c r="H169" s="61">
        <f t="shared" si="27"/>
        <v>0.17627885209876859</v>
      </c>
      <c r="I169" s="67">
        <f t="shared" si="28"/>
        <v>122.87430626979962</v>
      </c>
      <c r="J169" s="68">
        <f t="shared" si="29"/>
        <v>3.2485777403152616E-2</v>
      </c>
      <c r="K169" s="70">
        <f t="shared" si="30"/>
        <v>4.125693730200382</v>
      </c>
      <c r="L169" s="62">
        <f t="shared" si="24"/>
        <v>1.3366572026554424E-4</v>
      </c>
      <c r="M169" s="62">
        <f t="shared" si="31"/>
        <v>444.02526507019121</v>
      </c>
      <c r="N169" s="62">
        <f t="shared" si="32"/>
        <v>125.07015339773918</v>
      </c>
      <c r="O169">
        <f t="shared" si="33"/>
        <v>-10.10063162675478</v>
      </c>
      <c r="P169">
        <f t="shared" si="34"/>
        <v>1.4511910295733736</v>
      </c>
      <c r="Q169">
        <f t="shared" si="35"/>
        <v>2.2176710071912131E-2</v>
      </c>
      <c r="W169" s="62"/>
    </row>
    <row r="170" spans="1:23" x14ac:dyDescent="0.3">
      <c r="A170" s="52">
        <v>0.30830000000000002</v>
      </c>
      <c r="B170" s="51">
        <v>128</v>
      </c>
      <c r="C170">
        <f t="shared" si="25"/>
        <v>2.2253092817258628</v>
      </c>
      <c r="E170" s="51">
        <v>128</v>
      </c>
      <c r="F170" s="52">
        <v>0.30830000000000002</v>
      </c>
      <c r="G170" s="61">
        <f t="shared" si="26"/>
        <v>-0.51102647527349176</v>
      </c>
      <c r="H170" s="61">
        <f t="shared" si="27"/>
        <v>0.17288697567869951</v>
      </c>
      <c r="I170" s="67">
        <f t="shared" si="28"/>
        <v>123.98827424582016</v>
      </c>
      <c r="J170" s="68">
        <f t="shared" si="29"/>
        <v>3.1341607454529963E-2</v>
      </c>
      <c r="K170" s="70">
        <f t="shared" si="30"/>
        <v>4.0117257541798352</v>
      </c>
      <c r="L170" s="62">
        <f t="shared" si="24"/>
        <v>1.3197301956771628E-4</v>
      </c>
      <c r="M170" s="62">
        <f t="shared" si="31"/>
        <v>443.01226092232565</v>
      </c>
      <c r="N170" s="62">
        <f t="shared" si="32"/>
        <v>126.08315754560473</v>
      </c>
      <c r="O170">
        <f t="shared" si="33"/>
        <v>-10.075306523058142</v>
      </c>
      <c r="P170">
        <f t="shared" si="34"/>
        <v>1.4548454456912148</v>
      </c>
      <c r="Q170">
        <f t="shared" si="35"/>
        <v>2.1887407926508673E-2</v>
      </c>
      <c r="W170" s="62"/>
    </row>
    <row r="171" spans="1:23" x14ac:dyDescent="0.3">
      <c r="A171" s="52">
        <v>0.30020000000000002</v>
      </c>
      <c r="B171" s="51">
        <v>129</v>
      </c>
      <c r="C171">
        <f t="shared" si="25"/>
        <v>2.2278867046136734</v>
      </c>
      <c r="E171" s="51">
        <v>129</v>
      </c>
      <c r="F171" s="52">
        <v>0.30020000000000002</v>
      </c>
      <c r="G171" s="61">
        <f t="shared" si="26"/>
        <v>-0.52258931209274839</v>
      </c>
      <c r="H171" s="61">
        <f t="shared" si="27"/>
        <v>0.16950123647619089</v>
      </c>
      <c r="I171" s="67">
        <f t="shared" si="28"/>
        <v>125.10022662251527</v>
      </c>
      <c r="J171" s="68">
        <f t="shared" si="29"/>
        <v>3.0230801375850658E-2</v>
      </c>
      <c r="K171" s="70">
        <f t="shared" si="30"/>
        <v>3.8997733774847347</v>
      </c>
      <c r="L171" s="62">
        <f t="shared" si="24"/>
        <v>1.3029651460702281E-4</v>
      </c>
      <c r="M171" s="62">
        <f t="shared" si="31"/>
        <v>442.00252527113872</v>
      </c>
      <c r="N171" s="62">
        <f t="shared" si="32"/>
        <v>127.09289319679171</v>
      </c>
      <c r="O171">
        <f t="shared" si="33"/>
        <v>-10.050063131778469</v>
      </c>
      <c r="P171">
        <f t="shared" si="34"/>
        <v>1.4584880706954968</v>
      </c>
      <c r="Q171">
        <f t="shared" si="35"/>
        <v>2.1637312207251846E-2</v>
      </c>
      <c r="W171" s="62"/>
    </row>
    <row r="172" spans="1:23" x14ac:dyDescent="0.3">
      <c r="A172" s="52">
        <v>0.29239999999999999</v>
      </c>
      <c r="B172" s="51">
        <v>130</v>
      </c>
      <c r="C172">
        <f t="shared" si="25"/>
        <v>2.2304489213782741</v>
      </c>
      <c r="E172" s="51">
        <v>130</v>
      </c>
      <c r="F172" s="52">
        <v>0.29239999999999999</v>
      </c>
      <c r="G172" s="61">
        <f t="shared" si="26"/>
        <v>-0.53402263171417719</v>
      </c>
      <c r="H172" s="61">
        <f t="shared" si="27"/>
        <v>0.16612726573181352</v>
      </c>
      <c r="I172" s="67">
        <f t="shared" si="28"/>
        <v>126.20831397470423</v>
      </c>
      <c r="J172" s="68">
        <f t="shared" si="29"/>
        <v>2.9166815579198268E-2</v>
      </c>
      <c r="K172" s="70">
        <f t="shared" si="30"/>
        <v>3.7916860252957747</v>
      </c>
      <c r="L172" s="62">
        <f t="shared" si="24"/>
        <v>1.2863878844845614E-4</v>
      </c>
      <c r="M172" s="62">
        <f t="shared" si="31"/>
        <v>440.99769216694978</v>
      </c>
      <c r="N172" s="62">
        <f t="shared" si="32"/>
        <v>128.09772630098067</v>
      </c>
      <c r="O172">
        <f t="shared" si="33"/>
        <v>-10.024942304173745</v>
      </c>
      <c r="P172">
        <f t="shared" si="34"/>
        <v>1.4621130097437975</v>
      </c>
      <c r="Q172">
        <f t="shared" si="35"/>
        <v>2.1444238285823314E-2</v>
      </c>
      <c r="W172" s="62"/>
    </row>
    <row r="173" spans="1:23" x14ac:dyDescent="0.3">
      <c r="A173" s="52">
        <v>0.2848</v>
      </c>
      <c r="B173" s="51">
        <v>131</v>
      </c>
      <c r="C173">
        <f t="shared" si="25"/>
        <v>2.2329961103921536</v>
      </c>
      <c r="E173" s="51">
        <v>131</v>
      </c>
      <c r="F173" s="52">
        <v>0.2848</v>
      </c>
      <c r="G173" s="61">
        <f t="shared" si="26"/>
        <v>-0.54546001503518127</v>
      </c>
      <c r="H173" s="61">
        <f t="shared" si="27"/>
        <v>0.16272566440115591</v>
      </c>
      <c r="I173" s="67">
        <f t="shared" si="28"/>
        <v>127.32547582857397</v>
      </c>
      <c r="J173" s="68">
        <f t="shared" si="29"/>
        <v>2.8049802835313196E-2</v>
      </c>
      <c r="K173" s="70">
        <f t="shared" si="30"/>
        <v>3.6745241714260288</v>
      </c>
      <c r="L173" s="62">
        <f t="shared" si="24"/>
        <v>1.2698047309083707E-4</v>
      </c>
      <c r="M173" s="62">
        <f t="shared" si="31"/>
        <v>439.9860028330387</v>
      </c>
      <c r="N173" s="62">
        <f t="shared" si="32"/>
        <v>129.10941563489172</v>
      </c>
      <c r="O173">
        <f t="shared" si="33"/>
        <v>-9.9996500708259681</v>
      </c>
      <c r="P173">
        <f t="shared" si="34"/>
        <v>1.4657626826655545</v>
      </c>
      <c r="Q173">
        <f t="shared" si="35"/>
        <v>2.1174605264818624E-2</v>
      </c>
      <c r="W173" s="62"/>
    </row>
    <row r="174" spans="1:23" x14ac:dyDescent="0.3">
      <c r="A174" s="52">
        <v>0.27739999999999998</v>
      </c>
      <c r="B174" s="51">
        <v>132</v>
      </c>
      <c r="C174">
        <f t="shared" si="25"/>
        <v>2.2355284469075487</v>
      </c>
      <c r="E174" s="51">
        <v>132</v>
      </c>
      <c r="F174" s="52">
        <v>0.27739999999999998</v>
      </c>
      <c r="G174" s="61">
        <f t="shared" si="26"/>
        <v>-0.55689354326273399</v>
      </c>
      <c r="H174" s="61">
        <f t="shared" si="27"/>
        <v>0.15929836981020135</v>
      </c>
      <c r="I174" s="67">
        <f t="shared" si="28"/>
        <v>128.45107592300016</v>
      </c>
      <c r="J174" s="68">
        <f t="shared" si="29"/>
        <v>2.6885788462119992E-2</v>
      </c>
      <c r="K174" s="70">
        <f t="shared" si="30"/>
        <v>3.5489240769998389</v>
      </c>
      <c r="L174" s="62">
        <f t="shared" si="24"/>
        <v>1.2532271668630164E-4</v>
      </c>
      <c r="M174" s="62">
        <f t="shared" si="31"/>
        <v>438.96802987994084</v>
      </c>
      <c r="N174" s="62">
        <f t="shared" si="32"/>
        <v>130.12738858798951</v>
      </c>
      <c r="O174">
        <f t="shared" si="33"/>
        <v>-9.9742007469985214</v>
      </c>
      <c r="P174">
        <f t="shared" si="34"/>
        <v>1.4694350237661959</v>
      </c>
      <c r="Q174">
        <f t="shared" si="35"/>
        <v>2.0836331937266195E-2</v>
      </c>
      <c r="W174" s="62"/>
    </row>
    <row r="175" spans="1:23" x14ac:dyDescent="0.3">
      <c r="A175" s="52">
        <v>0.2702</v>
      </c>
      <c r="B175" s="51">
        <v>133</v>
      </c>
      <c r="C175">
        <f t="shared" si="25"/>
        <v>2.2380461031287955</v>
      </c>
      <c r="E175" s="51">
        <v>133</v>
      </c>
      <c r="F175" s="52">
        <v>0.2702</v>
      </c>
      <c r="G175" s="61">
        <f t="shared" si="26"/>
        <v>-0.56831465531398817</v>
      </c>
      <c r="H175" s="61">
        <f t="shared" si="27"/>
        <v>0.15584757936691451</v>
      </c>
      <c r="I175" s="67">
        <f t="shared" si="28"/>
        <v>129.58439258012677</v>
      </c>
      <c r="J175" s="68">
        <f t="shared" si="29"/>
        <v>2.5681258796039289E-2</v>
      </c>
      <c r="K175" s="70">
        <f t="shared" si="30"/>
        <v>3.4156074198732256</v>
      </c>
      <c r="L175" s="62">
        <f t="shared" si="24"/>
        <v>1.2366676051310066E-4</v>
      </c>
      <c r="M175" s="62">
        <f t="shared" si="31"/>
        <v>437.94441805381479</v>
      </c>
      <c r="N175" s="62">
        <f t="shared" si="32"/>
        <v>131.1510004141156</v>
      </c>
      <c r="O175">
        <f t="shared" si="33"/>
        <v>-9.9486104513453704</v>
      </c>
      <c r="P175">
        <f t="shared" si="34"/>
        <v>1.4731277071216291</v>
      </c>
      <c r="Q175">
        <f t="shared" si="35"/>
        <v>2.0437979386011884E-2</v>
      </c>
      <c r="W175" s="62"/>
    </row>
    <row r="176" spans="1:23" x14ac:dyDescent="0.3">
      <c r="A176" s="52">
        <v>0.26329999999999998</v>
      </c>
      <c r="B176" s="51">
        <v>134</v>
      </c>
      <c r="C176">
        <f t="shared" si="25"/>
        <v>2.2405492482825999</v>
      </c>
      <c r="E176" s="51">
        <v>134</v>
      </c>
      <c r="F176" s="52">
        <v>0.26329999999999998</v>
      </c>
      <c r="G176" s="61">
        <f t="shared" si="26"/>
        <v>-0.57954914089393184</v>
      </c>
      <c r="H176" s="61">
        <f t="shared" si="27"/>
        <v>0.15242621378002069</v>
      </c>
      <c r="I176" s="67">
        <f t="shared" si="28"/>
        <v>130.70804545719142</v>
      </c>
      <c r="J176" s="68">
        <f t="shared" si="29"/>
        <v>2.4566824946332704E-2</v>
      </c>
      <c r="K176" s="70">
        <f t="shared" si="30"/>
        <v>3.2919545428085826</v>
      </c>
      <c r="L176" s="62">
        <f t="shared" si="24"/>
        <v>1.2203786346127619E-4</v>
      </c>
      <c r="M176" s="62">
        <f t="shared" si="31"/>
        <v>436.9308243361312</v>
      </c>
      <c r="N176" s="62">
        <f t="shared" si="32"/>
        <v>132.16459413179916</v>
      </c>
      <c r="O176">
        <f t="shared" si="33"/>
        <v>-9.9232706084032802</v>
      </c>
      <c r="P176">
        <f t="shared" si="34"/>
        <v>1.4767842501147157</v>
      </c>
      <c r="Q176">
        <f t="shared" si="35"/>
        <v>2.0153757906068548E-2</v>
      </c>
      <c r="W176" s="62"/>
    </row>
    <row r="177" spans="1:23" x14ac:dyDescent="0.3">
      <c r="A177" s="52">
        <v>0.25650000000000001</v>
      </c>
      <c r="B177" s="51">
        <v>135</v>
      </c>
      <c r="C177">
        <f t="shared" si="25"/>
        <v>2.2430380486862944</v>
      </c>
      <c r="E177" s="51">
        <v>135</v>
      </c>
      <c r="F177" s="52">
        <v>0.25650000000000001</v>
      </c>
      <c r="G177" s="61">
        <f t="shared" si="26"/>
        <v>-0.59091263055216492</v>
      </c>
      <c r="H177" s="61">
        <f t="shared" si="27"/>
        <v>0.14893792206088943</v>
      </c>
      <c r="I177" s="67">
        <f t="shared" si="28"/>
        <v>131.85367837091968</v>
      </c>
      <c r="J177" s="68">
        <f t="shared" si="29"/>
        <v>2.3306086141335697E-2</v>
      </c>
      <c r="K177" s="70">
        <f t="shared" si="30"/>
        <v>3.1463216290803189</v>
      </c>
      <c r="L177" s="62">
        <f t="shared" si="24"/>
        <v>1.2039026200493723E-4</v>
      </c>
      <c r="M177" s="62">
        <f t="shared" si="31"/>
        <v>435.89868643832358</v>
      </c>
      <c r="N177" s="62">
        <f t="shared" si="32"/>
        <v>133.19673202960675</v>
      </c>
      <c r="O177">
        <f t="shared" si="33"/>
        <v>-9.8974671609580902</v>
      </c>
      <c r="P177">
        <f t="shared" si="34"/>
        <v>1.4805076913044977</v>
      </c>
      <c r="Q177">
        <f t="shared" si="35"/>
        <v>1.9668036947835366E-2</v>
      </c>
      <c r="W177" s="62"/>
    </row>
    <row r="178" spans="1:23" x14ac:dyDescent="0.3">
      <c r="A178" s="52">
        <v>0.25</v>
      </c>
      <c r="B178" s="51">
        <v>136</v>
      </c>
      <c r="C178">
        <f t="shared" si="25"/>
        <v>2.2455126678141499</v>
      </c>
      <c r="E178" s="51">
        <v>136</v>
      </c>
      <c r="F178" s="52">
        <v>0.25</v>
      </c>
      <c r="G178" s="61">
        <f t="shared" si="26"/>
        <v>-0.6020599913279624</v>
      </c>
      <c r="H178" s="61">
        <f t="shared" si="27"/>
        <v>0.14548853445563686</v>
      </c>
      <c r="I178" s="67">
        <f t="shared" si="28"/>
        <v>132.98653430470256</v>
      </c>
      <c r="J178" s="68">
        <f t="shared" si="29"/>
        <v>2.2157835994834126E-2</v>
      </c>
      <c r="K178" s="70">
        <f t="shared" si="30"/>
        <v>3.013465695297441</v>
      </c>
      <c r="L178" s="62">
        <f t="shared" si="24"/>
        <v>1.1877399724816574E-4</v>
      </c>
      <c r="M178" s="62">
        <f t="shared" si="31"/>
        <v>434.87929403093818</v>
      </c>
      <c r="N178" s="62">
        <f t="shared" si="32"/>
        <v>134.21612443699226</v>
      </c>
      <c r="O178">
        <f t="shared" si="33"/>
        <v>-9.8719823507734539</v>
      </c>
      <c r="P178">
        <f t="shared" si="34"/>
        <v>1.4841851530916028</v>
      </c>
      <c r="Q178">
        <f t="shared" si="35"/>
        <v>1.9325949472037807E-2</v>
      </c>
      <c r="W178" s="62"/>
    </row>
    <row r="179" spans="1:23" x14ac:dyDescent="0.3">
      <c r="A179" s="52">
        <v>0.2437</v>
      </c>
      <c r="B179" s="51">
        <v>137</v>
      </c>
      <c r="C179">
        <f t="shared" si="25"/>
        <v>2.2479732663618068</v>
      </c>
      <c r="E179" s="51">
        <v>137</v>
      </c>
      <c r="F179" s="52">
        <v>0.2437</v>
      </c>
      <c r="G179" s="61">
        <f t="shared" si="26"/>
        <v>-0.61314447081527568</v>
      </c>
      <c r="H179" s="61">
        <f t="shared" si="27"/>
        <v>0.14203122232363338</v>
      </c>
      <c r="I179" s="67">
        <f t="shared" si="28"/>
        <v>134.12199283006964</v>
      </c>
      <c r="J179" s="68">
        <f t="shared" si="29"/>
        <v>2.1007351605331067E-2</v>
      </c>
      <c r="K179" s="70">
        <f t="shared" si="30"/>
        <v>2.8780071699303562</v>
      </c>
      <c r="L179" s="62">
        <f t="shared" si="24"/>
        <v>1.171668496997166E-4</v>
      </c>
      <c r="M179" s="62">
        <f t="shared" si="31"/>
        <v>433.85875115895709</v>
      </c>
      <c r="N179" s="62">
        <f t="shared" si="32"/>
        <v>135.23666730897332</v>
      </c>
      <c r="O179">
        <f t="shared" si="33"/>
        <v>-9.8464687789739269</v>
      </c>
      <c r="P179">
        <f t="shared" si="34"/>
        <v>1.4878667651838864</v>
      </c>
      <c r="Q179">
        <f t="shared" si="35"/>
        <v>1.897424788472446E-2</v>
      </c>
      <c r="W179" s="62"/>
    </row>
    <row r="180" spans="1:23" x14ac:dyDescent="0.3">
      <c r="A180" s="52">
        <v>0.23749999999999999</v>
      </c>
      <c r="B180" s="51">
        <v>138</v>
      </c>
      <c r="C180">
        <f t="shared" si="25"/>
        <v>2.2504200023088941</v>
      </c>
      <c r="E180" s="51">
        <v>138</v>
      </c>
      <c r="F180" s="52">
        <v>0.23749999999999999</v>
      </c>
      <c r="G180" s="61">
        <f t="shared" si="26"/>
        <v>-0.62433638603911468</v>
      </c>
      <c r="H180" s="61">
        <f t="shared" si="27"/>
        <v>0.13851225042520202</v>
      </c>
      <c r="I180" s="67">
        <f t="shared" si="28"/>
        <v>135.27770179994096</v>
      </c>
      <c r="J180" s="68">
        <f t="shared" si="29"/>
        <v>1.9726798551152488E-2</v>
      </c>
      <c r="K180" s="70">
        <f t="shared" si="30"/>
        <v>2.7222982000590434</v>
      </c>
      <c r="L180" s="62">
        <f t="shared" si="24"/>
        <v>1.1554412495788001E-4</v>
      </c>
      <c r="M180" s="62">
        <f t="shared" si="31"/>
        <v>432.82119021209434</v>
      </c>
      <c r="N180" s="62">
        <f t="shared" si="32"/>
        <v>136.27422825583614</v>
      </c>
      <c r="O180">
        <f t="shared" si="33"/>
        <v>-9.8205297553023581</v>
      </c>
      <c r="P180">
        <f t="shared" si="34"/>
        <v>1.4916097700426989</v>
      </c>
      <c r="Q180">
        <f t="shared" si="35"/>
        <v>1.8442615160885856E-2</v>
      </c>
      <c r="W180" s="62"/>
    </row>
    <row r="181" spans="1:23" x14ac:dyDescent="0.3">
      <c r="A181" s="52">
        <v>0.2316</v>
      </c>
      <c r="B181" s="51">
        <v>139</v>
      </c>
      <c r="C181">
        <f t="shared" si="25"/>
        <v>2.2528530309798933</v>
      </c>
      <c r="E181" s="51">
        <v>139</v>
      </c>
      <c r="F181" s="52">
        <v>0.2316</v>
      </c>
      <c r="G181" s="61">
        <f t="shared" si="26"/>
        <v>-0.63526144494460146</v>
      </c>
      <c r="H181" s="61">
        <f t="shared" si="27"/>
        <v>0.13504946092111833</v>
      </c>
      <c r="I181" s="67">
        <f t="shared" si="28"/>
        <v>136.41495921663972</v>
      </c>
      <c r="J181" s="68">
        <f t="shared" si="29"/>
        <v>1.8597415707627945E-2</v>
      </c>
      <c r="K181" s="70">
        <f t="shared" si="30"/>
        <v>2.5850407833602844</v>
      </c>
      <c r="L181" s="62">
        <f t="shared" si="24"/>
        <v>1.1396009192712637E-4</v>
      </c>
      <c r="M181" s="62">
        <f t="shared" si="31"/>
        <v>431.80131734844832</v>
      </c>
      <c r="N181" s="62">
        <f t="shared" si="32"/>
        <v>137.29410111948209</v>
      </c>
      <c r="O181">
        <f t="shared" si="33"/>
        <v>-9.7950329337112088</v>
      </c>
      <c r="P181">
        <f t="shared" si="34"/>
        <v>1.4952889650774968</v>
      </c>
      <c r="Q181">
        <f t="shared" si="35"/>
        <v>1.8105343355399039E-2</v>
      </c>
      <c r="W181" s="62"/>
    </row>
    <row r="182" spans="1:23" x14ac:dyDescent="0.3">
      <c r="A182" s="52">
        <v>0.2258</v>
      </c>
      <c r="B182" s="51">
        <v>140</v>
      </c>
      <c r="C182">
        <f t="shared" si="25"/>
        <v>2.255272505103306</v>
      </c>
      <c r="E182" s="51">
        <v>140</v>
      </c>
      <c r="F182" s="52">
        <v>0.2258</v>
      </c>
      <c r="G182" s="61">
        <f t="shared" si="26"/>
        <v>-0.64627606241105096</v>
      </c>
      <c r="H182" s="61">
        <f t="shared" si="27"/>
        <v>0.13153010851037744</v>
      </c>
      <c r="I182" s="67">
        <f t="shared" si="28"/>
        <v>137.57079315525243</v>
      </c>
      <c r="J182" s="68">
        <f t="shared" si="29"/>
        <v>1.7351477462482633E-2</v>
      </c>
      <c r="K182" s="70">
        <f t="shared" si="30"/>
        <v>2.4292068447475685</v>
      </c>
      <c r="L182" s="62">
        <f t="shared" si="24"/>
        <v>1.1236307372897186E-4</v>
      </c>
      <c r="M182" s="62">
        <f t="shared" si="31"/>
        <v>430.76588288669484</v>
      </c>
      <c r="N182" s="62">
        <f t="shared" si="32"/>
        <v>138.32953558123558</v>
      </c>
      <c r="O182">
        <f t="shared" si="33"/>
        <v>-9.769147072167371</v>
      </c>
      <c r="P182">
        <f t="shared" si="34"/>
        <v>1.499024298633606</v>
      </c>
      <c r="Q182">
        <f t="shared" si="35"/>
        <v>1.7606017588949086E-2</v>
      </c>
      <c r="W182" s="62"/>
    </row>
    <row r="183" spans="1:23" x14ac:dyDescent="0.3">
      <c r="A183" s="52">
        <v>0.22020000000000001</v>
      </c>
      <c r="B183" s="51">
        <v>141</v>
      </c>
      <c r="C183">
        <f t="shared" si="25"/>
        <v>2.2576785748691846</v>
      </c>
      <c r="E183" s="51">
        <v>141</v>
      </c>
      <c r="F183" s="52">
        <v>0.22020000000000001</v>
      </c>
      <c r="G183" s="61">
        <f t="shared" si="26"/>
        <v>-0.65718268536426705</v>
      </c>
      <c r="H183" s="61">
        <f t="shared" si="27"/>
        <v>0.12801693251809179</v>
      </c>
      <c r="I183" s="67">
        <f t="shared" si="28"/>
        <v>138.72459862009029</v>
      </c>
      <c r="J183" s="68">
        <f t="shared" si="29"/>
        <v>1.6137598439075952E-2</v>
      </c>
      <c r="K183" s="70">
        <f t="shared" si="30"/>
        <v>2.2754013799097095</v>
      </c>
      <c r="L183" s="62">
        <f t="shared" si="24"/>
        <v>1.1078171374168675E-4</v>
      </c>
      <c r="M183" s="62">
        <f t="shared" si="31"/>
        <v>429.73332442350829</v>
      </c>
      <c r="N183" s="62">
        <f t="shared" si="32"/>
        <v>139.36209404442209</v>
      </c>
      <c r="O183">
        <f t="shared" si="33"/>
        <v>-9.7433331105877077</v>
      </c>
      <c r="P183">
        <f t="shared" si="34"/>
        <v>1.5027492570145098</v>
      </c>
      <c r="Q183">
        <f t="shared" si="35"/>
        <v>1.7142190935732993E-2</v>
      </c>
      <c r="W183" s="62"/>
    </row>
    <row r="184" spans="1:23" x14ac:dyDescent="0.3">
      <c r="A184" s="52">
        <v>0.21479999999999999</v>
      </c>
      <c r="B184" s="51">
        <v>142</v>
      </c>
      <c r="C184">
        <f t="shared" si="25"/>
        <v>2.2600713879850747</v>
      </c>
      <c r="E184" s="51">
        <v>142</v>
      </c>
      <c r="F184" s="52">
        <v>0.21479999999999999</v>
      </c>
      <c r="G184" s="61">
        <f t="shared" si="26"/>
        <v>-0.66796572297248202</v>
      </c>
      <c r="H184" s="61">
        <f t="shared" si="27"/>
        <v>0.12451540060933612</v>
      </c>
      <c r="I184" s="67">
        <f t="shared" si="28"/>
        <v>139.87457990781903</v>
      </c>
      <c r="J184" s="68">
        <f t="shared" si="29"/>
        <v>1.4967747128035029E-2</v>
      </c>
      <c r="K184" s="70">
        <f t="shared" si="30"/>
        <v>2.1254200921809741</v>
      </c>
      <c r="L184" s="62">
        <f t="shared" si="24"/>
        <v>1.0921827249244154E-4</v>
      </c>
      <c r="M184" s="62">
        <f t="shared" si="31"/>
        <v>428.70519560499542</v>
      </c>
      <c r="N184" s="62">
        <f t="shared" si="32"/>
        <v>140.39022286293499</v>
      </c>
      <c r="O184">
        <f t="shared" si="33"/>
        <v>-9.7176298901248863</v>
      </c>
      <c r="P184">
        <f t="shared" si="34"/>
        <v>1.5064582354362734</v>
      </c>
      <c r="Q184">
        <f t="shared" si="35"/>
        <v>1.6729454227518481E-2</v>
      </c>
      <c r="W184" s="62"/>
    </row>
    <row r="185" spans="1:23" x14ac:dyDescent="0.3">
      <c r="A185" s="52">
        <v>0.20949999999999999</v>
      </c>
      <c r="B185" s="51">
        <v>143</v>
      </c>
      <c r="C185">
        <f t="shared" si="25"/>
        <v>2.2624510897304293</v>
      </c>
      <c r="E185" s="51">
        <v>143</v>
      </c>
      <c r="F185" s="52">
        <v>0.20949999999999999</v>
      </c>
      <c r="G185" s="61">
        <f t="shared" si="26"/>
        <v>-0.6788159726976859</v>
      </c>
      <c r="H185" s="61">
        <f t="shared" si="27"/>
        <v>0.12096331456797021</v>
      </c>
      <c r="I185" s="67">
        <f t="shared" si="28"/>
        <v>141.04116430185502</v>
      </c>
      <c r="J185" s="68">
        <f t="shared" si="29"/>
        <v>1.3698151735279584E-2</v>
      </c>
      <c r="K185" s="70">
        <f t="shared" si="30"/>
        <v>1.9588356981449806</v>
      </c>
      <c r="L185" s="62">
        <f t="shared" si="24"/>
        <v>1.0764508610458447E-4</v>
      </c>
      <c r="M185" s="62">
        <f t="shared" si="31"/>
        <v>427.66320333103209</v>
      </c>
      <c r="N185" s="62">
        <f t="shared" si="32"/>
        <v>141.43221513689829</v>
      </c>
      <c r="O185">
        <f t="shared" si="33"/>
        <v>-9.6915800832758023</v>
      </c>
      <c r="P185">
        <f t="shared" si="34"/>
        <v>1.5102172263235869</v>
      </c>
      <c r="Q185">
        <f t="shared" si="35"/>
        <v>1.617701000231464E-2</v>
      </c>
      <c r="W185" s="62"/>
    </row>
    <row r="186" spans="1:23" x14ac:dyDescent="0.3">
      <c r="A186" s="52">
        <v>0.2044</v>
      </c>
      <c r="B186" s="51">
        <v>144</v>
      </c>
      <c r="C186">
        <f t="shared" si="25"/>
        <v>2.2648178230095364</v>
      </c>
      <c r="E186" s="51">
        <v>144</v>
      </c>
      <c r="F186" s="52">
        <v>0.2044</v>
      </c>
      <c r="G186" s="61">
        <f t="shared" si="26"/>
        <v>-0.6895191085373249</v>
      </c>
      <c r="H186" s="61">
        <f t="shared" si="27"/>
        <v>0.11743069274326759</v>
      </c>
      <c r="I186" s="67">
        <f t="shared" si="28"/>
        <v>142.20135621239336</v>
      </c>
      <c r="J186" s="68">
        <f t="shared" si="29"/>
        <v>1.2490581858379417E-2</v>
      </c>
      <c r="K186" s="70">
        <f t="shared" si="30"/>
        <v>1.7986437876066361</v>
      </c>
      <c r="L186" s="62">
        <f t="shared" si="24"/>
        <v>1.0609322987668645E-4</v>
      </c>
      <c r="M186" s="62">
        <f t="shared" si="31"/>
        <v>426.62785209733403</v>
      </c>
      <c r="N186" s="62">
        <f t="shared" si="32"/>
        <v>142.46756637059633</v>
      </c>
      <c r="O186">
        <f t="shared" si="33"/>
        <v>-9.66569630243335</v>
      </c>
      <c r="P186">
        <f t="shared" si="34"/>
        <v>1.5139522596341859</v>
      </c>
      <c r="Q186">
        <f t="shared" si="35"/>
        <v>1.5699184262675248E-2</v>
      </c>
      <c r="W186" s="62"/>
    </row>
    <row r="187" spans="1:23" x14ac:dyDescent="0.3">
      <c r="A187" s="52">
        <v>0.19939999999999999</v>
      </c>
      <c r="B187" s="51">
        <v>145</v>
      </c>
      <c r="C187">
        <f t="shared" si="25"/>
        <v>2.2671717284030137</v>
      </c>
      <c r="E187" s="51">
        <v>145</v>
      </c>
      <c r="F187" s="52">
        <v>0.19939999999999999</v>
      </c>
      <c r="G187" s="61">
        <f t="shared" si="26"/>
        <v>-0.70027484602436307</v>
      </c>
      <c r="H187" s="61">
        <f t="shared" si="27"/>
        <v>0.11385152405182597</v>
      </c>
      <c r="I187" s="67">
        <f t="shared" si="28"/>
        <v>143.37683515362204</v>
      </c>
      <c r="J187" s="68">
        <f t="shared" si="29"/>
        <v>1.1194240319848005E-2</v>
      </c>
      <c r="K187" s="70">
        <f t="shared" si="30"/>
        <v>1.6231648463779607</v>
      </c>
      <c r="L187" s="62">
        <f t="shared" si="24"/>
        <v>1.0453374689385083E-4</v>
      </c>
      <c r="M187" s="62">
        <f t="shared" si="31"/>
        <v>425.57975583863038</v>
      </c>
      <c r="N187" s="62">
        <f t="shared" si="32"/>
        <v>143.51566262930007</v>
      </c>
      <c r="O187">
        <f t="shared" si="33"/>
        <v>-9.6394938959657601</v>
      </c>
      <c r="P187">
        <f t="shared" si="34"/>
        <v>1.5177332706684705</v>
      </c>
      <c r="Q187">
        <f t="shared" si="35"/>
        <v>1.509626147563714E-2</v>
      </c>
      <c r="W187" s="62"/>
    </row>
    <row r="188" spans="1:23" x14ac:dyDescent="0.3">
      <c r="A188" s="52">
        <v>0.1946</v>
      </c>
      <c r="B188" s="51">
        <v>146</v>
      </c>
      <c r="C188">
        <f t="shared" si="25"/>
        <v>2.2695129442179165</v>
      </c>
      <c r="E188" s="51">
        <v>146</v>
      </c>
      <c r="F188" s="52">
        <v>0.1946</v>
      </c>
      <c r="G188" s="61">
        <f t="shared" si="26"/>
        <v>-0.71085716406766686</v>
      </c>
      <c r="H188" s="61">
        <f t="shared" si="27"/>
        <v>0.11030103947947664</v>
      </c>
      <c r="I188" s="67">
        <f t="shared" si="28"/>
        <v>144.54289358946312</v>
      </c>
      <c r="J188" s="68">
        <f t="shared" si="29"/>
        <v>9.9801808940882218E-3</v>
      </c>
      <c r="K188" s="70">
        <f t="shared" si="30"/>
        <v>1.4571064105368805</v>
      </c>
      <c r="L188" s="62">
        <f t="shared" si="24"/>
        <v>1.0299940813489778E-4</v>
      </c>
      <c r="M188" s="62">
        <f t="shared" si="31"/>
        <v>424.54090060817146</v>
      </c>
      <c r="N188" s="62">
        <f t="shared" si="32"/>
        <v>144.55451785975893</v>
      </c>
      <c r="O188">
        <f t="shared" si="33"/>
        <v>-9.613522515204286</v>
      </c>
      <c r="P188">
        <f t="shared" si="34"/>
        <v>1.521480944660025</v>
      </c>
      <c r="Q188">
        <f t="shared" si="35"/>
        <v>1.4594262732333441E-2</v>
      </c>
      <c r="W188" s="62"/>
    </row>
    <row r="189" spans="1:23" x14ac:dyDescent="0.3">
      <c r="A189" s="52">
        <v>0.19</v>
      </c>
      <c r="B189" s="51">
        <v>147</v>
      </c>
      <c r="C189">
        <f t="shared" si="25"/>
        <v>2.271841606536499</v>
      </c>
      <c r="E189" s="51">
        <v>147</v>
      </c>
      <c r="F189" s="52">
        <v>0.19</v>
      </c>
      <c r="G189" s="61">
        <f t="shared" si="26"/>
        <v>-0.72124639904717103</v>
      </c>
      <c r="H189" s="61">
        <f t="shared" si="27"/>
        <v>0.10678686968932018</v>
      </c>
      <c r="I189" s="67">
        <f t="shared" si="28"/>
        <v>145.69702543971889</v>
      </c>
      <c r="J189" s="68">
        <f t="shared" si="29"/>
        <v>8.8637725189191479E-3</v>
      </c>
      <c r="K189" s="70">
        <f t="shared" si="30"/>
        <v>1.3029745602811147</v>
      </c>
      <c r="L189" s="62">
        <f t="shared" si="24"/>
        <v>1.0149306464383149E-4</v>
      </c>
      <c r="M189" s="62">
        <f t="shared" si="31"/>
        <v>423.51344551485658</v>
      </c>
      <c r="N189" s="62">
        <f t="shared" si="32"/>
        <v>145.58197295307386</v>
      </c>
      <c r="O189">
        <f t="shared" si="33"/>
        <v>-9.587836137871415</v>
      </c>
      <c r="P189">
        <f t="shared" si="34"/>
        <v>1.5251874926157065</v>
      </c>
      <c r="Q189">
        <f t="shared" si="35"/>
        <v>1.4212851652829372E-2</v>
      </c>
      <c r="W189" s="62"/>
    </row>
    <row r="190" spans="1:23" x14ac:dyDescent="0.3">
      <c r="A190" s="52">
        <v>0.1855</v>
      </c>
      <c r="B190" s="51">
        <v>148</v>
      </c>
      <c r="C190">
        <f t="shared" si="25"/>
        <v>2.27415784926368</v>
      </c>
      <c r="E190" s="51">
        <v>148</v>
      </c>
      <c r="F190" s="52">
        <v>0.1855</v>
      </c>
      <c r="G190" s="61">
        <f t="shared" si="26"/>
        <v>-0.73165608604893528</v>
      </c>
      <c r="H190" s="61">
        <f t="shared" si="27"/>
        <v>0.10323702931838478</v>
      </c>
      <c r="I190" s="67">
        <f t="shared" si="28"/>
        <v>146.862872305427</v>
      </c>
      <c r="J190" s="68">
        <f t="shared" si="29"/>
        <v>7.6832952336013246E-3</v>
      </c>
      <c r="K190" s="70">
        <f t="shared" si="30"/>
        <v>1.137127694572996</v>
      </c>
      <c r="L190" s="62">
        <f t="shared" si="24"/>
        <v>9.9983755797696124E-5</v>
      </c>
      <c r="M190" s="62">
        <f t="shared" si="31"/>
        <v>422.47629169434009</v>
      </c>
      <c r="N190" s="62">
        <f t="shared" si="32"/>
        <v>146.6191267735903</v>
      </c>
      <c r="O190">
        <f t="shared" si="33"/>
        <v>-9.5619072923585016</v>
      </c>
      <c r="P190">
        <f t="shared" si="34"/>
        <v>1.5289290287647557</v>
      </c>
      <c r="Q190">
        <f t="shared" si="35"/>
        <v>1.373849315106479E-2</v>
      </c>
      <c r="W190" s="62"/>
    </row>
    <row r="191" spans="1:23" x14ac:dyDescent="0.3">
      <c r="A191" s="52">
        <v>0.18110000000000001</v>
      </c>
      <c r="B191" s="51">
        <v>149</v>
      </c>
      <c r="C191">
        <f t="shared" si="25"/>
        <v>2.2764618041732443</v>
      </c>
      <c r="E191" s="51">
        <v>149</v>
      </c>
      <c r="F191" s="52">
        <v>0.18110000000000001</v>
      </c>
      <c r="G191" s="61">
        <f t="shared" si="26"/>
        <v>-0.74208154968594153</v>
      </c>
      <c r="H191" s="61">
        <f t="shared" si="27"/>
        <v>9.9652487113548641E-2</v>
      </c>
      <c r="I191" s="67">
        <f t="shared" si="28"/>
        <v>148.04011602847521</v>
      </c>
      <c r="J191" s="68">
        <f t="shared" si="29"/>
        <v>6.4421743055354972E-3</v>
      </c>
      <c r="K191" s="70">
        <f t="shared" si="30"/>
        <v>0.9598839715247891</v>
      </c>
      <c r="L191" s="62">
        <f t="shared" si="24"/>
        <v>9.8472159484595671E-5</v>
      </c>
      <c r="M191" s="62">
        <f t="shared" si="31"/>
        <v>421.42968983706413</v>
      </c>
      <c r="N191" s="62">
        <f t="shared" si="32"/>
        <v>147.66572863086623</v>
      </c>
      <c r="O191">
        <f t="shared" si="33"/>
        <v>-9.5357422459266026</v>
      </c>
      <c r="P191">
        <f t="shared" si="34"/>
        <v>1.5327046487404987</v>
      </c>
      <c r="Q191">
        <f t="shared" si="35"/>
        <v>1.3175862614058675E-2</v>
      </c>
      <c r="W191" s="62"/>
    </row>
    <row r="192" spans="1:23" x14ac:dyDescent="0.3">
      <c r="A192" s="52">
        <v>0.1769</v>
      </c>
      <c r="B192" s="51">
        <v>150</v>
      </c>
      <c r="C192">
        <f t="shared" si="25"/>
        <v>2.2787536009528289</v>
      </c>
      <c r="E192" s="51">
        <v>150</v>
      </c>
      <c r="F192" s="52">
        <v>0.1769</v>
      </c>
      <c r="G192" s="61">
        <f t="shared" si="26"/>
        <v>-0.75227216709027689</v>
      </c>
      <c r="H192" s="61">
        <f t="shared" si="27"/>
        <v>9.6119862945690818E-2</v>
      </c>
      <c r="I192" s="67">
        <f t="shared" si="28"/>
        <v>149.20030870855805</v>
      </c>
      <c r="J192" s="68">
        <f t="shared" si="29"/>
        <v>5.3312752762796362E-3</v>
      </c>
      <c r="K192" s="70">
        <f t="shared" si="30"/>
        <v>0.7996912914419454</v>
      </c>
      <c r="L192" s="62">
        <f t="shared" si="24"/>
        <v>9.6994613714647176E-5</v>
      </c>
      <c r="M192" s="62">
        <f t="shared" si="31"/>
        <v>420.39887152551876</v>
      </c>
      <c r="N192" s="62">
        <f t="shared" si="32"/>
        <v>148.69654694241166</v>
      </c>
      <c r="O192">
        <f t="shared" si="33"/>
        <v>-9.5099717881379693</v>
      </c>
      <c r="P192">
        <f t="shared" si="34"/>
        <v>1.5364233295180796</v>
      </c>
      <c r="Q192">
        <f t="shared" si="35"/>
        <v>1.2775582909723471E-2</v>
      </c>
      <c r="W192" s="62"/>
    </row>
    <row r="193" spans="1:23" x14ac:dyDescent="0.3">
      <c r="A193" s="52">
        <v>0.17280000000000001</v>
      </c>
      <c r="B193" s="51">
        <v>151</v>
      </c>
      <c r="C193">
        <f t="shared" si="25"/>
        <v>2.2810333672477277</v>
      </c>
      <c r="E193" s="51">
        <v>151</v>
      </c>
      <c r="F193" s="52">
        <v>0.17280000000000001</v>
      </c>
      <c r="G193" s="61">
        <f t="shared" si="26"/>
        <v>-0.76245626185712545</v>
      </c>
      <c r="H193" s="61">
        <f t="shared" si="27"/>
        <v>9.2560557018473918E-2</v>
      </c>
      <c r="I193" s="67">
        <f t="shared" si="28"/>
        <v>150.36926427436813</v>
      </c>
      <c r="J193" s="68">
        <f t="shared" si="29"/>
        <v>4.1770577856414925E-3</v>
      </c>
      <c r="K193" s="70">
        <f t="shared" si="30"/>
        <v>0.63073572563186531</v>
      </c>
      <c r="L193" s="62">
        <f t="shared" si="24"/>
        <v>9.5518013667125973E-5</v>
      </c>
      <c r="M193" s="62">
        <f t="shared" si="31"/>
        <v>419.36083887774049</v>
      </c>
      <c r="N193" s="62">
        <f t="shared" si="32"/>
        <v>149.73457959018987</v>
      </c>
      <c r="O193">
        <f t="shared" si="33"/>
        <v>-9.4840209719435116</v>
      </c>
      <c r="P193">
        <f t="shared" si="34"/>
        <v>1.5401680360396459</v>
      </c>
      <c r="Q193">
        <f t="shared" si="35"/>
        <v>1.2309330442874633E-2</v>
      </c>
      <c r="W193" s="62"/>
    </row>
    <row r="194" spans="1:23" x14ac:dyDescent="0.3">
      <c r="A194" s="52">
        <v>0.16880000000000001</v>
      </c>
      <c r="B194" s="51">
        <v>152</v>
      </c>
      <c r="C194">
        <f t="shared" si="25"/>
        <v>2.2833012287035497</v>
      </c>
      <c r="E194" s="51">
        <v>152</v>
      </c>
      <c r="F194" s="52">
        <v>0.16880000000000001</v>
      </c>
      <c r="G194" s="61">
        <f t="shared" si="26"/>
        <v>-0.77262755771036373</v>
      </c>
      <c r="H194" s="61">
        <f t="shared" si="27"/>
        <v>8.8976368014311927E-2</v>
      </c>
      <c r="I194" s="67">
        <f t="shared" si="28"/>
        <v>151.54639199842597</v>
      </c>
      <c r="J194" s="68">
        <f t="shared" si="29"/>
        <v>2.9842631682501669E-3</v>
      </c>
      <c r="K194" s="70">
        <f t="shared" si="30"/>
        <v>0.45360800157402537</v>
      </c>
      <c r="L194" s="62">
        <f t="shared" ref="L194:L242" si="36">T$3^2-4*T$2*(T$4-G194)</f>
        <v>9.4043269344328288E-5</v>
      </c>
      <c r="M194" s="62">
        <f t="shared" si="31"/>
        <v>418.31607114594709</v>
      </c>
      <c r="N194" s="62">
        <f t="shared" si="32"/>
        <v>150.77934732198332</v>
      </c>
      <c r="O194">
        <f t="shared" si="33"/>
        <v>-9.4579017786486776</v>
      </c>
      <c r="P194">
        <f t="shared" si="34"/>
        <v>1.5439370394010943</v>
      </c>
      <c r="Q194">
        <f t="shared" si="35"/>
        <v>1.1783381489636535E-2</v>
      </c>
      <c r="W194" s="62"/>
    </row>
    <row r="195" spans="1:23" x14ac:dyDescent="0.3">
      <c r="A195" s="52">
        <v>0.16500000000000001</v>
      </c>
      <c r="B195" s="51">
        <v>153</v>
      </c>
      <c r="C195">
        <f t="shared" ref="C195:C242" si="37">LOG10(B195+40)</f>
        <v>2.2855573090077739</v>
      </c>
      <c r="E195" s="51">
        <v>153</v>
      </c>
      <c r="F195" s="52">
        <v>0.16500000000000001</v>
      </c>
      <c r="G195" s="61">
        <f t="shared" ref="G195:G242" si="38">LOG10(F195)</f>
        <v>-0.78251605578609373</v>
      </c>
      <c r="H195" s="61">
        <f t="shared" ref="H195:H242" si="39">LOG10(G195+2)</f>
        <v>8.546324258869957E-2</v>
      </c>
      <c r="I195" s="67">
        <f t="shared" ref="I195:I242" si="40">(H195-W$3)/W$2</f>
        <v>152.70018085603888</v>
      </c>
      <c r="J195" s="68">
        <f t="shared" ref="J195:J242" si="41">ABS(I195-E195)/ABS(E195)</f>
        <v>1.9596022481118704E-3</v>
      </c>
      <c r="K195" s="70">
        <f t="shared" ref="K195:K242" si="42">ABS(I195-E195)</f>
        <v>0.2998191439611162</v>
      </c>
      <c r="L195" s="62">
        <f t="shared" si="36"/>
        <v>9.2609528097529689E-5</v>
      </c>
      <c r="M195" s="62">
        <f t="shared" ref="M195:M234" si="43">(-T$3+SQRT(L195))/(2*T$2)</f>
        <v>417.29246877607426</v>
      </c>
      <c r="N195" s="62">
        <f t="shared" ref="N195:N234" si="44">(-T$3-SQRT(L195))/(2*T$2)</f>
        <v>151.80294969185616</v>
      </c>
      <c r="O195">
        <f t="shared" ref="O195:O234" si="45">ABS(-M195-E$2)/E$2</f>
        <v>-9.4323117194018558</v>
      </c>
      <c r="P195">
        <f t="shared" ref="P195:P234" si="46">ABS(-N195-F$2)/F$2</f>
        <v>1.5476296886430598</v>
      </c>
      <c r="Q195">
        <f t="shared" ref="Q195:Q242" si="47">ABS(G195-(T$2*E195^2+T$3*E195+T$4))</f>
        <v>1.1467734913906291E-2</v>
      </c>
      <c r="W195" s="62"/>
    </row>
    <row r="196" spans="1:23" x14ac:dyDescent="0.3">
      <c r="A196" s="52">
        <v>0.16120000000000001</v>
      </c>
      <c r="B196" s="51">
        <v>154</v>
      </c>
      <c r="C196">
        <f t="shared" si="37"/>
        <v>2.287801729930226</v>
      </c>
      <c r="E196" s="51">
        <v>154</v>
      </c>
      <c r="F196" s="52">
        <v>0.16120000000000001</v>
      </c>
      <c r="G196" s="61">
        <f t="shared" si="38"/>
        <v>-0.79263496253092813</v>
      </c>
      <c r="H196" s="61">
        <f t="shared" si="39"/>
        <v>8.1838595524327762E-2</v>
      </c>
      <c r="I196" s="67">
        <f t="shared" si="40"/>
        <v>153.89059591072558</v>
      </c>
      <c r="J196" s="68">
        <f t="shared" si="41"/>
        <v>7.1041616411961271E-4</v>
      </c>
      <c r="K196" s="70">
        <f t="shared" si="42"/>
        <v>0.10940408927442036</v>
      </c>
      <c r="L196" s="62">
        <f t="shared" si="36"/>
        <v>9.1142379713470792E-5</v>
      </c>
      <c r="M196" s="62">
        <f t="shared" si="43"/>
        <v>416.23677946625077</v>
      </c>
      <c r="N196" s="62">
        <f t="shared" si="44"/>
        <v>152.85863900167965</v>
      </c>
      <c r="O196">
        <f t="shared" si="45"/>
        <v>-9.4059194866562699</v>
      </c>
      <c r="P196">
        <f t="shared" si="46"/>
        <v>1.551438091636651</v>
      </c>
      <c r="Q196">
        <f t="shared" si="47"/>
        <v>1.084918426907211E-2</v>
      </c>
      <c r="W196" s="62"/>
    </row>
    <row r="197" spans="1:23" x14ac:dyDescent="0.3">
      <c r="A197" s="52">
        <v>0.15759999999999999</v>
      </c>
      <c r="B197" s="51">
        <v>155</v>
      </c>
      <c r="C197">
        <f t="shared" si="37"/>
        <v>2.2900346113625178</v>
      </c>
      <c r="E197" s="51">
        <v>155</v>
      </c>
      <c r="F197" s="52">
        <v>0.15759999999999999</v>
      </c>
      <c r="G197" s="61">
        <f t="shared" si="38"/>
        <v>-0.80244378684646356</v>
      </c>
      <c r="H197" s="61">
        <f t="shared" si="39"/>
        <v>7.8295908299051017E-2</v>
      </c>
      <c r="I197" s="67">
        <f t="shared" si="40"/>
        <v>155.05409352362943</v>
      </c>
      <c r="J197" s="68">
        <f t="shared" si="41"/>
        <v>3.4899047502860058E-4</v>
      </c>
      <c r="K197" s="70">
        <f t="shared" si="42"/>
        <v>5.4093523629433093E-2</v>
      </c>
      <c r="L197" s="62">
        <f t="shared" si="36"/>
        <v>8.972019042890187E-5</v>
      </c>
      <c r="M197" s="62">
        <f t="shared" si="43"/>
        <v>415.20529911000648</v>
      </c>
      <c r="N197" s="62">
        <f t="shared" si="44"/>
        <v>153.89011935792394</v>
      </c>
      <c r="O197">
        <f t="shared" si="45"/>
        <v>-9.3801324777501627</v>
      </c>
      <c r="P197">
        <f t="shared" si="46"/>
        <v>1.5551591607428714</v>
      </c>
      <c r="Q197">
        <f t="shared" si="47"/>
        <v>1.0468220653536475E-2</v>
      </c>
      <c r="W197" s="62"/>
    </row>
    <row r="198" spans="1:23" x14ac:dyDescent="0.3">
      <c r="A198" s="52">
        <v>0.15409999999999999</v>
      </c>
      <c r="B198" s="51">
        <v>156</v>
      </c>
      <c r="C198">
        <f t="shared" si="37"/>
        <v>2.2922560713564759</v>
      </c>
      <c r="E198" s="51">
        <v>156</v>
      </c>
      <c r="F198" s="52">
        <v>0.15409999999999999</v>
      </c>
      <c r="G198" s="61">
        <f t="shared" si="38"/>
        <v>-0.81219736128158071</v>
      </c>
      <c r="H198" s="61">
        <f t="shared" si="39"/>
        <v>7.4744285732698298E-2</v>
      </c>
      <c r="I198" s="67">
        <f t="shared" si="40"/>
        <v>156.22052570211906</v>
      </c>
      <c r="J198" s="68">
        <f t="shared" si="41"/>
        <v>1.413626295635012E-3</v>
      </c>
      <c r="K198" s="70">
        <f t="shared" si="42"/>
        <v>0.22052570211906186</v>
      </c>
      <c r="L198" s="62">
        <f t="shared" si="36"/>
        <v>8.8306011868694685E-5</v>
      </c>
      <c r="M198" s="62">
        <f t="shared" si="43"/>
        <v>414.17149022005532</v>
      </c>
      <c r="N198" s="62">
        <f t="shared" si="44"/>
        <v>154.92392824787512</v>
      </c>
      <c r="O198">
        <f t="shared" si="45"/>
        <v>-9.354287255501383</v>
      </c>
      <c r="P198">
        <f t="shared" si="46"/>
        <v>1.5588886300428397</v>
      </c>
      <c r="Q198">
        <f t="shared" si="47"/>
        <v>1.0070011518419575E-2</v>
      </c>
      <c r="W198" s="62"/>
    </row>
    <row r="199" spans="1:23" x14ac:dyDescent="0.3">
      <c r="A199" s="52">
        <v>0.1507</v>
      </c>
      <c r="B199" s="51">
        <v>157</v>
      </c>
      <c r="C199">
        <f t="shared" si="37"/>
        <v>2.2944662261615929</v>
      </c>
      <c r="E199" s="51">
        <v>157</v>
      </c>
      <c r="F199" s="52">
        <v>0.1507</v>
      </c>
      <c r="G199" s="61">
        <f t="shared" si="38"/>
        <v>-0.82188674768536818</v>
      </c>
      <c r="H199" s="61">
        <f t="shared" si="39"/>
        <v>7.1187041292471234E-2</v>
      </c>
      <c r="I199" s="67">
        <f t="shared" si="40"/>
        <v>157.38880422955711</v>
      </c>
      <c r="J199" s="68">
        <f t="shared" si="41"/>
        <v>2.4764600608733101E-3</v>
      </c>
      <c r="K199" s="70">
        <f t="shared" si="42"/>
        <v>0.38880422955710969</v>
      </c>
      <c r="L199" s="62">
        <f t="shared" si="36"/>
        <v>8.6901139982500377E-5</v>
      </c>
      <c r="M199" s="62">
        <f t="shared" si="43"/>
        <v>413.13625545294883</v>
      </c>
      <c r="N199" s="62">
        <f t="shared" si="44"/>
        <v>155.95916301498156</v>
      </c>
      <c r="O199">
        <f t="shared" si="45"/>
        <v>-9.3284063863237208</v>
      </c>
      <c r="P199">
        <f t="shared" si="46"/>
        <v>1.5626232431997893</v>
      </c>
      <c r="Q199">
        <f t="shared" si="47"/>
        <v>9.6634950146319287E-3</v>
      </c>
      <c r="W199" s="62"/>
    </row>
    <row r="200" spans="1:23" x14ac:dyDescent="0.3">
      <c r="A200" s="52">
        <v>0.1474</v>
      </c>
      <c r="B200" s="51">
        <v>158</v>
      </c>
      <c r="C200">
        <f t="shared" si="37"/>
        <v>2.2966651902615309</v>
      </c>
      <c r="E200" s="51">
        <v>158</v>
      </c>
      <c r="F200" s="52">
        <v>0.1474</v>
      </c>
      <c r="G200" s="61">
        <f t="shared" si="38"/>
        <v>-0.83150251647696727</v>
      </c>
      <c r="H200" s="61">
        <f t="shared" si="39"/>
        <v>6.7627781432364142E-2</v>
      </c>
      <c r="I200" s="67">
        <f t="shared" si="40"/>
        <v>158.55774466589938</v>
      </c>
      <c r="J200" s="68">
        <f t="shared" si="41"/>
        <v>3.5300295310087206E-3</v>
      </c>
      <c r="K200" s="70">
        <f t="shared" si="42"/>
        <v>0.55774466589937788</v>
      </c>
      <c r="L200" s="62">
        <f t="shared" si="36"/>
        <v>8.5506941972791385E-5</v>
      </c>
      <c r="M200" s="62">
        <f t="shared" si="43"/>
        <v>412.10057983998286</v>
      </c>
      <c r="N200" s="62">
        <f t="shared" si="44"/>
        <v>156.99483862794753</v>
      </c>
      <c r="O200">
        <f t="shared" si="45"/>
        <v>-9.3025144959995707</v>
      </c>
      <c r="P200">
        <f t="shared" si="46"/>
        <v>1.5663594467097675</v>
      </c>
      <c r="Q200">
        <f t="shared" si="47"/>
        <v>9.2581007230331247E-3</v>
      </c>
      <c r="W200" s="62"/>
    </row>
    <row r="201" spans="1:23" x14ac:dyDescent="0.3">
      <c r="A201" s="52">
        <v>0.14410000000000001</v>
      </c>
      <c r="B201" s="51">
        <v>159</v>
      </c>
      <c r="C201">
        <f t="shared" si="37"/>
        <v>2.2988530764097068</v>
      </c>
      <c r="E201" s="51">
        <v>159</v>
      </c>
      <c r="F201" s="52">
        <v>0.14410000000000001</v>
      </c>
      <c r="G201" s="61">
        <f t="shared" si="38"/>
        <v>-0.84133601918601064</v>
      </c>
      <c r="H201" s="61">
        <f t="shared" si="39"/>
        <v>6.3957506337447803E-2</v>
      </c>
      <c r="I201" s="67">
        <f t="shared" si="40"/>
        <v>159.76314498494733</v>
      </c>
      <c r="J201" s="68">
        <f t="shared" si="41"/>
        <v>4.7996539933794422E-3</v>
      </c>
      <c r="K201" s="70">
        <f t="shared" si="42"/>
        <v>0.7631449849473313</v>
      </c>
      <c r="L201" s="62">
        <f t="shared" si="36"/>
        <v>8.4081174548205056E-5</v>
      </c>
      <c r="M201" s="62">
        <f t="shared" si="43"/>
        <v>411.03268283534214</v>
      </c>
      <c r="N201" s="62">
        <f t="shared" si="44"/>
        <v>158.0627356325883</v>
      </c>
      <c r="O201">
        <f t="shared" si="45"/>
        <v>-9.2758170708835532</v>
      </c>
      <c r="P201">
        <f t="shared" si="46"/>
        <v>1.5702118890064511</v>
      </c>
      <c r="Q201">
        <f t="shared" si="47"/>
        <v>8.5624771139896083E-3</v>
      </c>
      <c r="W201" s="62"/>
    </row>
    <row r="202" spans="1:23" x14ac:dyDescent="0.3">
      <c r="A202" s="52">
        <v>0.14099999999999999</v>
      </c>
      <c r="B202" s="51">
        <v>160</v>
      </c>
      <c r="C202">
        <f t="shared" si="37"/>
        <v>2.3010299956639813</v>
      </c>
      <c r="E202" s="51">
        <v>160</v>
      </c>
      <c r="F202" s="52">
        <v>0.14099999999999999</v>
      </c>
      <c r="G202" s="61">
        <f t="shared" si="38"/>
        <v>-0.8507808873446201</v>
      </c>
      <c r="H202" s="61">
        <f t="shared" si="39"/>
        <v>6.0402840128596487E-2</v>
      </c>
      <c r="I202" s="67">
        <f t="shared" si="40"/>
        <v>160.93057676361514</v>
      </c>
      <c r="J202" s="68">
        <f t="shared" si="41"/>
        <v>5.8161047725945993E-3</v>
      </c>
      <c r="K202" s="70">
        <f t="shared" si="42"/>
        <v>0.93057676361513586</v>
      </c>
      <c r="L202" s="62">
        <f t="shared" si="36"/>
        <v>8.2711755557993735E-5</v>
      </c>
      <c r="M202" s="62">
        <f t="shared" si="43"/>
        <v>409.99843233842199</v>
      </c>
      <c r="N202" s="62">
        <f t="shared" si="44"/>
        <v>159.09698612950837</v>
      </c>
      <c r="O202">
        <f t="shared" si="45"/>
        <v>-9.2499608084605498</v>
      </c>
      <c r="P202">
        <f t="shared" si="46"/>
        <v>1.5739429514051528</v>
      </c>
      <c r="Q202">
        <f t="shared" si="47"/>
        <v>8.1829926553804722E-3</v>
      </c>
      <c r="W202" s="62"/>
    </row>
    <row r="203" spans="1:23" x14ac:dyDescent="0.3">
      <c r="A203" s="52">
        <v>0.13789999999999999</v>
      </c>
      <c r="B203" s="51">
        <v>161</v>
      </c>
      <c r="C203">
        <f t="shared" si="37"/>
        <v>2.3031960574204891</v>
      </c>
      <c r="E203" s="51">
        <v>161</v>
      </c>
      <c r="F203" s="52">
        <v>0.13789999999999999</v>
      </c>
      <c r="G203" s="61">
        <f t="shared" si="38"/>
        <v>-0.86043573382415028</v>
      </c>
      <c r="H203" s="61">
        <f t="shared" si="39"/>
        <v>5.6738822415490053E-2</v>
      </c>
      <c r="I203" s="67">
        <f t="shared" si="40"/>
        <v>162.13392201871423</v>
      </c>
      <c r="J203" s="68">
        <f t="shared" si="41"/>
        <v>7.0429939050573312E-3</v>
      </c>
      <c r="K203" s="70">
        <f t="shared" si="42"/>
        <v>1.1339220187142303</v>
      </c>
      <c r="L203" s="62">
        <f t="shared" si="36"/>
        <v>8.1311891643049469E-5</v>
      </c>
      <c r="M203" s="62">
        <f t="shared" si="43"/>
        <v>408.93230006003444</v>
      </c>
      <c r="N203" s="62">
        <f t="shared" si="44"/>
        <v>160.16311840789595</v>
      </c>
      <c r="O203">
        <f t="shared" si="45"/>
        <v>-9.2233075015008605</v>
      </c>
      <c r="P203">
        <f t="shared" si="46"/>
        <v>1.5777890274455122</v>
      </c>
      <c r="Q203">
        <f t="shared" si="47"/>
        <v>7.5210344758501746E-3</v>
      </c>
      <c r="W203" s="62"/>
    </row>
    <row r="204" spans="1:23" x14ac:dyDescent="0.3">
      <c r="A204" s="52">
        <v>0.13500000000000001</v>
      </c>
      <c r="B204" s="51">
        <v>162</v>
      </c>
      <c r="C204">
        <f t="shared" si="37"/>
        <v>2.3053513694466239</v>
      </c>
      <c r="E204" s="51">
        <v>162</v>
      </c>
      <c r="F204" s="52">
        <v>0.13500000000000001</v>
      </c>
      <c r="G204" s="61">
        <f t="shared" si="38"/>
        <v>-0.86966623150499389</v>
      </c>
      <c r="H204" s="61">
        <f t="shared" si="39"/>
        <v>5.3206702255365924E-2</v>
      </c>
      <c r="I204" s="67">
        <f t="shared" si="40"/>
        <v>163.29394917139999</v>
      </c>
      <c r="J204" s="68">
        <f t="shared" si="41"/>
        <v>7.9873405641974517E-3</v>
      </c>
      <c r="K204" s="70">
        <f t="shared" si="42"/>
        <v>1.2939491713999871</v>
      </c>
      <c r="L204" s="62">
        <f t="shared" si="36"/>
        <v>7.9973554399905813E-5</v>
      </c>
      <c r="M204" s="62">
        <f t="shared" si="43"/>
        <v>407.90441095319403</v>
      </c>
      <c r="N204" s="62">
        <f t="shared" si="44"/>
        <v>161.19100751473638</v>
      </c>
      <c r="O204">
        <f t="shared" si="45"/>
        <v>-9.1976102738298504</v>
      </c>
      <c r="P204">
        <f t="shared" si="46"/>
        <v>1.5814971411065526</v>
      </c>
      <c r="Q204">
        <f t="shared" si="47"/>
        <v>7.2109296950060298E-3</v>
      </c>
      <c r="W204" s="62"/>
    </row>
    <row r="205" spans="1:23" x14ac:dyDescent="0.3">
      <c r="A205" s="52">
        <v>0.1321</v>
      </c>
      <c r="B205" s="51">
        <v>163</v>
      </c>
      <c r="C205">
        <f t="shared" si="37"/>
        <v>2.307496037913213</v>
      </c>
      <c r="E205" s="51">
        <v>163</v>
      </c>
      <c r="F205" s="52">
        <v>0.1321</v>
      </c>
      <c r="G205" s="61">
        <f t="shared" si="38"/>
        <v>-0.87909718238547285</v>
      </c>
      <c r="H205" s="61">
        <f t="shared" si="39"/>
        <v>4.9567960852494548E-2</v>
      </c>
      <c r="I205" s="67">
        <f t="shared" si="40"/>
        <v>164.48899312165577</v>
      </c>
      <c r="J205" s="68">
        <f t="shared" si="41"/>
        <v>9.1349271267224964E-3</v>
      </c>
      <c r="K205" s="70">
        <f t="shared" si="42"/>
        <v>1.488993121655767</v>
      </c>
      <c r="L205" s="62">
        <f t="shared" si="36"/>
        <v>7.860615328698445E-5</v>
      </c>
      <c r="M205" s="62">
        <f t="shared" si="43"/>
        <v>406.84527743878169</v>
      </c>
      <c r="N205" s="62">
        <f t="shared" si="44"/>
        <v>162.25014102914872</v>
      </c>
      <c r="O205">
        <f t="shared" si="45"/>
        <v>-9.1711319359695427</v>
      </c>
      <c r="P205">
        <f t="shared" si="46"/>
        <v>1.5853179690806232</v>
      </c>
      <c r="Q205">
        <f t="shared" si="47"/>
        <v>6.6278763145274366E-3</v>
      </c>
      <c r="W205" s="62"/>
    </row>
    <row r="206" spans="1:23" x14ac:dyDescent="0.3">
      <c r="A206" s="52">
        <v>0.1293</v>
      </c>
      <c r="B206" s="51">
        <v>164</v>
      </c>
      <c r="C206">
        <f t="shared" si="37"/>
        <v>2.3096301674258988</v>
      </c>
      <c r="E206" s="51">
        <v>164</v>
      </c>
      <c r="F206" s="52">
        <v>0.1293</v>
      </c>
      <c r="G206" s="61">
        <f t="shared" si="38"/>
        <v>-0.88840147511960599</v>
      </c>
      <c r="H206" s="61">
        <f t="shared" si="39"/>
        <v>4.5947961785857812E-2</v>
      </c>
      <c r="I206" s="67">
        <f t="shared" si="40"/>
        <v>165.67788167007035</v>
      </c>
      <c r="J206" s="68">
        <f t="shared" si="41"/>
        <v>1.0230985793111883E-2</v>
      </c>
      <c r="K206" s="70">
        <f t="shared" si="42"/>
        <v>1.6778816700703487</v>
      </c>
      <c r="L206" s="62">
        <f t="shared" si="36"/>
        <v>7.725711644002831E-5</v>
      </c>
      <c r="M206" s="62">
        <f t="shared" si="43"/>
        <v>405.79130188161975</v>
      </c>
      <c r="N206" s="62">
        <f t="shared" si="44"/>
        <v>163.30411658631064</v>
      </c>
      <c r="O206">
        <f t="shared" si="45"/>
        <v>-9.144782547040494</v>
      </c>
      <c r="P206">
        <f t="shared" si="46"/>
        <v>1.5891201897053053</v>
      </c>
      <c r="Q206">
        <f t="shared" si="47"/>
        <v>6.0989856803942422E-3</v>
      </c>
      <c r="W206" s="62"/>
    </row>
    <row r="207" spans="1:23" x14ac:dyDescent="0.3">
      <c r="A207" s="53">
        <v>0.1265</v>
      </c>
      <c r="B207" s="51">
        <v>165</v>
      </c>
      <c r="C207">
        <f t="shared" si="37"/>
        <v>2.3117538610557542</v>
      </c>
      <c r="E207" s="51">
        <v>165</v>
      </c>
      <c r="F207" s="53">
        <v>0.1265</v>
      </c>
      <c r="G207" s="61">
        <f t="shared" si="38"/>
        <v>-0.89790947448816327</v>
      </c>
      <c r="H207" s="61">
        <f t="shared" si="39"/>
        <v>4.221726884931036E-2</v>
      </c>
      <c r="I207" s="67">
        <f t="shared" si="40"/>
        <v>166.90312455778005</v>
      </c>
      <c r="J207" s="68">
        <f t="shared" si="41"/>
        <v>1.1534088228969976E-2</v>
      </c>
      <c r="K207" s="70">
        <f t="shared" si="42"/>
        <v>1.9031245577800462</v>
      </c>
      <c r="L207" s="62">
        <f t="shared" si="36"/>
        <v>7.5878544005181703E-5</v>
      </c>
      <c r="M207" s="62">
        <f t="shared" si="43"/>
        <v>404.70470019776985</v>
      </c>
      <c r="N207" s="62">
        <f t="shared" si="44"/>
        <v>164.39071827016051</v>
      </c>
      <c r="O207">
        <f t="shared" si="45"/>
        <v>-9.1176175049442456</v>
      </c>
      <c r="P207">
        <f t="shared" si="46"/>
        <v>1.5930401091997133</v>
      </c>
      <c r="Q207">
        <f t="shared" si="47"/>
        <v>5.2938930118369143E-3</v>
      </c>
      <c r="W207" s="62"/>
    </row>
    <row r="208" spans="1:23" x14ac:dyDescent="0.3">
      <c r="A208" s="53">
        <v>0.1239</v>
      </c>
      <c r="B208" s="51">
        <v>166</v>
      </c>
      <c r="C208">
        <f t="shared" si="37"/>
        <v>2.3138672203691533</v>
      </c>
      <c r="E208" s="51">
        <v>166</v>
      </c>
      <c r="F208" s="53">
        <v>0.1239</v>
      </c>
      <c r="G208" s="61">
        <f t="shared" si="38"/>
        <v>-0.90692869362393658</v>
      </c>
      <c r="H208" s="61">
        <f t="shared" si="39"/>
        <v>3.8648494022466819E-2</v>
      </c>
      <c r="I208" s="67">
        <f t="shared" si="40"/>
        <v>168.07518992172126</v>
      </c>
      <c r="J208" s="68">
        <f t="shared" si="41"/>
        <v>1.2501144106754585E-2</v>
      </c>
      <c r="K208" s="70">
        <f t="shared" si="42"/>
        <v>2.075189921721261</v>
      </c>
      <c r="L208" s="62">
        <f t="shared" si="36"/>
        <v>7.4570840207310613E-5</v>
      </c>
      <c r="M208" s="62">
        <f t="shared" si="43"/>
        <v>403.66479719801333</v>
      </c>
      <c r="N208" s="62">
        <f t="shared" si="44"/>
        <v>165.43062126991703</v>
      </c>
      <c r="O208">
        <f t="shared" si="45"/>
        <v>-9.0916199299503333</v>
      </c>
      <c r="P208">
        <f t="shared" si="46"/>
        <v>1.5967915630227887</v>
      </c>
      <c r="Q208">
        <f t="shared" si="47"/>
        <v>4.9050851760635839E-3</v>
      </c>
      <c r="W208" s="62"/>
    </row>
    <row r="209" spans="1:23" x14ac:dyDescent="0.3">
      <c r="A209" s="53">
        <v>0.12130000000000001</v>
      </c>
      <c r="B209" s="51">
        <v>167</v>
      </c>
      <c r="C209">
        <f t="shared" si="37"/>
        <v>2.3159703454569178</v>
      </c>
      <c r="E209" s="51">
        <v>167</v>
      </c>
      <c r="F209" s="53">
        <v>0.12130000000000001</v>
      </c>
      <c r="G209" s="61">
        <f t="shared" si="38"/>
        <v>-0.91613919913342701</v>
      </c>
      <c r="H209" s="61">
        <f t="shared" si="39"/>
        <v>3.4973509787836768E-2</v>
      </c>
      <c r="I209" s="67">
        <f t="shared" si="40"/>
        <v>169.28213682743277</v>
      </c>
      <c r="J209" s="68">
        <f t="shared" si="41"/>
        <v>1.3665489984627337E-2</v>
      </c>
      <c r="K209" s="70">
        <f t="shared" si="42"/>
        <v>2.2821368274327654</v>
      </c>
      <c r="L209" s="62">
        <f t="shared" si="36"/>
        <v>7.3235401645085191E-5</v>
      </c>
      <c r="M209" s="62">
        <f t="shared" si="43"/>
        <v>402.59338519154795</v>
      </c>
      <c r="N209" s="62">
        <f t="shared" si="44"/>
        <v>166.50203327638243</v>
      </c>
      <c r="O209">
        <f t="shared" si="45"/>
        <v>-9.0648346297886988</v>
      </c>
      <c r="P209">
        <f t="shared" si="46"/>
        <v>1.6006566857012352</v>
      </c>
      <c r="Q209">
        <f t="shared" si="47"/>
        <v>4.2524955665731445E-3</v>
      </c>
      <c r="W209" s="62"/>
    </row>
    <row r="210" spans="1:23" x14ac:dyDescent="0.3">
      <c r="A210" s="53">
        <v>0.1187</v>
      </c>
      <c r="B210" s="51">
        <v>168</v>
      </c>
      <c r="C210">
        <f t="shared" si="37"/>
        <v>2.3180633349627615</v>
      </c>
      <c r="E210" s="51">
        <v>168</v>
      </c>
      <c r="F210" s="53">
        <v>0.1187</v>
      </c>
      <c r="G210" s="61">
        <f t="shared" si="38"/>
        <v>-0.92554928104540879</v>
      </c>
      <c r="H210" s="61">
        <f t="shared" si="39"/>
        <v>3.1186500816850586E-2</v>
      </c>
      <c r="I210" s="67">
        <f t="shared" si="40"/>
        <v>170.52587515870582</v>
      </c>
      <c r="J210" s="68">
        <f t="shared" si="41"/>
        <v>1.5034971182772713E-2</v>
      </c>
      <c r="K210" s="70">
        <f t="shared" si="42"/>
        <v>2.5258751587058157</v>
      </c>
      <c r="L210" s="62">
        <f t="shared" si="36"/>
        <v>7.1871026340601402E-5</v>
      </c>
      <c r="M210" s="62">
        <f t="shared" si="43"/>
        <v>401.48862027137534</v>
      </c>
      <c r="N210" s="62">
        <f t="shared" si="44"/>
        <v>167.60679819655505</v>
      </c>
      <c r="O210">
        <f t="shared" si="45"/>
        <v>-9.0372155067843831</v>
      </c>
      <c r="P210">
        <f t="shared" si="46"/>
        <v>1.6046421291362016</v>
      </c>
      <c r="Q210">
        <f t="shared" si="47"/>
        <v>3.3278341545913692E-3</v>
      </c>
      <c r="W210" s="62"/>
    </row>
    <row r="211" spans="1:23" x14ac:dyDescent="0.3">
      <c r="A211" s="55">
        <v>0.1163</v>
      </c>
      <c r="B211" s="51">
        <v>169</v>
      </c>
      <c r="C211">
        <f t="shared" si="37"/>
        <v>2.3201462861110542</v>
      </c>
      <c r="E211" s="51">
        <v>169</v>
      </c>
      <c r="F211" s="55">
        <v>0.1163</v>
      </c>
      <c r="G211" s="61">
        <f t="shared" si="38"/>
        <v>-0.93442028527155163</v>
      </c>
      <c r="H211" s="61">
        <f t="shared" si="39"/>
        <v>2.7585944309940744E-2</v>
      </c>
      <c r="I211" s="67">
        <f t="shared" si="40"/>
        <v>171.70837833624438</v>
      </c>
      <c r="J211" s="68">
        <f t="shared" si="41"/>
        <v>1.6025907315055501E-2</v>
      </c>
      <c r="K211" s="70">
        <f t="shared" si="42"/>
        <v>2.7083783362443796</v>
      </c>
      <c r="L211" s="62">
        <f t="shared" si="36"/>
        <v>7.0584812341049571E-5</v>
      </c>
      <c r="M211" s="62">
        <f t="shared" si="43"/>
        <v>400.43750079654097</v>
      </c>
      <c r="N211" s="62">
        <f t="shared" si="44"/>
        <v>168.65791767138938</v>
      </c>
      <c r="O211">
        <f t="shared" si="45"/>
        <v>-9.010937519913524</v>
      </c>
      <c r="P211">
        <f t="shared" si="46"/>
        <v>1.6084340464335836</v>
      </c>
      <c r="Q211">
        <f t="shared" si="47"/>
        <v>2.8697550284485507E-3</v>
      </c>
      <c r="W211" s="62"/>
    </row>
    <row r="212" spans="1:23" x14ac:dyDescent="0.3">
      <c r="A212" s="55">
        <v>0.1139</v>
      </c>
      <c r="B212" s="51">
        <v>170</v>
      </c>
      <c r="C212">
        <f t="shared" si="37"/>
        <v>2.3222192947339191</v>
      </c>
      <c r="E212" s="51">
        <v>170</v>
      </c>
      <c r="F212" s="55">
        <v>0.1139</v>
      </c>
      <c r="G212" s="61">
        <f t="shared" si="38"/>
        <v>-0.94347627592089967</v>
      </c>
      <c r="H212" s="61">
        <f t="shared" si="39"/>
        <v>2.3879253514183418E-2</v>
      </c>
      <c r="I212" s="67">
        <f t="shared" si="40"/>
        <v>172.92573838481587</v>
      </c>
      <c r="J212" s="68">
        <f t="shared" si="41"/>
        <v>1.7210225793034543E-2</v>
      </c>
      <c r="K212" s="70">
        <f t="shared" si="42"/>
        <v>2.9257383848158725</v>
      </c>
      <c r="L212" s="62">
        <f t="shared" si="36"/>
        <v>6.9271777012008102E-5</v>
      </c>
      <c r="M212" s="62">
        <f t="shared" si="43"/>
        <v>399.35453614347301</v>
      </c>
      <c r="N212" s="62">
        <f t="shared" si="44"/>
        <v>169.7408823244574</v>
      </c>
      <c r="O212">
        <f t="shared" si="45"/>
        <v>-8.9838634035868257</v>
      </c>
      <c r="P212">
        <f t="shared" si="46"/>
        <v>1.6123408453263255</v>
      </c>
      <c r="Q212">
        <f t="shared" si="47"/>
        <v>2.1541940791001135E-3</v>
      </c>
      <c r="W212" s="62"/>
    </row>
    <row r="213" spans="1:23" x14ac:dyDescent="0.3">
      <c r="A213" s="55">
        <v>0.1115</v>
      </c>
      <c r="B213" s="51">
        <v>171</v>
      </c>
      <c r="C213">
        <f t="shared" si="37"/>
        <v>2.3242824552976926</v>
      </c>
      <c r="E213" s="51">
        <v>171</v>
      </c>
      <c r="F213" s="55">
        <v>0.1115</v>
      </c>
      <c r="G213" s="61">
        <f t="shared" si="38"/>
        <v>-0.95272513261582048</v>
      </c>
      <c r="H213" s="61">
        <f t="shared" si="39"/>
        <v>2.0060681412830291E-2</v>
      </c>
      <c r="I213" s="67">
        <f t="shared" si="40"/>
        <v>174.17984275308359</v>
      </c>
      <c r="J213" s="68">
        <f t="shared" si="41"/>
        <v>1.8595571655459595E-2</v>
      </c>
      <c r="K213" s="70">
        <f t="shared" si="42"/>
        <v>3.1798427530835909</v>
      </c>
      <c r="L213" s="62">
        <f t="shared" si="36"/>
        <v>6.793077788072615E-5</v>
      </c>
      <c r="M213" s="62">
        <f t="shared" si="43"/>
        <v>398.23786026478791</v>
      </c>
      <c r="N213" s="62">
        <f t="shared" si="44"/>
        <v>170.8575582031425</v>
      </c>
      <c r="O213">
        <f t="shared" si="45"/>
        <v>-8.9559465066196982</v>
      </c>
      <c r="P213">
        <f t="shared" si="46"/>
        <v>1.6163692575870943</v>
      </c>
      <c r="Q213">
        <f t="shared" si="47"/>
        <v>1.1732716841793556E-3</v>
      </c>
      <c r="W213" s="62"/>
    </row>
    <row r="214" spans="1:23" x14ac:dyDescent="0.3">
      <c r="A214" s="55">
        <v>0.10920000000000001</v>
      </c>
      <c r="B214" s="51">
        <v>172</v>
      </c>
      <c r="C214">
        <f t="shared" si="37"/>
        <v>2.3263358609287512</v>
      </c>
      <c r="E214" s="51">
        <v>172</v>
      </c>
      <c r="F214" s="55">
        <v>0.10920000000000001</v>
      </c>
      <c r="G214" s="61">
        <f t="shared" si="38"/>
        <v>-0.96177736163128158</v>
      </c>
      <c r="H214" s="61">
        <f t="shared" si="39"/>
        <v>1.6290494405499512E-2</v>
      </c>
      <c r="I214" s="67">
        <f t="shared" si="40"/>
        <v>175.41805637576317</v>
      </c>
      <c r="J214" s="68">
        <f t="shared" si="41"/>
        <v>1.9872420789320767E-2</v>
      </c>
      <c r="K214" s="70">
        <f t="shared" si="42"/>
        <v>3.4180563757631717</v>
      </c>
      <c r="L214" s="62">
        <f t="shared" si="36"/>
        <v>6.6618287953991277E-5</v>
      </c>
      <c r="M214" s="62">
        <f t="shared" si="43"/>
        <v>397.13420013682071</v>
      </c>
      <c r="N214" s="62">
        <f t="shared" si="44"/>
        <v>171.96121833110965</v>
      </c>
      <c r="O214">
        <f t="shared" si="45"/>
        <v>-8.928355003420517</v>
      </c>
      <c r="P214">
        <f t="shared" si="46"/>
        <v>1.6203507154801935</v>
      </c>
      <c r="Q214">
        <f t="shared" si="47"/>
        <v>3.1648156871877386E-4</v>
      </c>
      <c r="W214" s="62"/>
    </row>
    <row r="215" spans="1:23" x14ac:dyDescent="0.3">
      <c r="A215" s="55">
        <v>0.107</v>
      </c>
      <c r="B215" s="51">
        <v>173</v>
      </c>
      <c r="C215">
        <f t="shared" si="37"/>
        <v>2.3283796034387376</v>
      </c>
      <c r="E215" s="51">
        <v>173</v>
      </c>
      <c r="F215" s="55">
        <v>0.107</v>
      </c>
      <c r="G215" s="61">
        <f t="shared" si="38"/>
        <v>-0.97061622231479039</v>
      </c>
      <c r="H215" s="61">
        <f t="shared" si="39"/>
        <v>1.2577319813401917E-2</v>
      </c>
      <c r="I215" s="67">
        <f t="shared" si="40"/>
        <v>176.63754584787239</v>
      </c>
      <c r="J215" s="68">
        <f t="shared" si="41"/>
        <v>2.1026276577297043E-2</v>
      </c>
      <c r="K215" s="70">
        <f t="shared" si="42"/>
        <v>3.6375458478723885</v>
      </c>
      <c r="L215" s="62">
        <f t="shared" si="36"/>
        <v>6.5336734472400799E-5</v>
      </c>
      <c r="M215" s="62">
        <f t="shared" si="43"/>
        <v>396.04601335854989</v>
      </c>
      <c r="N215" s="62">
        <f t="shared" si="44"/>
        <v>173.04940510938053</v>
      </c>
      <c r="O215">
        <f t="shared" si="45"/>
        <v>-8.9011503339637468</v>
      </c>
      <c r="P215">
        <f t="shared" si="46"/>
        <v>1.6242763532084434</v>
      </c>
      <c r="Q215">
        <f t="shared" si="47"/>
        <v>3.9943561478994472E-4</v>
      </c>
      <c r="W215" s="62"/>
    </row>
    <row r="216" spans="1:23" x14ac:dyDescent="0.3">
      <c r="A216" s="55">
        <v>0.1048</v>
      </c>
      <c r="B216" s="51">
        <v>174</v>
      </c>
      <c r="C216">
        <f t="shared" si="37"/>
        <v>2.330413773349191</v>
      </c>
      <c r="E216" s="51">
        <v>174</v>
      </c>
      <c r="F216" s="55">
        <v>0.1048</v>
      </c>
      <c r="G216" s="61">
        <f t="shared" si="38"/>
        <v>-0.97963871735229213</v>
      </c>
      <c r="H216" s="61">
        <f t="shared" si="39"/>
        <v>8.7539710554848903E-3</v>
      </c>
      <c r="I216" s="67">
        <f t="shared" si="40"/>
        <v>177.89321897684525</v>
      </c>
      <c r="J216" s="68">
        <f t="shared" si="41"/>
        <v>2.2374821706007169E-2</v>
      </c>
      <c r="K216" s="70">
        <f t="shared" si="42"/>
        <v>3.8932189768452474</v>
      </c>
      <c r="L216" s="62">
        <f t="shared" si="36"/>
        <v>6.4028555698917319E-5</v>
      </c>
      <c r="M216" s="62">
        <f t="shared" si="43"/>
        <v>394.9241542518235</v>
      </c>
      <c r="N216" s="62">
        <f t="shared" si="44"/>
        <v>174.17126421610689</v>
      </c>
      <c r="O216">
        <f t="shared" si="45"/>
        <v>-8.8731038562955877</v>
      </c>
      <c r="P216">
        <f t="shared" si="46"/>
        <v>1.6283234639830695</v>
      </c>
      <c r="Q216">
        <f t="shared" si="47"/>
        <v>1.3714825522915808E-3</v>
      </c>
      <c r="W216" s="62"/>
    </row>
    <row r="217" spans="1:23" x14ac:dyDescent="0.3">
      <c r="A217" s="55">
        <v>0.1027</v>
      </c>
      <c r="B217" s="51">
        <v>175</v>
      </c>
      <c r="C217">
        <f t="shared" si="37"/>
        <v>2.3324384599156054</v>
      </c>
      <c r="E217" s="51">
        <v>175</v>
      </c>
      <c r="F217" s="55">
        <v>0.1027</v>
      </c>
      <c r="G217" s="61">
        <f t="shared" si="38"/>
        <v>-0.98842955640272179</v>
      </c>
      <c r="H217" s="61">
        <f t="shared" si="39"/>
        <v>4.9961314966741558E-3</v>
      </c>
      <c r="I217" s="67">
        <f t="shared" si="40"/>
        <v>179.12737742164293</v>
      </c>
      <c r="J217" s="68">
        <f t="shared" si="41"/>
        <v>2.3585013837959617E-2</v>
      </c>
      <c r="K217" s="70">
        <f t="shared" si="42"/>
        <v>4.1273774216429331</v>
      </c>
      <c r="L217" s="62">
        <f t="shared" si="36"/>
        <v>6.2753964912324331E-5</v>
      </c>
      <c r="M217" s="62">
        <f t="shared" si="43"/>
        <v>393.82002193202703</v>
      </c>
      <c r="N217" s="62">
        <f t="shared" si="44"/>
        <v>175.27539653590335</v>
      </c>
      <c r="O217">
        <f t="shared" si="45"/>
        <v>-8.8455005483006754</v>
      </c>
      <c r="P217">
        <f t="shared" si="46"/>
        <v>1.6323066253098966</v>
      </c>
      <c r="Q217">
        <f t="shared" si="47"/>
        <v>2.1843689027215563E-3</v>
      </c>
      <c r="W217" s="62"/>
    </row>
    <row r="218" spans="1:23" x14ac:dyDescent="0.3">
      <c r="A218" s="55">
        <v>0.10059999999999999</v>
      </c>
      <c r="B218" s="51">
        <v>176</v>
      </c>
      <c r="C218">
        <f t="shared" si="37"/>
        <v>2.3344537511509307</v>
      </c>
      <c r="E218" s="51">
        <v>176</v>
      </c>
      <c r="F218" s="55">
        <v>0.10059999999999999</v>
      </c>
      <c r="G218" s="61">
        <f t="shared" si="38"/>
        <v>-0.99740201928009142</v>
      </c>
      <c r="H218" s="61">
        <f t="shared" si="39"/>
        <v>1.1268255881418489E-3</v>
      </c>
      <c r="I218" s="67">
        <f t="shared" si="40"/>
        <v>180.3981439053594</v>
      </c>
      <c r="J218" s="68">
        <f t="shared" si="41"/>
        <v>2.4989454007723889E-2</v>
      </c>
      <c r="K218" s="70">
        <f t="shared" si="42"/>
        <v>4.3981439053594045</v>
      </c>
      <c r="L218" s="62">
        <f t="shared" si="36"/>
        <v>6.1453040341764213E-5</v>
      </c>
      <c r="M218" s="62">
        <f t="shared" si="43"/>
        <v>392.68145234684619</v>
      </c>
      <c r="N218" s="62">
        <f t="shared" si="44"/>
        <v>176.4139661210842</v>
      </c>
      <c r="O218">
        <f t="shared" si="45"/>
        <v>-8.8170363086711543</v>
      </c>
      <c r="P218">
        <f t="shared" si="46"/>
        <v>1.6364140191958305</v>
      </c>
      <c r="Q218">
        <f t="shared" si="47"/>
        <v>3.2513744800914957E-3</v>
      </c>
      <c r="W218" s="62"/>
    </row>
    <row r="219" spans="1:23" x14ac:dyDescent="0.3">
      <c r="A219" s="55">
        <v>9.8599999999999993E-2</v>
      </c>
      <c r="B219" s="51">
        <v>177</v>
      </c>
      <c r="C219">
        <f t="shared" si="37"/>
        <v>2.3364597338485296</v>
      </c>
      <c r="E219" s="51">
        <v>177</v>
      </c>
      <c r="F219" s="55">
        <v>9.8599999999999993E-2</v>
      </c>
      <c r="G219" s="61">
        <f t="shared" si="38"/>
        <v>-1.0061230850587888</v>
      </c>
      <c r="H219" s="61">
        <f t="shared" si="39"/>
        <v>-2.6673967613723582E-3</v>
      </c>
      <c r="I219" s="67">
        <f t="shared" si="40"/>
        <v>181.64425127125634</v>
      </c>
      <c r="J219" s="68">
        <f t="shared" si="41"/>
        <v>2.6238707747210942E-2</v>
      </c>
      <c r="K219" s="70">
        <f t="shared" si="42"/>
        <v>4.6442512712563371</v>
      </c>
      <c r="L219" s="62">
        <f t="shared" si="36"/>
        <v>6.0188566037658287E-5</v>
      </c>
      <c r="M219" s="62">
        <f t="shared" si="43"/>
        <v>391.5631754491194</v>
      </c>
      <c r="N219" s="62">
        <f t="shared" si="44"/>
        <v>177.53224301881099</v>
      </c>
      <c r="O219">
        <f t="shared" si="45"/>
        <v>-8.7890793862279857</v>
      </c>
      <c r="P219">
        <f t="shared" si="46"/>
        <v>1.640448207138568</v>
      </c>
      <c r="Q219">
        <f t="shared" si="47"/>
        <v>4.1394783587886952E-3</v>
      </c>
      <c r="W219" s="62"/>
    </row>
    <row r="220" spans="1:23" x14ac:dyDescent="0.3">
      <c r="A220" s="55">
        <v>9.6600000000000005E-2</v>
      </c>
      <c r="B220" s="51">
        <v>178</v>
      </c>
      <c r="C220">
        <f t="shared" si="37"/>
        <v>2.3384564936046046</v>
      </c>
      <c r="E220" s="51">
        <v>178</v>
      </c>
      <c r="F220" s="55">
        <v>9.6600000000000005E-2</v>
      </c>
      <c r="G220" s="61">
        <f t="shared" si="38"/>
        <v>-1.0150228735845066</v>
      </c>
      <c r="H220" s="61">
        <f t="shared" si="39"/>
        <v>-6.5738547682523303E-3</v>
      </c>
      <c r="I220" s="67">
        <f t="shared" si="40"/>
        <v>182.9272193338854</v>
      </c>
      <c r="J220" s="68">
        <f t="shared" si="41"/>
        <v>2.7681007493738224E-2</v>
      </c>
      <c r="K220" s="70">
        <f t="shared" si="42"/>
        <v>4.9272193338854038</v>
      </c>
      <c r="L220" s="62">
        <f t="shared" si="36"/>
        <v>5.8898178579483602E-5</v>
      </c>
      <c r="M220" s="62">
        <f t="shared" si="43"/>
        <v>390.40980359911964</v>
      </c>
      <c r="N220" s="62">
        <f t="shared" si="44"/>
        <v>178.68561486881072</v>
      </c>
      <c r="O220">
        <f t="shared" si="45"/>
        <v>-8.7602450899779907</v>
      </c>
      <c r="P220">
        <f t="shared" si="46"/>
        <v>1.644609000248235</v>
      </c>
      <c r="Q220">
        <f t="shared" si="47"/>
        <v>5.2788003845058995E-3</v>
      </c>
      <c r="W220" s="62"/>
    </row>
    <row r="221" spans="1:23" x14ac:dyDescent="0.3">
      <c r="A221" s="55">
        <v>9.4700000000000006E-2</v>
      </c>
      <c r="B221" s="51">
        <v>179</v>
      </c>
      <c r="C221">
        <f t="shared" si="37"/>
        <v>2.3404441148401185</v>
      </c>
      <c r="E221" s="51">
        <v>179</v>
      </c>
      <c r="F221" s="55">
        <v>9.4700000000000006E-2</v>
      </c>
      <c r="G221" s="61">
        <f t="shared" si="38"/>
        <v>-1.0236500209967265</v>
      </c>
      <c r="H221" s="61">
        <f t="shared" si="39"/>
        <v>-1.0394478742080819E-2</v>
      </c>
      <c r="I221" s="67">
        <f t="shared" si="40"/>
        <v>184.18199758290382</v>
      </c>
      <c r="J221" s="68">
        <f t="shared" si="41"/>
        <v>2.894970716706044E-2</v>
      </c>
      <c r="K221" s="70">
        <f t="shared" si="42"/>
        <v>5.1819975829038185</v>
      </c>
      <c r="L221" s="62">
        <f t="shared" si="36"/>
        <v>5.7647321574467872E-5</v>
      </c>
      <c r="M221" s="62">
        <f t="shared" si="43"/>
        <v>389.27964156076632</v>
      </c>
      <c r="N221" s="62">
        <f t="shared" si="44"/>
        <v>179.81577690716404</v>
      </c>
      <c r="O221">
        <f t="shared" si="45"/>
        <v>-8.7319910390191584</v>
      </c>
      <c r="P221">
        <f t="shared" si="46"/>
        <v>1.6486860638786582</v>
      </c>
      <c r="Q221">
        <f t="shared" si="47"/>
        <v>6.2179766967265238E-3</v>
      </c>
      <c r="W221" s="62"/>
    </row>
    <row r="222" spans="1:23" x14ac:dyDescent="0.3">
      <c r="A222" s="55">
        <v>9.2799999999999994E-2</v>
      </c>
      <c r="B222" s="51">
        <v>180</v>
      </c>
      <c r="C222">
        <f t="shared" si="37"/>
        <v>2.3424226808222062</v>
      </c>
      <c r="E222" s="51">
        <v>180</v>
      </c>
      <c r="F222" s="55">
        <v>9.2799999999999994E-2</v>
      </c>
      <c r="G222" s="61">
        <f t="shared" si="38"/>
        <v>-1.0324520237811379</v>
      </c>
      <c r="H222" s="61">
        <f t="shared" si="39"/>
        <v>-1.432749112504032E-2</v>
      </c>
      <c r="I222" s="67">
        <f t="shared" si="40"/>
        <v>185.47368669574593</v>
      </c>
      <c r="J222" s="68">
        <f t="shared" si="41"/>
        <v>3.040937053192181E-2</v>
      </c>
      <c r="K222" s="70">
        <f t="shared" si="42"/>
        <v>5.4736866957459256</v>
      </c>
      <c r="L222" s="62">
        <f t="shared" si="36"/>
        <v>5.6371112149153889E-5</v>
      </c>
      <c r="M222" s="62">
        <f t="shared" si="43"/>
        <v>388.11386380142955</v>
      </c>
      <c r="N222" s="62">
        <f t="shared" si="44"/>
        <v>180.98155466650087</v>
      </c>
      <c r="O222">
        <f t="shared" si="45"/>
        <v>-8.702846595035739</v>
      </c>
      <c r="P222">
        <f t="shared" si="46"/>
        <v>1.6528916113510133</v>
      </c>
      <c r="Q222">
        <f t="shared" si="47"/>
        <v>7.4045037811376613E-3</v>
      </c>
      <c r="W222" s="62"/>
    </row>
    <row r="223" spans="1:23" x14ac:dyDescent="0.3">
      <c r="A223" s="55">
        <v>9.0899999999999995E-2</v>
      </c>
      <c r="B223" s="51">
        <v>181</v>
      </c>
      <c r="C223">
        <f t="shared" si="37"/>
        <v>2.3443922736851106</v>
      </c>
      <c r="E223" s="51">
        <v>181</v>
      </c>
      <c r="F223" s="55">
        <v>9.0899999999999995E-2</v>
      </c>
      <c r="G223" s="61">
        <f t="shared" si="38"/>
        <v>-1.0414361167780326</v>
      </c>
      <c r="H223" s="61">
        <f t="shared" si="39"/>
        <v>-1.8378938387101505E-2</v>
      </c>
      <c r="I223" s="67">
        <f t="shared" si="40"/>
        <v>186.80427246820173</v>
      </c>
      <c r="J223" s="68">
        <f t="shared" si="41"/>
        <v>3.2067803691722269E-2</v>
      </c>
      <c r="K223" s="70">
        <f t="shared" si="42"/>
        <v>5.8042724682017308</v>
      </c>
      <c r="L223" s="62">
        <f t="shared" si="36"/>
        <v>5.5068501318259713E-5</v>
      </c>
      <c r="M223" s="62">
        <f t="shared" si="43"/>
        <v>386.91027855434976</v>
      </c>
      <c r="N223" s="62">
        <f t="shared" si="44"/>
        <v>182.18513991358066</v>
      </c>
      <c r="O223">
        <f t="shared" si="45"/>
        <v>-8.6727569638587436</v>
      </c>
      <c r="P223">
        <f t="shared" si="46"/>
        <v>1.6572335494717918</v>
      </c>
      <c r="Q223">
        <f t="shared" si="47"/>
        <v>8.8456164780326141E-3</v>
      </c>
      <c r="W223" s="62"/>
    </row>
    <row r="224" spans="1:23" x14ac:dyDescent="0.3">
      <c r="A224" s="55">
        <v>8.9099999999999999E-2</v>
      </c>
      <c r="B224" s="51">
        <v>182</v>
      </c>
      <c r="C224">
        <f t="shared" si="37"/>
        <v>2.3463529744506388</v>
      </c>
      <c r="E224" s="51">
        <v>182</v>
      </c>
      <c r="F224" s="55">
        <v>8.9099999999999999E-2</v>
      </c>
      <c r="G224" s="61">
        <f t="shared" si="38"/>
        <v>-1.0501222959631251</v>
      </c>
      <c r="H224" s="61">
        <f t="shared" si="39"/>
        <v>-2.2332306164720837E-2</v>
      </c>
      <c r="I224" s="67">
        <f t="shared" si="40"/>
        <v>188.10264674730055</v>
      </c>
      <c r="J224" s="68">
        <f t="shared" si="41"/>
        <v>3.3531026084068979E-2</v>
      </c>
      <c r="K224" s="70">
        <f t="shared" si="42"/>
        <v>6.1026467473005539</v>
      </c>
      <c r="L224" s="62">
        <f t="shared" si="36"/>
        <v>5.380908524926976E-5</v>
      </c>
      <c r="M224" s="62">
        <f t="shared" si="43"/>
        <v>385.73299303239941</v>
      </c>
      <c r="N224" s="62">
        <f t="shared" si="44"/>
        <v>183.36242543553098</v>
      </c>
      <c r="O224">
        <f t="shared" si="45"/>
        <v>-8.6433248258099855</v>
      </c>
      <c r="P224">
        <f t="shared" si="46"/>
        <v>1.6614806112392893</v>
      </c>
      <c r="Q224">
        <f t="shared" si="47"/>
        <v>1.0061310763124443E-2</v>
      </c>
      <c r="W224" s="62"/>
    </row>
    <row r="225" spans="1:23" x14ac:dyDescent="0.3">
      <c r="A225" s="55">
        <v>8.7300000000000003E-2</v>
      </c>
      <c r="B225" s="51">
        <v>183</v>
      </c>
      <c r="C225">
        <f t="shared" si="37"/>
        <v>2.3483048630481607</v>
      </c>
      <c r="E225" s="51">
        <v>183</v>
      </c>
      <c r="F225" s="55">
        <v>8.7300000000000003E-2</v>
      </c>
      <c r="G225" s="61">
        <f t="shared" si="38"/>
        <v>-1.0589857562944303</v>
      </c>
      <c r="H225" s="61">
        <f t="shared" si="39"/>
        <v>-2.640380280450345E-2</v>
      </c>
      <c r="I225" s="67">
        <f t="shared" si="40"/>
        <v>189.43981718321541</v>
      </c>
      <c r="J225" s="68">
        <f t="shared" si="41"/>
        <v>3.5190257831778197E-2</v>
      </c>
      <c r="K225" s="70">
        <f t="shared" si="42"/>
        <v>6.4398171832154105</v>
      </c>
      <c r="L225" s="62">
        <f t="shared" si="36"/>
        <v>5.2523965045065627E-5</v>
      </c>
      <c r="M225" s="62">
        <f t="shared" si="43"/>
        <v>384.51738909829288</v>
      </c>
      <c r="N225" s="62">
        <f t="shared" si="44"/>
        <v>184.57802936963748</v>
      </c>
      <c r="O225">
        <f t="shared" si="45"/>
        <v>-8.612934727457322</v>
      </c>
      <c r="P225">
        <f t="shared" si="46"/>
        <v>1.665865906816874</v>
      </c>
      <c r="Q225">
        <f t="shared" si="47"/>
        <v>1.1526781594429769E-2</v>
      </c>
      <c r="W225" s="62"/>
    </row>
    <row r="226" spans="1:23" x14ac:dyDescent="0.3">
      <c r="A226" s="55">
        <v>8.5599999999999996E-2</v>
      </c>
      <c r="B226" s="51">
        <v>184</v>
      </c>
      <c r="C226">
        <f t="shared" si="37"/>
        <v>2.3502480183341627</v>
      </c>
      <c r="E226" s="51">
        <v>184</v>
      </c>
      <c r="F226" s="55">
        <v>8.5599999999999996E-2</v>
      </c>
      <c r="G226" s="61">
        <f t="shared" si="38"/>
        <v>-1.0675262353228467</v>
      </c>
      <c r="H226" s="61">
        <f t="shared" si="39"/>
        <v>-3.0363378303431263E-2</v>
      </c>
      <c r="I226" s="67">
        <f t="shared" si="40"/>
        <v>190.74023021664522</v>
      </c>
      <c r="J226" s="68">
        <f t="shared" si="41"/>
        <v>3.6631685960028346E-2</v>
      </c>
      <c r="K226" s="70">
        <f t="shared" si="42"/>
        <v>6.7402302166452159</v>
      </c>
      <c r="L226" s="62">
        <f t="shared" si="36"/>
        <v>5.1285674158352225E-5</v>
      </c>
      <c r="M226" s="62">
        <f t="shared" si="43"/>
        <v>383.33193126044574</v>
      </c>
      <c r="N226" s="62">
        <f t="shared" si="44"/>
        <v>185.76348720748464</v>
      </c>
      <c r="O226">
        <f t="shared" si="45"/>
        <v>-8.5832982815111443</v>
      </c>
      <c r="P226">
        <f t="shared" si="46"/>
        <v>1.670142450243451</v>
      </c>
      <c r="Q226">
        <f t="shared" si="47"/>
        <v>1.2741766522846865E-2</v>
      </c>
      <c r="W226" s="62"/>
    </row>
    <row r="227" spans="1:23" x14ac:dyDescent="0.3">
      <c r="A227" s="55">
        <v>8.3900000000000002E-2</v>
      </c>
      <c r="B227" s="51">
        <v>185</v>
      </c>
      <c r="C227">
        <f t="shared" si="37"/>
        <v>2.3521825181113627</v>
      </c>
      <c r="E227" s="51">
        <v>185</v>
      </c>
      <c r="F227" s="55">
        <v>8.3900000000000002E-2</v>
      </c>
      <c r="G227" s="61">
        <f t="shared" si="38"/>
        <v>-1.0762380391712998</v>
      </c>
      <c r="H227" s="61">
        <f t="shared" si="39"/>
        <v>-3.4439925335116084E-2</v>
      </c>
      <c r="I227" s="67">
        <f t="shared" si="40"/>
        <v>192.07905931406438</v>
      </c>
      <c r="J227" s="68">
        <f t="shared" si="41"/>
        <v>3.8265185481429084E-2</v>
      </c>
      <c r="K227" s="70">
        <f t="shared" si="42"/>
        <v>7.0790593140643807</v>
      </c>
      <c r="L227" s="62">
        <f t="shared" si="36"/>
        <v>5.0022542748922021E-5</v>
      </c>
      <c r="M227" s="62">
        <f t="shared" si="43"/>
        <v>382.10785298517862</v>
      </c>
      <c r="N227" s="62">
        <f t="shared" si="44"/>
        <v>186.98756548275176</v>
      </c>
      <c r="O227">
        <f t="shared" si="45"/>
        <v>-8.5526963246294656</v>
      </c>
      <c r="P227">
        <f t="shared" si="46"/>
        <v>1.6745583170373441</v>
      </c>
      <c r="Q227">
        <f t="shared" si="47"/>
        <v>1.4200571671299622E-2</v>
      </c>
      <c r="W227" s="62"/>
    </row>
    <row r="228" spans="1:23" x14ac:dyDescent="0.3">
      <c r="A228" s="55">
        <v>8.2199999999999995E-2</v>
      </c>
      <c r="B228" s="51">
        <v>186</v>
      </c>
      <c r="C228">
        <f t="shared" si="37"/>
        <v>2.3541084391474008</v>
      </c>
      <c r="E228" s="51">
        <v>186</v>
      </c>
      <c r="F228" s="55">
        <v>8.2199999999999995E-2</v>
      </c>
      <c r="G228" s="61">
        <f t="shared" si="38"/>
        <v>-1.0851281824599497</v>
      </c>
      <c r="H228" s="61">
        <f t="shared" si="39"/>
        <v>-3.8639750561673084E-2</v>
      </c>
      <c r="I228" s="67">
        <f t="shared" si="40"/>
        <v>193.45837572417474</v>
      </c>
      <c r="J228" s="68">
        <f t="shared" si="41"/>
        <v>4.0098794215993244E-2</v>
      </c>
      <c r="K228" s="70">
        <f t="shared" si="42"/>
        <v>7.4583757241747435</v>
      </c>
      <c r="L228" s="62">
        <f t="shared" si="36"/>
        <v>4.8733553761385945E-5</v>
      </c>
      <c r="M228" s="62">
        <f t="shared" si="43"/>
        <v>380.84267667918482</v>
      </c>
      <c r="N228" s="62">
        <f t="shared" si="44"/>
        <v>188.25274178874562</v>
      </c>
      <c r="O228">
        <f t="shared" si="45"/>
        <v>-8.5210669169796205</v>
      </c>
      <c r="P228">
        <f t="shared" si="46"/>
        <v>1.6791224451253448</v>
      </c>
      <c r="Q228">
        <f t="shared" si="47"/>
        <v>1.5910211659949658E-2</v>
      </c>
      <c r="W228" s="62"/>
    </row>
    <row r="229" spans="1:23" x14ac:dyDescent="0.3">
      <c r="A229" s="55">
        <v>8.0600000000000005E-2</v>
      </c>
      <c r="B229" s="51">
        <v>187</v>
      </c>
      <c r="C229">
        <f t="shared" si="37"/>
        <v>2.3560258571931225</v>
      </c>
      <c r="E229" s="51">
        <v>187</v>
      </c>
      <c r="F229" s="55">
        <v>8.0600000000000005E-2</v>
      </c>
      <c r="G229" s="61">
        <f t="shared" si="38"/>
        <v>-1.0936649581949094</v>
      </c>
      <c r="H229" s="61">
        <f t="shared" si="39"/>
        <v>-4.2711228471819532E-2</v>
      </c>
      <c r="I229" s="67">
        <f t="shared" si="40"/>
        <v>194.79554000885872</v>
      </c>
      <c r="J229" s="68">
        <f t="shared" si="41"/>
        <v>4.1687379726517232E-2</v>
      </c>
      <c r="K229" s="70">
        <f t="shared" si="42"/>
        <v>7.7955400088587226</v>
      </c>
      <c r="L229" s="62">
        <f t="shared" si="36"/>
        <v>4.7495799818153648E-5</v>
      </c>
      <c r="M229" s="62">
        <f t="shared" si="43"/>
        <v>379.61194304867882</v>
      </c>
      <c r="N229" s="62">
        <f t="shared" si="44"/>
        <v>189.48347541925159</v>
      </c>
      <c r="O229">
        <f t="shared" si="45"/>
        <v>-8.4902985762169703</v>
      </c>
      <c r="P229">
        <f t="shared" si="46"/>
        <v>1.6835623211372712</v>
      </c>
      <c r="Q229">
        <f t="shared" si="47"/>
        <v>1.7338979494909035E-2</v>
      </c>
      <c r="W229" s="62"/>
    </row>
    <row r="230" spans="1:23" x14ac:dyDescent="0.3">
      <c r="A230" s="55">
        <v>7.9000000000000001E-2</v>
      </c>
      <c r="B230" s="51">
        <v>188</v>
      </c>
      <c r="C230">
        <f t="shared" si="37"/>
        <v>2.357934847000454</v>
      </c>
      <c r="E230" s="51">
        <v>188</v>
      </c>
      <c r="F230" s="55">
        <v>7.9000000000000001E-2</v>
      </c>
      <c r="G230" s="61">
        <f t="shared" si="38"/>
        <v>-1.1023729087095586</v>
      </c>
      <c r="H230" s="61">
        <f t="shared" si="39"/>
        <v>-4.6904048444870429E-2</v>
      </c>
      <c r="I230" s="67">
        <f t="shared" si="40"/>
        <v>196.17255573725097</v>
      </c>
      <c r="J230" s="68">
        <f t="shared" si="41"/>
        <v>4.3471041155590286E-2</v>
      </c>
      <c r="K230" s="70">
        <f t="shared" si="42"/>
        <v>8.1725557372509741</v>
      </c>
      <c r="L230" s="62">
        <f t="shared" si="36"/>
        <v>4.6233227106674195E-5</v>
      </c>
      <c r="M230" s="62">
        <f t="shared" si="43"/>
        <v>378.33989432295544</v>
      </c>
      <c r="N230" s="62">
        <f t="shared" si="44"/>
        <v>190.75552414497497</v>
      </c>
      <c r="O230">
        <f t="shared" si="45"/>
        <v>-8.4584973580738865</v>
      </c>
      <c r="P230">
        <f t="shared" si="46"/>
        <v>1.6881512415042388</v>
      </c>
      <c r="Q230">
        <f t="shared" si="47"/>
        <v>1.901141750955837E-2</v>
      </c>
      <c r="W230" s="62"/>
    </row>
    <row r="231" spans="1:23" x14ac:dyDescent="0.3">
      <c r="A231" s="55">
        <v>7.7399999999999997E-2</v>
      </c>
      <c r="B231" s="51">
        <v>189</v>
      </c>
      <c r="C231">
        <f t="shared" si="37"/>
        <v>2.3598354823398879</v>
      </c>
      <c r="E231" s="51">
        <v>189</v>
      </c>
      <c r="F231" s="55">
        <v>7.7399999999999997E-2</v>
      </c>
      <c r="G231" s="61">
        <f t="shared" si="38"/>
        <v>-1.1112590393171073</v>
      </c>
      <c r="H231" s="61">
        <f t="shared" si="39"/>
        <v>-5.1224803416049527E-2</v>
      </c>
      <c r="I231" s="67">
        <f t="shared" si="40"/>
        <v>197.59158817653631</v>
      </c>
      <c r="J231" s="68">
        <f t="shared" si="41"/>
        <v>4.5458138500192091E-2</v>
      </c>
      <c r="K231" s="70">
        <f t="shared" si="42"/>
        <v>8.5915881765363054</v>
      </c>
      <c r="L231" s="62">
        <f t="shared" si="36"/>
        <v>4.4944819920981203E-5</v>
      </c>
      <c r="M231" s="62">
        <f t="shared" si="43"/>
        <v>377.02378069010342</v>
      </c>
      <c r="N231" s="62">
        <f t="shared" si="44"/>
        <v>192.07163777782696</v>
      </c>
      <c r="O231">
        <f t="shared" si="45"/>
        <v>-8.4255945172525859</v>
      </c>
      <c r="P231">
        <f t="shared" si="46"/>
        <v>1.6928991261826372</v>
      </c>
      <c r="Q231">
        <f t="shared" si="47"/>
        <v>2.0934531017107183E-2</v>
      </c>
      <c r="W231" s="62"/>
    </row>
    <row r="232" spans="1:23" x14ac:dyDescent="0.3">
      <c r="A232" s="55">
        <v>7.5899999999999995E-2</v>
      </c>
      <c r="B232" s="51">
        <v>190</v>
      </c>
      <c r="C232">
        <f t="shared" si="37"/>
        <v>2.3617278360175931</v>
      </c>
      <c r="E232" s="51">
        <v>190</v>
      </c>
      <c r="F232" s="55">
        <v>7.5899999999999995E-2</v>
      </c>
      <c r="G232" s="61">
        <f t="shared" si="38"/>
        <v>-1.1197582241045196</v>
      </c>
      <c r="H232" s="61">
        <f t="shared" si="39"/>
        <v>-5.5398023854934142E-2</v>
      </c>
      <c r="I232" s="67">
        <f t="shared" si="40"/>
        <v>198.96216698014061</v>
      </c>
      <c r="J232" s="68">
        <f t="shared" si="41"/>
        <v>4.7169299895476885E-2</v>
      </c>
      <c r="K232" s="70">
        <f t="shared" si="42"/>
        <v>8.9621669801406085</v>
      </c>
      <c r="L232" s="62">
        <f t="shared" si="36"/>
        <v>4.3712516319306487E-5</v>
      </c>
      <c r="M232" s="62">
        <f t="shared" si="43"/>
        <v>375.74720838236726</v>
      </c>
      <c r="N232" s="62">
        <f t="shared" si="44"/>
        <v>193.34821008556312</v>
      </c>
      <c r="O232">
        <f t="shared" si="45"/>
        <v>-8.3936802095591823</v>
      </c>
      <c r="P232">
        <f t="shared" si="46"/>
        <v>1.6975043653880344</v>
      </c>
      <c r="Q232">
        <f t="shared" si="47"/>
        <v>2.2543194104519104E-2</v>
      </c>
      <c r="W232" s="62"/>
    </row>
    <row r="233" spans="1:23" x14ac:dyDescent="0.3">
      <c r="A233" s="55">
        <v>7.4300000000000005E-2</v>
      </c>
      <c r="B233" s="51">
        <v>191</v>
      </c>
      <c r="C233">
        <f t="shared" si="37"/>
        <v>2.3636119798921444</v>
      </c>
      <c r="E233" s="51">
        <v>191</v>
      </c>
      <c r="F233" s="55">
        <v>7.4300000000000005E-2</v>
      </c>
      <c r="G233" s="61">
        <f t="shared" si="38"/>
        <v>-1.1290111862394248</v>
      </c>
      <c r="H233" s="61">
        <f t="shared" si="39"/>
        <v>-5.998742266541611E-2</v>
      </c>
      <c r="I233" s="67">
        <f t="shared" si="40"/>
        <v>200.46942805658026</v>
      </c>
      <c r="J233" s="68">
        <f t="shared" si="41"/>
        <v>4.957815736429453E-2</v>
      </c>
      <c r="K233" s="70">
        <f t="shared" si="42"/>
        <v>9.4694280565802558</v>
      </c>
      <c r="L233" s="62">
        <f t="shared" si="36"/>
        <v>4.2370921936996922E-5</v>
      </c>
      <c r="M233" s="62">
        <f t="shared" si="43"/>
        <v>374.33678607852346</v>
      </c>
      <c r="N233" s="62">
        <f t="shared" si="44"/>
        <v>194.75863238940693</v>
      </c>
      <c r="O233">
        <f t="shared" si="45"/>
        <v>-8.3584196519630858</v>
      </c>
      <c r="P233">
        <f t="shared" si="46"/>
        <v>1.7025924689372545</v>
      </c>
      <c r="Q233">
        <f t="shared" si="47"/>
        <v>2.4978129939424276E-2</v>
      </c>
      <c r="W233" s="62"/>
    </row>
    <row r="234" spans="1:23" x14ac:dyDescent="0.3">
      <c r="A234" s="55">
        <v>7.2900000000000006E-2</v>
      </c>
      <c r="B234" s="51">
        <v>192</v>
      </c>
      <c r="C234">
        <f t="shared" si="37"/>
        <v>2.3654879848908998</v>
      </c>
      <c r="E234" s="51">
        <v>192</v>
      </c>
      <c r="F234" s="55">
        <v>7.2900000000000006E-2</v>
      </c>
      <c r="G234" s="61">
        <f t="shared" si="38"/>
        <v>-1.1372724716820253</v>
      </c>
      <c r="H234" s="61">
        <f t="shared" si="39"/>
        <v>-6.4126344067311117E-2</v>
      </c>
      <c r="I234" s="67">
        <f t="shared" si="40"/>
        <v>201.82874229034681</v>
      </c>
      <c r="J234" s="68">
        <f t="shared" si="41"/>
        <v>5.1191366095556301E-2</v>
      </c>
      <c r="K234" s="70">
        <f t="shared" si="42"/>
        <v>9.8287422903468098</v>
      </c>
      <c r="L234" s="62">
        <f t="shared" si="36"/>
        <v>4.1173111551645884E-5</v>
      </c>
      <c r="M234" s="62">
        <f t="shared" si="43"/>
        <v>373.05853529792256</v>
      </c>
      <c r="N234" s="62">
        <f t="shared" si="44"/>
        <v>196.03688317000783</v>
      </c>
      <c r="O234">
        <f t="shared" si="45"/>
        <v>-8.3264633824480647</v>
      </c>
      <c r="P234">
        <f t="shared" si="46"/>
        <v>1.7072037632395665</v>
      </c>
      <c r="Q234">
        <f t="shared" si="47"/>
        <v>2.6493884482025276E-2</v>
      </c>
      <c r="W234" s="62"/>
    </row>
    <row r="235" spans="1:23" x14ac:dyDescent="0.3">
      <c r="A235" s="55">
        <v>7.1400000000000005E-2</v>
      </c>
      <c r="B235" s="51">
        <v>193</v>
      </c>
      <c r="C235">
        <f t="shared" si="37"/>
        <v>2.3673559210260189</v>
      </c>
      <c r="E235" s="51">
        <v>193</v>
      </c>
      <c r="F235" s="55">
        <v>7.1400000000000005E-2</v>
      </c>
      <c r="G235" s="61">
        <f t="shared" si="38"/>
        <v>-1.1463017882238256</v>
      </c>
      <c r="H235" s="61">
        <f t="shared" si="39"/>
        <v>-6.8695628284960508E-2</v>
      </c>
      <c r="I235" s="67">
        <f t="shared" si="40"/>
        <v>203.32939728522834</v>
      </c>
      <c r="J235" s="68">
        <f t="shared" si="41"/>
        <v>5.3520193187711604E-2</v>
      </c>
      <c r="K235" s="70">
        <f t="shared" si="42"/>
        <v>10.329397285228339</v>
      </c>
      <c r="L235" s="62">
        <f t="shared" si="36"/>
        <v>3.9863943722797019E-5</v>
      </c>
      <c r="Q235">
        <f t="shared" si="47"/>
        <v>2.8850165523825133E-2</v>
      </c>
      <c r="W235" s="62"/>
    </row>
    <row r="236" spans="1:23" x14ac:dyDescent="0.3">
      <c r="A236" s="55">
        <v>7.0000000000000007E-2</v>
      </c>
      <c r="B236" s="51">
        <v>194</v>
      </c>
      <c r="C236">
        <f t="shared" si="37"/>
        <v>2.369215857410143</v>
      </c>
      <c r="E236" s="51">
        <v>194</v>
      </c>
      <c r="F236" s="55">
        <v>7.0000000000000007E-2</v>
      </c>
      <c r="G236" s="61">
        <f t="shared" si="38"/>
        <v>-1.1549019599857431</v>
      </c>
      <c r="H236" s="61">
        <f t="shared" si="39"/>
        <v>-7.3092905526820628E-2</v>
      </c>
      <c r="I236" s="67">
        <f t="shared" si="40"/>
        <v>204.77356134737784</v>
      </c>
      <c r="J236" s="68">
        <f t="shared" si="41"/>
        <v>5.5533821378236266E-2</v>
      </c>
      <c r="K236" s="70">
        <f t="shared" si="42"/>
        <v>10.773561347377836</v>
      </c>
      <c r="L236" s="62">
        <f t="shared" si="36"/>
        <v>3.8616997938899212E-5</v>
      </c>
      <c r="Q236">
        <f t="shared" si="47"/>
        <v>3.0849797185742656E-2</v>
      </c>
      <c r="W236" s="62"/>
    </row>
    <row r="237" spans="1:23" x14ac:dyDescent="0.3">
      <c r="A237" s="55">
        <v>6.8599999999999994E-2</v>
      </c>
      <c r="B237" s="51">
        <v>195</v>
      </c>
      <c r="C237">
        <f t="shared" si="37"/>
        <v>2.3710678622717363</v>
      </c>
      <c r="E237" s="51">
        <v>195</v>
      </c>
      <c r="F237" s="55">
        <v>6.8599999999999994E-2</v>
      </c>
      <c r="G237" s="61">
        <f t="shared" si="38"/>
        <v>-1.1636758842932484</v>
      </c>
      <c r="H237" s="61">
        <f t="shared" si="39"/>
        <v>-7.7625379997026303E-2</v>
      </c>
      <c r="I237" s="67">
        <f t="shared" si="40"/>
        <v>206.2621271990302</v>
      </c>
      <c r="J237" s="68">
        <f t="shared" si="41"/>
        <v>5.7754498456565148E-2</v>
      </c>
      <c r="K237" s="70">
        <f t="shared" si="42"/>
        <v>11.262127199030203</v>
      </c>
      <c r="L237" s="62">
        <f t="shared" si="36"/>
        <v>3.7344859634414569E-5</v>
      </c>
      <c r="Q237">
        <f t="shared" si="47"/>
        <v>3.309567679324843E-2</v>
      </c>
      <c r="W237" s="62"/>
    </row>
    <row r="238" spans="1:23" x14ac:dyDescent="0.3">
      <c r="A238" s="55">
        <v>6.7199999999999996E-2</v>
      </c>
      <c r="B238" s="51">
        <v>196</v>
      </c>
      <c r="C238">
        <f t="shared" si="37"/>
        <v>2.3729120029701067</v>
      </c>
      <c r="E238" s="51">
        <v>196</v>
      </c>
      <c r="F238" s="55">
        <v>6.7199999999999996E-2</v>
      </c>
      <c r="G238" s="61">
        <f t="shared" si="38"/>
        <v>-1.1726307269461749</v>
      </c>
      <c r="H238" s="61">
        <f t="shared" si="39"/>
        <v>-8.2300612025184031E-2</v>
      </c>
      <c r="I238" s="67">
        <f t="shared" si="40"/>
        <v>207.79757782129289</v>
      </c>
      <c r="J238" s="68">
        <f t="shared" si="41"/>
        <v>6.019172357802495E-2</v>
      </c>
      <c r="K238" s="70">
        <f t="shared" si="42"/>
        <v>11.79757782129289</v>
      </c>
      <c r="L238" s="62">
        <f t="shared" si="36"/>
        <v>3.6046489834292621E-5</v>
      </c>
      <c r="Q238">
        <f t="shared" si="47"/>
        <v>3.5594970146174409E-2</v>
      </c>
      <c r="W238" s="62"/>
    </row>
    <row r="239" spans="1:23" x14ac:dyDescent="0.3">
      <c r="A239" s="55">
        <v>6.5799999999999997E-2</v>
      </c>
      <c r="B239" s="51">
        <v>197</v>
      </c>
      <c r="C239">
        <f t="shared" si="37"/>
        <v>2.374748346010104</v>
      </c>
      <c r="E239" s="51">
        <v>197</v>
      </c>
      <c r="F239" s="55">
        <v>6.5799999999999997E-2</v>
      </c>
      <c r="G239" s="61">
        <f t="shared" si="38"/>
        <v>-1.1817741063860445</v>
      </c>
      <c r="H239" s="61">
        <f t="shared" si="39"/>
        <v>-8.7126780917187396E-2</v>
      </c>
      <c r="I239" s="67">
        <f t="shared" si="40"/>
        <v>209.38259948091124</v>
      </c>
      <c r="J239" s="68">
        <f t="shared" si="41"/>
        <v>6.2855834928483442E-2</v>
      </c>
      <c r="K239" s="70">
        <f t="shared" si="42"/>
        <v>12.382599480911239</v>
      </c>
      <c r="L239" s="62">
        <f t="shared" si="36"/>
        <v>3.472078393460242E-5</v>
      </c>
      <c r="Q239">
        <f t="shared" si="47"/>
        <v>3.8355295686044455E-2</v>
      </c>
      <c r="W239" s="62"/>
    </row>
    <row r="240" spans="1:23" x14ac:dyDescent="0.3">
      <c r="A240" s="55">
        <v>6.4500000000000002E-2</v>
      </c>
      <c r="B240" s="51">
        <v>198</v>
      </c>
      <c r="C240">
        <f t="shared" si="37"/>
        <v>2.3765769570565118</v>
      </c>
      <c r="E240" s="51">
        <v>198</v>
      </c>
      <c r="F240" s="55">
        <v>6.4500000000000002E-2</v>
      </c>
      <c r="G240" s="61">
        <f t="shared" si="38"/>
        <v>-1.1904402853647322</v>
      </c>
      <c r="H240" s="61">
        <f t="shared" si="39"/>
        <v>-9.1751111357671403E-2</v>
      </c>
      <c r="I240" s="67">
        <f t="shared" si="40"/>
        <v>210.90133288486328</v>
      </c>
      <c r="J240" s="68">
        <f t="shared" si="41"/>
        <v>6.5158246893248881E-2</v>
      </c>
      <c r="K240" s="70">
        <f t="shared" si="42"/>
        <v>12.90133288486328</v>
      </c>
      <c r="L240" s="62">
        <f t="shared" si="36"/>
        <v>3.3464267711539274E-5</v>
      </c>
      <c r="Q240">
        <f t="shared" si="47"/>
        <v>4.0710916164731659E-2</v>
      </c>
      <c r="W240" s="62"/>
    </row>
    <row r="241" spans="1:23" x14ac:dyDescent="0.3">
      <c r="A241" s="55">
        <v>6.3100000000000003E-2</v>
      </c>
      <c r="B241" s="51">
        <v>199</v>
      </c>
      <c r="C241">
        <f t="shared" si="37"/>
        <v>2.3783979009481375</v>
      </c>
      <c r="E241" s="51">
        <v>199</v>
      </c>
      <c r="F241" s="55">
        <v>6.3100000000000003E-2</v>
      </c>
      <c r="G241" s="61">
        <f t="shared" si="38"/>
        <v>-1.1999706407558657</v>
      </c>
      <c r="H241" s="61">
        <f t="shared" si="39"/>
        <v>-9.6894075103357166E-2</v>
      </c>
      <c r="I241" s="67">
        <f t="shared" si="40"/>
        <v>212.59039705024102</v>
      </c>
      <c r="J241" s="68">
        <f t="shared" si="41"/>
        <v>6.8293452513773986E-2</v>
      </c>
      <c r="K241" s="70">
        <f t="shared" si="42"/>
        <v>13.590397050241023</v>
      </c>
      <c r="L241" s="62">
        <f t="shared" si="36"/>
        <v>3.2082453859094522E-5</v>
      </c>
      <c r="Q241">
        <f t="shared" si="47"/>
        <v>4.4003208455865472E-2</v>
      </c>
      <c r="W241" s="62"/>
    </row>
    <row r="242" spans="1:23" x14ac:dyDescent="0.3">
      <c r="A242" s="55">
        <v>6.1899999999999997E-2</v>
      </c>
      <c r="B242" s="51">
        <v>200</v>
      </c>
      <c r="C242">
        <f t="shared" si="37"/>
        <v>2.3802112417116059</v>
      </c>
      <c r="E242" s="51">
        <v>200</v>
      </c>
      <c r="F242" s="55">
        <v>6.1899999999999997E-2</v>
      </c>
      <c r="G242" s="61">
        <f t="shared" si="38"/>
        <v>-1.2083093509798821</v>
      </c>
      <c r="H242" s="61">
        <f t="shared" si="39"/>
        <v>-0.10144448465855316</v>
      </c>
      <c r="I242" s="67">
        <f t="shared" si="40"/>
        <v>214.08485318439551</v>
      </c>
      <c r="J242" s="68">
        <f t="shared" si="41"/>
        <v>7.0424265921977564E-2</v>
      </c>
      <c r="K242" s="70">
        <f t="shared" si="42"/>
        <v>14.084853184395513</v>
      </c>
      <c r="L242" s="62">
        <f t="shared" si="36"/>
        <v>3.087341759274619E-5</v>
      </c>
      <c r="Q242">
        <f t="shared" si="47"/>
        <v>4.6176350979881819E-2</v>
      </c>
      <c r="W242" s="62"/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A360-918D-49DA-A94F-EC74570144D0}">
  <dimension ref="A1:R242"/>
  <sheetViews>
    <sheetView topLeftCell="I1" workbookViewId="0">
      <selection activeCell="N3" sqref="N3:O3"/>
    </sheetView>
  </sheetViews>
  <sheetFormatPr baseColWidth="10" defaultRowHeight="14.4" x14ac:dyDescent="0.3"/>
  <cols>
    <col min="1" max="8" width="11.5546875" style="73"/>
    <col min="9" max="9" width="12.21875" style="73" bestFit="1" customWidth="1"/>
    <col min="10" max="13" width="12.21875" style="73" customWidth="1"/>
    <col min="14" max="15" width="13.109375" style="73" bestFit="1" customWidth="1"/>
    <col min="16" max="16384" width="11.5546875" style="73"/>
  </cols>
  <sheetData>
    <row r="1" spans="1:18" s="74" customFormat="1" x14ac:dyDescent="0.3">
      <c r="A1" s="71" t="s">
        <v>222</v>
      </c>
      <c r="B1" s="71" t="s">
        <v>247</v>
      </c>
      <c r="C1" s="72" t="s">
        <v>221</v>
      </c>
      <c r="D1" s="73"/>
      <c r="F1" s="75" t="s">
        <v>244</v>
      </c>
      <c r="G1" s="76"/>
      <c r="H1" s="73" t="s">
        <v>245</v>
      </c>
      <c r="J1" s="74" t="s">
        <v>246</v>
      </c>
      <c r="K1" s="74" t="s">
        <v>55</v>
      </c>
      <c r="L1" s="74" t="s">
        <v>248</v>
      </c>
      <c r="N1" s="77"/>
      <c r="O1" s="77"/>
      <c r="P1" s="76"/>
      <c r="Q1" s="76"/>
      <c r="R1" s="76"/>
    </row>
    <row r="2" spans="1:18" x14ac:dyDescent="0.3">
      <c r="A2" s="78">
        <v>277.2</v>
      </c>
      <c r="B2" s="78">
        <f>A2*1000</f>
        <v>277200</v>
      </c>
      <c r="C2" s="79">
        <v>-40</v>
      </c>
      <c r="F2" s="79">
        <f>LN(A2)</f>
        <v>5.6247392673157481</v>
      </c>
      <c r="G2" s="80">
        <f>LN(B2)</f>
        <v>12.532494546297885</v>
      </c>
      <c r="H2" s="73">
        <f>1/(C2+273.15)</f>
        <v>4.2890842805061126E-3</v>
      </c>
      <c r="I2" s="69"/>
      <c r="J2" s="69">
        <f t="shared" ref="J2:J65" si="0">(1/(O$3+LN(A2)*N$3))-273.15</f>
        <v>-36.173381363104113</v>
      </c>
      <c r="K2" s="69">
        <f>ABS(J2-C2)/ABS(C2)</f>
        <v>9.5665465922397178E-2</v>
      </c>
      <c r="L2" s="69">
        <f>ABS(J2-C2)</f>
        <v>3.826618636895887</v>
      </c>
      <c r="M2" s="69"/>
    </row>
    <row r="3" spans="1:18" x14ac:dyDescent="0.3">
      <c r="A3" s="78">
        <v>263.60000000000002</v>
      </c>
      <c r="B3" s="78">
        <f t="shared" ref="B3:B66" si="1">A3*1000</f>
        <v>263600</v>
      </c>
      <c r="C3" s="79">
        <v>-39</v>
      </c>
      <c r="F3" s="79">
        <f t="shared" ref="F3:F66" si="2">LN(A3)</f>
        <v>5.5744328026283521</v>
      </c>
      <c r="G3" s="80">
        <f t="shared" ref="G3:G66" si="3">LN(B3)</f>
        <v>12.48218808161049</v>
      </c>
      <c r="H3" s="73">
        <f t="shared" ref="H3:H66" si="4">1/(C3+273.15)</f>
        <v>4.2707666026051676E-3</v>
      </c>
      <c r="I3" s="69"/>
      <c r="J3" s="69">
        <f t="shared" si="0"/>
        <v>-35.453861634521758</v>
      </c>
      <c r="K3" s="69">
        <f t="shared" ref="K3:K66" si="5">ABS(J3-C3)/ABS(C3)</f>
        <v>9.0926624755852364E-2</v>
      </c>
      <c r="L3" s="69">
        <f t="shared" ref="L3:L66" si="6">ABS(J3-C3)</f>
        <v>3.5461383654782423</v>
      </c>
      <c r="N3" s="85" cm="1">
        <f t="array" ref="N3:O3">LINEST(H2:H242,F2:F242)</f>
        <v>2.5391671084307892E-4</v>
      </c>
      <c r="O3" s="85">
        <v>2.7916102977683802E-3</v>
      </c>
    </row>
    <row r="4" spans="1:18" x14ac:dyDescent="0.3">
      <c r="A4" s="78">
        <v>250.1</v>
      </c>
      <c r="B4" s="78">
        <f t="shared" si="1"/>
        <v>250100</v>
      </c>
      <c r="C4" s="79">
        <v>-38</v>
      </c>
      <c r="F4" s="79">
        <f t="shared" si="2"/>
        <v>5.5218608378835734</v>
      </c>
      <c r="G4" s="80">
        <f t="shared" si="3"/>
        <v>12.429616116865711</v>
      </c>
      <c r="H4" s="73">
        <f t="shared" si="4"/>
        <v>4.2526047203912398E-3</v>
      </c>
      <c r="I4" s="69"/>
      <c r="J4" s="69">
        <f t="shared" si="0"/>
        <v>-34.697255351327016</v>
      </c>
      <c r="K4" s="69">
        <f t="shared" si="5"/>
        <v>8.6914332859815382E-2</v>
      </c>
      <c r="L4" s="69">
        <f t="shared" si="6"/>
        <v>3.3027446486729843</v>
      </c>
      <c r="N4" s="69"/>
    </row>
    <row r="5" spans="1:18" x14ac:dyDescent="0.3">
      <c r="A5" s="78">
        <v>236.8</v>
      </c>
      <c r="B5" s="78">
        <f t="shared" si="1"/>
        <v>236800</v>
      </c>
      <c r="C5" s="79">
        <v>-37</v>
      </c>
      <c r="F5" s="79">
        <f t="shared" si="2"/>
        <v>5.4672159030098504</v>
      </c>
      <c r="G5" s="80">
        <f t="shared" si="3"/>
        <v>12.374971181991988</v>
      </c>
      <c r="H5" s="73">
        <f t="shared" si="4"/>
        <v>4.2345966546686433E-3</v>
      </c>
      <c r="I5" s="69"/>
      <c r="J5" s="69">
        <f t="shared" si="0"/>
        <v>-33.905692992003026</v>
      </c>
      <c r="K5" s="69">
        <f t="shared" si="5"/>
        <v>8.3629919135053354E-2</v>
      </c>
      <c r="L5" s="69">
        <f t="shared" si="6"/>
        <v>3.0943070079969743</v>
      </c>
      <c r="N5" s="69"/>
    </row>
    <row r="6" spans="1:18" x14ac:dyDescent="0.3">
      <c r="A6" s="78">
        <v>224</v>
      </c>
      <c r="B6" s="78">
        <f t="shared" si="1"/>
        <v>224000</v>
      </c>
      <c r="C6" s="79">
        <v>-36</v>
      </c>
      <c r="F6" s="79">
        <f t="shared" si="2"/>
        <v>5.4116460518550396</v>
      </c>
      <c r="G6" s="80">
        <f t="shared" si="3"/>
        <v>12.319401330837177</v>
      </c>
      <c r="H6" s="73">
        <f t="shared" si="4"/>
        <v>4.2167404596247108E-3</v>
      </c>
      <c r="I6" s="69"/>
      <c r="J6" s="69">
        <f t="shared" si="0"/>
        <v>-33.095324964907604</v>
      </c>
      <c r="K6" s="69">
        <f t="shared" si="5"/>
        <v>8.068541764145544E-2</v>
      </c>
      <c r="L6" s="69">
        <f t="shared" si="6"/>
        <v>2.9046750350923958</v>
      </c>
      <c r="M6" s="69"/>
    </row>
    <row r="7" spans="1:18" x14ac:dyDescent="0.3">
      <c r="A7" s="78">
        <v>211.5</v>
      </c>
      <c r="B7" s="78">
        <f t="shared" si="1"/>
        <v>211500</v>
      </c>
      <c r="C7" s="79">
        <v>-35</v>
      </c>
      <c r="F7" s="79">
        <f t="shared" si="2"/>
        <v>5.354224998486333</v>
      </c>
      <c r="G7" s="80">
        <f t="shared" si="3"/>
        <v>12.261980277468469</v>
      </c>
      <c r="H7" s="73">
        <f t="shared" si="4"/>
        <v>4.1990342221289107E-3</v>
      </c>
      <c r="I7" s="69"/>
      <c r="J7" s="69">
        <f t="shared" si="0"/>
        <v>-32.252173714584899</v>
      </c>
      <c r="K7" s="69">
        <f t="shared" si="5"/>
        <v>7.8509322440431462E-2</v>
      </c>
      <c r="L7" s="69">
        <f t="shared" si="6"/>
        <v>2.7478262854151012</v>
      </c>
      <c r="M7" s="69"/>
    </row>
    <row r="8" spans="1:18" x14ac:dyDescent="0.3">
      <c r="A8" s="78">
        <v>199.6</v>
      </c>
      <c r="B8" s="78">
        <f t="shared" si="1"/>
        <v>199600</v>
      </c>
      <c r="C8" s="79">
        <v>-34</v>
      </c>
      <c r="F8" s="79">
        <f t="shared" si="2"/>
        <v>5.2963153638773637</v>
      </c>
      <c r="G8" s="80">
        <f t="shared" si="3"/>
        <v>12.2040706428595</v>
      </c>
      <c r="H8" s="73">
        <f t="shared" si="4"/>
        <v>4.1814760610495508E-3</v>
      </c>
      <c r="I8" s="69"/>
      <c r="J8" s="69">
        <f t="shared" si="0"/>
        <v>-31.39582831972362</v>
      </c>
      <c r="K8" s="69">
        <f t="shared" si="5"/>
        <v>7.6593284714011181E-2</v>
      </c>
      <c r="L8" s="69">
        <f t="shared" si="6"/>
        <v>2.6041716802763801</v>
      </c>
      <c r="M8" s="69"/>
    </row>
    <row r="9" spans="1:18" x14ac:dyDescent="0.3">
      <c r="A9" s="78">
        <v>188.1</v>
      </c>
      <c r="B9" s="78">
        <f t="shared" si="1"/>
        <v>188100</v>
      </c>
      <c r="C9" s="79">
        <v>-33</v>
      </c>
      <c r="F9" s="79">
        <f t="shared" si="2"/>
        <v>5.236973736306985</v>
      </c>
      <c r="G9" s="80">
        <f t="shared" si="3"/>
        <v>12.144729015289121</v>
      </c>
      <c r="H9" s="73">
        <f t="shared" si="4"/>
        <v>4.1640641265875498E-3</v>
      </c>
      <c r="I9" s="69"/>
      <c r="J9" s="69">
        <f t="shared" si="0"/>
        <v>-30.511968097833289</v>
      </c>
      <c r="K9" s="69">
        <f t="shared" si="5"/>
        <v>7.5394906126263955E-2</v>
      </c>
      <c r="L9" s="69">
        <f t="shared" si="6"/>
        <v>2.4880319021667106</v>
      </c>
      <c r="M9" s="69"/>
    </row>
    <row r="10" spans="1:18" x14ac:dyDescent="0.3">
      <c r="A10" s="78">
        <v>177.3</v>
      </c>
      <c r="B10" s="78">
        <f t="shared" si="1"/>
        <v>177300</v>
      </c>
      <c r="C10" s="79">
        <v>-32</v>
      </c>
      <c r="F10" s="79">
        <f t="shared" si="2"/>
        <v>5.1778432130801626</v>
      </c>
      <c r="G10" s="80">
        <f t="shared" si="3"/>
        <v>12.085598492062299</v>
      </c>
      <c r="H10" s="73">
        <f t="shared" si="4"/>
        <v>4.1467965996267887E-3</v>
      </c>
      <c r="I10" s="69"/>
      <c r="J10" s="69">
        <f t="shared" si="0"/>
        <v>-29.624800261139995</v>
      </c>
      <c r="K10" s="69">
        <f t="shared" si="5"/>
        <v>7.4224991839375143E-2</v>
      </c>
      <c r="L10" s="69">
        <f t="shared" si="6"/>
        <v>2.3751997388600046</v>
      </c>
      <c r="M10" s="69"/>
    </row>
    <row r="11" spans="1:18" x14ac:dyDescent="0.3">
      <c r="A11" s="78">
        <v>167</v>
      </c>
      <c r="B11" s="78">
        <f t="shared" si="1"/>
        <v>167000</v>
      </c>
      <c r="C11" s="79">
        <v>-31</v>
      </c>
      <c r="F11" s="79">
        <f t="shared" si="2"/>
        <v>5.1179938124167554</v>
      </c>
      <c r="G11" s="80">
        <f t="shared" si="3"/>
        <v>12.025749091398891</v>
      </c>
      <c r="H11" s="73">
        <f t="shared" si="4"/>
        <v>4.1296716911005575E-3</v>
      </c>
      <c r="I11" s="69"/>
      <c r="J11" s="69">
        <f t="shared" si="0"/>
        <v>-28.720215802509642</v>
      </c>
      <c r="K11" s="69">
        <f t="shared" si="5"/>
        <v>7.3541425725495407E-2</v>
      </c>
      <c r="L11" s="69">
        <f t="shared" si="6"/>
        <v>2.2797841974903577</v>
      </c>
      <c r="M11" s="69"/>
    </row>
    <row r="12" spans="1:18" x14ac:dyDescent="0.3">
      <c r="A12" s="78">
        <v>157.19999999999999</v>
      </c>
      <c r="B12" s="78">
        <f t="shared" si="1"/>
        <v>157200</v>
      </c>
      <c r="C12" s="79">
        <v>-30</v>
      </c>
      <c r="F12" s="79">
        <f t="shared" si="2"/>
        <v>5.0575188799951061</v>
      </c>
      <c r="G12" s="80">
        <f t="shared" si="3"/>
        <v>11.965274158977243</v>
      </c>
      <c r="H12" s="73">
        <f t="shared" si="4"/>
        <v>4.1126876413736376E-3</v>
      </c>
      <c r="I12" s="69"/>
      <c r="J12" s="69">
        <f t="shared" si="0"/>
        <v>-27.799325167076319</v>
      </c>
      <c r="K12" s="69">
        <f t="shared" si="5"/>
        <v>7.3355827764122708E-2</v>
      </c>
      <c r="L12" s="69">
        <f t="shared" si="6"/>
        <v>2.2006748329236814</v>
      </c>
      <c r="M12" s="69"/>
    </row>
    <row r="13" spans="1:18" x14ac:dyDescent="0.3">
      <c r="A13" s="78">
        <v>148.1</v>
      </c>
      <c r="B13" s="78">
        <f t="shared" si="1"/>
        <v>148100</v>
      </c>
      <c r="C13" s="79">
        <v>-29</v>
      </c>
      <c r="F13" s="79">
        <f t="shared" si="2"/>
        <v>4.9978877212737531</v>
      </c>
      <c r="G13" s="80">
        <f t="shared" si="3"/>
        <v>11.905643000255891</v>
      </c>
      <c r="H13" s="73">
        <f t="shared" si="4"/>
        <v>4.0958427196395664E-3</v>
      </c>
      <c r="I13" s="69"/>
      <c r="J13" s="69">
        <f t="shared" si="0"/>
        <v>-26.88446350628135</v>
      </c>
      <c r="K13" s="69">
        <f t="shared" si="5"/>
        <v>7.2949534266160368E-2</v>
      </c>
      <c r="L13" s="69">
        <f t="shared" si="6"/>
        <v>2.1155364937186505</v>
      </c>
      <c r="M13" s="69"/>
    </row>
    <row r="14" spans="1:18" x14ac:dyDescent="0.3">
      <c r="A14" s="78">
        <v>139.4</v>
      </c>
      <c r="B14" s="78">
        <f t="shared" si="1"/>
        <v>139400</v>
      </c>
      <c r="C14" s="79">
        <v>-28</v>
      </c>
      <c r="F14" s="79">
        <f t="shared" si="2"/>
        <v>4.9373474983264236</v>
      </c>
      <c r="G14" s="80">
        <f t="shared" si="3"/>
        <v>11.845102777308561</v>
      </c>
      <c r="H14" s="73">
        <f t="shared" si="4"/>
        <v>4.0791352233326538E-3</v>
      </c>
      <c r="I14" s="69"/>
      <c r="J14" s="69">
        <f t="shared" si="0"/>
        <v>-25.948648987921274</v>
      </c>
      <c r="K14" s="69">
        <f t="shared" si="5"/>
        <v>7.3262536145668786E-2</v>
      </c>
      <c r="L14" s="69">
        <f t="shared" si="6"/>
        <v>2.0513510120787259</v>
      </c>
      <c r="M14" s="69"/>
    </row>
    <row r="15" spans="1:18" x14ac:dyDescent="0.3">
      <c r="A15" s="78">
        <v>131.30000000000001</v>
      </c>
      <c r="B15" s="78">
        <f t="shared" si="1"/>
        <v>131300</v>
      </c>
      <c r="C15" s="79">
        <v>-27</v>
      </c>
      <c r="F15" s="79">
        <f t="shared" si="2"/>
        <v>4.877484781308751</v>
      </c>
      <c r="G15" s="80">
        <f t="shared" si="3"/>
        <v>11.785240060290887</v>
      </c>
      <c r="H15" s="73">
        <f t="shared" si="4"/>
        <v>4.0625634775543372E-3</v>
      </c>
      <c r="I15" s="69"/>
      <c r="J15" s="69">
        <f t="shared" si="0"/>
        <v>-25.016287510215278</v>
      </c>
      <c r="K15" s="69">
        <f t="shared" si="5"/>
        <v>7.3470832954989698E-2</v>
      </c>
      <c r="L15" s="69">
        <f t="shared" si="6"/>
        <v>1.9837124897847218</v>
      </c>
      <c r="M15" s="69"/>
    </row>
    <row r="16" spans="1:18" x14ac:dyDescent="0.3">
      <c r="A16" s="78">
        <v>123.7</v>
      </c>
      <c r="B16" s="78">
        <f t="shared" si="1"/>
        <v>123700</v>
      </c>
      <c r="C16" s="79">
        <v>-26</v>
      </c>
      <c r="F16" s="79">
        <f t="shared" si="2"/>
        <v>4.8178592793984425</v>
      </c>
      <c r="G16" s="80">
        <f t="shared" si="3"/>
        <v>11.725614558380579</v>
      </c>
      <c r="H16" s="73">
        <f t="shared" si="4"/>
        <v>4.0461258345134534E-3</v>
      </c>
      <c r="I16" s="69"/>
      <c r="J16" s="69">
        <f t="shared" si="0"/>
        <v>-24.080602925966389</v>
      </c>
      <c r="K16" s="69">
        <f t="shared" si="5"/>
        <v>7.382296438590813E-2</v>
      </c>
      <c r="L16" s="69">
        <f t="shared" si="6"/>
        <v>1.9193970740336113</v>
      </c>
      <c r="M16" s="69"/>
    </row>
    <row r="17" spans="1:13" x14ac:dyDescent="0.3">
      <c r="A17" s="78">
        <v>116.6</v>
      </c>
      <c r="B17" s="78">
        <f t="shared" si="1"/>
        <v>116600</v>
      </c>
      <c r="C17" s="79">
        <v>-25</v>
      </c>
      <c r="F17" s="79">
        <f t="shared" si="2"/>
        <v>4.7587492739163917</v>
      </c>
      <c r="G17" s="80">
        <f t="shared" si="3"/>
        <v>11.666504552898529</v>
      </c>
      <c r="H17" s="73">
        <f t="shared" si="4"/>
        <v>4.0298206729800527E-3</v>
      </c>
      <c r="I17" s="69"/>
      <c r="J17" s="69">
        <f t="shared" si="0"/>
        <v>-23.14601625702764</v>
      </c>
      <c r="K17" s="69">
        <f t="shared" si="5"/>
        <v>7.4159349718894416E-2</v>
      </c>
      <c r="L17" s="69">
        <f t="shared" si="6"/>
        <v>1.8539837429723605</v>
      </c>
      <c r="M17" s="69"/>
    </row>
    <row r="18" spans="1:13" x14ac:dyDescent="0.3">
      <c r="A18" s="78">
        <v>110</v>
      </c>
      <c r="B18" s="78">
        <f t="shared" si="1"/>
        <v>110000</v>
      </c>
      <c r="C18" s="79">
        <v>-24</v>
      </c>
      <c r="F18" s="79">
        <f t="shared" si="2"/>
        <v>4.7004803657924166</v>
      </c>
      <c r="G18" s="80">
        <f t="shared" si="3"/>
        <v>11.608235644774552</v>
      </c>
      <c r="H18" s="73">
        <f t="shared" si="4"/>
        <v>4.013646397752358E-3</v>
      </c>
      <c r="I18" s="69"/>
      <c r="J18" s="69">
        <f t="shared" si="0"/>
        <v>-22.217837934122542</v>
      </c>
      <c r="K18" s="69">
        <f t="shared" si="5"/>
        <v>7.4256752744894072E-2</v>
      </c>
      <c r="L18" s="69">
        <f t="shared" si="6"/>
        <v>1.7821620658774577</v>
      </c>
      <c r="M18" s="69"/>
    </row>
    <row r="19" spans="1:13" x14ac:dyDescent="0.3">
      <c r="A19" s="78">
        <v>103.7</v>
      </c>
      <c r="B19" s="78">
        <f t="shared" si="1"/>
        <v>103700</v>
      </c>
      <c r="C19" s="79">
        <v>-23</v>
      </c>
      <c r="F19" s="79">
        <f t="shared" si="2"/>
        <v>4.6415021152354816</v>
      </c>
      <c r="G19" s="80">
        <f t="shared" si="3"/>
        <v>11.549257394217619</v>
      </c>
      <c r="H19" s="73">
        <f t="shared" si="4"/>
        <v>3.9976014391365187E-3</v>
      </c>
      <c r="I19" s="69"/>
      <c r="J19" s="69">
        <f t="shared" si="0"/>
        <v>-21.271315493539106</v>
      </c>
      <c r="K19" s="69">
        <f t="shared" si="5"/>
        <v>7.5160195933082347E-2</v>
      </c>
      <c r="L19" s="69">
        <f t="shared" si="6"/>
        <v>1.728684506460894</v>
      </c>
      <c r="M19" s="69"/>
    </row>
    <row r="20" spans="1:13" x14ac:dyDescent="0.3">
      <c r="A20" s="78">
        <v>97.9</v>
      </c>
      <c r="B20" s="78">
        <f t="shared" si="1"/>
        <v>97900</v>
      </c>
      <c r="C20" s="79">
        <v>-22</v>
      </c>
      <c r="F20" s="79">
        <f t="shared" si="2"/>
        <v>4.5839465495364644</v>
      </c>
      <c r="G20" s="80">
        <f t="shared" si="3"/>
        <v>11.491701828518602</v>
      </c>
      <c r="H20" s="73">
        <f t="shared" si="4"/>
        <v>3.9816842524387818E-3</v>
      </c>
      <c r="I20" s="69"/>
      <c r="J20" s="69">
        <f t="shared" si="0"/>
        <v>-20.340715497129054</v>
      </c>
      <c r="K20" s="69">
        <f t="shared" si="5"/>
        <v>7.5422022857770277E-2</v>
      </c>
      <c r="L20" s="69">
        <f t="shared" si="6"/>
        <v>1.6592845028709462</v>
      </c>
      <c r="M20" s="69"/>
    </row>
    <row r="21" spans="1:13" x14ac:dyDescent="0.3">
      <c r="A21" s="78">
        <v>92.5</v>
      </c>
      <c r="B21" s="78">
        <f t="shared" si="1"/>
        <v>92500</v>
      </c>
      <c r="C21" s="79">
        <v>-21</v>
      </c>
      <c r="F21" s="79">
        <f t="shared" si="2"/>
        <v>4.5272086445183799</v>
      </c>
      <c r="G21" s="80">
        <f t="shared" si="3"/>
        <v>11.434963923500517</v>
      </c>
      <c r="H21" s="73">
        <f t="shared" si="4"/>
        <v>3.9658933174697604E-3</v>
      </c>
      <c r="I21" s="69"/>
      <c r="J21" s="69">
        <f t="shared" si="0"/>
        <v>-19.416580811378509</v>
      </c>
      <c r="K21" s="69">
        <f t="shared" si="5"/>
        <v>7.5400913743880527E-2</v>
      </c>
      <c r="L21" s="69">
        <f t="shared" si="6"/>
        <v>1.583419188621491</v>
      </c>
      <c r="M21" s="69"/>
    </row>
    <row r="22" spans="1:13" x14ac:dyDescent="0.3">
      <c r="A22" s="78">
        <v>87.43</v>
      </c>
      <c r="B22" s="78">
        <f t="shared" si="1"/>
        <v>87430</v>
      </c>
      <c r="C22" s="79">
        <v>-20</v>
      </c>
      <c r="F22" s="79">
        <f t="shared" si="2"/>
        <v>4.4708384731927993</v>
      </c>
      <c r="G22" s="80">
        <f t="shared" si="3"/>
        <v>11.378593752174936</v>
      </c>
      <c r="H22" s="73">
        <f t="shared" si="4"/>
        <v>3.9502271380604387E-3</v>
      </c>
      <c r="I22" s="69"/>
      <c r="J22" s="69">
        <f t="shared" si="0"/>
        <v>-18.491720568316538</v>
      </c>
      <c r="K22" s="69">
        <f t="shared" si="5"/>
        <v>7.5413971584173109E-2</v>
      </c>
      <c r="L22" s="69">
        <f t="shared" si="6"/>
        <v>1.5082794316834622</v>
      </c>
      <c r="M22" s="69"/>
    </row>
    <row r="23" spans="1:13" x14ac:dyDescent="0.3">
      <c r="A23" s="78">
        <v>82.79</v>
      </c>
      <c r="B23" s="78">
        <f t="shared" si="1"/>
        <v>82790</v>
      </c>
      <c r="C23" s="79">
        <v>-19</v>
      </c>
      <c r="F23" s="79">
        <f t="shared" si="2"/>
        <v>4.4163072811507149</v>
      </c>
      <c r="G23" s="80">
        <f t="shared" si="3"/>
        <v>11.324062560132852</v>
      </c>
      <c r="H23" s="73">
        <f t="shared" si="4"/>
        <v>3.9346842415896128E-3</v>
      </c>
      <c r="I23" s="69"/>
      <c r="J23" s="69">
        <f t="shared" si="0"/>
        <v>-17.590593685026278</v>
      </c>
      <c r="K23" s="69">
        <f t="shared" si="5"/>
        <v>7.4179279735459069E-2</v>
      </c>
      <c r="L23" s="69">
        <f t="shared" si="6"/>
        <v>1.4094063149737224</v>
      </c>
      <c r="M23" s="69"/>
    </row>
    <row r="24" spans="1:13" x14ac:dyDescent="0.3">
      <c r="A24" s="78">
        <v>78.44</v>
      </c>
      <c r="B24" s="78">
        <f t="shared" si="1"/>
        <v>78440</v>
      </c>
      <c r="C24" s="79">
        <v>-18</v>
      </c>
      <c r="F24" s="79">
        <f t="shared" si="2"/>
        <v>4.3623340013281453</v>
      </c>
      <c r="G24" s="80">
        <f t="shared" si="3"/>
        <v>11.270089280310282</v>
      </c>
      <c r="H24" s="73">
        <f t="shared" si="4"/>
        <v>3.9192631785224382E-3</v>
      </c>
      <c r="I24" s="69"/>
      <c r="J24" s="69">
        <f t="shared" si="0"/>
        <v>-16.692384349945883</v>
      </c>
      <c r="K24" s="69">
        <f t="shared" si="5"/>
        <v>7.2645313891895408E-2</v>
      </c>
      <c r="L24" s="69">
        <f t="shared" si="6"/>
        <v>1.3076156500541174</v>
      </c>
      <c r="M24" s="69"/>
    </row>
    <row r="25" spans="1:13" x14ac:dyDescent="0.3">
      <c r="A25" s="78">
        <v>74.36</v>
      </c>
      <c r="B25" s="78">
        <f t="shared" si="1"/>
        <v>74360</v>
      </c>
      <c r="C25" s="79">
        <v>-17</v>
      </c>
      <c r="F25" s="79">
        <f t="shared" si="2"/>
        <v>4.3089181628532431</v>
      </c>
      <c r="G25" s="80">
        <f t="shared" si="3"/>
        <v>11.216673441835381</v>
      </c>
      <c r="H25" s="73">
        <f t="shared" si="4"/>
        <v>3.9039625219597896E-3</v>
      </c>
      <c r="I25" s="69"/>
      <c r="J25" s="69">
        <f t="shared" si="0"/>
        <v>-15.797213753734297</v>
      </c>
      <c r="K25" s="69">
        <f t="shared" si="5"/>
        <v>7.0752132133276621E-2</v>
      </c>
      <c r="L25" s="69">
        <f t="shared" si="6"/>
        <v>1.2027862462657026</v>
      </c>
      <c r="M25" s="69"/>
    </row>
    <row r="26" spans="1:13" x14ac:dyDescent="0.3">
      <c r="A26" s="78">
        <v>70.53</v>
      </c>
      <c r="B26" s="78">
        <f t="shared" si="1"/>
        <v>70530</v>
      </c>
      <c r="C26" s="79">
        <v>-16</v>
      </c>
      <c r="F26" s="79">
        <f t="shared" si="2"/>
        <v>4.2560381512200882</v>
      </c>
      <c r="G26" s="80">
        <f t="shared" si="3"/>
        <v>11.163793430202224</v>
      </c>
      <c r="H26" s="73">
        <f t="shared" si="4"/>
        <v>3.8887808671981337E-3</v>
      </c>
      <c r="I26" s="69"/>
      <c r="J26" s="69">
        <f t="shared" si="0"/>
        <v>-14.904845974082775</v>
      </c>
      <c r="K26" s="69">
        <f t="shared" si="5"/>
        <v>6.8447126619826548E-2</v>
      </c>
      <c r="L26" s="69">
        <f t="shared" si="6"/>
        <v>1.0951540259172248</v>
      </c>
      <c r="M26" s="69"/>
    </row>
    <row r="27" spans="1:13" x14ac:dyDescent="0.3">
      <c r="A27" s="78">
        <v>66.92</v>
      </c>
      <c r="B27" s="78">
        <f t="shared" si="1"/>
        <v>66920</v>
      </c>
      <c r="C27" s="79">
        <v>-15</v>
      </c>
      <c r="F27" s="79">
        <f t="shared" si="2"/>
        <v>4.2034978761186235</v>
      </c>
      <c r="G27" s="80">
        <f t="shared" si="3"/>
        <v>11.11125315510076</v>
      </c>
      <c r="H27" s="73">
        <f t="shared" si="4"/>
        <v>3.8737168312996321E-3</v>
      </c>
      <c r="I27" s="69"/>
      <c r="J27" s="69">
        <f t="shared" si="0"/>
        <v>-14.012061134188116</v>
      </c>
      <c r="K27" s="69">
        <f t="shared" si="5"/>
        <v>6.5862591054125605E-2</v>
      </c>
      <c r="L27" s="69">
        <f t="shared" si="6"/>
        <v>0.98793886581188417</v>
      </c>
      <c r="M27" s="69"/>
    </row>
    <row r="28" spans="1:13" x14ac:dyDescent="0.3">
      <c r="A28" s="78">
        <v>63.54</v>
      </c>
      <c r="B28" s="78">
        <f t="shared" si="1"/>
        <v>63540</v>
      </c>
      <c r="C28" s="79">
        <v>-14</v>
      </c>
      <c r="F28" s="79">
        <f t="shared" si="2"/>
        <v>4.1516696288413701</v>
      </c>
      <c r="G28" s="80">
        <f t="shared" si="3"/>
        <v>11.059424907823507</v>
      </c>
      <c r="H28" s="73">
        <f t="shared" si="4"/>
        <v>3.8587690526721979E-3</v>
      </c>
      <c r="I28" s="69"/>
      <c r="J28" s="69">
        <f t="shared" si="0"/>
        <v>-13.125306638511859</v>
      </c>
      <c r="K28" s="69">
        <f t="shared" si="5"/>
        <v>6.2478097249152952E-2</v>
      </c>
      <c r="L28" s="69">
        <f t="shared" si="6"/>
        <v>0.87469336148814136</v>
      </c>
      <c r="M28" s="69"/>
    </row>
    <row r="29" spans="1:13" x14ac:dyDescent="0.3">
      <c r="A29" s="78">
        <v>60.34</v>
      </c>
      <c r="B29" s="78">
        <f t="shared" si="1"/>
        <v>60340</v>
      </c>
      <c r="C29" s="79">
        <v>-13</v>
      </c>
      <c r="F29" s="79">
        <f t="shared" si="2"/>
        <v>4.0999952337309153</v>
      </c>
      <c r="G29" s="80">
        <f t="shared" si="3"/>
        <v>11.007750512713052</v>
      </c>
      <c r="H29" s="73">
        <f t="shared" si="4"/>
        <v>3.8439361906592354E-3</v>
      </c>
      <c r="I29" s="69"/>
      <c r="J29" s="69">
        <f t="shared" si="0"/>
        <v>-12.235121944602042</v>
      </c>
      <c r="K29" s="69">
        <f t="shared" si="5"/>
        <v>5.8836773492150593E-2</v>
      </c>
      <c r="L29" s="69">
        <f t="shared" si="6"/>
        <v>0.76487805539795772</v>
      </c>
      <c r="M29" s="69"/>
    </row>
    <row r="30" spans="1:13" x14ac:dyDescent="0.3">
      <c r="A30" s="78">
        <v>57.33</v>
      </c>
      <c r="B30" s="78">
        <f t="shared" si="1"/>
        <v>57330</v>
      </c>
      <c r="C30" s="79">
        <v>-12</v>
      </c>
      <c r="F30" s="79">
        <f t="shared" si="2"/>
        <v>4.0488240469202914</v>
      </c>
      <c r="G30" s="80">
        <f t="shared" si="3"/>
        <v>10.956579325902428</v>
      </c>
      <c r="H30" s="73">
        <f t="shared" si="4"/>
        <v>3.8292169251388096E-3</v>
      </c>
      <c r="I30" s="69"/>
      <c r="J30" s="69">
        <f t="shared" si="0"/>
        <v>-11.347579204701788</v>
      </c>
      <c r="K30" s="69">
        <f t="shared" si="5"/>
        <v>5.4368399608184369E-2</v>
      </c>
      <c r="L30" s="69">
        <f t="shared" si="6"/>
        <v>0.6524207952982124</v>
      </c>
      <c r="M30" s="69"/>
    </row>
    <row r="31" spans="1:13" x14ac:dyDescent="0.3">
      <c r="A31" s="78">
        <v>54.5</v>
      </c>
      <c r="B31" s="78">
        <f t="shared" si="1"/>
        <v>54500</v>
      </c>
      <c r="C31" s="79">
        <v>-11</v>
      </c>
      <c r="F31" s="79">
        <f t="shared" si="2"/>
        <v>3.9982007016691985</v>
      </c>
      <c r="G31" s="80">
        <f t="shared" si="3"/>
        <v>10.905955980651335</v>
      </c>
      <c r="H31" s="73">
        <f t="shared" si="4"/>
        <v>3.8146099561319857E-3</v>
      </c>
      <c r="I31" s="69"/>
      <c r="J31" s="69">
        <f t="shared" si="0"/>
        <v>-10.463576875765682</v>
      </c>
      <c r="K31" s="69">
        <f t="shared" si="5"/>
        <v>4.8765738566756187E-2</v>
      </c>
      <c r="L31" s="69">
        <f t="shared" si="6"/>
        <v>0.53642312423431804</v>
      </c>
      <c r="M31" s="69"/>
    </row>
    <row r="32" spans="1:13" x14ac:dyDescent="0.3">
      <c r="A32" s="78">
        <v>51.82</v>
      </c>
      <c r="B32" s="78">
        <f t="shared" si="1"/>
        <v>51820</v>
      </c>
      <c r="C32" s="79">
        <v>-10</v>
      </c>
      <c r="F32" s="79">
        <f t="shared" si="2"/>
        <v>3.9477761751339639</v>
      </c>
      <c r="G32" s="80">
        <f t="shared" si="3"/>
        <v>10.8555314541161</v>
      </c>
      <c r="H32" s="73">
        <f t="shared" si="4"/>
        <v>3.800114003420103E-3</v>
      </c>
      <c r="I32" s="69"/>
      <c r="J32" s="69">
        <f t="shared" si="0"/>
        <v>-9.5770916366637948</v>
      </c>
      <c r="K32" s="69">
        <f t="shared" si="5"/>
        <v>4.2290836333620518E-2</v>
      </c>
      <c r="L32" s="69">
        <f t="shared" si="6"/>
        <v>0.42290836333620518</v>
      </c>
      <c r="M32" s="69"/>
    </row>
    <row r="33" spans="1:13" x14ac:dyDescent="0.3">
      <c r="A33" s="78">
        <v>49.28</v>
      </c>
      <c r="B33" s="78">
        <f t="shared" si="1"/>
        <v>49280</v>
      </c>
      <c r="C33" s="79">
        <v>-9</v>
      </c>
      <c r="F33" s="79">
        <f t="shared" si="2"/>
        <v>3.8975183192252643</v>
      </c>
      <c r="G33" s="80">
        <f t="shared" si="3"/>
        <v>10.805273598207402</v>
      </c>
      <c r="H33" s="73">
        <f t="shared" si="4"/>
        <v>3.7857278061707365E-3</v>
      </c>
      <c r="I33" s="69"/>
      <c r="J33" s="69">
        <f t="shared" si="0"/>
        <v>-8.6875628539780223</v>
      </c>
      <c r="K33" s="69">
        <f t="shared" si="5"/>
        <v>3.4715238446886412E-2</v>
      </c>
      <c r="L33" s="69">
        <f t="shared" si="6"/>
        <v>0.3124371460219777</v>
      </c>
      <c r="M33" s="69"/>
    </row>
    <row r="34" spans="1:13" x14ac:dyDescent="0.3">
      <c r="A34" s="78">
        <v>46.89</v>
      </c>
      <c r="B34" s="78">
        <f t="shared" si="1"/>
        <v>46890</v>
      </c>
      <c r="C34" s="79">
        <v>-8</v>
      </c>
      <c r="F34" s="79">
        <f t="shared" si="2"/>
        <v>3.8478044331014951</v>
      </c>
      <c r="G34" s="80">
        <f t="shared" si="3"/>
        <v>10.755559712083633</v>
      </c>
      <c r="H34" s="73">
        <f t="shared" si="4"/>
        <v>3.7714501225721295E-3</v>
      </c>
      <c r="I34" s="69"/>
      <c r="J34" s="69">
        <f t="shared" si="0"/>
        <v>-7.8017351781770117</v>
      </c>
      <c r="K34" s="69">
        <f t="shared" si="5"/>
        <v>2.4783102727873541E-2</v>
      </c>
      <c r="L34" s="69">
        <f t="shared" si="6"/>
        <v>0.19826482182298832</v>
      </c>
      <c r="M34" s="69"/>
    </row>
    <row r="35" spans="1:13" x14ac:dyDescent="0.3">
      <c r="A35" s="78">
        <v>44.62</v>
      </c>
      <c r="B35" s="78">
        <f t="shared" si="1"/>
        <v>44620</v>
      </c>
      <c r="C35" s="79">
        <v>-7</v>
      </c>
      <c r="F35" s="79">
        <f t="shared" si="2"/>
        <v>3.7981821890043865</v>
      </c>
      <c r="G35" s="80">
        <f t="shared" si="3"/>
        <v>10.705937467986523</v>
      </c>
      <c r="H35" s="73">
        <f t="shared" si="4"/>
        <v>3.75727972947586E-3</v>
      </c>
      <c r="I35" s="69"/>
      <c r="J35" s="69">
        <f t="shared" si="0"/>
        <v>-6.9116027424378217</v>
      </c>
      <c r="K35" s="69">
        <f t="shared" si="5"/>
        <v>1.2628179651739759E-2</v>
      </c>
      <c r="L35" s="69">
        <f t="shared" si="6"/>
        <v>8.8397257562178311E-2</v>
      </c>
      <c r="M35" s="69"/>
    </row>
    <row r="36" spans="1:13" x14ac:dyDescent="0.3">
      <c r="A36" s="78">
        <v>42.48</v>
      </c>
      <c r="B36" s="78">
        <f t="shared" si="1"/>
        <v>42480</v>
      </c>
      <c r="C36" s="79">
        <v>-6</v>
      </c>
      <c r="F36" s="79">
        <f t="shared" si="2"/>
        <v>3.7490333769336832</v>
      </c>
      <c r="G36" s="80">
        <f t="shared" si="3"/>
        <v>10.65678865591582</v>
      </c>
      <c r="H36" s="73">
        <f t="shared" si="4"/>
        <v>3.7432154220475391E-3</v>
      </c>
      <c r="I36" s="69"/>
      <c r="J36" s="69">
        <f t="shared" si="0"/>
        <v>-6.024056338563696</v>
      </c>
      <c r="K36" s="69">
        <f t="shared" si="5"/>
        <v>4.0093897606160072E-3</v>
      </c>
      <c r="L36" s="69">
        <f t="shared" si="6"/>
        <v>2.4056338563696045E-2</v>
      </c>
      <c r="M36" s="69"/>
    </row>
    <row r="37" spans="1:13" x14ac:dyDescent="0.3">
      <c r="A37" s="78">
        <v>40.450000000000003</v>
      </c>
      <c r="B37" s="78">
        <f t="shared" si="1"/>
        <v>40450</v>
      </c>
      <c r="C37" s="79">
        <v>-5</v>
      </c>
      <c r="F37" s="79">
        <f t="shared" si="2"/>
        <v>3.7000666435045009</v>
      </c>
      <c r="G37" s="80">
        <f t="shared" si="3"/>
        <v>10.607821922486638</v>
      </c>
      <c r="H37" s="73">
        <f t="shared" si="4"/>
        <v>3.7292560134253219E-3</v>
      </c>
      <c r="I37" s="69"/>
      <c r="J37" s="69">
        <f t="shared" si="0"/>
        <v>-5.1338936640135557</v>
      </c>
      <c r="K37" s="69">
        <f t="shared" si="5"/>
        <v>2.6778732802711147E-2</v>
      </c>
      <c r="L37" s="69">
        <f t="shared" si="6"/>
        <v>0.13389366401355574</v>
      </c>
      <c r="M37" s="69"/>
    </row>
    <row r="38" spans="1:13" x14ac:dyDescent="0.3">
      <c r="A38" s="78">
        <v>38.53</v>
      </c>
      <c r="B38" s="78">
        <f t="shared" si="1"/>
        <v>38530</v>
      </c>
      <c r="C38" s="79">
        <v>-4</v>
      </c>
      <c r="F38" s="79">
        <f t="shared" si="2"/>
        <v>3.6514371586380663</v>
      </c>
      <c r="G38" s="80">
        <f t="shared" si="3"/>
        <v>10.559192437620203</v>
      </c>
      <c r="H38" s="73">
        <f t="shared" si="4"/>
        <v>3.7154003343860304E-3</v>
      </c>
      <c r="I38" s="69"/>
      <c r="J38" s="69">
        <f t="shared" si="0"/>
        <v>-4.2439707562056697</v>
      </c>
      <c r="K38" s="69">
        <f t="shared" si="5"/>
        <v>6.0992689051417415E-2</v>
      </c>
      <c r="L38" s="69">
        <f t="shared" si="6"/>
        <v>0.24397075620566966</v>
      </c>
      <c r="M38" s="69"/>
    </row>
    <row r="39" spans="1:13" x14ac:dyDescent="0.3">
      <c r="A39" s="78">
        <v>36.700000000000003</v>
      </c>
      <c r="B39" s="78">
        <f t="shared" si="1"/>
        <v>36700</v>
      </c>
      <c r="C39" s="79">
        <v>-3</v>
      </c>
      <c r="F39" s="79">
        <f t="shared" si="2"/>
        <v>3.6027767550605247</v>
      </c>
      <c r="G39" s="80">
        <f t="shared" si="3"/>
        <v>10.510532034042662</v>
      </c>
      <c r="H39" s="73">
        <f t="shared" si="4"/>
        <v>3.7016472330186935E-3</v>
      </c>
      <c r="I39" s="69"/>
      <c r="J39" s="69">
        <f t="shared" si="0"/>
        <v>-3.3475468618956938</v>
      </c>
      <c r="K39" s="69">
        <f t="shared" si="5"/>
        <v>0.11584895396523127</v>
      </c>
      <c r="L39" s="69">
        <f t="shared" si="6"/>
        <v>0.34754686189569384</v>
      </c>
      <c r="M39" s="69"/>
    </row>
    <row r="40" spans="1:13" x14ac:dyDescent="0.3">
      <c r="A40" s="78">
        <v>34.97</v>
      </c>
      <c r="B40" s="78">
        <f t="shared" si="1"/>
        <v>34970</v>
      </c>
      <c r="C40" s="79">
        <v>-2</v>
      </c>
      <c r="F40" s="79">
        <f t="shared" si="2"/>
        <v>3.5544905510752844</v>
      </c>
      <c r="G40" s="80">
        <f t="shared" si="3"/>
        <v>10.462245830057421</v>
      </c>
      <c r="H40" s="73">
        <f t="shared" si="4"/>
        <v>3.687995574405311E-3</v>
      </c>
      <c r="I40" s="69"/>
      <c r="J40" s="69">
        <f t="shared" si="0"/>
        <v>-2.4520890143571705</v>
      </c>
      <c r="K40" s="69">
        <f t="shared" si="5"/>
        <v>0.22604450717858526</v>
      </c>
      <c r="L40" s="69">
        <f t="shared" si="6"/>
        <v>0.45208901435717053</v>
      </c>
      <c r="M40" s="69"/>
    </row>
    <row r="41" spans="1:13" x14ac:dyDescent="0.3">
      <c r="A41" s="78">
        <v>33.33</v>
      </c>
      <c r="B41" s="78">
        <f t="shared" si="1"/>
        <v>33330</v>
      </c>
      <c r="C41" s="79">
        <v>-1</v>
      </c>
      <c r="F41" s="79">
        <f t="shared" si="2"/>
        <v>3.5064578923196481</v>
      </c>
      <c r="G41" s="80">
        <f t="shared" si="3"/>
        <v>10.414213171301785</v>
      </c>
      <c r="H41" s="73">
        <f t="shared" si="4"/>
        <v>3.6744442403086534E-3</v>
      </c>
      <c r="I41" s="69"/>
      <c r="J41" s="69">
        <f t="shared" si="0"/>
        <v>-1.5554163721869827</v>
      </c>
      <c r="K41" s="69">
        <f t="shared" si="5"/>
        <v>0.5554163721869827</v>
      </c>
      <c r="L41" s="69">
        <f t="shared" si="6"/>
        <v>0.5554163721869827</v>
      </c>
      <c r="M41" s="69"/>
    </row>
    <row r="42" spans="1:13" x14ac:dyDescent="0.3">
      <c r="A42" s="78">
        <v>31.77</v>
      </c>
      <c r="B42" s="78">
        <f t="shared" si="1"/>
        <v>31770</v>
      </c>
      <c r="C42" s="79">
        <v>0</v>
      </c>
      <c r="F42" s="79">
        <f t="shared" si="2"/>
        <v>3.4585224482814247</v>
      </c>
      <c r="G42" s="80">
        <f t="shared" si="3"/>
        <v>10.366277727263562</v>
      </c>
      <c r="H42" s="73">
        <f t="shared" si="4"/>
        <v>3.6609921288669233E-3</v>
      </c>
      <c r="I42" s="69"/>
      <c r="J42" s="69">
        <f t="shared" si="0"/>
        <v>-0.65461654948808246</v>
      </c>
      <c r="K42" s="69" t="e">
        <f t="shared" si="5"/>
        <v>#DIV/0!</v>
      </c>
      <c r="L42" s="69">
        <f t="shared" si="6"/>
        <v>0.65461654948808246</v>
      </c>
      <c r="M42" s="69"/>
    </row>
    <row r="43" spans="1:13" x14ac:dyDescent="0.3">
      <c r="A43" s="79">
        <v>30.25</v>
      </c>
      <c r="B43" s="78">
        <f t="shared" si="1"/>
        <v>30250</v>
      </c>
      <c r="C43" s="81">
        <v>1</v>
      </c>
      <c r="F43" s="79">
        <f t="shared" si="2"/>
        <v>3.4094961844768505</v>
      </c>
      <c r="G43" s="80">
        <f t="shared" si="3"/>
        <v>10.317251463458987</v>
      </c>
      <c r="H43" s="73">
        <f t="shared" si="4"/>
        <v>3.6476381542950944E-3</v>
      </c>
      <c r="I43" s="69"/>
      <c r="J43" s="69">
        <f t="shared" si="0"/>
        <v>0.27288381725321642</v>
      </c>
      <c r="K43" s="69">
        <f t="shared" si="5"/>
        <v>0.72711618274678358</v>
      </c>
      <c r="L43" s="69">
        <f t="shared" si="6"/>
        <v>0.72711618274678358</v>
      </c>
      <c r="M43" s="69"/>
    </row>
    <row r="44" spans="1:13" x14ac:dyDescent="0.3">
      <c r="A44" s="79">
        <v>28.82</v>
      </c>
      <c r="B44" s="78">
        <f t="shared" si="1"/>
        <v>28820</v>
      </c>
      <c r="C44" s="81">
        <v>2</v>
      </c>
      <c r="F44" s="79">
        <f t="shared" si="2"/>
        <v>3.3610695905713759</v>
      </c>
      <c r="G44" s="80">
        <f t="shared" si="3"/>
        <v>10.268824869553512</v>
      </c>
      <c r="H44" s="73">
        <f t="shared" si="4"/>
        <v>3.6343812465927678E-3</v>
      </c>
      <c r="I44" s="69"/>
      <c r="J44" s="69">
        <f t="shared" si="0"/>
        <v>1.1952588237452915</v>
      </c>
      <c r="K44" s="69">
        <f t="shared" si="5"/>
        <v>0.40237058812735427</v>
      </c>
      <c r="L44" s="69">
        <f t="shared" si="6"/>
        <v>0.80474117625470853</v>
      </c>
      <c r="M44" s="69"/>
    </row>
    <row r="45" spans="1:13" x14ac:dyDescent="0.3">
      <c r="A45" s="79">
        <v>27.45</v>
      </c>
      <c r="B45" s="78">
        <f t="shared" si="1"/>
        <v>27450</v>
      </c>
      <c r="C45" s="81">
        <v>3</v>
      </c>
      <c r="F45" s="79">
        <f t="shared" si="2"/>
        <v>3.3123661679555396</v>
      </c>
      <c r="G45" s="80">
        <f t="shared" si="3"/>
        <v>10.220121446937677</v>
      </c>
      <c r="H45" s="73">
        <f t="shared" si="4"/>
        <v>3.6212203512583745E-3</v>
      </c>
      <c r="I45" s="69"/>
      <c r="J45" s="69">
        <f t="shared" si="0"/>
        <v>2.1292045299102256</v>
      </c>
      <c r="K45" s="69">
        <f t="shared" si="5"/>
        <v>0.29026515669659148</v>
      </c>
      <c r="L45" s="69">
        <f t="shared" si="6"/>
        <v>0.87079547008977443</v>
      </c>
      <c r="M45" s="69"/>
    </row>
    <row r="46" spans="1:13" x14ac:dyDescent="0.3">
      <c r="A46" s="79">
        <v>26.16</v>
      </c>
      <c r="B46" s="78">
        <f t="shared" si="1"/>
        <v>26160</v>
      </c>
      <c r="C46" s="81">
        <v>4</v>
      </c>
      <c r="F46" s="79">
        <f t="shared" si="2"/>
        <v>3.2642315265889978</v>
      </c>
      <c r="G46" s="80">
        <f t="shared" si="3"/>
        <v>10.171986805571136</v>
      </c>
      <c r="H46" s="73">
        <f t="shared" si="4"/>
        <v>3.608154429009562E-3</v>
      </c>
      <c r="I46" s="69"/>
      <c r="J46" s="69">
        <f t="shared" si="0"/>
        <v>3.0585121263095516</v>
      </c>
      <c r="K46" s="69">
        <f t="shared" si="5"/>
        <v>0.2353719684226121</v>
      </c>
      <c r="L46" s="69">
        <f t="shared" si="6"/>
        <v>0.9414878736904484</v>
      </c>
      <c r="M46" s="69"/>
    </row>
    <row r="47" spans="1:13" x14ac:dyDescent="0.3">
      <c r="A47" s="79">
        <v>24.94</v>
      </c>
      <c r="B47" s="78">
        <f t="shared" si="1"/>
        <v>24940</v>
      </c>
      <c r="C47" s="81">
        <v>5</v>
      </c>
      <c r="F47" s="79">
        <f t="shared" si="2"/>
        <v>3.2164729402518906</v>
      </c>
      <c r="G47" s="80">
        <f t="shared" si="3"/>
        <v>10.124228219234027</v>
      </c>
      <c r="H47" s="73">
        <f t="shared" si="4"/>
        <v>3.5951824555096176E-3</v>
      </c>
      <c r="I47" s="69"/>
      <c r="J47" s="69">
        <f t="shared" si="0"/>
        <v>3.9867813976019875</v>
      </c>
      <c r="K47" s="69">
        <f t="shared" si="5"/>
        <v>0.2026437204796025</v>
      </c>
      <c r="L47" s="69">
        <f t="shared" si="6"/>
        <v>1.0132186023980125</v>
      </c>
      <c r="M47" s="69"/>
    </row>
    <row r="48" spans="1:13" x14ac:dyDescent="0.3">
      <c r="A48" s="79">
        <v>23.77</v>
      </c>
      <c r="B48" s="78">
        <f t="shared" si="1"/>
        <v>23770</v>
      </c>
      <c r="C48" s="81">
        <v>6</v>
      </c>
      <c r="F48" s="79">
        <f t="shared" si="2"/>
        <v>3.1684242813721024</v>
      </c>
      <c r="G48" s="80">
        <f t="shared" si="3"/>
        <v>10.076179560354239</v>
      </c>
      <c r="H48" s="73">
        <f t="shared" si="4"/>
        <v>3.5823034210997673E-3</v>
      </c>
      <c r="I48" s="69"/>
      <c r="J48" s="69">
        <f t="shared" si="0"/>
        <v>4.9270064143179297</v>
      </c>
      <c r="K48" s="69">
        <f t="shared" si="5"/>
        <v>0.17883226428034504</v>
      </c>
      <c r="L48" s="69">
        <f t="shared" si="6"/>
        <v>1.0729935856820703</v>
      </c>
      <c r="M48" s="69"/>
    </row>
    <row r="49" spans="1:13" x14ac:dyDescent="0.3">
      <c r="A49" s="79">
        <v>22.67</v>
      </c>
      <c r="B49" s="78">
        <f t="shared" si="1"/>
        <v>22670</v>
      </c>
      <c r="C49" s="81">
        <v>7</v>
      </c>
      <c r="F49" s="79">
        <f t="shared" si="2"/>
        <v>3.1210424645194377</v>
      </c>
      <c r="G49" s="80">
        <f t="shared" si="3"/>
        <v>10.028797743501574</v>
      </c>
      <c r="H49" s="73">
        <f t="shared" si="4"/>
        <v>3.5695163305372126E-3</v>
      </c>
      <c r="I49" s="69"/>
      <c r="J49" s="69">
        <f t="shared" si="0"/>
        <v>5.860451006557355</v>
      </c>
      <c r="K49" s="69">
        <f t="shared" si="5"/>
        <v>0.16279271334894929</v>
      </c>
      <c r="L49" s="69">
        <f t="shared" si="6"/>
        <v>1.139548993442645</v>
      </c>
      <c r="M49" s="69"/>
    </row>
    <row r="50" spans="1:13" x14ac:dyDescent="0.3">
      <c r="A50" s="79">
        <v>21.62</v>
      </c>
      <c r="B50" s="78">
        <f t="shared" si="1"/>
        <v>21620</v>
      </c>
      <c r="C50" s="81">
        <v>8</v>
      </c>
      <c r="F50" s="79">
        <f t="shared" si="2"/>
        <v>3.0736188122110621</v>
      </c>
      <c r="G50" s="80">
        <f t="shared" si="3"/>
        <v>9.9813740911931994</v>
      </c>
      <c r="H50" s="73">
        <f t="shared" si="4"/>
        <v>3.556820202738752E-3</v>
      </c>
      <c r="I50" s="69"/>
      <c r="J50" s="69">
        <f t="shared" si="0"/>
        <v>6.8010159779948367</v>
      </c>
      <c r="K50" s="69">
        <f t="shared" si="5"/>
        <v>0.14987300275064541</v>
      </c>
      <c r="L50" s="69">
        <f t="shared" si="6"/>
        <v>1.1989840220051633</v>
      </c>
      <c r="M50" s="69"/>
    </row>
    <row r="51" spans="1:13" x14ac:dyDescent="0.3">
      <c r="A51" s="79">
        <v>20.63</v>
      </c>
      <c r="B51" s="78">
        <f t="shared" si="1"/>
        <v>20630</v>
      </c>
      <c r="C51" s="81">
        <v>9</v>
      </c>
      <c r="F51" s="79">
        <f t="shared" si="2"/>
        <v>3.0267463270831603</v>
      </c>
      <c r="G51" s="80">
        <f t="shared" si="3"/>
        <v>9.9345016060652966</v>
      </c>
      <c r="H51" s="73">
        <f t="shared" si="4"/>
        <v>3.5442140705298601E-3</v>
      </c>
      <c r="I51" s="69"/>
      <c r="J51" s="69">
        <f t="shared" si="0"/>
        <v>7.7369016516423699</v>
      </c>
      <c r="K51" s="69">
        <f t="shared" si="5"/>
        <v>0.14034426092862556</v>
      </c>
      <c r="L51" s="69">
        <f t="shared" si="6"/>
        <v>1.2630983483576301</v>
      </c>
      <c r="M51" s="69"/>
    </row>
    <row r="52" spans="1:13" x14ac:dyDescent="0.3">
      <c r="A52" s="79">
        <v>19.68</v>
      </c>
      <c r="B52" s="78">
        <f t="shared" si="1"/>
        <v>19680</v>
      </c>
      <c r="C52" s="81">
        <v>10</v>
      </c>
      <c r="F52" s="79">
        <f t="shared" si="2"/>
        <v>2.9796028916241073</v>
      </c>
      <c r="G52" s="80">
        <f t="shared" si="3"/>
        <v>9.8873581706062446</v>
      </c>
      <c r="H52" s="73">
        <f t="shared" si="4"/>
        <v>3.5316969803990822E-3</v>
      </c>
      <c r="I52" s="69"/>
      <c r="J52" s="69">
        <f t="shared" si="0"/>
        <v>8.6845303411799364</v>
      </c>
      <c r="K52" s="69">
        <f t="shared" si="5"/>
        <v>0.13154696588200637</v>
      </c>
      <c r="L52" s="69">
        <f t="shared" si="6"/>
        <v>1.3154696588200636</v>
      </c>
      <c r="M52" s="69"/>
    </row>
    <row r="53" spans="1:13" x14ac:dyDescent="0.3">
      <c r="A53" s="79">
        <v>18.78</v>
      </c>
      <c r="B53" s="78">
        <f t="shared" si="1"/>
        <v>18780</v>
      </c>
      <c r="C53" s="81">
        <v>11</v>
      </c>
      <c r="F53" s="79">
        <f t="shared" si="2"/>
        <v>2.932792473780117</v>
      </c>
      <c r="G53" s="80">
        <f t="shared" si="3"/>
        <v>9.8405477527622534</v>
      </c>
      <c r="H53" s="73">
        <f t="shared" si="4"/>
        <v>3.5192679922576107E-3</v>
      </c>
      <c r="I53" s="69"/>
      <c r="J53" s="69">
        <f t="shared" si="0"/>
        <v>9.6318127608850546</v>
      </c>
      <c r="K53" s="69">
        <f t="shared" si="5"/>
        <v>0.12438065810135868</v>
      </c>
      <c r="L53" s="69">
        <f t="shared" si="6"/>
        <v>1.3681872391149454</v>
      </c>
      <c r="M53" s="69"/>
    </row>
    <row r="54" spans="1:13" x14ac:dyDescent="0.3">
      <c r="A54" s="79">
        <v>17.93</v>
      </c>
      <c r="B54" s="78">
        <f t="shared" si="1"/>
        <v>17930</v>
      </c>
      <c r="C54" s="81">
        <v>12</v>
      </c>
      <c r="F54" s="79">
        <f t="shared" si="2"/>
        <v>2.8864752876170416</v>
      </c>
      <c r="G54" s="80">
        <f t="shared" si="3"/>
        <v>9.7942305665991789</v>
      </c>
      <c r="H54" s="73">
        <f t="shared" si="4"/>
        <v>3.5069261792039282E-3</v>
      </c>
      <c r="I54" s="69"/>
      <c r="J54" s="69">
        <f t="shared" si="0"/>
        <v>10.575402361803242</v>
      </c>
      <c r="K54" s="69">
        <f t="shared" si="5"/>
        <v>0.11871646984972983</v>
      </c>
      <c r="L54" s="69">
        <f t="shared" si="6"/>
        <v>1.424597638196758</v>
      </c>
      <c r="M54" s="69"/>
    </row>
    <row r="55" spans="1:13" x14ac:dyDescent="0.3">
      <c r="A55" s="79">
        <v>17.12</v>
      </c>
      <c r="B55" s="78">
        <f t="shared" si="1"/>
        <v>17120</v>
      </c>
      <c r="C55" s="81">
        <v>13</v>
      </c>
      <c r="F55" s="79">
        <f t="shared" si="2"/>
        <v>2.840247370713596</v>
      </c>
      <c r="G55" s="80">
        <f t="shared" si="3"/>
        <v>9.7480026496957333</v>
      </c>
      <c r="H55" s="73">
        <f t="shared" si="4"/>
        <v>3.4946706272933779E-3</v>
      </c>
      <c r="I55" s="69"/>
      <c r="J55" s="69">
        <f t="shared" si="0"/>
        <v>11.523473287692525</v>
      </c>
      <c r="K55" s="69">
        <f t="shared" si="5"/>
        <v>0.11357897786980577</v>
      </c>
      <c r="L55" s="69">
        <f t="shared" si="6"/>
        <v>1.476526712307475</v>
      </c>
      <c r="M55" s="69"/>
    </row>
    <row r="56" spans="1:13" x14ac:dyDescent="0.3">
      <c r="A56" s="79">
        <v>16.350000000000001</v>
      </c>
      <c r="B56" s="78">
        <f t="shared" si="1"/>
        <v>16350.000000000002</v>
      </c>
      <c r="C56" s="81">
        <v>14</v>
      </c>
      <c r="F56" s="79">
        <f t="shared" si="2"/>
        <v>2.7942278973432626</v>
      </c>
      <c r="G56" s="80">
        <f t="shared" si="3"/>
        <v>9.701983176325399</v>
      </c>
      <c r="H56" s="73">
        <f t="shared" si="4"/>
        <v>3.4825004353125546E-3</v>
      </c>
      <c r="I56" s="69"/>
      <c r="J56" s="69">
        <f t="shared" si="0"/>
        <v>12.473583512827702</v>
      </c>
      <c r="K56" s="69">
        <f t="shared" si="5"/>
        <v>0.1090297490837356</v>
      </c>
      <c r="L56" s="69">
        <f t="shared" si="6"/>
        <v>1.5264164871722983</v>
      </c>
      <c r="M56" s="69"/>
    </row>
    <row r="57" spans="1:13" x14ac:dyDescent="0.3">
      <c r="A57" s="79">
        <v>15.62</v>
      </c>
      <c r="B57" s="78">
        <f t="shared" si="1"/>
        <v>15620</v>
      </c>
      <c r="C57" s="81">
        <v>15</v>
      </c>
      <c r="F57" s="79">
        <f t="shared" si="2"/>
        <v>2.7485521444115397</v>
      </c>
      <c r="G57" s="80">
        <f t="shared" si="3"/>
        <v>9.6563074233936774</v>
      </c>
      <c r="H57" s="73">
        <f t="shared" si="4"/>
        <v>3.4704147145583901E-3</v>
      </c>
      <c r="I57" s="69"/>
      <c r="J57" s="69">
        <f t="shared" si="0"/>
        <v>13.422889379874391</v>
      </c>
      <c r="K57" s="69">
        <f t="shared" si="5"/>
        <v>0.10514070800837393</v>
      </c>
      <c r="L57" s="69">
        <f t="shared" si="6"/>
        <v>1.5771106201256089</v>
      </c>
      <c r="M57" s="69"/>
    </row>
    <row r="58" spans="1:13" x14ac:dyDescent="0.3">
      <c r="A58" s="79">
        <v>14.93</v>
      </c>
      <c r="B58" s="78">
        <f t="shared" si="1"/>
        <v>14930</v>
      </c>
      <c r="C58" s="81">
        <v>16</v>
      </c>
      <c r="F58" s="79">
        <f t="shared" si="2"/>
        <v>2.703372611551099</v>
      </c>
      <c r="G58" s="80">
        <f t="shared" si="3"/>
        <v>9.6111278905332362</v>
      </c>
      <c r="H58" s="73">
        <f t="shared" si="4"/>
        <v>3.4584125886218228E-3</v>
      </c>
      <c r="I58" s="69"/>
      <c r="J58" s="69">
        <f t="shared" si="0"/>
        <v>14.368110305868242</v>
      </c>
      <c r="K58" s="69">
        <f t="shared" si="5"/>
        <v>0.10199310588323485</v>
      </c>
      <c r="L58" s="69">
        <f t="shared" si="6"/>
        <v>1.6318896941317576</v>
      </c>
      <c r="M58" s="69"/>
    </row>
    <row r="59" spans="1:13" x14ac:dyDescent="0.3">
      <c r="A59" s="79">
        <v>14.26</v>
      </c>
      <c r="B59" s="78">
        <f t="shared" si="1"/>
        <v>14260</v>
      </c>
      <c r="C59" s="81">
        <v>17</v>
      </c>
      <c r="F59" s="79">
        <f t="shared" si="2"/>
        <v>2.65745841498615</v>
      </c>
      <c r="G59" s="80">
        <f t="shared" si="3"/>
        <v>9.5652136939682872</v>
      </c>
      <c r="H59" s="73">
        <f t="shared" si="4"/>
        <v>3.4464931931759437E-3</v>
      </c>
      <c r="I59" s="69"/>
      <c r="J59" s="69">
        <f t="shared" si="0"/>
        <v>15.335111214871233</v>
      </c>
      <c r="K59" s="69">
        <f t="shared" si="5"/>
        <v>9.7934634419339223E-2</v>
      </c>
      <c r="L59" s="69">
        <f t="shared" si="6"/>
        <v>1.6648887851287668</v>
      </c>
      <c r="M59" s="69"/>
    </row>
    <row r="60" spans="1:13" x14ac:dyDescent="0.3">
      <c r="A60" s="79">
        <v>13.63</v>
      </c>
      <c r="B60" s="78">
        <f t="shared" si="1"/>
        <v>13630</v>
      </c>
      <c r="C60" s="81">
        <v>18</v>
      </c>
      <c r="F60" s="79">
        <f t="shared" si="2"/>
        <v>2.6122732457084412</v>
      </c>
      <c r="G60" s="80">
        <f t="shared" si="3"/>
        <v>9.5200285246905789</v>
      </c>
      <c r="H60" s="73">
        <f t="shared" si="4"/>
        <v>3.4346556757685045E-3</v>
      </c>
      <c r="I60" s="69"/>
      <c r="J60" s="69">
        <f t="shared" si="0"/>
        <v>16.293129606897594</v>
      </c>
      <c r="K60" s="69">
        <f t="shared" si="5"/>
        <v>9.4826132950133674E-2</v>
      </c>
      <c r="L60" s="69">
        <f t="shared" si="6"/>
        <v>1.7068703931024061</v>
      </c>
      <c r="M60" s="69"/>
    </row>
    <row r="61" spans="1:13" x14ac:dyDescent="0.3">
      <c r="A61" s="79">
        <v>13.04</v>
      </c>
      <c r="B61" s="78">
        <f t="shared" si="1"/>
        <v>13040</v>
      </c>
      <c r="C61" s="78">
        <v>19</v>
      </c>
      <c r="F61" s="79">
        <f t="shared" si="2"/>
        <v>2.5680215564985067</v>
      </c>
      <c r="G61" s="80">
        <f t="shared" si="3"/>
        <v>9.4757768354806444</v>
      </c>
      <c r="H61" s="73">
        <f t="shared" si="4"/>
        <v>3.4228991956186893E-3</v>
      </c>
      <c r="I61" s="69"/>
      <c r="J61" s="69">
        <f t="shared" si="0"/>
        <v>17.237543496208332</v>
      </c>
      <c r="K61" s="69">
        <f t="shared" si="5"/>
        <v>9.2760868620614112E-2</v>
      </c>
      <c r="L61" s="69">
        <f t="shared" si="6"/>
        <v>1.7624565037916682</v>
      </c>
      <c r="M61" s="69"/>
    </row>
    <row r="62" spans="1:13" x14ac:dyDescent="0.3">
      <c r="A62" s="79">
        <v>12.47</v>
      </c>
      <c r="B62" s="78">
        <f t="shared" si="1"/>
        <v>12470</v>
      </c>
      <c r="C62" s="81">
        <v>20</v>
      </c>
      <c r="F62" s="79">
        <f t="shared" si="2"/>
        <v>2.5233257596919452</v>
      </c>
      <c r="G62" s="80">
        <f t="shared" si="3"/>
        <v>9.4310810386740815</v>
      </c>
      <c r="H62" s="73">
        <f t="shared" si="4"/>
        <v>3.4112229234180458E-3</v>
      </c>
      <c r="I62" s="69"/>
      <c r="J62" s="69">
        <f t="shared" si="0"/>
        <v>18.197712236588302</v>
      </c>
      <c r="K62" s="69">
        <f t="shared" si="5"/>
        <v>9.0114388170584897E-2</v>
      </c>
      <c r="L62" s="69">
        <f t="shared" si="6"/>
        <v>1.8022877634116981</v>
      </c>
      <c r="M62" s="69"/>
    </row>
    <row r="63" spans="1:13" x14ac:dyDescent="0.3">
      <c r="A63" s="79">
        <v>11.92</v>
      </c>
      <c r="B63" s="78">
        <f t="shared" si="1"/>
        <v>11920</v>
      </c>
      <c r="C63" s="81">
        <v>21</v>
      </c>
      <c r="F63" s="79">
        <f t="shared" si="2"/>
        <v>2.4782176616372036</v>
      </c>
      <c r="G63" s="80">
        <f t="shared" si="3"/>
        <v>9.3859729406193413</v>
      </c>
      <c r="H63" s="73">
        <f t="shared" si="4"/>
        <v>3.3996260411354754E-3</v>
      </c>
      <c r="I63" s="69"/>
      <c r="J63" s="69">
        <f t="shared" si="0"/>
        <v>19.173197453322871</v>
      </c>
      <c r="K63" s="69">
        <f t="shared" si="5"/>
        <v>8.699059746081568E-2</v>
      </c>
      <c r="L63" s="69">
        <f t="shared" si="6"/>
        <v>1.8268025466771292</v>
      </c>
      <c r="M63" s="69"/>
    </row>
    <row r="64" spans="1:13" x14ac:dyDescent="0.3">
      <c r="A64" s="79">
        <v>11.41</v>
      </c>
      <c r="B64" s="78">
        <f t="shared" si="1"/>
        <v>11410</v>
      </c>
      <c r="C64" s="81">
        <v>22</v>
      </c>
      <c r="F64" s="79">
        <f t="shared" si="2"/>
        <v>2.4344901638739844</v>
      </c>
      <c r="G64" s="80">
        <f t="shared" si="3"/>
        <v>9.3422454428561217</v>
      </c>
      <c r="H64" s="73">
        <f t="shared" si="4"/>
        <v>3.3881077418261903E-3</v>
      </c>
      <c r="I64" s="69"/>
      <c r="J64" s="69">
        <f t="shared" si="0"/>
        <v>20.125082173501255</v>
      </c>
      <c r="K64" s="69">
        <f t="shared" si="5"/>
        <v>8.5223537568124771E-2</v>
      </c>
      <c r="L64" s="69">
        <f t="shared" si="6"/>
        <v>1.8749178264987449</v>
      </c>
      <c r="M64" s="69"/>
    </row>
    <row r="65" spans="1:13" x14ac:dyDescent="0.3">
      <c r="A65" s="79">
        <v>10.91</v>
      </c>
      <c r="B65" s="78">
        <f t="shared" si="1"/>
        <v>10910</v>
      </c>
      <c r="C65" s="81">
        <v>23</v>
      </c>
      <c r="F65" s="79">
        <f t="shared" si="2"/>
        <v>2.3896797998449792</v>
      </c>
      <c r="G65" s="80">
        <f t="shared" si="3"/>
        <v>9.2974350788271156</v>
      </c>
      <c r="H65" s="73">
        <f t="shared" si="4"/>
        <v>3.3766672294445383E-3</v>
      </c>
      <c r="I65" s="69"/>
      <c r="J65" s="69">
        <f t="shared" si="0"/>
        <v>21.106992239993986</v>
      </c>
      <c r="K65" s="69">
        <f t="shared" si="5"/>
        <v>8.2304685217652801E-2</v>
      </c>
      <c r="L65" s="69">
        <f t="shared" si="6"/>
        <v>1.8930077600060145</v>
      </c>
      <c r="M65" s="69"/>
    </row>
    <row r="66" spans="1:13" x14ac:dyDescent="0.3">
      <c r="A66" s="79">
        <v>10.45</v>
      </c>
      <c r="B66" s="78">
        <f t="shared" si="1"/>
        <v>10450</v>
      </c>
      <c r="C66" s="81">
        <v>24</v>
      </c>
      <c r="F66" s="79">
        <f t="shared" si="2"/>
        <v>2.3466019784108201</v>
      </c>
      <c r="G66" s="80">
        <f t="shared" si="3"/>
        <v>9.2543572573929573</v>
      </c>
      <c r="H66" s="73">
        <f t="shared" si="4"/>
        <v>3.3653037186606094E-3</v>
      </c>
      <c r="I66" s="69"/>
      <c r="J66" s="69">
        <f t="shared" ref="J66:J129" si="7">(1/(O$3+LN(A66)*N$3))-273.15</f>
        <v>22.057156495392917</v>
      </c>
      <c r="K66" s="69">
        <f t="shared" si="5"/>
        <v>8.0951812691961791E-2</v>
      </c>
      <c r="L66" s="69">
        <f t="shared" si="6"/>
        <v>1.9428435046070831</v>
      </c>
      <c r="M66" s="69"/>
    </row>
    <row r="67" spans="1:13" x14ac:dyDescent="0.3">
      <c r="A67" s="79">
        <v>10</v>
      </c>
      <c r="B67" s="78">
        <f t="shared" ref="B67:B130" si="8">A67*1000</f>
        <v>10000</v>
      </c>
      <c r="C67" s="81">
        <v>25</v>
      </c>
      <c r="F67" s="79">
        <f t="shared" ref="F67:F130" si="9">LN(A67)</f>
        <v>2.3025850929940459</v>
      </c>
      <c r="G67" s="80">
        <f t="shared" ref="G67:G130" si="10">LN(B67)</f>
        <v>9.2103403719761836</v>
      </c>
      <c r="H67" s="73">
        <f t="shared" ref="H67:H130" si="11">1/(C67+273.15)</f>
        <v>3.3540164346805303E-3</v>
      </c>
      <c r="I67" s="69"/>
      <c r="J67" s="69">
        <f t="shared" si="7"/>
        <v>23.034392916629201</v>
      </c>
      <c r="K67" s="69">
        <f t="shared" ref="K67:K130" si="12">ABS(J67-C67)/ABS(C67)</f>
        <v>7.8624283334831943E-2</v>
      </c>
      <c r="L67" s="69">
        <f t="shared" ref="L67:L130" si="13">ABS(J67-C67)</f>
        <v>1.9656070833707986</v>
      </c>
      <c r="M67" s="69"/>
    </row>
    <row r="68" spans="1:13" x14ac:dyDescent="0.3">
      <c r="A68" s="79">
        <v>9.5749999999999993</v>
      </c>
      <c r="B68" s="78">
        <f t="shared" si="8"/>
        <v>9575</v>
      </c>
      <c r="C68" s="81">
        <v>26</v>
      </c>
      <c r="F68" s="79">
        <f t="shared" si="9"/>
        <v>2.2591555350667094</v>
      </c>
      <c r="G68" s="80">
        <f t="shared" si="10"/>
        <v>9.1669108140488476</v>
      </c>
      <c r="H68" s="73">
        <f t="shared" si="11"/>
        <v>3.3428046130703662E-3</v>
      </c>
      <c r="I68" s="69"/>
      <c r="J68" s="69">
        <f t="shared" si="7"/>
        <v>24.004951677443273</v>
      </c>
      <c r="K68" s="69">
        <f t="shared" si="12"/>
        <v>7.673262779064334E-2</v>
      </c>
      <c r="L68" s="69">
        <f t="shared" si="13"/>
        <v>1.9950483225567268</v>
      </c>
      <c r="M68" s="69"/>
    </row>
    <row r="69" spans="1:13" x14ac:dyDescent="0.3">
      <c r="A69" s="79">
        <v>9.17</v>
      </c>
      <c r="B69" s="78">
        <f t="shared" si="8"/>
        <v>9170</v>
      </c>
      <c r="C69" s="81">
        <v>27</v>
      </c>
      <c r="F69" s="79">
        <f t="shared" si="9"/>
        <v>2.2159372862683733</v>
      </c>
      <c r="G69" s="80">
        <f t="shared" si="10"/>
        <v>9.1236925652505114</v>
      </c>
      <c r="H69" s="73">
        <f t="shared" si="11"/>
        <v>3.331667499583542E-3</v>
      </c>
      <c r="I69" s="69"/>
      <c r="J69" s="69">
        <f t="shared" si="7"/>
        <v>24.977123232928193</v>
      </c>
      <c r="K69" s="69">
        <f t="shared" si="12"/>
        <v>7.4921361743400264E-2</v>
      </c>
      <c r="L69" s="69">
        <f t="shared" si="13"/>
        <v>2.0228767670718071</v>
      </c>
      <c r="M69" s="69"/>
    </row>
    <row r="70" spans="1:13" x14ac:dyDescent="0.3">
      <c r="A70" s="79">
        <v>8.7840000000000007</v>
      </c>
      <c r="B70" s="78">
        <f t="shared" si="8"/>
        <v>8784</v>
      </c>
      <c r="C70" s="81">
        <v>28</v>
      </c>
      <c r="F70" s="79">
        <f t="shared" si="9"/>
        <v>2.1729318847671748</v>
      </c>
      <c r="G70" s="80">
        <f t="shared" si="10"/>
        <v>9.0806871637493121</v>
      </c>
      <c r="H70" s="73">
        <f t="shared" si="11"/>
        <v>3.3206043499916988E-3</v>
      </c>
      <c r="I70" s="69"/>
      <c r="J70" s="69">
        <f t="shared" si="7"/>
        <v>25.950841718521133</v>
      </c>
      <c r="K70" s="69">
        <f t="shared" si="12"/>
        <v>7.3184224338530973E-2</v>
      </c>
      <c r="L70" s="69">
        <f t="shared" si="13"/>
        <v>2.0491582814788671</v>
      </c>
      <c r="M70" s="69"/>
    </row>
    <row r="71" spans="1:13" x14ac:dyDescent="0.3">
      <c r="A71" s="79">
        <v>8.4160000000000004</v>
      </c>
      <c r="B71" s="78">
        <f t="shared" si="8"/>
        <v>8416</v>
      </c>
      <c r="C71" s="81">
        <v>29</v>
      </c>
      <c r="F71" s="79">
        <f t="shared" si="9"/>
        <v>2.130134655995354</v>
      </c>
      <c r="G71" s="80">
        <f t="shared" si="10"/>
        <v>9.0378899349774908</v>
      </c>
      <c r="H71" s="73">
        <f t="shared" si="11"/>
        <v>3.3096144299189145E-3</v>
      </c>
      <c r="I71" s="69"/>
      <c r="J71" s="69">
        <f t="shared" si="7"/>
        <v>26.926181846225973</v>
      </c>
      <c r="K71" s="69">
        <f t="shared" si="12"/>
        <v>7.1510970819794045E-2</v>
      </c>
      <c r="L71" s="69">
        <f t="shared" si="13"/>
        <v>2.0738181537740275</v>
      </c>
      <c r="M71" s="69"/>
    </row>
    <row r="72" spans="1:13" x14ac:dyDescent="0.3">
      <c r="A72" s="79">
        <v>8.0640000000000001</v>
      </c>
      <c r="B72" s="78">
        <f t="shared" si="8"/>
        <v>8064</v>
      </c>
      <c r="C72" s="81">
        <v>30</v>
      </c>
      <c r="F72" s="79">
        <f t="shared" si="9"/>
        <v>2.0874097113290127</v>
      </c>
      <c r="G72" s="80">
        <f t="shared" si="10"/>
        <v>8.9951649903111495</v>
      </c>
      <c r="H72" s="73">
        <f t="shared" si="11"/>
        <v>3.298697014679202E-3</v>
      </c>
      <c r="I72" s="69"/>
      <c r="J72" s="69">
        <f t="shared" si="7"/>
        <v>27.90624023762274</v>
      </c>
      <c r="K72" s="69">
        <f t="shared" si="12"/>
        <v>6.9791992079242013E-2</v>
      </c>
      <c r="L72" s="69">
        <f t="shared" si="13"/>
        <v>2.0937597623772604</v>
      </c>
      <c r="M72" s="69"/>
    </row>
    <row r="73" spans="1:13" x14ac:dyDescent="0.3">
      <c r="A73" s="79">
        <v>7.73</v>
      </c>
      <c r="B73" s="78">
        <f t="shared" si="8"/>
        <v>7730</v>
      </c>
      <c r="C73" s="81">
        <v>31</v>
      </c>
      <c r="F73" s="79">
        <f t="shared" si="9"/>
        <v>2.0451088625993306</v>
      </c>
      <c r="G73" s="80">
        <f t="shared" si="10"/>
        <v>8.9528641415814683</v>
      </c>
      <c r="H73" s="73">
        <f t="shared" si="11"/>
        <v>3.287851389117212E-3</v>
      </c>
      <c r="I73" s="69"/>
      <c r="J73" s="69">
        <f t="shared" si="7"/>
        <v>28.882897643803858</v>
      </c>
      <c r="K73" s="69">
        <f t="shared" si="12"/>
        <v>6.829362439342393E-2</v>
      </c>
      <c r="L73" s="69">
        <f t="shared" si="13"/>
        <v>2.117102356196142</v>
      </c>
      <c r="M73" s="69"/>
    </row>
    <row r="74" spans="1:13" x14ac:dyDescent="0.3">
      <c r="A74" s="79">
        <v>7.41</v>
      </c>
      <c r="B74" s="78">
        <f t="shared" si="8"/>
        <v>7410</v>
      </c>
      <c r="C74" s="78">
        <v>32</v>
      </c>
      <c r="F74" s="79">
        <f t="shared" si="9"/>
        <v>2.0028304393079956</v>
      </c>
      <c r="G74" s="80">
        <f t="shared" si="10"/>
        <v>8.9105857182901325</v>
      </c>
      <c r="H74" s="73">
        <f t="shared" si="11"/>
        <v>3.2770768474520728E-3</v>
      </c>
      <c r="I74" s="69"/>
      <c r="J74" s="69">
        <f t="shared" si="7"/>
        <v>29.865389595894897</v>
      </c>
      <c r="K74" s="69">
        <f t="shared" si="12"/>
        <v>6.6706575128284484E-2</v>
      </c>
      <c r="L74" s="69">
        <f t="shared" si="13"/>
        <v>2.1346104041051035</v>
      </c>
      <c r="M74" s="69"/>
    </row>
    <row r="75" spans="1:13" x14ac:dyDescent="0.3">
      <c r="A75" s="79">
        <v>7.1059999999999999</v>
      </c>
      <c r="B75" s="78">
        <f t="shared" si="8"/>
        <v>7106</v>
      </c>
      <c r="C75" s="78">
        <v>33</v>
      </c>
      <c r="F75" s="79">
        <f t="shared" si="9"/>
        <v>1.9609394975988352</v>
      </c>
      <c r="G75" s="80">
        <f t="shared" si="10"/>
        <v>8.8686947765809716</v>
      </c>
      <c r="H75" s="73">
        <f t="shared" si="11"/>
        <v>3.2663726931242859E-3</v>
      </c>
      <c r="I75" s="69"/>
      <c r="J75" s="69">
        <f t="shared" si="7"/>
        <v>30.845201749180546</v>
      </c>
      <c r="K75" s="69">
        <f t="shared" si="12"/>
        <v>6.5296916691498591E-2</v>
      </c>
      <c r="L75" s="69">
        <f t="shared" si="13"/>
        <v>2.1547982508194536</v>
      </c>
      <c r="M75" s="69"/>
    </row>
    <row r="76" spans="1:13" x14ac:dyDescent="0.3">
      <c r="A76" s="79">
        <v>6.8150000000000004</v>
      </c>
      <c r="B76" s="78">
        <f t="shared" si="8"/>
        <v>6815</v>
      </c>
      <c r="C76" s="78">
        <v>34</v>
      </c>
      <c r="F76" s="79">
        <f t="shared" si="9"/>
        <v>1.919126065148496</v>
      </c>
      <c r="G76" s="80">
        <f t="shared" si="10"/>
        <v>8.8268813441306335</v>
      </c>
      <c r="H76" s="73">
        <f t="shared" si="11"/>
        <v>3.255738238645613E-3</v>
      </c>
      <c r="I76" s="69"/>
      <c r="J76" s="69">
        <f t="shared" si="7"/>
        <v>31.829540399695475</v>
      </c>
      <c r="K76" s="69">
        <f t="shared" si="12"/>
        <v>6.383704706778015E-2</v>
      </c>
      <c r="L76" s="69">
        <f t="shared" si="13"/>
        <v>2.1704596003045253</v>
      </c>
      <c r="M76" s="69"/>
    </row>
    <row r="77" spans="1:13" x14ac:dyDescent="0.3">
      <c r="A77" s="79">
        <v>6.5380000000000003</v>
      </c>
      <c r="B77" s="78">
        <f t="shared" si="8"/>
        <v>6538</v>
      </c>
      <c r="C77" s="78">
        <v>35</v>
      </c>
      <c r="F77" s="79">
        <f t="shared" si="9"/>
        <v>1.8776313083020189</v>
      </c>
      <c r="G77" s="80">
        <f t="shared" si="10"/>
        <v>8.7853865872841563</v>
      </c>
      <c r="H77" s="73">
        <f t="shared" si="11"/>
        <v>3.2451728054518907E-3</v>
      </c>
      <c r="I77" s="69"/>
      <c r="J77" s="69">
        <f t="shared" si="7"/>
        <v>32.812699259087651</v>
      </c>
      <c r="K77" s="69">
        <f t="shared" si="12"/>
        <v>6.249430688320997E-2</v>
      </c>
      <c r="L77" s="69">
        <f t="shared" si="13"/>
        <v>2.1873007409123488</v>
      </c>
      <c r="M77" s="69"/>
    </row>
    <row r="78" spans="1:13" x14ac:dyDescent="0.3">
      <c r="A78" s="79">
        <v>6.2729999999999997</v>
      </c>
      <c r="B78" s="78">
        <f t="shared" si="8"/>
        <v>6273</v>
      </c>
      <c r="C78" s="78">
        <v>36</v>
      </c>
      <c r="F78" s="79">
        <f t="shared" si="9"/>
        <v>1.8362547091146062</v>
      </c>
      <c r="G78" s="80">
        <f t="shared" si="10"/>
        <v>8.7440099880967441</v>
      </c>
      <c r="H78" s="73">
        <f t="shared" si="11"/>
        <v>3.2346757237586934E-3</v>
      </c>
      <c r="I78" s="69"/>
      <c r="J78" s="69">
        <f t="shared" si="7"/>
        <v>33.799390641978789</v>
      </c>
      <c r="K78" s="69">
        <f t="shared" si="12"/>
        <v>6.1128037722811418E-2</v>
      </c>
      <c r="L78" s="69">
        <f t="shared" si="13"/>
        <v>2.2006093580212109</v>
      </c>
      <c r="M78" s="69"/>
    </row>
    <row r="79" spans="1:13" x14ac:dyDescent="0.3">
      <c r="A79" s="79">
        <v>6.02</v>
      </c>
      <c r="B79" s="78">
        <f t="shared" si="8"/>
        <v>6020</v>
      </c>
      <c r="C79" s="78">
        <v>37</v>
      </c>
      <c r="F79" s="79">
        <f t="shared" si="9"/>
        <v>1.7950872593207297</v>
      </c>
      <c r="G79" s="80">
        <f t="shared" si="10"/>
        <v>8.7028425383028676</v>
      </c>
      <c r="H79" s="73">
        <f t="shared" si="11"/>
        <v>3.224246332419797E-3</v>
      </c>
      <c r="I79" s="69"/>
      <c r="J79" s="69">
        <f t="shared" si="7"/>
        <v>34.787430593157069</v>
      </c>
      <c r="K79" s="69">
        <f t="shared" si="12"/>
        <v>5.9799173157917059E-2</v>
      </c>
      <c r="L79" s="69">
        <f t="shared" si="13"/>
        <v>2.2125694068429311</v>
      </c>
      <c r="M79" s="69"/>
    </row>
    <row r="80" spans="1:13" x14ac:dyDescent="0.3">
      <c r="A80" s="79">
        <v>5.7779999999999996</v>
      </c>
      <c r="B80" s="78">
        <f t="shared" si="8"/>
        <v>5778</v>
      </c>
      <c r="C80" s="78">
        <v>38</v>
      </c>
      <c r="F80" s="79">
        <f t="shared" si="9"/>
        <v>1.7540576020440435</v>
      </c>
      <c r="G80" s="80">
        <f t="shared" si="10"/>
        <v>8.6618128810261812</v>
      </c>
      <c r="H80" s="73">
        <f t="shared" si="11"/>
        <v>3.2138839787883662E-3</v>
      </c>
      <c r="I80" s="69"/>
      <c r="J80" s="69">
        <f t="shared" si="7"/>
        <v>35.778512729613396</v>
      </c>
      <c r="K80" s="69">
        <f t="shared" si="12"/>
        <v>5.8460191325963251E-2</v>
      </c>
      <c r="L80" s="69">
        <f t="shared" si="13"/>
        <v>2.2214872703866035</v>
      </c>
      <c r="M80" s="69"/>
    </row>
    <row r="81" spans="1:13" x14ac:dyDescent="0.3">
      <c r="A81" s="79">
        <v>5.548</v>
      </c>
      <c r="B81" s="78">
        <f t="shared" si="8"/>
        <v>5548</v>
      </c>
      <c r="C81" s="78">
        <v>39</v>
      </c>
      <c r="F81" s="79">
        <f t="shared" si="9"/>
        <v>1.7134375024525852</v>
      </c>
      <c r="G81" s="80">
        <f t="shared" si="10"/>
        <v>8.621192781434722</v>
      </c>
      <c r="H81" s="73">
        <f t="shared" si="11"/>
        <v>3.2035880185808108E-3</v>
      </c>
      <c r="I81" s="69"/>
      <c r="J81" s="69">
        <f t="shared" si="7"/>
        <v>36.766006280665181</v>
      </c>
      <c r="K81" s="69">
        <f t="shared" si="12"/>
        <v>5.7281890239354337E-2</v>
      </c>
      <c r="L81" s="69">
        <f t="shared" si="13"/>
        <v>2.2339937193348192</v>
      </c>
      <c r="M81" s="69"/>
    </row>
    <row r="82" spans="1:13" x14ac:dyDescent="0.3">
      <c r="A82" s="82">
        <v>5.327</v>
      </c>
      <c r="B82" s="78">
        <f t="shared" si="8"/>
        <v>5327</v>
      </c>
      <c r="C82" s="78">
        <v>40</v>
      </c>
      <c r="F82" s="79">
        <f t="shared" si="9"/>
        <v>1.672788227934862</v>
      </c>
      <c r="G82" s="80">
        <f t="shared" si="10"/>
        <v>8.5805435069169995</v>
      </c>
      <c r="H82" s="73">
        <f t="shared" si="11"/>
        <v>3.1933578157432542E-3</v>
      </c>
      <c r="I82" s="69"/>
      <c r="J82" s="69">
        <f t="shared" si="7"/>
        <v>37.760549240794603</v>
      </c>
      <c r="K82" s="69">
        <f t="shared" si="12"/>
        <v>5.5986268980134923E-2</v>
      </c>
      <c r="L82" s="69">
        <f t="shared" si="13"/>
        <v>2.2394507592053969</v>
      </c>
      <c r="M82" s="69"/>
    </row>
    <row r="83" spans="1:13" x14ac:dyDescent="0.3">
      <c r="A83" s="82">
        <v>5.117</v>
      </c>
      <c r="B83" s="78">
        <f t="shared" si="8"/>
        <v>5117</v>
      </c>
      <c r="C83" s="81">
        <v>41</v>
      </c>
      <c r="F83" s="79">
        <f t="shared" si="9"/>
        <v>1.6325683298229547</v>
      </c>
      <c r="G83" s="80">
        <f t="shared" si="10"/>
        <v>8.5403236088050924</v>
      </c>
      <c r="H83" s="73">
        <f t="shared" si="11"/>
        <v>3.1831927423205475E-3</v>
      </c>
      <c r="I83" s="69"/>
      <c r="J83" s="69">
        <f t="shared" si="7"/>
        <v>38.750889241008622</v>
      </c>
      <c r="K83" s="69">
        <f t="shared" si="12"/>
        <v>5.485635997539947E-2</v>
      </c>
      <c r="L83" s="69">
        <f t="shared" si="13"/>
        <v>2.2491107589913781</v>
      </c>
      <c r="M83" s="69"/>
    </row>
    <row r="84" spans="1:13" x14ac:dyDescent="0.3">
      <c r="A84" s="78">
        <v>4.915</v>
      </c>
      <c r="B84" s="78">
        <f t="shared" si="8"/>
        <v>4915</v>
      </c>
      <c r="C84" s="81">
        <v>42</v>
      </c>
      <c r="F84" s="79">
        <f t="shared" si="9"/>
        <v>1.5922917535991299</v>
      </c>
      <c r="G84" s="80">
        <f t="shared" si="10"/>
        <v>8.5000470325812678</v>
      </c>
      <c r="H84" s="73">
        <f t="shared" si="11"/>
        <v>3.1730921783277807E-3</v>
      </c>
      <c r="I84" s="69"/>
      <c r="J84" s="69">
        <f t="shared" si="7"/>
        <v>39.748967446462473</v>
      </c>
      <c r="K84" s="69">
        <f t="shared" si="12"/>
        <v>5.3596013179464934E-2</v>
      </c>
      <c r="L84" s="69">
        <f t="shared" si="13"/>
        <v>2.2510325535375273</v>
      </c>
      <c r="M84" s="69"/>
    </row>
    <row r="85" spans="1:13" x14ac:dyDescent="0.3">
      <c r="A85" s="78">
        <v>4.7229999999999999</v>
      </c>
      <c r="B85" s="78">
        <f t="shared" si="8"/>
        <v>4723</v>
      </c>
      <c r="C85" s="81">
        <v>43</v>
      </c>
      <c r="F85" s="79">
        <f t="shared" si="9"/>
        <v>1.5524441909139801</v>
      </c>
      <c r="G85" s="80">
        <f t="shared" si="10"/>
        <v>8.4601994698961178</v>
      </c>
      <c r="H85" s="73">
        <f t="shared" si="11"/>
        <v>3.1630555116242292E-3</v>
      </c>
      <c r="I85" s="69"/>
      <c r="J85" s="69">
        <f t="shared" si="7"/>
        <v>40.742720371835389</v>
      </c>
      <c r="K85" s="69">
        <f t="shared" si="12"/>
        <v>5.2494875073595598E-2</v>
      </c>
      <c r="L85" s="69">
        <f t="shared" si="13"/>
        <v>2.2572796281646106</v>
      </c>
      <c r="M85" s="69"/>
    </row>
    <row r="86" spans="1:13" x14ac:dyDescent="0.3">
      <c r="A86" s="78">
        <v>4.5389999999999997</v>
      </c>
      <c r="B86" s="78">
        <f t="shared" si="8"/>
        <v>4539</v>
      </c>
      <c r="C86" s="81">
        <v>44</v>
      </c>
      <c r="F86" s="79">
        <f t="shared" si="9"/>
        <v>1.5127067234743286</v>
      </c>
      <c r="G86" s="80">
        <f t="shared" si="10"/>
        <v>8.4204620024564658</v>
      </c>
      <c r="H86" s="73">
        <f t="shared" si="11"/>
        <v>3.1530821377896896E-3</v>
      </c>
      <c r="I86" s="69"/>
      <c r="J86" s="69">
        <f t="shared" si="7"/>
        <v>41.740033711678393</v>
      </c>
      <c r="K86" s="69">
        <f t="shared" si="12"/>
        <v>5.1362870189127434E-2</v>
      </c>
      <c r="L86" s="69">
        <f t="shared" si="13"/>
        <v>2.259966288321607</v>
      </c>
      <c r="M86" s="69"/>
    </row>
    <row r="87" spans="1:13" x14ac:dyDescent="0.3">
      <c r="A87" s="78">
        <v>4.3630000000000004</v>
      </c>
      <c r="B87" s="78">
        <f t="shared" si="8"/>
        <v>4363</v>
      </c>
      <c r="C87" s="81">
        <v>45</v>
      </c>
      <c r="F87" s="79">
        <f t="shared" si="9"/>
        <v>1.4731598941414727</v>
      </c>
      <c r="G87" s="80">
        <f t="shared" si="10"/>
        <v>8.3809151731236096</v>
      </c>
      <c r="H87" s="73">
        <f t="shared" si="11"/>
        <v>3.1431714600031434E-3</v>
      </c>
      <c r="I87" s="69"/>
      <c r="J87" s="69">
        <f t="shared" si="7"/>
        <v>42.738874339731353</v>
      </c>
      <c r="K87" s="69">
        <f t="shared" si="12"/>
        <v>5.0247236894858813E-2</v>
      </c>
      <c r="L87" s="69">
        <f t="shared" si="13"/>
        <v>2.2611256602686467</v>
      </c>
      <c r="M87" s="69"/>
    </row>
    <row r="88" spans="1:13" x14ac:dyDescent="0.3">
      <c r="A88" s="78">
        <v>4.1950000000000003</v>
      </c>
      <c r="B88" s="78">
        <f t="shared" si="8"/>
        <v>4195</v>
      </c>
      <c r="C88" s="81">
        <v>46</v>
      </c>
      <c r="F88" s="79">
        <f t="shared" si="9"/>
        <v>1.4338933399191696</v>
      </c>
      <c r="G88" s="80">
        <f t="shared" si="10"/>
        <v>8.3416486189013064</v>
      </c>
      <c r="H88" s="73">
        <f t="shared" si="11"/>
        <v>3.1333228889237038E-3</v>
      </c>
      <c r="I88" s="69"/>
      <c r="J88" s="69">
        <f t="shared" si="7"/>
        <v>43.736925322753279</v>
      </c>
      <c r="K88" s="69">
        <f t="shared" si="12"/>
        <v>4.9197275592320011E-2</v>
      </c>
      <c r="L88" s="69">
        <f t="shared" si="13"/>
        <v>2.2630746772467205</v>
      </c>
      <c r="M88" s="69"/>
    </row>
    <row r="89" spans="1:13" x14ac:dyDescent="0.3">
      <c r="A89" s="78">
        <v>4.0339999999999998</v>
      </c>
      <c r="B89" s="78">
        <f t="shared" si="8"/>
        <v>4034</v>
      </c>
      <c r="C89" s="81">
        <v>47</v>
      </c>
      <c r="F89" s="79">
        <f t="shared" si="9"/>
        <v>1.3947584395320201</v>
      </c>
      <c r="G89" s="80">
        <f t="shared" si="10"/>
        <v>8.3025137185141578</v>
      </c>
      <c r="H89" s="73">
        <f t="shared" si="11"/>
        <v>3.1235358425737939E-3</v>
      </c>
      <c r="I89" s="69"/>
      <c r="J89" s="69">
        <f t="shared" si="7"/>
        <v>44.737924840903133</v>
      </c>
      <c r="K89" s="69">
        <f t="shared" si="12"/>
        <v>4.8129258704188653E-2</v>
      </c>
      <c r="L89" s="69">
        <f t="shared" si="13"/>
        <v>2.2620751590968666</v>
      </c>
      <c r="M89" s="69"/>
    </row>
    <row r="90" spans="1:13" x14ac:dyDescent="0.3">
      <c r="A90" s="78">
        <v>3.88</v>
      </c>
      <c r="B90" s="78">
        <f t="shared" si="8"/>
        <v>3880</v>
      </c>
      <c r="C90" s="81">
        <v>48</v>
      </c>
      <c r="F90" s="79">
        <f t="shared" si="9"/>
        <v>1.355835153635182</v>
      </c>
      <c r="G90" s="80">
        <f t="shared" si="10"/>
        <v>8.2635904326173186</v>
      </c>
      <c r="H90" s="73">
        <f t="shared" si="11"/>
        <v>3.1138097462245057E-3</v>
      </c>
      <c r="I90" s="69"/>
      <c r="J90" s="69">
        <f t="shared" si="7"/>
        <v>45.739804236585258</v>
      </c>
      <c r="K90" s="69">
        <f t="shared" si="12"/>
        <v>4.7087411737807137E-2</v>
      </c>
      <c r="L90" s="69">
        <f t="shared" si="13"/>
        <v>2.2601957634147425</v>
      </c>
      <c r="M90" s="69"/>
    </row>
    <row r="91" spans="1:13" x14ac:dyDescent="0.3">
      <c r="A91" s="78">
        <v>3.7330000000000001</v>
      </c>
      <c r="B91" s="78">
        <f t="shared" si="8"/>
        <v>3733</v>
      </c>
      <c r="C91" s="81">
        <v>49</v>
      </c>
      <c r="F91" s="79">
        <f t="shared" si="9"/>
        <v>1.3172121999324469</v>
      </c>
      <c r="G91" s="80">
        <f t="shared" si="10"/>
        <v>8.2249674789145839</v>
      </c>
      <c r="H91" s="73">
        <f t="shared" si="11"/>
        <v>3.1041440322830982E-3</v>
      </c>
      <c r="I91" s="69"/>
      <c r="J91" s="69">
        <f t="shared" si="7"/>
        <v>46.740215003057756</v>
      </c>
      <c r="K91" s="69">
        <f t="shared" si="12"/>
        <v>4.6118061162086617E-2</v>
      </c>
      <c r="L91" s="69">
        <f t="shared" si="13"/>
        <v>2.2597849969422441</v>
      </c>
      <c r="M91" s="69"/>
    </row>
    <row r="92" spans="1:13" x14ac:dyDescent="0.3">
      <c r="A92" s="78">
        <v>3.5920000000000001</v>
      </c>
      <c r="B92" s="78">
        <f t="shared" si="8"/>
        <v>3592</v>
      </c>
      <c r="C92" s="81">
        <v>50</v>
      </c>
      <c r="F92" s="79">
        <f t="shared" si="9"/>
        <v>1.2787091504399533</v>
      </c>
      <c r="G92" s="80">
        <f t="shared" si="10"/>
        <v>8.1864644294220899</v>
      </c>
      <c r="H92" s="73">
        <f t="shared" si="11"/>
        <v>3.0945381401825778E-3</v>
      </c>
      <c r="I92" s="69"/>
      <c r="J92" s="69">
        <f t="shared" si="7"/>
        <v>47.743787327227665</v>
      </c>
      <c r="K92" s="69">
        <f t="shared" si="12"/>
        <v>4.5124253455446704E-2</v>
      </c>
      <c r="L92" s="69">
        <f t="shared" si="13"/>
        <v>2.2562126727723353</v>
      </c>
      <c r="M92" s="69"/>
    </row>
    <row r="93" spans="1:13" x14ac:dyDescent="0.3">
      <c r="A93" s="81">
        <v>3.4569999999999999</v>
      </c>
      <c r="B93" s="78">
        <f t="shared" si="8"/>
        <v>3457</v>
      </c>
      <c r="C93" s="81">
        <v>51</v>
      </c>
      <c r="F93" s="79">
        <f t="shared" si="9"/>
        <v>1.2404011609394874</v>
      </c>
      <c r="G93" s="80">
        <f t="shared" si="10"/>
        <v>8.1481564399216246</v>
      </c>
      <c r="H93" s="73">
        <f t="shared" si="11"/>
        <v>3.0849915162733305E-3</v>
      </c>
      <c r="I93" s="69"/>
      <c r="J93" s="69">
        <f t="shared" si="7"/>
        <v>48.748544152378827</v>
      </c>
      <c r="K93" s="69">
        <f t="shared" si="12"/>
        <v>4.4146193090611241E-2</v>
      </c>
      <c r="L93" s="69">
        <f t="shared" si="13"/>
        <v>2.2514558476211732</v>
      </c>
      <c r="M93" s="69"/>
    </row>
    <row r="94" spans="1:13" x14ac:dyDescent="0.3">
      <c r="A94" s="81">
        <v>3.3279999999999998</v>
      </c>
      <c r="B94" s="78">
        <f t="shared" si="8"/>
        <v>3328</v>
      </c>
      <c r="C94" s="81">
        <v>52</v>
      </c>
      <c r="F94" s="79">
        <f t="shared" si="9"/>
        <v>1.2023715229589622</v>
      </c>
      <c r="G94" s="80">
        <f t="shared" si="10"/>
        <v>8.1101268019410995</v>
      </c>
      <c r="H94" s="73">
        <f t="shared" si="11"/>
        <v>3.0755036137167465E-3</v>
      </c>
      <c r="I94" s="69"/>
      <c r="J94" s="69">
        <f t="shared" si="7"/>
        <v>49.75224328683953</v>
      </c>
      <c r="K94" s="69">
        <f t="shared" si="12"/>
        <v>4.3226090637701345E-2</v>
      </c>
      <c r="L94" s="69">
        <f t="shared" si="13"/>
        <v>2.2477567131604701</v>
      </c>
      <c r="M94" s="69"/>
    </row>
    <row r="95" spans="1:13" x14ac:dyDescent="0.3">
      <c r="A95" s="81">
        <v>3.2040000000000002</v>
      </c>
      <c r="B95" s="78">
        <f t="shared" si="8"/>
        <v>3204</v>
      </c>
      <c r="C95" s="81">
        <v>53</v>
      </c>
      <c r="F95" s="79">
        <f t="shared" si="9"/>
        <v>1.1644000292061127</v>
      </c>
      <c r="G95" s="80">
        <f t="shared" si="10"/>
        <v>8.0721553081882504</v>
      </c>
      <c r="H95" s="73">
        <f t="shared" si="11"/>
        <v>3.0660738923808067E-3</v>
      </c>
      <c r="I95" s="69"/>
      <c r="J95" s="69">
        <f t="shared" si="7"/>
        <v>50.760672191457672</v>
      </c>
      <c r="K95" s="69">
        <f t="shared" si="12"/>
        <v>4.2251468085704291E-2</v>
      </c>
      <c r="L95" s="69">
        <f t="shared" si="13"/>
        <v>2.2393278085423276</v>
      </c>
      <c r="M95" s="69"/>
    </row>
    <row r="96" spans="1:13" x14ac:dyDescent="0.3">
      <c r="A96" s="81">
        <v>3.0859999999999999</v>
      </c>
      <c r="B96" s="78">
        <f t="shared" si="8"/>
        <v>3086</v>
      </c>
      <c r="C96" s="81">
        <v>54</v>
      </c>
      <c r="F96" s="79">
        <f t="shared" si="9"/>
        <v>1.1268757539409691</v>
      </c>
      <c r="G96" s="80">
        <f t="shared" si="10"/>
        <v>8.034631032923107</v>
      </c>
      <c r="H96" s="73">
        <f t="shared" si="11"/>
        <v>3.0567018187375823E-3</v>
      </c>
      <c r="I96" s="69"/>
      <c r="J96" s="69">
        <f t="shared" si="7"/>
        <v>51.763431075965684</v>
      </c>
      <c r="K96" s="69">
        <f t="shared" si="12"/>
        <v>4.1417943037672517E-2</v>
      </c>
      <c r="L96" s="69">
        <f t="shared" si="13"/>
        <v>2.2365689240343158</v>
      </c>
      <c r="M96" s="69"/>
    </row>
    <row r="97" spans="1:13" x14ac:dyDescent="0.3">
      <c r="A97" s="81">
        <v>2.972</v>
      </c>
      <c r="B97" s="78">
        <f t="shared" si="8"/>
        <v>2972</v>
      </c>
      <c r="C97" s="81">
        <v>55</v>
      </c>
      <c r="F97" s="79">
        <f t="shared" si="9"/>
        <v>1.0892351268555127</v>
      </c>
      <c r="G97" s="80">
        <f t="shared" si="10"/>
        <v>7.99699040583765</v>
      </c>
      <c r="H97" s="73">
        <f t="shared" si="11"/>
        <v>3.0473868657626088E-3</v>
      </c>
      <c r="I97" s="69"/>
      <c r="J97" s="69">
        <f t="shared" si="7"/>
        <v>52.775556218601082</v>
      </c>
      <c r="K97" s="69">
        <f t="shared" si="12"/>
        <v>4.0444432389071236E-2</v>
      </c>
      <c r="L97" s="69">
        <f t="shared" si="13"/>
        <v>2.224443781398918</v>
      </c>
      <c r="M97" s="69"/>
    </row>
    <row r="98" spans="1:13" x14ac:dyDescent="0.3">
      <c r="A98" s="81">
        <v>2.863</v>
      </c>
      <c r="B98" s="78">
        <f t="shared" si="8"/>
        <v>2863</v>
      </c>
      <c r="C98" s="81">
        <v>56</v>
      </c>
      <c r="F98" s="79">
        <f t="shared" si="9"/>
        <v>1.0518700261159779</v>
      </c>
      <c r="G98" s="80">
        <f t="shared" si="10"/>
        <v>7.9596253050981147</v>
      </c>
      <c r="H98" s="73">
        <f t="shared" si="11"/>
        <v>3.0381285128360932E-3</v>
      </c>
      <c r="I98" s="69"/>
      <c r="J98" s="69">
        <f t="shared" si="7"/>
        <v>53.786528628586268</v>
      </c>
      <c r="K98" s="69">
        <f t="shared" si="12"/>
        <v>3.952627448953093E-2</v>
      </c>
      <c r="L98" s="69">
        <f t="shared" si="13"/>
        <v>2.213471371413732</v>
      </c>
      <c r="M98" s="69"/>
    </row>
    <row r="99" spans="1:13" x14ac:dyDescent="0.3">
      <c r="A99" s="81">
        <v>2.7589999999999999</v>
      </c>
      <c r="B99" s="78">
        <f t="shared" si="8"/>
        <v>2759</v>
      </c>
      <c r="C99" s="81">
        <v>57</v>
      </c>
      <c r="F99" s="79">
        <f t="shared" si="9"/>
        <v>1.0148682952351491</v>
      </c>
      <c r="G99" s="80">
        <f t="shared" si="10"/>
        <v>7.9226235742172859</v>
      </c>
      <c r="H99" s="73">
        <f t="shared" si="11"/>
        <v>3.0289262456459189E-3</v>
      </c>
      <c r="I99" s="69"/>
      <c r="J99" s="69">
        <f t="shared" si="7"/>
        <v>54.79386911012665</v>
      </c>
      <c r="K99" s="69">
        <f t="shared" si="12"/>
        <v>3.8704050699532457E-2</v>
      </c>
      <c r="L99" s="69">
        <f t="shared" si="13"/>
        <v>2.20613088987335</v>
      </c>
      <c r="M99" s="69"/>
    </row>
    <row r="100" spans="1:13" x14ac:dyDescent="0.3">
      <c r="A100" s="81">
        <v>2.6589999999999998</v>
      </c>
      <c r="B100" s="78">
        <f t="shared" si="8"/>
        <v>2659</v>
      </c>
      <c r="C100" s="81">
        <v>58</v>
      </c>
      <c r="F100" s="79">
        <f t="shared" si="9"/>
        <v>0.97795011226088269</v>
      </c>
      <c r="G100" s="80">
        <f t="shared" si="10"/>
        <v>7.8857053912430199</v>
      </c>
      <c r="H100" s="73">
        <f t="shared" si="11"/>
        <v>3.0197795560924054E-3</v>
      </c>
      <c r="I100" s="69"/>
      <c r="J100" s="69">
        <f t="shared" si="7"/>
        <v>55.805140674212794</v>
      </c>
      <c r="K100" s="69">
        <f t="shared" si="12"/>
        <v>3.7842402168744932E-2</v>
      </c>
      <c r="L100" s="69">
        <f t="shared" si="13"/>
        <v>2.1948593257872062</v>
      </c>
      <c r="M100" s="69"/>
    </row>
    <row r="101" spans="1:13" x14ac:dyDescent="0.3">
      <c r="A101" s="81">
        <v>2.5640000000000001</v>
      </c>
      <c r="B101" s="78">
        <f t="shared" si="8"/>
        <v>2564</v>
      </c>
      <c r="C101" s="81">
        <v>59</v>
      </c>
      <c r="F101" s="79">
        <f t="shared" si="9"/>
        <v>0.94156853905842364</v>
      </c>
      <c r="G101" s="80">
        <f t="shared" si="10"/>
        <v>7.8493238180405607</v>
      </c>
      <c r="H101" s="73">
        <f t="shared" si="11"/>
        <v>3.0106879421947915E-3</v>
      </c>
      <c r="I101" s="69"/>
      <c r="J101" s="69">
        <f t="shared" si="7"/>
        <v>56.807833434952897</v>
      </c>
      <c r="K101" s="69">
        <f t="shared" si="12"/>
        <v>3.7155365509272925E-2</v>
      </c>
      <c r="L101" s="69">
        <f t="shared" si="13"/>
        <v>2.1921665650471027</v>
      </c>
      <c r="M101" s="69"/>
    </row>
    <row r="102" spans="1:13" x14ac:dyDescent="0.3">
      <c r="A102" s="78">
        <v>2.472</v>
      </c>
      <c r="B102" s="78">
        <f t="shared" si="8"/>
        <v>2472</v>
      </c>
      <c r="C102" s="81">
        <v>60</v>
      </c>
      <c r="F102" s="79">
        <f t="shared" si="9"/>
        <v>0.90502753959544435</v>
      </c>
      <c r="G102" s="80">
        <f t="shared" si="10"/>
        <v>7.8127828185775812</v>
      </c>
      <c r="H102" s="73">
        <f t="shared" si="11"/>
        <v>3.0016509079993999E-3</v>
      </c>
      <c r="I102" s="69"/>
      <c r="J102" s="69">
        <f t="shared" si="7"/>
        <v>57.821091832183356</v>
      </c>
      <c r="K102" s="69">
        <f t="shared" si="12"/>
        <v>3.6315136130277398E-2</v>
      </c>
      <c r="L102" s="69">
        <f t="shared" si="13"/>
        <v>2.178908167816644</v>
      </c>
      <c r="M102" s="69"/>
    </row>
    <row r="103" spans="1:13" x14ac:dyDescent="0.3">
      <c r="A103" s="81">
        <v>2.3839999999999999</v>
      </c>
      <c r="B103" s="78">
        <f t="shared" si="8"/>
        <v>2384</v>
      </c>
      <c r="C103" s="81">
        <v>61</v>
      </c>
      <c r="F103" s="79">
        <f t="shared" si="9"/>
        <v>0.8687797492031033</v>
      </c>
      <c r="G103" s="80">
        <f t="shared" si="10"/>
        <v>7.7765350281852408</v>
      </c>
      <c r="H103" s="73">
        <f t="shared" si="11"/>
        <v>2.9926679634894511E-3</v>
      </c>
      <c r="I103" s="69"/>
      <c r="J103" s="69">
        <f t="shared" si="7"/>
        <v>58.832386989114013</v>
      </c>
      <c r="K103" s="69">
        <f t="shared" si="12"/>
        <v>3.5534639522721088E-2</v>
      </c>
      <c r="L103" s="69">
        <f t="shared" si="13"/>
        <v>2.1676130108859866</v>
      </c>
      <c r="M103" s="69"/>
    </row>
    <row r="104" spans="1:13" x14ac:dyDescent="0.3">
      <c r="A104" s="81">
        <v>2.2989999999999999</v>
      </c>
      <c r="B104" s="78">
        <f t="shared" si="8"/>
        <v>2299</v>
      </c>
      <c r="C104" s="81">
        <v>62</v>
      </c>
      <c r="F104" s="79">
        <f t="shared" si="9"/>
        <v>0.83247424578104445</v>
      </c>
      <c r="G104" s="80">
        <f t="shared" si="10"/>
        <v>7.7402295247631816</v>
      </c>
      <c r="H104" s="73">
        <f t="shared" si="11"/>
        <v>2.9837386244964941E-3</v>
      </c>
      <c r="I104" s="69"/>
      <c r="J104" s="69">
        <f t="shared" si="7"/>
        <v>59.851506199272876</v>
      </c>
      <c r="K104" s="69">
        <f t="shared" si="12"/>
        <v>3.465312581817942E-2</v>
      </c>
      <c r="L104" s="69">
        <f t="shared" si="13"/>
        <v>2.1484938007271239</v>
      </c>
      <c r="M104" s="69"/>
    </row>
    <row r="105" spans="1:13" x14ac:dyDescent="0.3">
      <c r="A105" s="81">
        <v>2.218</v>
      </c>
      <c r="B105" s="78">
        <f t="shared" si="8"/>
        <v>2218</v>
      </c>
      <c r="C105" s="81">
        <v>63</v>
      </c>
      <c r="F105" s="79">
        <f t="shared" si="9"/>
        <v>0.7966058889281753</v>
      </c>
      <c r="G105" s="80">
        <f t="shared" si="10"/>
        <v>7.7043611679103128</v>
      </c>
      <c r="H105" s="73">
        <f t="shared" si="11"/>
        <v>2.974862412613417E-3</v>
      </c>
      <c r="I105" s="69"/>
      <c r="J105" s="69">
        <f t="shared" si="7"/>
        <v>60.864517538729331</v>
      </c>
      <c r="K105" s="69">
        <f t="shared" si="12"/>
        <v>3.389654700429634E-2</v>
      </c>
      <c r="L105" s="69">
        <f t="shared" si="13"/>
        <v>2.1354824612706693</v>
      </c>
      <c r="M105" s="69"/>
    </row>
    <row r="106" spans="1:13" x14ac:dyDescent="0.3">
      <c r="A106" s="81">
        <v>2.141</v>
      </c>
      <c r="B106" s="78">
        <f t="shared" si="8"/>
        <v>2141</v>
      </c>
      <c r="C106" s="81">
        <v>64</v>
      </c>
      <c r="F106" s="79">
        <f t="shared" si="9"/>
        <v>0.76127300960754574</v>
      </c>
      <c r="G106" s="80">
        <f t="shared" si="10"/>
        <v>7.6690282885896828</v>
      </c>
      <c r="H106" s="73">
        <f t="shared" si="11"/>
        <v>2.9660388551090021E-3</v>
      </c>
      <c r="I106" s="69"/>
      <c r="J106" s="69">
        <f t="shared" si="7"/>
        <v>61.868449733634293</v>
      </c>
      <c r="K106" s="69">
        <f t="shared" si="12"/>
        <v>3.3305472911964173E-2</v>
      </c>
      <c r="L106" s="69">
        <f t="shared" si="13"/>
        <v>2.1315502663657071</v>
      </c>
      <c r="M106" s="69"/>
    </row>
    <row r="107" spans="1:13" x14ac:dyDescent="0.3">
      <c r="A107" s="81">
        <v>2.0659999999999998</v>
      </c>
      <c r="B107" s="78">
        <f t="shared" si="8"/>
        <v>2066</v>
      </c>
      <c r="C107" s="81">
        <v>65</v>
      </c>
      <c r="F107" s="79">
        <f t="shared" si="9"/>
        <v>0.72561437069744672</v>
      </c>
      <c r="G107" s="80">
        <f t="shared" si="10"/>
        <v>7.633369649679584</v>
      </c>
      <c r="H107" s="73">
        <f t="shared" si="11"/>
        <v>2.9572674848440043E-3</v>
      </c>
      <c r="I107" s="69"/>
      <c r="J107" s="69">
        <f t="shared" si="7"/>
        <v>62.88777519215563</v>
      </c>
      <c r="K107" s="69">
        <f t="shared" si="12"/>
        <v>3.2495766274528777E-2</v>
      </c>
      <c r="L107" s="69">
        <f t="shared" si="13"/>
        <v>2.1122248078443704</v>
      </c>
      <c r="M107" s="69"/>
    </row>
    <row r="108" spans="1:13" x14ac:dyDescent="0.3">
      <c r="A108" s="81">
        <v>1.994</v>
      </c>
      <c r="B108" s="78">
        <f t="shared" si="8"/>
        <v>1994</v>
      </c>
      <c r="C108" s="81">
        <v>66</v>
      </c>
      <c r="F108" s="79">
        <f t="shared" si="9"/>
        <v>0.69014267153964659</v>
      </c>
      <c r="G108" s="80">
        <f t="shared" si="10"/>
        <v>7.5978979505217836</v>
      </c>
      <c r="H108" s="73">
        <f t="shared" si="11"/>
        <v>2.9485478401887074E-3</v>
      </c>
      <c r="I108" s="69"/>
      <c r="J108" s="69">
        <f t="shared" si="7"/>
        <v>63.907929636004383</v>
      </c>
      <c r="K108" s="69">
        <f t="shared" si="12"/>
        <v>3.1698035818115415E-2</v>
      </c>
      <c r="L108" s="69">
        <f t="shared" si="13"/>
        <v>2.0920703639956173</v>
      </c>
      <c r="M108" s="69"/>
    </row>
    <row r="109" spans="1:13" x14ac:dyDescent="0.3">
      <c r="A109" s="81">
        <v>1.9259999999999999</v>
      </c>
      <c r="B109" s="78">
        <f t="shared" si="8"/>
        <v>1926</v>
      </c>
      <c r="C109" s="81">
        <v>67</v>
      </c>
      <c r="F109" s="79">
        <f t="shared" si="9"/>
        <v>0.65544531337593381</v>
      </c>
      <c r="G109" s="80">
        <f t="shared" si="10"/>
        <v>7.5632005923580712</v>
      </c>
      <c r="H109" s="73">
        <f t="shared" si="11"/>
        <v>2.9398794649419377E-3</v>
      </c>
      <c r="I109" s="69"/>
      <c r="J109" s="69">
        <f t="shared" si="7"/>
        <v>64.911824825337021</v>
      </c>
      <c r="K109" s="69">
        <f t="shared" si="12"/>
        <v>3.1166793651686252E-2</v>
      </c>
      <c r="L109" s="69">
        <f t="shared" si="13"/>
        <v>2.0881751746629789</v>
      </c>
      <c r="M109" s="69"/>
    </row>
    <row r="110" spans="1:13" x14ac:dyDescent="0.3">
      <c r="A110" s="81">
        <v>1.86</v>
      </c>
      <c r="B110" s="78">
        <f t="shared" si="8"/>
        <v>1860</v>
      </c>
      <c r="C110" s="81">
        <v>68</v>
      </c>
      <c r="F110" s="79">
        <f t="shared" si="9"/>
        <v>0.62057648772510998</v>
      </c>
      <c r="G110" s="80">
        <f t="shared" si="10"/>
        <v>7.5283317667072467</v>
      </c>
      <c r="H110" s="73">
        <f t="shared" si="11"/>
        <v>2.9312619082515023E-3</v>
      </c>
      <c r="I110" s="69"/>
      <c r="J110" s="69">
        <f t="shared" si="7"/>
        <v>65.926723567244665</v>
      </c>
      <c r="K110" s="69">
        <f t="shared" si="12"/>
        <v>3.0489359305225523E-2</v>
      </c>
      <c r="L110" s="69">
        <f t="shared" si="13"/>
        <v>2.0732764327553355</v>
      </c>
      <c r="M110" s="69"/>
    </row>
    <row r="111" spans="1:13" x14ac:dyDescent="0.3">
      <c r="A111" s="81">
        <v>1.796</v>
      </c>
      <c r="B111" s="78">
        <f t="shared" si="8"/>
        <v>1796</v>
      </c>
      <c r="C111" s="81">
        <v>69</v>
      </c>
      <c r="F111" s="79">
        <f t="shared" si="9"/>
        <v>0.58556196988000786</v>
      </c>
      <c r="G111" s="80">
        <f t="shared" si="10"/>
        <v>7.4933172488621453</v>
      </c>
      <c r="H111" s="73">
        <f t="shared" si="11"/>
        <v>2.9226947245360223E-3</v>
      </c>
      <c r="I111" s="69"/>
      <c r="J111" s="69">
        <f t="shared" si="7"/>
        <v>66.952013315678869</v>
      </c>
      <c r="K111" s="69">
        <f t="shared" si="12"/>
        <v>2.9680966439436685E-2</v>
      </c>
      <c r="L111" s="69">
        <f t="shared" si="13"/>
        <v>2.0479866843211312</v>
      </c>
      <c r="M111" s="69"/>
    </row>
    <row r="112" spans="1:13" x14ac:dyDescent="0.3">
      <c r="A112" s="81">
        <v>1.7350000000000001</v>
      </c>
      <c r="B112" s="78">
        <f t="shared" si="8"/>
        <v>1735</v>
      </c>
      <c r="C112" s="81">
        <v>70</v>
      </c>
      <c r="F112" s="79">
        <f t="shared" si="9"/>
        <v>0.55100741339882253</v>
      </c>
      <c r="G112" s="80">
        <f t="shared" si="10"/>
        <v>7.4587626923809598</v>
      </c>
      <c r="H112" s="73">
        <f t="shared" si="11"/>
        <v>2.9141774734081308E-3</v>
      </c>
      <c r="I112" s="69"/>
      <c r="J112" s="69">
        <f t="shared" si="7"/>
        <v>67.969931576749445</v>
      </c>
      <c r="K112" s="69">
        <f t="shared" si="12"/>
        <v>2.9000977475007923E-2</v>
      </c>
      <c r="L112" s="69">
        <f t="shared" si="13"/>
        <v>2.0300684232505546</v>
      </c>
      <c r="M112" s="69"/>
    </row>
    <row r="113" spans="1:13" x14ac:dyDescent="0.3">
      <c r="A113" s="81">
        <v>1.677</v>
      </c>
      <c r="B113" s="78">
        <f t="shared" si="8"/>
        <v>1677</v>
      </c>
      <c r="C113" s="81">
        <v>71</v>
      </c>
      <c r="F113" s="79">
        <f t="shared" si="9"/>
        <v>0.51700648284107187</v>
      </c>
      <c r="G113" s="80">
        <f t="shared" si="10"/>
        <v>7.4247617618232091</v>
      </c>
      <c r="H113" s="73">
        <f t="shared" si="11"/>
        <v>2.9057097195990121E-3</v>
      </c>
      <c r="I113" s="69"/>
      <c r="J113" s="69">
        <f t="shared" si="7"/>
        <v>68.977506092538249</v>
      </c>
      <c r="K113" s="69">
        <f t="shared" si="12"/>
        <v>2.8485829682559874E-2</v>
      </c>
      <c r="L113" s="69">
        <f t="shared" si="13"/>
        <v>2.022493907461751</v>
      </c>
      <c r="M113" s="69"/>
    </row>
    <row r="114" spans="1:13" x14ac:dyDescent="0.3">
      <c r="A114" s="81">
        <v>1.621</v>
      </c>
      <c r="B114" s="78">
        <f t="shared" si="8"/>
        <v>1621</v>
      </c>
      <c r="C114" s="81">
        <v>72</v>
      </c>
      <c r="F114" s="79">
        <f t="shared" si="9"/>
        <v>0.48304324275353905</v>
      </c>
      <c r="G114" s="80">
        <f t="shared" si="10"/>
        <v>7.3907985217356762</v>
      </c>
      <c r="H114" s="73">
        <f t="shared" si="11"/>
        <v>2.8972910328842532E-3</v>
      </c>
      <c r="I114" s="69"/>
      <c r="J114" s="69">
        <f t="shared" si="7"/>
        <v>69.989923586202565</v>
      </c>
      <c r="K114" s="69">
        <f t="shared" si="12"/>
        <v>2.791772796940882E-2</v>
      </c>
      <c r="L114" s="69">
        <f t="shared" si="13"/>
        <v>2.0100764137974352</v>
      </c>
      <c r="M114" s="69"/>
    </row>
    <row r="115" spans="1:13" x14ac:dyDescent="0.3">
      <c r="A115" s="78">
        <v>1.5669999999999999</v>
      </c>
      <c r="B115" s="78">
        <f t="shared" si="8"/>
        <v>1567</v>
      </c>
      <c r="C115" s="81">
        <v>73</v>
      </c>
      <c r="F115" s="79">
        <f t="shared" si="9"/>
        <v>0.44916296337388373</v>
      </c>
      <c r="G115" s="80">
        <f t="shared" si="10"/>
        <v>7.3569182423560209</v>
      </c>
      <c r="H115" s="73">
        <f t="shared" si="11"/>
        <v>2.8889209880109783E-3</v>
      </c>
      <c r="I115" s="69"/>
      <c r="J115" s="69">
        <f t="shared" si="7"/>
        <v>71.005855680097966</v>
      </c>
      <c r="K115" s="69">
        <f t="shared" si="12"/>
        <v>2.7317045478110057E-2</v>
      </c>
      <c r="L115" s="69">
        <f t="shared" si="13"/>
        <v>1.9941443199020341</v>
      </c>
      <c r="M115" s="69"/>
    </row>
    <row r="116" spans="1:13" x14ac:dyDescent="0.3">
      <c r="A116" s="78">
        <v>1.5149999999999999</v>
      </c>
      <c r="B116" s="78">
        <f t="shared" si="8"/>
        <v>1515</v>
      </c>
      <c r="C116" s="81">
        <v>74</v>
      </c>
      <c r="F116" s="79">
        <f t="shared" si="9"/>
        <v>0.41541543896133237</v>
      </c>
      <c r="G116" s="80">
        <f t="shared" si="10"/>
        <v>7.3231707179434693</v>
      </c>
      <c r="H116" s="73">
        <f t="shared" si="11"/>
        <v>2.8805991646262425E-3</v>
      </c>
      <c r="I116" s="69"/>
      <c r="J116" s="69">
        <f t="shared" si="7"/>
        <v>72.023805095569799</v>
      </c>
      <c r="K116" s="69">
        <f t="shared" si="12"/>
        <v>2.6705336546354073E-2</v>
      </c>
      <c r="L116" s="69">
        <f t="shared" si="13"/>
        <v>1.9761949044302014</v>
      </c>
      <c r="M116" s="69"/>
    </row>
    <row r="117" spans="1:13" x14ac:dyDescent="0.3">
      <c r="A117" s="78">
        <v>1.4650000000000001</v>
      </c>
      <c r="B117" s="78">
        <f t="shared" si="8"/>
        <v>1465</v>
      </c>
      <c r="C117" s="81">
        <v>75</v>
      </c>
      <c r="F117" s="79">
        <f t="shared" si="9"/>
        <v>0.38185524246903069</v>
      </c>
      <c r="G117" s="80">
        <f t="shared" si="10"/>
        <v>7.2896105214511673</v>
      </c>
      <c r="H117" s="73">
        <f t="shared" si="11"/>
        <v>2.8723251472066642E-3</v>
      </c>
      <c r="I117" s="69"/>
      <c r="J117" s="69">
        <f t="shared" si="7"/>
        <v>73.042093395225208</v>
      </c>
      <c r="K117" s="69">
        <f t="shared" si="12"/>
        <v>2.610542139699722E-2</v>
      </c>
      <c r="L117" s="69">
        <f t="shared" si="13"/>
        <v>1.9579066047747915</v>
      </c>
      <c r="M117" s="69"/>
    </row>
    <row r="118" spans="1:13" x14ac:dyDescent="0.3">
      <c r="A118" s="78">
        <v>1.417</v>
      </c>
      <c r="B118" s="78">
        <f t="shared" si="8"/>
        <v>1417</v>
      </c>
      <c r="C118" s="81">
        <v>76</v>
      </c>
      <c r="F118" s="79">
        <f t="shared" si="9"/>
        <v>0.34854196070854343</v>
      </c>
      <c r="G118" s="80">
        <f t="shared" si="10"/>
        <v>7.2562972396906806</v>
      </c>
      <c r="H118" s="73">
        <f t="shared" si="11"/>
        <v>2.8640985249892598E-3</v>
      </c>
      <c r="I118" s="69"/>
      <c r="J118" s="69">
        <f t="shared" si="7"/>
        <v>74.058849133146282</v>
      </c>
      <c r="K118" s="69">
        <f t="shared" si="12"/>
        <v>2.5541458774391027E-2</v>
      </c>
      <c r="L118" s="69">
        <f t="shared" si="13"/>
        <v>1.9411508668537181</v>
      </c>
      <c r="M118" s="69"/>
    </row>
    <row r="119" spans="1:13" x14ac:dyDescent="0.3">
      <c r="A119" s="78">
        <v>1.371</v>
      </c>
      <c r="B119" s="78">
        <f t="shared" si="8"/>
        <v>1371</v>
      </c>
      <c r="C119" s="81">
        <v>77</v>
      </c>
      <c r="F119" s="79">
        <f t="shared" si="9"/>
        <v>0.31554040058017735</v>
      </c>
      <c r="G119" s="80">
        <f t="shared" si="10"/>
        <v>7.2232956795623142</v>
      </c>
      <c r="H119" s="73">
        <f t="shared" si="11"/>
        <v>2.8559188919034702E-3</v>
      </c>
      <c r="I119" s="69"/>
      <c r="J119" s="69">
        <f t="shared" si="7"/>
        <v>75.071996784309817</v>
      </c>
      <c r="K119" s="69">
        <f t="shared" si="12"/>
        <v>2.50390028011712E-2</v>
      </c>
      <c r="L119" s="69">
        <f t="shared" si="13"/>
        <v>1.9280032156901825</v>
      </c>
      <c r="M119" s="69"/>
    </row>
    <row r="120" spans="1:13" x14ac:dyDescent="0.3">
      <c r="A120" s="78">
        <v>1.3260000000000001</v>
      </c>
      <c r="B120" s="78">
        <f t="shared" si="8"/>
        <v>1326</v>
      </c>
      <c r="C120" s="81">
        <v>78</v>
      </c>
      <c r="F120" s="79">
        <f t="shared" si="9"/>
        <v>0.28216689176367082</v>
      </c>
      <c r="G120" s="80">
        <f t="shared" si="10"/>
        <v>7.1899221707458079</v>
      </c>
      <c r="H120" s="73">
        <f t="shared" si="11"/>
        <v>2.847785846504343E-3</v>
      </c>
      <c r="I120" s="69"/>
      <c r="J120" s="69">
        <f t="shared" si="7"/>
        <v>76.102594073043861</v>
      </c>
      <c r="K120" s="69">
        <f t="shared" si="12"/>
        <v>2.4325717012258198E-2</v>
      </c>
      <c r="L120" s="69">
        <f t="shared" si="13"/>
        <v>1.8974059269561394</v>
      </c>
      <c r="M120" s="69"/>
    </row>
    <row r="121" spans="1:13" x14ac:dyDescent="0.3">
      <c r="A121" s="78">
        <v>1.284</v>
      </c>
      <c r="B121" s="78">
        <f t="shared" si="8"/>
        <v>1284</v>
      </c>
      <c r="C121" s="81">
        <v>79</v>
      </c>
      <c r="F121" s="79">
        <f t="shared" si="9"/>
        <v>0.24998020526776946</v>
      </c>
      <c r="G121" s="80">
        <f t="shared" si="10"/>
        <v>7.1577354842499066</v>
      </c>
      <c r="H121" s="73">
        <f t="shared" si="11"/>
        <v>2.8396989919068582E-3</v>
      </c>
      <c r="I121" s="69"/>
      <c r="J121" s="69">
        <f t="shared" si="7"/>
        <v>77.10233675912383</v>
      </c>
      <c r="K121" s="69">
        <f t="shared" si="12"/>
        <v>2.4021053681976837E-2</v>
      </c>
      <c r="L121" s="69">
        <f t="shared" si="13"/>
        <v>1.8976632408761702</v>
      </c>
      <c r="M121" s="69"/>
    </row>
    <row r="122" spans="1:13" x14ac:dyDescent="0.3">
      <c r="A122" s="78">
        <v>1.2430000000000001</v>
      </c>
      <c r="B122" s="78">
        <f t="shared" si="8"/>
        <v>1243</v>
      </c>
      <c r="C122" s="81">
        <v>80</v>
      </c>
      <c r="F122" s="79">
        <f t="shared" si="9"/>
        <v>0.21752781252857414</v>
      </c>
      <c r="G122" s="80">
        <f t="shared" si="10"/>
        <v>7.1252830915107115</v>
      </c>
      <c r="H122" s="73">
        <f t="shared" si="11"/>
        <v>2.831657935721365E-3</v>
      </c>
      <c r="I122" s="69"/>
      <c r="J122" s="69">
        <f t="shared" si="7"/>
        <v>78.116143889730779</v>
      </c>
      <c r="K122" s="69">
        <f t="shared" si="12"/>
        <v>2.3548201378365264E-2</v>
      </c>
      <c r="L122" s="69">
        <f t="shared" si="13"/>
        <v>1.8838561102692211</v>
      </c>
      <c r="M122" s="69"/>
    </row>
    <row r="123" spans="1:13" x14ac:dyDescent="0.3">
      <c r="A123" s="78">
        <v>1.2030000000000001</v>
      </c>
      <c r="B123" s="78">
        <f t="shared" si="8"/>
        <v>1203</v>
      </c>
      <c r="C123" s="81">
        <v>81</v>
      </c>
      <c r="F123" s="79">
        <f t="shared" si="9"/>
        <v>0.18481843699254188</v>
      </c>
      <c r="G123" s="80">
        <f t="shared" si="10"/>
        <v>7.0925737159746784</v>
      </c>
      <c r="H123" s="73">
        <f t="shared" si="11"/>
        <v>2.8236622899901172E-3</v>
      </c>
      <c r="I123" s="69"/>
      <c r="J123" s="69">
        <f t="shared" si="7"/>
        <v>79.143935330910608</v>
      </c>
      <c r="K123" s="69">
        <f t="shared" si="12"/>
        <v>2.2914378630733232E-2</v>
      </c>
      <c r="L123" s="69">
        <f t="shared" si="13"/>
        <v>1.8560646690893918</v>
      </c>
      <c r="M123" s="69"/>
    </row>
    <row r="124" spans="1:13" x14ac:dyDescent="0.3">
      <c r="A124" s="78">
        <v>1.165</v>
      </c>
      <c r="B124" s="78">
        <f t="shared" si="8"/>
        <v>1165</v>
      </c>
      <c r="C124" s="81">
        <v>82</v>
      </c>
      <c r="F124" s="79">
        <f t="shared" si="9"/>
        <v>0.15272108701766393</v>
      </c>
      <c r="G124" s="80">
        <f t="shared" si="10"/>
        <v>7.0604763659998007</v>
      </c>
      <c r="H124" s="73">
        <f t="shared" si="11"/>
        <v>2.8157116711248768E-3</v>
      </c>
      <c r="I124" s="69"/>
      <c r="J124" s="69">
        <f t="shared" si="7"/>
        <v>80.158359391372016</v>
      </c>
      <c r="K124" s="69">
        <f t="shared" si="12"/>
        <v>2.2459031812536383E-2</v>
      </c>
      <c r="L124" s="69">
        <f t="shared" si="13"/>
        <v>1.8416406086279835</v>
      </c>
      <c r="M124" s="69"/>
    </row>
    <row r="125" spans="1:13" x14ac:dyDescent="0.3">
      <c r="A125" s="81">
        <v>1.1279999999999999</v>
      </c>
      <c r="B125" s="78">
        <f t="shared" si="8"/>
        <v>1128</v>
      </c>
      <c r="C125" s="81">
        <v>83</v>
      </c>
      <c r="F125" s="79">
        <f t="shared" si="9"/>
        <v>0.12044615307586706</v>
      </c>
      <c r="G125" s="80">
        <f t="shared" si="10"/>
        <v>7.0282014320580046</v>
      </c>
      <c r="H125" s="73">
        <f t="shared" si="11"/>
        <v>2.8078056998455708E-3</v>
      </c>
      <c r="I125" s="69"/>
      <c r="J125" s="69">
        <f t="shared" si="7"/>
        <v>81.184303632357341</v>
      </c>
      <c r="K125" s="69">
        <f t="shared" si="12"/>
        <v>2.1875859851116369E-2</v>
      </c>
      <c r="L125" s="69">
        <f t="shared" si="13"/>
        <v>1.8156963676426585</v>
      </c>
      <c r="M125" s="69"/>
    </row>
    <row r="126" spans="1:13" x14ac:dyDescent="0.3">
      <c r="A126" s="81">
        <v>1.093</v>
      </c>
      <c r="B126" s="78">
        <f t="shared" si="8"/>
        <v>1093</v>
      </c>
      <c r="C126" s="81">
        <v>84</v>
      </c>
      <c r="F126" s="79">
        <f t="shared" si="9"/>
        <v>8.8926209194401487E-2</v>
      </c>
      <c r="G126" s="80">
        <f t="shared" si="10"/>
        <v>6.9966814881765389</v>
      </c>
      <c r="H126" s="73">
        <f t="shared" si="11"/>
        <v>2.7999440011199778E-3</v>
      </c>
      <c r="I126" s="69"/>
      <c r="J126" s="69">
        <f t="shared" si="7"/>
        <v>82.19201574788201</v>
      </c>
      <c r="K126" s="69">
        <f t="shared" si="12"/>
        <v>2.1523622049023687E-2</v>
      </c>
      <c r="L126" s="69">
        <f t="shared" si="13"/>
        <v>1.8079842521179899</v>
      </c>
      <c r="M126" s="69"/>
    </row>
    <row r="127" spans="1:13" x14ac:dyDescent="0.3">
      <c r="A127" s="81">
        <v>1.0589999999999999</v>
      </c>
      <c r="B127" s="78">
        <f t="shared" si="8"/>
        <v>1059</v>
      </c>
      <c r="C127" s="81">
        <v>85</v>
      </c>
      <c r="F127" s="79">
        <f t="shared" si="9"/>
        <v>5.7325066619269352E-2</v>
      </c>
      <c r="G127" s="80">
        <f t="shared" si="10"/>
        <v>6.9650803456014065</v>
      </c>
      <c r="H127" s="73">
        <f t="shared" si="11"/>
        <v>2.7921262041044259E-3</v>
      </c>
      <c r="I127" s="69"/>
      <c r="J127" s="69">
        <f t="shared" si="7"/>
        <v>83.208094239721675</v>
      </c>
      <c r="K127" s="69">
        <f t="shared" si="12"/>
        <v>2.1081244238568535E-2</v>
      </c>
      <c r="L127" s="69">
        <f t="shared" si="13"/>
        <v>1.7919057602783255</v>
      </c>
      <c r="M127" s="69"/>
    </row>
    <row r="128" spans="1:13" x14ac:dyDescent="0.3">
      <c r="A128" s="81">
        <v>1.0269999999999999</v>
      </c>
      <c r="B128" s="78">
        <f t="shared" si="8"/>
        <v>1027</v>
      </c>
      <c r="C128" s="81">
        <v>86</v>
      </c>
      <c r="F128" s="79">
        <f t="shared" si="9"/>
        <v>2.6641930946421092E-2</v>
      </c>
      <c r="G128" s="80">
        <f t="shared" si="10"/>
        <v>6.9343972099285578</v>
      </c>
      <c r="H128" s="73">
        <f t="shared" si="11"/>
        <v>2.78435194208548E-3</v>
      </c>
      <c r="I128" s="69"/>
      <c r="J128" s="69">
        <f t="shared" si="7"/>
        <v>84.200231407277272</v>
      </c>
      <c r="K128" s="69">
        <f t="shared" si="12"/>
        <v>2.0927541775845673E-2</v>
      </c>
      <c r="L128" s="69">
        <f t="shared" si="13"/>
        <v>1.799768592722728</v>
      </c>
      <c r="M128" s="69"/>
    </row>
    <row r="129" spans="1:13" x14ac:dyDescent="0.3">
      <c r="A129" s="78">
        <v>0.99550000000000005</v>
      </c>
      <c r="B129" s="78">
        <f t="shared" si="8"/>
        <v>995.5</v>
      </c>
      <c r="C129" s="81">
        <v>87</v>
      </c>
      <c r="F129" s="79">
        <f t="shared" si="9"/>
        <v>-4.510155477886019E-3</v>
      </c>
      <c r="G129" s="80">
        <f t="shared" si="10"/>
        <v>6.9032451235042513</v>
      </c>
      <c r="H129" s="73">
        <f t="shared" si="11"/>
        <v>2.7766208524226017E-3</v>
      </c>
      <c r="I129" s="69"/>
      <c r="J129" s="69">
        <f t="shared" si="7"/>
        <v>85.21319980400358</v>
      </c>
      <c r="K129" s="69">
        <f t="shared" si="12"/>
        <v>2.0537933287315176E-2</v>
      </c>
      <c r="L129" s="69">
        <f t="shared" si="13"/>
        <v>1.7868001959964204</v>
      </c>
      <c r="M129" s="69"/>
    </row>
    <row r="130" spans="1:13" x14ac:dyDescent="0.3">
      <c r="A130" s="78">
        <v>0.96540000000000004</v>
      </c>
      <c r="B130" s="78">
        <f t="shared" si="8"/>
        <v>965.40000000000009</v>
      </c>
      <c r="C130" s="81">
        <v>88</v>
      </c>
      <c r="F130" s="79">
        <f t="shared" si="9"/>
        <v>-3.5212755755744486E-2</v>
      </c>
      <c r="G130" s="80">
        <f t="shared" si="10"/>
        <v>6.872542523226393</v>
      </c>
      <c r="H130" s="73">
        <f t="shared" si="11"/>
        <v>2.7689325764917627E-3</v>
      </c>
      <c r="I130" s="69"/>
      <c r="J130" s="69">
        <f t="shared" ref="J130:J193" si="14">(1/(O$3+LN(A130)*N$3))-273.15</f>
        <v>86.217187217619482</v>
      </c>
      <c r="K130" s="69">
        <f t="shared" si="12"/>
        <v>2.0259236163414972E-2</v>
      </c>
      <c r="L130" s="69">
        <f t="shared" si="13"/>
        <v>1.7828127823805175</v>
      </c>
      <c r="M130" s="69"/>
    </row>
    <row r="131" spans="1:13" x14ac:dyDescent="0.3">
      <c r="A131" s="78">
        <v>0.93630000000000002</v>
      </c>
      <c r="B131" s="78">
        <f t="shared" ref="B131:B194" si="15">A131*1000</f>
        <v>936.30000000000007</v>
      </c>
      <c r="C131" s="81">
        <v>89</v>
      </c>
      <c r="F131" s="79">
        <f t="shared" ref="F131:F194" si="16">LN(A131)</f>
        <v>-6.5819341037293588E-2</v>
      </c>
      <c r="G131" s="80">
        <f t="shared" ref="G131:G194" si="17">LN(B131)</f>
        <v>6.8419359379448439</v>
      </c>
      <c r="H131" s="73">
        <f t="shared" ref="H131:H194" si="18">1/(C131+273.15)</f>
        <v>2.7612867596299878E-3</v>
      </c>
      <c r="I131" s="69"/>
      <c r="J131" s="69">
        <f t="shared" si="14"/>
        <v>87.223649748105288</v>
      </c>
      <c r="K131" s="69">
        <f t="shared" ref="K131:K194" si="19">ABS(J131-C131)/ABS(C131)</f>
        <v>1.9958991594322607E-2</v>
      </c>
      <c r="L131" s="69">
        <f t="shared" ref="L131:L194" si="20">ABS(J131-C131)</f>
        <v>1.7763502518947121</v>
      </c>
      <c r="M131" s="69"/>
    </row>
    <row r="132" spans="1:13" x14ac:dyDescent="0.3">
      <c r="A132" s="78">
        <v>0.9083</v>
      </c>
      <c r="B132" s="78">
        <f t="shared" si="15"/>
        <v>908.3</v>
      </c>
      <c r="C132" s="81">
        <v>90</v>
      </c>
      <c r="F132" s="79">
        <f t="shared" si="16"/>
        <v>-9.6180558473969183E-2</v>
      </c>
      <c r="G132" s="80">
        <f t="shared" si="17"/>
        <v>6.811574720508168</v>
      </c>
      <c r="H132" s="73">
        <f t="shared" si="18"/>
        <v>2.7536830510808208E-3</v>
      </c>
      <c r="I132" s="69"/>
      <c r="J132" s="69">
        <f t="shared" si="14"/>
        <v>88.227629047137896</v>
      </c>
      <c r="K132" s="69">
        <f t="shared" si="19"/>
        <v>1.9693010587356716E-2</v>
      </c>
      <c r="L132" s="69">
        <f t="shared" si="20"/>
        <v>1.7723709528621043</v>
      </c>
      <c r="M132" s="69"/>
    </row>
    <row r="133" spans="1:13" x14ac:dyDescent="0.3">
      <c r="A133" s="78">
        <v>0.88119999999999998</v>
      </c>
      <c r="B133" s="78">
        <f t="shared" si="15"/>
        <v>881.19999999999993</v>
      </c>
      <c r="C133" s="81">
        <v>91</v>
      </c>
      <c r="F133" s="79">
        <f t="shared" si="16"/>
        <v>-0.12647066405394902</v>
      </c>
      <c r="G133" s="80">
        <f t="shared" si="17"/>
        <v>6.7812846149281878</v>
      </c>
      <c r="H133" s="73">
        <f t="shared" si="18"/>
        <v>2.746121103940684E-3</v>
      </c>
      <c r="I133" s="69"/>
      <c r="J133" s="69">
        <f t="shared" si="14"/>
        <v>89.234846782440911</v>
      </c>
      <c r="K133" s="69">
        <f t="shared" si="19"/>
        <v>1.939728810504493E-2</v>
      </c>
      <c r="L133" s="69">
        <f t="shared" si="20"/>
        <v>1.7651532175590887</v>
      </c>
      <c r="M133" s="69"/>
    </row>
    <row r="134" spans="1:13" x14ac:dyDescent="0.3">
      <c r="A134" s="78">
        <v>0.85499999999999998</v>
      </c>
      <c r="B134" s="78">
        <f t="shared" si="15"/>
        <v>855</v>
      </c>
      <c r="C134" s="81">
        <v>92</v>
      </c>
      <c r="F134" s="79">
        <f t="shared" si="16"/>
        <v>-0.15665381004537685</v>
      </c>
      <c r="G134" s="80">
        <f t="shared" si="17"/>
        <v>6.7511014689367599</v>
      </c>
      <c r="H134" s="73">
        <f t="shared" si="18"/>
        <v>2.738600575106121E-3</v>
      </c>
      <c r="I134" s="69"/>
      <c r="J134" s="69">
        <f t="shared" si="14"/>
        <v>90.244108264868373</v>
      </c>
      <c r="K134" s="69">
        <f t="shared" si="19"/>
        <v>1.9085779729691596E-2</v>
      </c>
      <c r="L134" s="69">
        <f t="shared" si="20"/>
        <v>1.7558917351316268</v>
      </c>
      <c r="M134" s="69"/>
    </row>
    <row r="135" spans="1:13" x14ac:dyDescent="0.3">
      <c r="A135" s="78">
        <v>0.82969999999999999</v>
      </c>
      <c r="B135" s="78">
        <f t="shared" si="15"/>
        <v>829.7</v>
      </c>
      <c r="C135" s="81">
        <v>93</v>
      </c>
      <c r="F135" s="79">
        <f t="shared" si="16"/>
        <v>-0.18669108931189746</v>
      </c>
      <c r="G135" s="80">
        <f t="shared" si="17"/>
        <v>6.7210641896702397</v>
      </c>
      <c r="H135" s="73">
        <f t="shared" si="18"/>
        <v>2.7311211252219036E-3</v>
      </c>
      <c r="I135" s="69"/>
      <c r="J135" s="69">
        <f t="shared" si="14"/>
        <v>91.2540887889906</v>
      </c>
      <c r="K135" s="69">
        <f t="shared" si="19"/>
        <v>1.8773238828058061E-2</v>
      </c>
      <c r="L135" s="69">
        <f t="shared" si="20"/>
        <v>1.7459112110093997</v>
      </c>
      <c r="M135" s="69"/>
    </row>
    <row r="136" spans="1:13" x14ac:dyDescent="0.3">
      <c r="A136" s="78">
        <v>0.80520000000000003</v>
      </c>
      <c r="B136" s="78">
        <f t="shared" si="15"/>
        <v>805.2</v>
      </c>
      <c r="C136" s="81">
        <v>94</v>
      </c>
      <c r="F136" s="79">
        <f t="shared" si="16"/>
        <v>-0.21666458521650059</v>
      </c>
      <c r="G136" s="80">
        <f t="shared" si="17"/>
        <v>6.691090693765636</v>
      </c>
      <c r="H136" s="73">
        <f t="shared" si="18"/>
        <v>2.7236824186299877E-3</v>
      </c>
      <c r="I136" s="69"/>
      <c r="J136" s="69">
        <f t="shared" si="14"/>
        <v>92.267536414433209</v>
      </c>
      <c r="K136" s="69">
        <f t="shared" si="19"/>
        <v>1.8430463676242455E-2</v>
      </c>
      <c r="L136" s="69">
        <f t="shared" si="20"/>
        <v>1.7324635855667907</v>
      </c>
      <c r="M136" s="69"/>
    </row>
    <row r="137" spans="1:13" x14ac:dyDescent="0.3">
      <c r="A137" s="78">
        <v>0.78159999999999996</v>
      </c>
      <c r="B137" s="78">
        <f t="shared" si="15"/>
        <v>781.59999999999991</v>
      </c>
      <c r="C137" s="81">
        <v>95</v>
      </c>
      <c r="F137" s="79">
        <f t="shared" si="16"/>
        <v>-0.24641217825356412</v>
      </c>
      <c r="G137" s="80">
        <f t="shared" si="17"/>
        <v>6.6613431007285726</v>
      </c>
      <c r="H137" s="73">
        <f t="shared" si="18"/>
        <v>2.7162841233192994E-3</v>
      </c>
      <c r="I137" s="69"/>
      <c r="J137" s="69">
        <f t="shared" si="14"/>
        <v>93.278934810731414</v>
      </c>
      <c r="K137" s="69">
        <f t="shared" si="19"/>
        <v>1.811647567651143E-2</v>
      </c>
      <c r="L137" s="69">
        <f t="shared" si="20"/>
        <v>1.721065189268586</v>
      </c>
      <c r="M137" s="69"/>
    </row>
    <row r="138" spans="1:13" x14ac:dyDescent="0.3">
      <c r="A138" s="78">
        <v>0.75870000000000004</v>
      </c>
      <c r="B138" s="78">
        <f t="shared" si="15"/>
        <v>758.7</v>
      </c>
      <c r="C138" s="81">
        <v>96</v>
      </c>
      <c r="F138" s="79">
        <f t="shared" si="16"/>
        <v>-0.27614883663810785</v>
      </c>
      <c r="G138" s="80">
        <f t="shared" si="17"/>
        <v>6.6316064423440295</v>
      </c>
      <c r="H138" s="73">
        <f t="shared" si="18"/>
        <v>2.7089259108763375E-3</v>
      </c>
      <c r="I138" s="69"/>
      <c r="J138" s="69">
        <f t="shared" si="14"/>
        <v>94.295572547574238</v>
      </c>
      <c r="K138" s="69">
        <f t="shared" si="19"/>
        <v>1.7754452629435018E-2</v>
      </c>
      <c r="L138" s="69">
        <f t="shared" si="20"/>
        <v>1.7044274524257617</v>
      </c>
      <c r="M138" s="69"/>
    </row>
    <row r="139" spans="1:13" x14ac:dyDescent="0.3">
      <c r="A139" s="78">
        <v>0.73660000000000003</v>
      </c>
      <c r="B139" s="78">
        <f t="shared" si="15"/>
        <v>736.6</v>
      </c>
      <c r="C139" s="81">
        <v>97</v>
      </c>
      <c r="F139" s="79">
        <f t="shared" si="16"/>
        <v>-0.30571027497117209</v>
      </c>
      <c r="G139" s="80">
        <f t="shared" si="17"/>
        <v>6.6020450040109653</v>
      </c>
      <c r="H139" s="73">
        <f t="shared" si="18"/>
        <v>2.7016074564365799E-3</v>
      </c>
      <c r="I139" s="69"/>
      <c r="J139" s="69">
        <f t="shared" si="14"/>
        <v>95.311826773686107</v>
      </c>
      <c r="K139" s="69">
        <f t="shared" si="19"/>
        <v>1.7403847693957659E-2</v>
      </c>
      <c r="L139" s="69">
        <f t="shared" si="20"/>
        <v>1.6881732263138929</v>
      </c>
      <c r="M139" s="69"/>
    </row>
    <row r="140" spans="1:13" x14ac:dyDescent="0.3">
      <c r="A140" s="78">
        <v>0.71519999999999995</v>
      </c>
      <c r="B140" s="78">
        <f t="shared" si="15"/>
        <v>715.19999999999993</v>
      </c>
      <c r="C140" s="81">
        <v>98</v>
      </c>
      <c r="F140" s="79">
        <f t="shared" si="16"/>
        <v>-0.33519305512283276</v>
      </c>
      <c r="G140" s="80">
        <f t="shared" si="17"/>
        <v>6.572562223859304</v>
      </c>
      <c r="H140" s="73">
        <f t="shared" si="18"/>
        <v>2.6943284386366701E-3</v>
      </c>
      <c r="I140" s="69"/>
      <c r="J140" s="69">
        <f t="shared" si="14"/>
        <v>96.330991346768883</v>
      </c>
      <c r="K140" s="69">
        <f t="shared" si="19"/>
        <v>1.7030700543174664E-2</v>
      </c>
      <c r="L140" s="69">
        <f t="shared" si="20"/>
        <v>1.669008653231117</v>
      </c>
      <c r="M140" s="69"/>
    </row>
    <row r="141" spans="1:13" x14ac:dyDescent="0.3">
      <c r="A141" s="78">
        <v>0.69450000000000001</v>
      </c>
      <c r="B141" s="78">
        <f t="shared" si="15"/>
        <v>694.5</v>
      </c>
      <c r="C141" s="81">
        <v>99</v>
      </c>
      <c r="F141" s="79">
        <f t="shared" si="16"/>
        <v>-0.36456311678773856</v>
      </c>
      <c r="G141" s="80">
        <f t="shared" si="17"/>
        <v>6.5431921621943987</v>
      </c>
      <c r="H141" s="73">
        <f t="shared" si="18"/>
        <v>2.6870885395673789E-3</v>
      </c>
      <c r="I141" s="69"/>
      <c r="J141" s="69">
        <f t="shared" si="14"/>
        <v>97.351880663494512</v>
      </c>
      <c r="K141" s="69">
        <f t="shared" si="19"/>
        <v>1.6647670065711998E-2</v>
      </c>
      <c r="L141" s="69">
        <f t="shared" si="20"/>
        <v>1.6481193365054878</v>
      </c>
      <c r="M141" s="69"/>
    </row>
    <row r="142" spans="1:13" x14ac:dyDescent="0.3">
      <c r="A142" s="81">
        <v>0.6744</v>
      </c>
      <c r="B142" s="78">
        <f t="shared" si="15"/>
        <v>674.4</v>
      </c>
      <c r="C142" s="81">
        <v>100</v>
      </c>
      <c r="F142" s="79">
        <f t="shared" si="16"/>
        <v>-0.39393187229449134</v>
      </c>
      <c r="G142" s="80">
        <f t="shared" si="17"/>
        <v>6.5138234066876457</v>
      </c>
      <c r="H142" s="73">
        <f t="shared" si="18"/>
        <v>2.6798874447273215E-3</v>
      </c>
      <c r="I142" s="69"/>
      <c r="J142" s="69">
        <f t="shared" si="14"/>
        <v>98.378381339663065</v>
      </c>
      <c r="K142" s="69">
        <f t="shared" si="19"/>
        <v>1.6216186603369351E-2</v>
      </c>
      <c r="L142" s="69">
        <f t="shared" si="20"/>
        <v>1.6216186603369351</v>
      </c>
      <c r="M142" s="69"/>
    </row>
    <row r="143" spans="1:13" x14ac:dyDescent="0.3">
      <c r="A143" s="78">
        <v>0.65580000000000005</v>
      </c>
      <c r="B143" s="78">
        <f t="shared" si="15"/>
        <v>655.80000000000007</v>
      </c>
      <c r="C143" s="81">
        <v>101</v>
      </c>
      <c r="F143" s="79">
        <f t="shared" si="16"/>
        <v>-0.42189941457158908</v>
      </c>
      <c r="G143" s="80">
        <f t="shared" si="17"/>
        <v>6.4858558644105484</v>
      </c>
      <c r="H143" s="73">
        <f t="shared" si="18"/>
        <v>2.6727248429774158E-3</v>
      </c>
      <c r="I143" s="69"/>
      <c r="J143" s="69">
        <f t="shared" si="14"/>
        <v>99.361207995277653</v>
      </c>
      <c r="K143" s="69">
        <f t="shared" si="19"/>
        <v>1.6225663413092548E-2</v>
      </c>
      <c r="L143" s="69">
        <f t="shared" si="20"/>
        <v>1.6387920047223474</v>
      </c>
      <c r="M143" s="69"/>
    </row>
    <row r="144" spans="1:13" x14ac:dyDescent="0.3">
      <c r="A144" s="81">
        <v>0.63759999999999994</v>
      </c>
      <c r="B144" s="78">
        <f t="shared" si="15"/>
        <v>637.59999999999991</v>
      </c>
      <c r="C144" s="81">
        <v>102</v>
      </c>
      <c r="F144" s="79">
        <f t="shared" si="16"/>
        <v>-0.45004415150613186</v>
      </c>
      <c r="G144" s="80">
        <f t="shared" si="17"/>
        <v>6.4577111274760055</v>
      </c>
      <c r="H144" s="73">
        <f t="shared" si="18"/>
        <v>2.6656004264960682E-3</v>
      </c>
      <c r="I144" s="69"/>
      <c r="J144" s="69">
        <f t="shared" si="14"/>
        <v>100.35552496626326</v>
      </c>
      <c r="K144" s="69">
        <f t="shared" si="19"/>
        <v>1.6122304252320977E-2</v>
      </c>
      <c r="L144" s="69">
        <f t="shared" si="20"/>
        <v>1.6444750337367395</v>
      </c>
      <c r="M144" s="69"/>
    </row>
    <row r="145" spans="1:13" x14ac:dyDescent="0.3">
      <c r="A145" s="81">
        <v>0.61990000000000001</v>
      </c>
      <c r="B145" s="78">
        <f t="shared" si="15"/>
        <v>619.9</v>
      </c>
      <c r="C145" s="81">
        <v>103</v>
      </c>
      <c r="F145" s="79">
        <f t="shared" si="16"/>
        <v>-0.47819710427426332</v>
      </c>
      <c r="G145" s="80">
        <f t="shared" si="17"/>
        <v>6.4295581747078741</v>
      </c>
      <c r="H145" s="73">
        <f t="shared" si="18"/>
        <v>2.6585138907350794E-3</v>
      </c>
      <c r="I145" s="69"/>
      <c r="J145" s="69">
        <f t="shared" si="14"/>
        <v>101.35545684872375</v>
      </c>
      <c r="K145" s="69">
        <f t="shared" si="19"/>
        <v>1.5966438361905363E-2</v>
      </c>
      <c r="L145" s="69">
        <f t="shared" si="20"/>
        <v>1.6445431512762525</v>
      </c>
      <c r="M145" s="69"/>
    </row>
    <row r="146" spans="1:13" x14ac:dyDescent="0.3">
      <c r="A146" s="81">
        <v>0.60260000000000002</v>
      </c>
      <c r="B146" s="78">
        <f t="shared" si="15"/>
        <v>602.6</v>
      </c>
      <c r="C146" s="81">
        <v>104</v>
      </c>
      <c r="F146" s="79">
        <f t="shared" si="16"/>
        <v>-0.50650165228593613</v>
      </c>
      <c r="G146" s="80">
        <f t="shared" si="17"/>
        <v>6.4012536266962012</v>
      </c>
      <c r="H146" s="73">
        <f t="shared" si="18"/>
        <v>2.6514649343762431E-3</v>
      </c>
      <c r="I146" s="69"/>
      <c r="J146" s="69">
        <f t="shared" si="14"/>
        <v>102.36618489745712</v>
      </c>
      <c r="K146" s="69">
        <f t="shared" si="19"/>
        <v>1.5709760601373874E-2</v>
      </c>
      <c r="L146" s="69">
        <f t="shared" si="20"/>
        <v>1.6338151025428829</v>
      </c>
      <c r="M146" s="69"/>
    </row>
    <row r="147" spans="1:13" x14ac:dyDescent="0.3">
      <c r="A147" s="81">
        <v>0.58579999999999999</v>
      </c>
      <c r="B147" s="78">
        <f t="shared" si="15"/>
        <v>585.79999999999995</v>
      </c>
      <c r="C147" s="81">
        <v>105</v>
      </c>
      <c r="F147" s="79">
        <f t="shared" si="16"/>
        <v>-0.53477684458850394</v>
      </c>
      <c r="G147" s="80">
        <f t="shared" si="17"/>
        <v>6.3729784343936329</v>
      </c>
      <c r="H147" s="73">
        <f t="shared" si="18"/>
        <v>2.6444532592886424E-3</v>
      </c>
      <c r="I147" s="69"/>
      <c r="J147" s="69">
        <f t="shared" si="14"/>
        <v>103.38132649748644</v>
      </c>
      <c r="K147" s="69">
        <f t="shared" si="19"/>
        <v>1.5415938119176752E-2</v>
      </c>
      <c r="L147" s="69">
        <f t="shared" si="20"/>
        <v>1.618673502513559</v>
      </c>
      <c r="M147" s="69"/>
    </row>
    <row r="148" spans="1:13" x14ac:dyDescent="0.3">
      <c r="A148" s="81">
        <v>0.56940000000000002</v>
      </c>
      <c r="B148" s="78">
        <f t="shared" si="15"/>
        <v>569.4</v>
      </c>
      <c r="C148" s="81">
        <v>106</v>
      </c>
      <c r="F148" s="79">
        <f t="shared" si="16"/>
        <v>-0.56317210413819985</v>
      </c>
      <c r="G148" s="80">
        <f t="shared" si="17"/>
        <v>6.3445831748439367</v>
      </c>
      <c r="H148" s="73">
        <f t="shared" si="18"/>
        <v>2.6374785704866149E-3</v>
      </c>
      <c r="I148" s="69"/>
      <c r="J148" s="69">
        <f t="shared" si="14"/>
        <v>104.40631733243606</v>
      </c>
      <c r="K148" s="69">
        <f t="shared" si="19"/>
        <v>1.5034742146829618E-2</v>
      </c>
      <c r="L148" s="69">
        <f t="shared" si="20"/>
        <v>1.5936826675639395</v>
      </c>
      <c r="M148" s="69"/>
    </row>
    <row r="149" spans="1:13" x14ac:dyDescent="0.3">
      <c r="A149" s="81">
        <v>0.55349999999999999</v>
      </c>
      <c r="B149" s="78">
        <f t="shared" si="15"/>
        <v>553.5</v>
      </c>
      <c r="C149" s="81">
        <v>107</v>
      </c>
      <c r="F149" s="79">
        <f t="shared" si="16"/>
        <v>-0.59149352683344547</v>
      </c>
      <c r="G149" s="80">
        <f t="shared" si="17"/>
        <v>6.3162617521486917</v>
      </c>
      <c r="H149" s="73">
        <f t="shared" si="18"/>
        <v>2.6305405760883864E-3</v>
      </c>
      <c r="I149" s="69"/>
      <c r="J149" s="69">
        <f t="shared" si="14"/>
        <v>105.43421669104106</v>
      </c>
      <c r="K149" s="69">
        <f t="shared" si="19"/>
        <v>1.4633488868775156E-2</v>
      </c>
      <c r="L149" s="69">
        <f t="shared" si="20"/>
        <v>1.5657833089589417</v>
      </c>
      <c r="M149" s="69"/>
    </row>
    <row r="150" spans="1:13" x14ac:dyDescent="0.3">
      <c r="A150" s="81">
        <v>0.53800000000000003</v>
      </c>
      <c r="B150" s="78">
        <f t="shared" si="15"/>
        <v>538</v>
      </c>
      <c r="C150" s="81">
        <v>108</v>
      </c>
      <c r="F150" s="79">
        <f t="shared" si="16"/>
        <v>-0.61989671882035258</v>
      </c>
      <c r="G150" s="80">
        <f t="shared" si="17"/>
        <v>6.2878585601617845</v>
      </c>
      <c r="H150" s="73">
        <f t="shared" si="18"/>
        <v>2.6236389872753511E-3</v>
      </c>
      <c r="I150" s="69"/>
      <c r="J150" s="69">
        <f t="shared" si="14"/>
        <v>106.47072036582296</v>
      </c>
      <c r="K150" s="69">
        <f t="shared" si="19"/>
        <v>1.4159996612750407E-2</v>
      </c>
      <c r="L150" s="69">
        <f t="shared" si="20"/>
        <v>1.529279634177044</v>
      </c>
      <c r="M150" s="69"/>
    </row>
    <row r="151" spans="1:13" x14ac:dyDescent="0.3">
      <c r="A151" s="81">
        <v>0.52290000000000003</v>
      </c>
      <c r="B151" s="78">
        <f t="shared" si="15"/>
        <v>522.9</v>
      </c>
      <c r="C151" s="81">
        <v>109</v>
      </c>
      <c r="F151" s="79">
        <f t="shared" si="16"/>
        <v>-0.6483650377880521</v>
      </c>
      <c r="G151" s="80">
        <f t="shared" si="17"/>
        <v>6.2593902411940849</v>
      </c>
      <c r="H151" s="73">
        <f t="shared" si="18"/>
        <v>2.6167735182519953E-3</v>
      </c>
      <c r="I151" s="69"/>
      <c r="J151" s="69">
        <f t="shared" si="14"/>
        <v>107.51531146007272</v>
      </c>
      <c r="K151" s="69">
        <f t="shared" si="19"/>
        <v>1.3620995779149325E-2</v>
      </c>
      <c r="L151" s="69">
        <f t="shared" si="20"/>
        <v>1.4846885399272765</v>
      </c>
      <c r="M151" s="69"/>
    </row>
    <row r="152" spans="1:13" x14ac:dyDescent="0.3">
      <c r="A152" s="81">
        <v>0.50829999999999997</v>
      </c>
      <c r="B152" s="78">
        <f t="shared" si="15"/>
        <v>508.29999999999995</v>
      </c>
      <c r="C152" s="81">
        <v>110</v>
      </c>
      <c r="F152" s="79">
        <f t="shared" si="16"/>
        <v>-0.67668345452928025</v>
      </c>
      <c r="G152" s="80">
        <f t="shared" si="17"/>
        <v>6.2310718244528571</v>
      </c>
      <c r="H152" s="73">
        <f t="shared" si="18"/>
        <v>2.6099438862064468E-3</v>
      </c>
      <c r="I152" s="69"/>
      <c r="J152" s="69">
        <f t="shared" si="14"/>
        <v>108.56012124467765</v>
      </c>
      <c r="K152" s="69">
        <f t="shared" si="19"/>
        <v>1.3089806866566857E-2</v>
      </c>
      <c r="L152" s="69">
        <f t="shared" si="20"/>
        <v>1.4398787553223542</v>
      </c>
      <c r="M152" s="69"/>
    </row>
    <row r="153" spans="1:13" x14ac:dyDescent="0.3">
      <c r="A153" s="81">
        <v>0.49409999999999998</v>
      </c>
      <c r="B153" s="78">
        <f t="shared" si="15"/>
        <v>494.09999999999997</v>
      </c>
      <c r="C153" s="81">
        <v>111</v>
      </c>
      <c r="F153" s="79">
        <f t="shared" si="16"/>
        <v>-0.70501735313043279</v>
      </c>
      <c r="G153" s="80">
        <f t="shared" si="17"/>
        <v>6.2027379258517046</v>
      </c>
      <c r="H153" s="73">
        <f t="shared" si="18"/>
        <v>2.6031498112716388E-3</v>
      </c>
      <c r="I153" s="69"/>
      <c r="J153" s="69">
        <f t="shared" si="14"/>
        <v>109.6112581106749</v>
      </c>
      <c r="K153" s="69">
        <f t="shared" si="19"/>
        <v>1.2511188192118052E-2</v>
      </c>
      <c r="L153" s="69">
        <f t="shared" si="20"/>
        <v>1.3887418893251038</v>
      </c>
      <c r="M153" s="69"/>
    </row>
    <row r="154" spans="1:13" x14ac:dyDescent="0.3">
      <c r="A154" s="81">
        <v>0.4803</v>
      </c>
      <c r="B154" s="78">
        <f t="shared" si="15"/>
        <v>480.3</v>
      </c>
      <c r="C154" s="81">
        <v>112</v>
      </c>
      <c r="F154" s="79">
        <f t="shared" si="16"/>
        <v>-0.73334437031135835</v>
      </c>
      <c r="G154" s="80">
        <f t="shared" si="17"/>
        <v>6.1744109086707786</v>
      </c>
      <c r="H154" s="73">
        <f t="shared" si="18"/>
        <v>2.5963910164870829E-3</v>
      </c>
      <c r="I154" s="69"/>
      <c r="J154" s="69">
        <f t="shared" si="14"/>
        <v>110.66794270641418</v>
      </c>
      <c r="K154" s="69">
        <f t="shared" si="19"/>
        <v>1.1893368692730531E-2</v>
      </c>
      <c r="L154" s="69">
        <f t="shared" si="20"/>
        <v>1.3320572935858195</v>
      </c>
      <c r="M154" s="69"/>
    </row>
    <row r="155" spans="1:13" x14ac:dyDescent="0.3">
      <c r="A155" s="81">
        <v>0.46689999999999998</v>
      </c>
      <c r="B155" s="78">
        <f t="shared" si="15"/>
        <v>466.9</v>
      </c>
      <c r="C155" s="81">
        <v>113</v>
      </c>
      <c r="F155" s="79">
        <f t="shared" si="16"/>
        <v>-0.76164017700524578</v>
      </c>
      <c r="G155" s="80">
        <f t="shared" si="17"/>
        <v>6.1461151019768909</v>
      </c>
      <c r="H155" s="73">
        <f t="shared" si="18"/>
        <v>2.589667227761233E-3</v>
      </c>
      <c r="I155" s="69"/>
      <c r="J155" s="69">
        <f t="shared" si="14"/>
        <v>111.7293038773679</v>
      </c>
      <c r="K155" s="69">
        <f t="shared" si="19"/>
        <v>1.124509843037259E-2</v>
      </c>
      <c r="L155" s="69">
        <f t="shared" si="20"/>
        <v>1.2706961226321027</v>
      </c>
      <c r="M155" s="69"/>
    </row>
    <row r="156" spans="1:13" x14ac:dyDescent="0.3">
      <c r="A156" s="78">
        <v>0.45390000000000003</v>
      </c>
      <c r="B156" s="78">
        <f t="shared" si="15"/>
        <v>453.90000000000003</v>
      </c>
      <c r="C156" s="81">
        <v>114</v>
      </c>
      <c r="F156" s="79">
        <f t="shared" si="16"/>
        <v>-0.78987836951971702</v>
      </c>
      <c r="G156" s="80">
        <f t="shared" si="17"/>
        <v>6.1178769094624199</v>
      </c>
      <c r="H156" s="73">
        <f t="shared" si="18"/>
        <v>2.5829781738344313E-3</v>
      </c>
      <c r="I156" s="69"/>
      <c r="J156" s="69">
        <f t="shared" si="14"/>
        <v>112.79437215394296</v>
      </c>
      <c r="K156" s="69">
        <f t="shared" si="19"/>
        <v>1.0575682860149484E-2</v>
      </c>
      <c r="L156" s="69">
        <f t="shared" si="20"/>
        <v>1.2056278460570411</v>
      </c>
      <c r="M156" s="69"/>
    </row>
    <row r="157" spans="1:13" x14ac:dyDescent="0.3">
      <c r="A157" s="78">
        <v>0.44119999999999998</v>
      </c>
      <c r="B157" s="78">
        <f t="shared" si="15"/>
        <v>441.2</v>
      </c>
      <c r="C157" s="81">
        <v>115</v>
      </c>
      <c r="F157" s="79">
        <f t="shared" si="16"/>
        <v>-0.81825699160278964</v>
      </c>
      <c r="G157" s="80">
        <f t="shared" si="17"/>
        <v>6.0894982873793477</v>
      </c>
      <c r="H157" s="73">
        <f t="shared" si="18"/>
        <v>2.5763235862424324E-3</v>
      </c>
      <c r="I157" s="69"/>
      <c r="J157" s="69">
        <f t="shared" si="14"/>
        <v>113.87069234205023</v>
      </c>
      <c r="K157" s="69">
        <f t="shared" si="19"/>
        <v>9.8200665908675343E-3</v>
      </c>
      <c r="L157" s="69">
        <f t="shared" si="20"/>
        <v>1.1293076579497665</v>
      </c>
      <c r="M157" s="69"/>
    </row>
    <row r="158" spans="1:13" x14ac:dyDescent="0.3">
      <c r="A158" s="78">
        <v>0.42899999999999999</v>
      </c>
      <c r="B158" s="78">
        <f t="shared" si="15"/>
        <v>429</v>
      </c>
      <c r="C158" s="81">
        <v>116</v>
      </c>
      <c r="F158" s="79">
        <f t="shared" si="16"/>
        <v>-0.84629836005412007</v>
      </c>
      <c r="G158" s="80">
        <f t="shared" si="17"/>
        <v>6.061456918928017</v>
      </c>
      <c r="H158" s="73">
        <f t="shared" si="18"/>
        <v>2.5697031992804832E-3</v>
      </c>
      <c r="I158" s="69"/>
      <c r="J158" s="69">
        <f t="shared" si="14"/>
        <v>114.94013444013484</v>
      </c>
      <c r="K158" s="69">
        <f t="shared" si="19"/>
        <v>9.1367720678030943E-3</v>
      </c>
      <c r="L158" s="69">
        <f t="shared" si="20"/>
        <v>1.059865559865159</v>
      </c>
      <c r="M158" s="69"/>
    </row>
    <row r="159" spans="1:13" x14ac:dyDescent="0.3">
      <c r="A159" s="78">
        <v>0.41710000000000003</v>
      </c>
      <c r="B159" s="78">
        <f t="shared" si="15"/>
        <v>417.1</v>
      </c>
      <c r="C159" s="81">
        <v>117</v>
      </c>
      <c r="F159" s="79">
        <f t="shared" si="16"/>
        <v>-0.8744292777792374</v>
      </c>
      <c r="G159" s="80">
        <f t="shared" si="17"/>
        <v>6.0333260012028997</v>
      </c>
      <c r="H159" s="73">
        <f t="shared" si="18"/>
        <v>2.5631167499679613E-3</v>
      </c>
      <c r="I159" s="69"/>
      <c r="J159" s="69">
        <f t="shared" si="14"/>
        <v>116.01894693104555</v>
      </c>
      <c r="K159" s="69">
        <f t="shared" si="19"/>
        <v>8.3850689654226679E-3</v>
      </c>
      <c r="L159" s="69">
        <f t="shared" si="20"/>
        <v>0.9810530689544521</v>
      </c>
      <c r="M159" s="69"/>
    </row>
    <row r="160" spans="1:13" x14ac:dyDescent="0.3">
      <c r="A160" s="78">
        <v>0.40550000000000003</v>
      </c>
      <c r="B160" s="78">
        <f t="shared" si="15"/>
        <v>405.5</v>
      </c>
      <c r="C160" s="81">
        <v>118</v>
      </c>
      <c r="F160" s="79">
        <f t="shared" si="16"/>
        <v>-0.9026344054266694</v>
      </c>
      <c r="G160" s="80">
        <f t="shared" si="17"/>
        <v>6.0051208735554678</v>
      </c>
      <c r="H160" s="73">
        <f t="shared" si="18"/>
        <v>2.5565639780135499E-3</v>
      </c>
      <c r="I160" s="69"/>
      <c r="J160" s="69">
        <f t="shared" si="14"/>
        <v>117.10664369804471</v>
      </c>
      <c r="K160" s="69">
        <f t="shared" si="19"/>
        <v>7.570816118265199E-3</v>
      </c>
      <c r="L160" s="69">
        <f t="shared" si="20"/>
        <v>0.89335630195529347</v>
      </c>
      <c r="M160" s="69"/>
    </row>
    <row r="161" spans="1:13" x14ac:dyDescent="0.3">
      <c r="A161" s="78">
        <v>0.39439999999999997</v>
      </c>
      <c r="B161" s="78">
        <f t="shared" si="15"/>
        <v>394.4</v>
      </c>
      <c r="C161" s="81">
        <v>119</v>
      </c>
      <c r="F161" s="79">
        <f t="shared" si="16"/>
        <v>-0.93038965625365677</v>
      </c>
      <c r="G161" s="80">
        <f t="shared" si="17"/>
        <v>5.9773656227284802</v>
      </c>
      <c r="H161" s="73">
        <f t="shared" si="18"/>
        <v>2.5500446257809514E-3</v>
      </c>
      <c r="I161" s="69"/>
      <c r="J161" s="69">
        <f t="shared" si="14"/>
        <v>118.18294323800222</v>
      </c>
      <c r="K161" s="69">
        <f t="shared" si="19"/>
        <v>6.8660232100653442E-3</v>
      </c>
      <c r="L161" s="69">
        <f t="shared" si="20"/>
        <v>0.81705676199777599</v>
      </c>
      <c r="M161" s="69"/>
    </row>
    <row r="162" spans="1:13" x14ac:dyDescent="0.3">
      <c r="A162" s="78">
        <v>0.38350000000000001</v>
      </c>
      <c r="B162" s="78">
        <f t="shared" si="15"/>
        <v>383.5</v>
      </c>
      <c r="C162" s="81">
        <v>120</v>
      </c>
      <c r="F162" s="79">
        <f t="shared" si="16"/>
        <v>-0.9584156581748261</v>
      </c>
      <c r="G162" s="80">
        <f t="shared" si="17"/>
        <v>5.9493396208073106</v>
      </c>
      <c r="H162" s="73">
        <f t="shared" si="18"/>
        <v>2.5435584382551188E-3</v>
      </c>
      <c r="I162" s="69"/>
      <c r="J162" s="69">
        <f t="shared" si="14"/>
        <v>119.27578271205942</v>
      </c>
      <c r="K162" s="69">
        <f t="shared" si="19"/>
        <v>6.0351440661714642E-3</v>
      </c>
      <c r="L162" s="69">
        <f t="shared" si="20"/>
        <v>0.72421728794057572</v>
      </c>
      <c r="M162" s="69"/>
    </row>
    <row r="163" spans="1:13" x14ac:dyDescent="0.3">
      <c r="A163" s="78">
        <v>0.373</v>
      </c>
      <c r="B163" s="78">
        <f t="shared" si="15"/>
        <v>373</v>
      </c>
      <c r="C163" s="81">
        <v>121</v>
      </c>
      <c r="F163" s="79">
        <f t="shared" si="16"/>
        <v>-0.98617685933832155</v>
      </c>
      <c r="G163" s="80">
        <f t="shared" si="17"/>
        <v>5.9215784196438159</v>
      </c>
      <c r="H163" s="73">
        <f t="shared" si="18"/>
        <v>2.5371051630090069E-3</v>
      </c>
      <c r="I163" s="69"/>
      <c r="J163" s="69">
        <f t="shared" si="14"/>
        <v>120.36433080909745</v>
      </c>
      <c r="K163" s="69">
        <f t="shared" si="19"/>
        <v>5.2534643876243564E-3</v>
      </c>
      <c r="L163" s="69">
        <f t="shared" si="20"/>
        <v>0.63566919090254714</v>
      </c>
      <c r="M163" s="69"/>
    </row>
    <row r="164" spans="1:13" x14ac:dyDescent="0.3">
      <c r="A164" s="78">
        <v>0.36280000000000001</v>
      </c>
      <c r="B164" s="78">
        <f t="shared" si="15"/>
        <v>362.8</v>
      </c>
      <c r="C164" s="81">
        <v>122</v>
      </c>
      <c r="F164" s="79">
        <f t="shared" si="16"/>
        <v>-1.0139035607411555</v>
      </c>
      <c r="G164" s="80">
        <f t="shared" si="17"/>
        <v>5.893851718240982</v>
      </c>
      <c r="H164" s="73">
        <f t="shared" si="18"/>
        <v>2.5306845501708213E-3</v>
      </c>
      <c r="I164" s="69"/>
      <c r="J164" s="69">
        <f t="shared" si="14"/>
        <v>121.45757066210371</v>
      </c>
      <c r="K164" s="69">
        <f t="shared" si="19"/>
        <v>4.4461421139040521E-3</v>
      </c>
      <c r="L164" s="69">
        <f t="shared" si="20"/>
        <v>0.54242933789629433</v>
      </c>
      <c r="M164" s="69"/>
    </row>
    <row r="165" spans="1:13" x14ac:dyDescent="0.3">
      <c r="A165" s="78">
        <v>0.35299999999999998</v>
      </c>
      <c r="B165" s="78">
        <f t="shared" si="15"/>
        <v>353</v>
      </c>
      <c r="C165" s="81">
        <v>123</v>
      </c>
      <c r="F165" s="79">
        <f t="shared" si="16"/>
        <v>-1.0412872220488403</v>
      </c>
      <c r="G165" s="80">
        <f t="shared" si="17"/>
        <v>5.8664680569332965</v>
      </c>
      <c r="H165" s="73">
        <f t="shared" si="18"/>
        <v>2.5242963523917708E-3</v>
      </c>
      <c r="I165" s="69"/>
      <c r="J165" s="69">
        <f t="shared" si="14"/>
        <v>122.54326323730822</v>
      </c>
      <c r="K165" s="69">
        <f t="shared" si="19"/>
        <v>3.7133070137542745E-3</v>
      </c>
      <c r="L165" s="69">
        <f t="shared" si="20"/>
        <v>0.45673676269177577</v>
      </c>
      <c r="M165" s="69"/>
    </row>
    <row r="166" spans="1:13" x14ac:dyDescent="0.3">
      <c r="A166" s="79">
        <v>0.34339999999999998</v>
      </c>
      <c r="B166" s="78">
        <f t="shared" si="15"/>
        <v>343.4</v>
      </c>
      <c r="C166" s="83">
        <v>124</v>
      </c>
      <c r="F166" s="79">
        <f t="shared" si="16"/>
        <v>-1.0688593305187619</v>
      </c>
      <c r="G166" s="80">
        <f t="shared" si="17"/>
        <v>5.8388959484633753</v>
      </c>
      <c r="H166" s="73">
        <f t="shared" si="18"/>
        <v>2.517940324814302E-3</v>
      </c>
      <c r="I166" s="69"/>
      <c r="J166" s="69">
        <f t="shared" si="14"/>
        <v>123.64248002201941</v>
      </c>
      <c r="K166" s="69">
        <f t="shared" si="19"/>
        <v>2.8832256288757025E-3</v>
      </c>
      <c r="L166" s="69">
        <f t="shared" si="20"/>
        <v>0.3575199779805871</v>
      </c>
      <c r="M166" s="69"/>
    </row>
    <row r="167" spans="1:13" x14ac:dyDescent="0.3">
      <c r="A167" s="79">
        <v>0.33410000000000001</v>
      </c>
      <c r="B167" s="78">
        <f t="shared" si="15"/>
        <v>334.1</v>
      </c>
      <c r="C167" s="83">
        <v>125</v>
      </c>
      <c r="F167" s="79">
        <f t="shared" si="16"/>
        <v>-1.0963149296194261</v>
      </c>
      <c r="G167" s="80">
        <f t="shared" si="17"/>
        <v>5.8114403493627105</v>
      </c>
      <c r="H167" s="73">
        <f t="shared" si="18"/>
        <v>2.511616225040814E-3</v>
      </c>
      <c r="I167" s="69"/>
      <c r="J167" s="69">
        <f t="shared" si="14"/>
        <v>124.7431372500854</v>
      </c>
      <c r="K167" s="69">
        <f t="shared" si="19"/>
        <v>2.0549019993168259E-3</v>
      </c>
      <c r="L167" s="69">
        <f t="shared" si="20"/>
        <v>0.25686274991460323</v>
      </c>
      <c r="M167" s="69"/>
    </row>
    <row r="168" spans="1:13" x14ac:dyDescent="0.3">
      <c r="A168" s="79">
        <v>0.32529999999999998</v>
      </c>
      <c r="B168" s="78">
        <f t="shared" si="15"/>
        <v>325.29999999999995</v>
      </c>
      <c r="C168" s="83">
        <v>126</v>
      </c>
      <c r="F168" s="79">
        <f t="shared" si="16"/>
        <v>-1.1230074455028314</v>
      </c>
      <c r="G168" s="80">
        <f t="shared" si="17"/>
        <v>5.7847478334793054</v>
      </c>
      <c r="H168" s="73">
        <f t="shared" si="18"/>
        <v>2.5053238131028436E-3</v>
      </c>
      <c r="I168" s="69"/>
      <c r="J168" s="69">
        <f t="shared" si="14"/>
        <v>125.81907333750502</v>
      </c>
      <c r="K168" s="69">
        <f t="shared" si="19"/>
        <v>1.4359258928173238E-3</v>
      </c>
      <c r="L168" s="69">
        <f t="shared" si="20"/>
        <v>0.18092666249498279</v>
      </c>
      <c r="M168" s="69"/>
    </row>
    <row r="169" spans="1:13" x14ac:dyDescent="0.3">
      <c r="A169" s="79">
        <v>0.31669999999999998</v>
      </c>
      <c r="B169" s="78">
        <f t="shared" si="15"/>
        <v>316.7</v>
      </c>
      <c r="C169" s="83">
        <v>127</v>
      </c>
      <c r="F169" s="79">
        <f t="shared" si="16"/>
        <v>-1.1498003254375431</v>
      </c>
      <c r="G169" s="80">
        <f t="shared" si="17"/>
        <v>5.7579549535445942</v>
      </c>
      <c r="H169" s="73">
        <f t="shared" si="18"/>
        <v>2.4990628514307135E-3</v>
      </c>
      <c r="I169" s="69"/>
      <c r="J169" s="69">
        <f t="shared" si="14"/>
        <v>126.90492257907249</v>
      </c>
      <c r="K169" s="69">
        <f t="shared" si="19"/>
        <v>7.4864110966542982E-4</v>
      </c>
      <c r="L169" s="69">
        <f t="shared" si="20"/>
        <v>9.5077420927509593E-2</v>
      </c>
      <c r="M169" s="69"/>
    </row>
    <row r="170" spans="1:13" x14ac:dyDescent="0.3">
      <c r="A170" s="79">
        <v>0.30830000000000002</v>
      </c>
      <c r="B170" s="78">
        <f t="shared" si="15"/>
        <v>308.3</v>
      </c>
      <c r="C170" s="83">
        <v>128</v>
      </c>
      <c r="F170" s="79">
        <f t="shared" si="16"/>
        <v>-1.1766819440900322</v>
      </c>
      <c r="G170" s="80">
        <f t="shared" si="17"/>
        <v>5.7310733348921046</v>
      </c>
      <c r="H170" s="73">
        <f t="shared" si="18"/>
        <v>2.4928331048236323E-3</v>
      </c>
      <c r="I170" s="69"/>
      <c r="J170" s="69">
        <f t="shared" si="14"/>
        <v>128.00032441878022</v>
      </c>
      <c r="K170" s="69">
        <f t="shared" si="19"/>
        <v>2.534521720498617E-6</v>
      </c>
      <c r="L170" s="69">
        <f t="shared" si="20"/>
        <v>3.2441878022382298E-4</v>
      </c>
      <c r="M170" s="69"/>
    </row>
    <row r="171" spans="1:13" x14ac:dyDescent="0.3">
      <c r="A171" s="79">
        <v>0.30020000000000002</v>
      </c>
      <c r="B171" s="78">
        <f t="shared" si="15"/>
        <v>300.20000000000005</v>
      </c>
      <c r="C171" s="83">
        <v>129</v>
      </c>
      <c r="F171" s="79">
        <f t="shared" si="16"/>
        <v>-1.2033063597827753</v>
      </c>
      <c r="G171" s="80">
        <f t="shared" si="17"/>
        <v>5.7044489191993621</v>
      </c>
      <c r="H171" s="73">
        <f t="shared" si="18"/>
        <v>2.4866343404202412E-3</v>
      </c>
      <c r="I171" s="69"/>
      <c r="J171" s="69">
        <f t="shared" si="14"/>
        <v>129.0911744312138</v>
      </c>
      <c r="K171" s="69">
        <f t="shared" si="19"/>
        <v>7.0677853654109457E-4</v>
      </c>
      <c r="L171" s="69">
        <f t="shared" si="20"/>
        <v>9.1174431213801199E-2</v>
      </c>
      <c r="M171" s="69"/>
    </row>
    <row r="172" spans="1:13" x14ac:dyDescent="0.3">
      <c r="A172" s="79">
        <v>0.29239999999999999</v>
      </c>
      <c r="B172" s="78">
        <f t="shared" si="15"/>
        <v>292.39999999999998</v>
      </c>
      <c r="C172" s="83">
        <v>130</v>
      </c>
      <c r="F172" s="79">
        <f t="shared" si="16"/>
        <v>-1.2296325511065136</v>
      </c>
      <c r="G172" s="80">
        <f t="shared" si="17"/>
        <v>5.678122727875623</v>
      </c>
      <c r="H172" s="73">
        <f t="shared" si="18"/>
        <v>2.4804663276696021E-3</v>
      </c>
      <c r="I172" s="69"/>
      <c r="J172" s="69">
        <f t="shared" si="14"/>
        <v>130.17565478409824</v>
      </c>
      <c r="K172" s="69">
        <f t="shared" si="19"/>
        <v>1.3511906469095545E-3</v>
      </c>
      <c r="L172" s="69">
        <f t="shared" si="20"/>
        <v>0.17565478409824209</v>
      </c>
      <c r="M172" s="69"/>
    </row>
    <row r="173" spans="1:13" x14ac:dyDescent="0.3">
      <c r="A173" s="79">
        <v>0.2848</v>
      </c>
      <c r="B173" s="78">
        <f t="shared" si="15"/>
        <v>284.8</v>
      </c>
      <c r="C173" s="83">
        <v>131</v>
      </c>
      <c r="F173" s="79">
        <f t="shared" si="16"/>
        <v>-1.2559680994443163</v>
      </c>
      <c r="G173" s="80">
        <f t="shared" si="17"/>
        <v>5.6517871795378207</v>
      </c>
      <c r="H173" s="73">
        <f t="shared" si="18"/>
        <v>2.4743288383026105E-3</v>
      </c>
      <c r="I173" s="69"/>
      <c r="J173" s="69">
        <f t="shared" si="14"/>
        <v>131.26638725402705</v>
      </c>
      <c r="K173" s="69">
        <f t="shared" si="19"/>
        <v>2.0334904887561204E-3</v>
      </c>
      <c r="L173" s="69">
        <f t="shared" si="20"/>
        <v>0.26638725402705177</v>
      </c>
      <c r="M173" s="69"/>
    </row>
    <row r="174" spans="1:13" x14ac:dyDescent="0.3">
      <c r="A174" s="79">
        <v>0.27739999999999998</v>
      </c>
      <c r="B174" s="78">
        <f t="shared" si="15"/>
        <v>277.39999999999998</v>
      </c>
      <c r="C174" s="83">
        <v>132</v>
      </c>
      <c r="F174" s="79">
        <f t="shared" si="16"/>
        <v>-1.2822947711014059</v>
      </c>
      <c r="G174" s="80">
        <f t="shared" si="17"/>
        <v>5.6254605078807307</v>
      </c>
      <c r="H174" s="73">
        <f t="shared" si="18"/>
        <v>2.4682216463038382E-3</v>
      </c>
      <c r="I174" s="69"/>
      <c r="J174" s="69">
        <f t="shared" si="14"/>
        <v>132.36266452020772</v>
      </c>
      <c r="K174" s="69">
        <f t="shared" si="19"/>
        <v>2.7474584864220883E-3</v>
      </c>
      <c r="L174" s="69">
        <f t="shared" si="20"/>
        <v>0.36266452020771567</v>
      </c>
      <c r="M174" s="69"/>
    </row>
    <row r="175" spans="1:13" x14ac:dyDescent="0.3">
      <c r="A175" s="79">
        <v>0.2702</v>
      </c>
      <c r="B175" s="78">
        <f t="shared" si="15"/>
        <v>270.2</v>
      </c>
      <c r="C175" s="83">
        <v>133</v>
      </c>
      <c r="F175" s="79">
        <f t="shared" si="16"/>
        <v>-1.3085928534560385</v>
      </c>
      <c r="G175" s="80">
        <f t="shared" si="17"/>
        <v>5.5991624255260986</v>
      </c>
      <c r="H175" s="73">
        <f t="shared" si="18"/>
        <v>2.4621445278837869E-3</v>
      </c>
      <c r="I175" s="69"/>
      <c r="J175" s="69">
        <f t="shared" si="14"/>
        <v>133.4637012208388</v>
      </c>
      <c r="K175" s="69">
        <f t="shared" si="19"/>
        <v>3.4864753446526321E-3</v>
      </c>
      <c r="L175" s="69">
        <f t="shared" si="20"/>
        <v>0.46370122083880005</v>
      </c>
      <c r="M175" s="69"/>
    </row>
    <row r="176" spans="1:13" x14ac:dyDescent="0.3">
      <c r="A176" s="79">
        <v>0.26329999999999998</v>
      </c>
      <c r="B176" s="78">
        <f t="shared" si="15"/>
        <v>263.29999999999995</v>
      </c>
      <c r="C176" s="83">
        <v>134</v>
      </c>
      <c r="F176" s="79">
        <f t="shared" si="16"/>
        <v>-1.3344612124798734</v>
      </c>
      <c r="G176" s="80">
        <f t="shared" si="17"/>
        <v>5.5732940665022639</v>
      </c>
      <c r="H176" s="73">
        <f t="shared" si="18"/>
        <v>2.4560972614515535E-3</v>
      </c>
      <c r="I176" s="69"/>
      <c r="J176" s="69">
        <f t="shared" si="14"/>
        <v>134.5525953295641</v>
      </c>
      <c r="K176" s="69">
        <f t="shared" si="19"/>
        <v>4.123845743015663E-3</v>
      </c>
      <c r="L176" s="69">
        <f t="shared" si="20"/>
        <v>0.55259532956409885</v>
      </c>
      <c r="M176" s="69"/>
    </row>
    <row r="177" spans="1:13" x14ac:dyDescent="0.3">
      <c r="A177" s="79">
        <v>0.25650000000000001</v>
      </c>
      <c r="B177" s="78">
        <f t="shared" si="15"/>
        <v>256.5</v>
      </c>
      <c r="C177" s="83">
        <v>135</v>
      </c>
      <c r="F177" s="79">
        <f t="shared" si="16"/>
        <v>-1.3606266143713128</v>
      </c>
      <c r="G177" s="80">
        <f t="shared" si="17"/>
        <v>5.547128664610824</v>
      </c>
      <c r="H177" s="73">
        <f t="shared" si="18"/>
        <v>2.4500796275878966E-3</v>
      </c>
      <c r="I177" s="69"/>
      <c r="J177" s="69">
        <f t="shared" si="14"/>
        <v>135.65994203683368</v>
      </c>
      <c r="K177" s="69">
        <f t="shared" si="19"/>
        <v>4.8884595321013607E-3</v>
      </c>
      <c r="L177" s="69">
        <f t="shared" si="20"/>
        <v>0.65994203683368369</v>
      </c>
      <c r="M177" s="69"/>
    </row>
    <row r="178" spans="1:13" x14ac:dyDescent="0.3">
      <c r="A178" s="79">
        <v>0.25</v>
      </c>
      <c r="B178" s="78">
        <f t="shared" si="15"/>
        <v>250</v>
      </c>
      <c r="C178" s="83">
        <v>136</v>
      </c>
      <c r="F178" s="79">
        <f t="shared" si="16"/>
        <v>-1.3862943611198906</v>
      </c>
      <c r="G178" s="80">
        <f t="shared" si="17"/>
        <v>5.521460917862246</v>
      </c>
      <c r="H178" s="73">
        <f t="shared" si="18"/>
        <v>2.4440914090186976E-3</v>
      </c>
      <c r="I178" s="69"/>
      <c r="J178" s="69">
        <f t="shared" si="14"/>
        <v>136.75208780882252</v>
      </c>
      <c r="K178" s="69">
        <f t="shared" si="19"/>
        <v>5.5300574178126704E-3</v>
      </c>
      <c r="L178" s="69">
        <f t="shared" si="20"/>
        <v>0.75208780882252313</v>
      </c>
      <c r="M178" s="69"/>
    </row>
    <row r="179" spans="1:13" x14ac:dyDescent="0.3">
      <c r="A179" s="79">
        <v>0.2437</v>
      </c>
      <c r="B179" s="78">
        <f t="shared" si="15"/>
        <v>243.7</v>
      </c>
      <c r="C179" s="83">
        <v>137</v>
      </c>
      <c r="F179" s="79">
        <f t="shared" si="16"/>
        <v>-1.4118173183509766</v>
      </c>
      <c r="G179" s="80">
        <f t="shared" si="17"/>
        <v>5.4959379606311609</v>
      </c>
      <c r="H179" s="73">
        <f t="shared" si="18"/>
        <v>2.4381323905888091E-3</v>
      </c>
      <c r="I179" s="69"/>
      <c r="J179" s="69">
        <f t="shared" si="14"/>
        <v>137.84387439919141</v>
      </c>
      <c r="K179" s="69">
        <f t="shared" si="19"/>
        <v>6.1596671473825304E-3</v>
      </c>
      <c r="L179" s="69">
        <f t="shared" si="20"/>
        <v>0.84387439919140661</v>
      </c>
      <c r="M179" s="69"/>
    </row>
    <row r="180" spans="1:13" x14ac:dyDescent="0.3">
      <c r="A180" s="79">
        <v>0.23749999999999999</v>
      </c>
      <c r="B180" s="78">
        <f t="shared" si="15"/>
        <v>237.5</v>
      </c>
      <c r="C180" s="83">
        <v>138</v>
      </c>
      <c r="F180" s="79">
        <f t="shared" si="16"/>
        <v>-1.4375876555074412</v>
      </c>
      <c r="G180" s="80">
        <f t="shared" si="17"/>
        <v>5.4701676234746959</v>
      </c>
      <c r="H180" s="73">
        <f t="shared" si="18"/>
        <v>2.4322023592362888E-3</v>
      </c>
      <c r="I180" s="69"/>
      <c r="J180" s="69">
        <f t="shared" si="14"/>
        <v>138.95215982948014</v>
      </c>
      <c r="K180" s="69">
        <f t="shared" si="19"/>
        <v>6.8997089092763617E-3</v>
      </c>
      <c r="L180" s="69">
        <f t="shared" si="20"/>
        <v>0.95215982948013789</v>
      </c>
      <c r="M180" s="69"/>
    </row>
    <row r="181" spans="1:13" x14ac:dyDescent="0.3">
      <c r="A181" s="79">
        <v>0.2316</v>
      </c>
      <c r="B181" s="78">
        <f t="shared" si="15"/>
        <v>231.6</v>
      </c>
      <c r="C181" s="83">
        <v>139</v>
      </c>
      <c r="F181" s="79">
        <f t="shared" si="16"/>
        <v>-1.462743533283297</v>
      </c>
      <c r="G181" s="80">
        <f t="shared" si="17"/>
        <v>5.4450117456988405</v>
      </c>
      <c r="H181" s="73">
        <f t="shared" si="18"/>
        <v>2.4263011039670026E-3</v>
      </c>
      <c r="I181" s="69"/>
      <c r="J181" s="69">
        <f t="shared" si="14"/>
        <v>140.03980000770764</v>
      </c>
      <c r="K181" s="69">
        <f t="shared" si="19"/>
        <v>7.4805755950189956E-3</v>
      </c>
      <c r="L181" s="69">
        <f t="shared" si="20"/>
        <v>1.0398000077076404</v>
      </c>
      <c r="M181" s="69"/>
    </row>
    <row r="182" spans="1:13" x14ac:dyDescent="0.3">
      <c r="A182" s="79">
        <v>0.2258</v>
      </c>
      <c r="B182" s="78">
        <f t="shared" si="15"/>
        <v>225.8</v>
      </c>
      <c r="C182" s="83">
        <v>140</v>
      </c>
      <c r="F182" s="79">
        <f t="shared" si="16"/>
        <v>-1.4881056272665754</v>
      </c>
      <c r="G182" s="80">
        <f t="shared" si="17"/>
        <v>5.4196496517155621</v>
      </c>
      <c r="H182" s="73">
        <f t="shared" si="18"/>
        <v>2.4204284158296022E-3</v>
      </c>
      <c r="I182" s="69"/>
      <c r="J182" s="69">
        <f t="shared" si="14"/>
        <v>141.14218355482399</v>
      </c>
      <c r="K182" s="69">
        <f t="shared" si="19"/>
        <v>8.1584539630284777E-3</v>
      </c>
      <c r="L182" s="69">
        <f t="shared" si="20"/>
        <v>1.1421835548239869</v>
      </c>
      <c r="M182" s="69"/>
    </row>
    <row r="183" spans="1:13" x14ac:dyDescent="0.3">
      <c r="A183" s="79">
        <v>0.22020000000000001</v>
      </c>
      <c r="B183" s="78">
        <f t="shared" si="15"/>
        <v>220.20000000000002</v>
      </c>
      <c r="C183" s="83">
        <v>141</v>
      </c>
      <c r="F183" s="79">
        <f t="shared" si="16"/>
        <v>-1.5132190546935573</v>
      </c>
      <c r="G183" s="80">
        <f t="shared" si="17"/>
        <v>5.3945362242885793</v>
      </c>
      <c r="H183" s="73">
        <f t="shared" si="18"/>
        <v>2.4145840878908608E-3</v>
      </c>
      <c r="I183" s="69"/>
      <c r="J183" s="69">
        <f t="shared" si="14"/>
        <v>142.23957001963851</v>
      </c>
      <c r="K183" s="69">
        <f t="shared" si="19"/>
        <v>8.791276735024868E-3</v>
      </c>
      <c r="L183" s="69">
        <f t="shared" si="20"/>
        <v>1.2395700196385064</v>
      </c>
      <c r="M183" s="69"/>
    </row>
    <row r="184" spans="1:13" x14ac:dyDescent="0.3">
      <c r="A184" s="79">
        <v>0.21479999999999999</v>
      </c>
      <c r="B184" s="78">
        <f t="shared" si="15"/>
        <v>214.79999999999998</v>
      </c>
      <c r="C184" s="83">
        <v>142</v>
      </c>
      <c r="F184" s="79">
        <f t="shared" si="16"/>
        <v>-1.5380479163474274</v>
      </c>
      <c r="G184" s="80">
        <f t="shared" si="17"/>
        <v>5.3697073626347098</v>
      </c>
      <c r="H184" s="73">
        <f t="shared" si="18"/>
        <v>2.4087679152113694E-3</v>
      </c>
      <c r="I184" s="69"/>
      <c r="J184" s="69">
        <f t="shared" si="14"/>
        <v>143.33025188804226</v>
      </c>
      <c r="K184" s="69">
        <f t="shared" si="19"/>
        <v>9.3679710425510938E-3</v>
      </c>
      <c r="L184" s="69">
        <f t="shared" si="20"/>
        <v>1.3302518880422554</v>
      </c>
      <c r="M184" s="69"/>
    </row>
    <row r="185" spans="1:13" x14ac:dyDescent="0.3">
      <c r="A185" s="79">
        <v>0.20949999999999999</v>
      </c>
      <c r="B185" s="78">
        <f t="shared" si="15"/>
        <v>209.5</v>
      </c>
      <c r="C185" s="83">
        <v>143</v>
      </c>
      <c r="F185" s="79">
        <f t="shared" si="16"/>
        <v>-1.5630315396199446</v>
      </c>
      <c r="G185" s="80">
        <f t="shared" si="17"/>
        <v>5.344723739362192</v>
      </c>
      <c r="H185" s="73">
        <f t="shared" si="18"/>
        <v>2.4029796948215787E-3</v>
      </c>
      <c r="I185" s="69"/>
      <c r="J185" s="69">
        <f t="shared" si="14"/>
        <v>144.43352867217192</v>
      </c>
      <c r="K185" s="69">
        <f t="shared" si="19"/>
        <v>1.0024676029174246E-2</v>
      </c>
      <c r="L185" s="69">
        <f t="shared" si="20"/>
        <v>1.4335286721719172</v>
      </c>
      <c r="M185" s="69"/>
    </row>
    <row r="186" spans="1:13" x14ac:dyDescent="0.3">
      <c r="A186" s="79">
        <v>0.2044</v>
      </c>
      <c r="B186" s="78">
        <f t="shared" si="15"/>
        <v>204.4</v>
      </c>
      <c r="C186" s="83">
        <v>144</v>
      </c>
      <c r="F186" s="79">
        <f t="shared" si="16"/>
        <v>-1.5876764206525877</v>
      </c>
      <c r="G186" s="80">
        <f t="shared" si="17"/>
        <v>5.3200788583295493</v>
      </c>
      <c r="H186" s="73">
        <f t="shared" si="18"/>
        <v>2.3972192256981901E-3</v>
      </c>
      <c r="I186" s="69"/>
      <c r="J186" s="69">
        <f t="shared" si="14"/>
        <v>145.52758853023101</v>
      </c>
      <c r="K186" s="69">
        <f t="shared" si="19"/>
        <v>1.0608253682159821E-2</v>
      </c>
      <c r="L186" s="69">
        <f t="shared" si="20"/>
        <v>1.5275885302310144</v>
      </c>
      <c r="M186" s="69"/>
    </row>
    <row r="187" spans="1:13" x14ac:dyDescent="0.3">
      <c r="A187" s="79">
        <v>0.19939999999999999</v>
      </c>
      <c r="B187" s="78">
        <f t="shared" si="15"/>
        <v>199.4</v>
      </c>
      <c r="C187" s="83">
        <v>145</v>
      </c>
      <c r="F187" s="79">
        <f t="shared" si="16"/>
        <v>-1.6124424214543991</v>
      </c>
      <c r="G187" s="80">
        <f t="shared" si="17"/>
        <v>5.2953128575277377</v>
      </c>
      <c r="H187" s="73">
        <f t="shared" si="18"/>
        <v>2.3914863087408826E-3</v>
      </c>
      <c r="I187" s="69"/>
      <c r="J187" s="69">
        <f t="shared" si="14"/>
        <v>146.6328156594281</v>
      </c>
      <c r="K187" s="69">
        <f t="shared" si="19"/>
        <v>1.1260797651228303E-2</v>
      </c>
      <c r="L187" s="69">
        <f t="shared" si="20"/>
        <v>1.632815659428104</v>
      </c>
      <c r="M187" s="69"/>
    </row>
    <row r="188" spans="1:13" x14ac:dyDescent="0.3">
      <c r="A188" s="79">
        <v>0.1946</v>
      </c>
      <c r="B188" s="78">
        <f t="shared" si="15"/>
        <v>194.6</v>
      </c>
      <c r="C188" s="83">
        <v>146</v>
      </c>
      <c r="F188" s="79">
        <f t="shared" si="16"/>
        <v>-1.6368091092302324</v>
      </c>
      <c r="G188" s="80">
        <f t="shared" si="17"/>
        <v>5.2709461697519044</v>
      </c>
      <c r="H188" s="73">
        <f t="shared" si="18"/>
        <v>2.3857807467493738E-3</v>
      </c>
      <c r="I188" s="69"/>
      <c r="J188" s="69">
        <f t="shared" si="14"/>
        <v>147.72593236107917</v>
      </c>
      <c r="K188" s="69">
        <f t="shared" si="19"/>
        <v>1.1821454527939547E-2</v>
      </c>
      <c r="L188" s="69">
        <f t="shared" si="20"/>
        <v>1.7259323610791739</v>
      </c>
      <c r="M188" s="69"/>
    </row>
    <row r="189" spans="1:13" x14ac:dyDescent="0.3">
      <c r="A189" s="79">
        <v>0.19</v>
      </c>
      <c r="B189" s="78">
        <f t="shared" si="15"/>
        <v>190</v>
      </c>
      <c r="C189" s="83">
        <v>147</v>
      </c>
      <c r="F189" s="79">
        <f t="shared" si="16"/>
        <v>-1.6607312068216509</v>
      </c>
      <c r="G189" s="80">
        <f t="shared" si="17"/>
        <v>5.2470240721604862</v>
      </c>
      <c r="H189" s="73">
        <f t="shared" si="18"/>
        <v>2.3801023444008093E-3</v>
      </c>
      <c r="I189" s="69"/>
      <c r="J189" s="69">
        <f t="shared" si="14"/>
        <v>148.80465654916657</v>
      </c>
      <c r="K189" s="69">
        <f t="shared" si="19"/>
        <v>1.2276575164398408E-2</v>
      </c>
      <c r="L189" s="69">
        <f t="shared" si="20"/>
        <v>1.804656549166566</v>
      </c>
      <c r="M189" s="69"/>
    </row>
    <row r="190" spans="1:13" x14ac:dyDescent="0.3">
      <c r="A190" s="79">
        <v>0.1855</v>
      </c>
      <c r="B190" s="78">
        <f t="shared" si="15"/>
        <v>185.5</v>
      </c>
      <c r="C190" s="83">
        <v>148</v>
      </c>
      <c r="F190" s="79">
        <f t="shared" si="16"/>
        <v>-1.6847003969346472</v>
      </c>
      <c r="G190" s="80">
        <f t="shared" si="17"/>
        <v>5.2230548820474896</v>
      </c>
      <c r="H190" s="73">
        <f t="shared" si="18"/>
        <v>2.3744509082274726E-3</v>
      </c>
      <c r="I190" s="69"/>
      <c r="J190" s="69">
        <f t="shared" si="14"/>
        <v>149.89106454697645</v>
      </c>
      <c r="K190" s="69">
        <f t="shared" si="19"/>
        <v>1.2777463155246296E-2</v>
      </c>
      <c r="L190" s="69">
        <f t="shared" si="20"/>
        <v>1.8910645469764518</v>
      </c>
      <c r="M190" s="69"/>
    </row>
    <row r="191" spans="1:13" x14ac:dyDescent="0.3">
      <c r="A191" s="79">
        <v>0.18110000000000001</v>
      </c>
      <c r="B191" s="78">
        <f t="shared" si="15"/>
        <v>181.10000000000002</v>
      </c>
      <c r="C191" s="83">
        <v>149</v>
      </c>
      <c r="F191" s="79">
        <f t="shared" si="16"/>
        <v>-1.7087059140927694</v>
      </c>
      <c r="G191" s="80">
        <f t="shared" si="17"/>
        <v>5.1990493648893681</v>
      </c>
      <c r="H191" s="73">
        <f t="shared" si="18"/>
        <v>2.3688262465948124E-3</v>
      </c>
      <c r="I191" s="69"/>
      <c r="J191" s="69">
        <f t="shared" si="14"/>
        <v>150.98474065135338</v>
      </c>
      <c r="K191" s="69">
        <f t="shared" si="19"/>
        <v>1.3320407056062933E-2</v>
      </c>
      <c r="L191" s="69">
        <f t="shared" si="20"/>
        <v>1.984740651353377</v>
      </c>
      <c r="M191" s="69"/>
    </row>
    <row r="192" spans="1:13" x14ac:dyDescent="0.3">
      <c r="A192" s="79">
        <v>0.1769</v>
      </c>
      <c r="B192" s="78">
        <f t="shared" si="15"/>
        <v>176.9</v>
      </c>
      <c r="C192" s="83">
        <v>150</v>
      </c>
      <c r="F192" s="79">
        <f t="shared" si="16"/>
        <v>-1.7321706778163974</v>
      </c>
      <c r="G192" s="80">
        <f t="shared" si="17"/>
        <v>5.17558460116574</v>
      </c>
      <c r="H192" s="73">
        <f t="shared" si="18"/>
        <v>2.3632281696797826E-3</v>
      </c>
      <c r="I192" s="69"/>
      <c r="J192" s="69">
        <f t="shared" si="14"/>
        <v>152.05925947816638</v>
      </c>
      <c r="K192" s="69">
        <f t="shared" si="19"/>
        <v>1.3728396521109213E-2</v>
      </c>
      <c r="L192" s="69">
        <f t="shared" si="20"/>
        <v>2.059259478166382</v>
      </c>
      <c r="M192" s="69"/>
    </row>
    <row r="193" spans="1:13" x14ac:dyDescent="0.3">
      <c r="A193" s="79">
        <v>0.17280000000000001</v>
      </c>
      <c r="B193" s="78">
        <f t="shared" si="15"/>
        <v>172.8</v>
      </c>
      <c r="C193" s="83">
        <v>151</v>
      </c>
      <c r="F193" s="79">
        <f t="shared" si="16"/>
        <v>-1.7556204226121817</v>
      </c>
      <c r="G193" s="80">
        <f t="shared" si="17"/>
        <v>5.1521348563699556</v>
      </c>
      <c r="H193" s="73">
        <f t="shared" si="18"/>
        <v>2.3576564894494875E-3</v>
      </c>
      <c r="I193" s="69"/>
      <c r="J193" s="69">
        <f t="shared" si="14"/>
        <v>153.1385435776275</v>
      </c>
      <c r="K193" s="69">
        <f t="shared" si="19"/>
        <v>1.4162540249188752E-2</v>
      </c>
      <c r="L193" s="69">
        <f t="shared" si="20"/>
        <v>2.1385435776275017</v>
      </c>
      <c r="M193" s="69"/>
    </row>
    <row r="194" spans="1:13" x14ac:dyDescent="0.3">
      <c r="A194" s="79">
        <v>0.16880000000000001</v>
      </c>
      <c r="B194" s="78">
        <f t="shared" si="15"/>
        <v>168.8</v>
      </c>
      <c r="C194" s="83">
        <v>152</v>
      </c>
      <c r="F194" s="79">
        <f t="shared" si="16"/>
        <v>-1.7790406968202803</v>
      </c>
      <c r="G194" s="80">
        <f t="shared" si="17"/>
        <v>5.1287145821618569</v>
      </c>
      <c r="H194" s="73">
        <f t="shared" si="18"/>
        <v>2.3521110196401272E-3</v>
      </c>
      <c r="I194" s="69"/>
      <c r="J194" s="69">
        <f t="shared" ref="J194:J242" si="21">(1/(O$3+LN(A194)*N$3))-273.15</f>
        <v>154.22195382446955</v>
      </c>
      <c r="K194" s="69">
        <f t="shared" si="19"/>
        <v>1.4618117266247049E-2</v>
      </c>
      <c r="L194" s="69">
        <f t="shared" si="20"/>
        <v>2.2219538244695514</v>
      </c>
      <c r="M194" s="69"/>
    </row>
    <row r="195" spans="1:13" x14ac:dyDescent="0.3">
      <c r="A195" s="79">
        <v>0.16500000000000001</v>
      </c>
      <c r="B195" s="78">
        <f t="shared" ref="B195:B242" si="22">A195*1000</f>
        <v>165</v>
      </c>
      <c r="C195" s="83">
        <v>153</v>
      </c>
      <c r="F195" s="79">
        <f t="shared" ref="F195:F242" si="23">LN(A195)</f>
        <v>-1.8018098050815563</v>
      </c>
      <c r="G195" s="80">
        <f t="shared" ref="G195:G242" si="24">LN(B195)</f>
        <v>5.1059454739005803</v>
      </c>
      <c r="H195" s="73">
        <f t="shared" ref="H195:H242" si="25">1/(C195+273.15)</f>
        <v>2.3465915757362433E-3</v>
      </c>
      <c r="I195" s="69"/>
      <c r="J195" s="69">
        <f t="shared" si="21"/>
        <v>155.28053395786628</v>
      </c>
      <c r="K195" s="69">
        <f t="shared" ref="K195:K242" si="26">ABS(J195-C195)/ABS(C195)</f>
        <v>1.4905450705008382E-2</v>
      </c>
      <c r="L195" s="69">
        <f t="shared" ref="L195:L242" si="27">ABS(J195-C195)</f>
        <v>2.2805339578662824</v>
      </c>
      <c r="M195" s="69"/>
    </row>
    <row r="196" spans="1:13" x14ac:dyDescent="0.3">
      <c r="A196" s="79">
        <v>0.16120000000000001</v>
      </c>
      <c r="B196" s="78">
        <f t="shared" si="22"/>
        <v>161.20000000000002</v>
      </c>
      <c r="C196" s="83">
        <v>154</v>
      </c>
      <c r="F196" s="79">
        <f t="shared" si="23"/>
        <v>-1.8251094489096091</v>
      </c>
      <c r="G196" s="80">
        <f t="shared" si="24"/>
        <v>5.0826458300725283</v>
      </c>
      <c r="H196" s="73">
        <f t="shared" si="25"/>
        <v>2.3410979749502519E-3</v>
      </c>
      <c r="I196" s="69"/>
      <c r="J196" s="69">
        <f t="shared" si="21"/>
        <v>156.36922233326976</v>
      </c>
      <c r="K196" s="69">
        <f t="shared" si="26"/>
        <v>1.5384560605647798E-2</v>
      </c>
      <c r="L196" s="69">
        <f t="shared" si="27"/>
        <v>2.3692223332697608</v>
      </c>
      <c r="M196" s="69"/>
    </row>
    <row r="197" spans="1:13" x14ac:dyDescent="0.3">
      <c r="A197" s="79">
        <v>0.15759999999999999</v>
      </c>
      <c r="B197" s="78">
        <f t="shared" si="22"/>
        <v>157.6</v>
      </c>
      <c r="C197" s="83">
        <v>155</v>
      </c>
      <c r="F197" s="79">
        <f t="shared" si="23"/>
        <v>-1.8476951015583583</v>
      </c>
      <c r="G197" s="80">
        <f t="shared" si="24"/>
        <v>5.0600601774237788</v>
      </c>
      <c r="H197" s="73">
        <f t="shared" si="25"/>
        <v>2.3356300362022656E-3</v>
      </c>
      <c r="I197" s="69"/>
      <c r="J197" s="69">
        <f t="shared" si="21"/>
        <v>157.42984334972039</v>
      </c>
      <c r="K197" s="69">
        <f t="shared" si="26"/>
        <v>1.5676408707873457E-2</v>
      </c>
      <c r="L197" s="69">
        <f t="shared" si="27"/>
        <v>2.429843349720386</v>
      </c>
      <c r="M197" s="69"/>
    </row>
    <row r="198" spans="1:13" x14ac:dyDescent="0.3">
      <c r="A198" s="79">
        <v>0.15409999999999999</v>
      </c>
      <c r="B198" s="78">
        <f t="shared" si="22"/>
        <v>154.1</v>
      </c>
      <c r="C198" s="83">
        <v>156</v>
      </c>
      <c r="F198" s="79">
        <f t="shared" si="23"/>
        <v>-1.8701535366560671</v>
      </c>
      <c r="G198" s="80">
        <f t="shared" si="24"/>
        <v>5.0376017423260704</v>
      </c>
      <c r="H198" s="73">
        <f t="shared" si="25"/>
        <v>2.3301875801001984E-3</v>
      </c>
      <c r="I198" s="69"/>
      <c r="J198" s="69">
        <f t="shared" si="21"/>
        <v>158.48969687671041</v>
      </c>
      <c r="K198" s="69">
        <f t="shared" si="26"/>
        <v>1.5959595363528277E-2</v>
      </c>
      <c r="L198" s="69">
        <f t="shared" si="27"/>
        <v>2.4896968767104113</v>
      </c>
      <c r="M198" s="69"/>
    </row>
    <row r="199" spans="1:13" x14ac:dyDescent="0.3">
      <c r="A199" s="79">
        <v>0.1507</v>
      </c>
      <c r="B199" s="78">
        <f t="shared" si="22"/>
        <v>150.69999999999999</v>
      </c>
      <c r="C199" s="83">
        <v>157</v>
      </c>
      <c r="F199" s="79">
        <f t="shared" si="23"/>
        <v>-1.8924641733496872</v>
      </c>
      <c r="G199" s="80">
        <f t="shared" si="24"/>
        <v>5.0152911056324498</v>
      </c>
      <c r="H199" s="73">
        <f t="shared" si="25"/>
        <v>2.3247704289201441E-3</v>
      </c>
      <c r="I199" s="69"/>
      <c r="J199" s="69">
        <f t="shared" si="21"/>
        <v>159.54775437207473</v>
      </c>
      <c r="K199" s="69">
        <f t="shared" si="26"/>
        <v>1.6227734853979204E-2</v>
      </c>
      <c r="L199" s="69">
        <f t="shared" si="27"/>
        <v>2.5477543720747349</v>
      </c>
      <c r="M199" s="69"/>
    </row>
    <row r="200" spans="1:13" x14ac:dyDescent="0.3">
      <c r="A200" s="79">
        <v>0.1474</v>
      </c>
      <c r="B200" s="78">
        <f t="shared" si="22"/>
        <v>147.4</v>
      </c>
      <c r="C200" s="83">
        <v>158</v>
      </c>
      <c r="F200" s="79">
        <f t="shared" si="23"/>
        <v>-1.9146052992269007</v>
      </c>
      <c r="G200" s="80">
        <f t="shared" si="24"/>
        <v>4.9931499797552359</v>
      </c>
      <c r="H200" s="73">
        <f t="shared" si="25"/>
        <v>2.3193784065870349E-3</v>
      </c>
      <c r="I200" s="69"/>
      <c r="J200" s="69">
        <f t="shared" si="21"/>
        <v>160.60291367219122</v>
      </c>
      <c r="K200" s="69">
        <f t="shared" si="26"/>
        <v>1.6474137165767223E-2</v>
      </c>
      <c r="L200" s="69">
        <f t="shared" si="27"/>
        <v>2.6029136721912209</v>
      </c>
      <c r="M200" s="69"/>
    </row>
    <row r="201" spans="1:13" x14ac:dyDescent="0.3">
      <c r="A201" s="79">
        <v>0.14410000000000001</v>
      </c>
      <c r="B201" s="78">
        <f t="shared" si="22"/>
        <v>144.1</v>
      </c>
      <c r="C201" s="83">
        <v>159</v>
      </c>
      <c r="F201" s="79">
        <f t="shared" si="23"/>
        <v>-1.9372477759766606</v>
      </c>
      <c r="G201" s="80">
        <f t="shared" si="24"/>
        <v>4.9705075030054759</v>
      </c>
      <c r="H201" s="73">
        <f t="shared" si="25"/>
        <v>2.3140113386555597E-3</v>
      </c>
      <c r="I201" s="69"/>
      <c r="J201" s="69">
        <f t="shared" si="21"/>
        <v>161.68730094244717</v>
      </c>
      <c r="K201" s="69">
        <f t="shared" si="26"/>
        <v>1.6901263788975888E-2</v>
      </c>
      <c r="L201" s="69">
        <f t="shared" si="27"/>
        <v>2.6873009424471661</v>
      </c>
      <c r="M201" s="69"/>
    </row>
    <row r="202" spans="1:13" x14ac:dyDescent="0.3">
      <c r="A202" s="79">
        <v>0.14099999999999999</v>
      </c>
      <c r="B202" s="78">
        <f t="shared" si="22"/>
        <v>141</v>
      </c>
      <c r="C202" s="83">
        <v>160</v>
      </c>
      <c r="F202" s="79">
        <f t="shared" si="23"/>
        <v>-1.9589953886039688</v>
      </c>
      <c r="G202" s="80">
        <f t="shared" si="24"/>
        <v>4.9487598903781684</v>
      </c>
      <c r="H202" s="73">
        <f t="shared" si="25"/>
        <v>2.3086690522913541E-3</v>
      </c>
      <c r="I202" s="69"/>
      <c r="J202" s="69">
        <f t="shared" si="21"/>
        <v>162.73394868314938</v>
      </c>
      <c r="K202" s="69">
        <f t="shared" si="26"/>
        <v>1.7087179269683617E-2</v>
      </c>
      <c r="L202" s="69">
        <f t="shared" si="27"/>
        <v>2.7339486831493787</v>
      </c>
      <c r="M202" s="69"/>
    </row>
    <row r="203" spans="1:13" x14ac:dyDescent="0.3">
      <c r="A203" s="79">
        <v>0.13789999999999999</v>
      </c>
      <c r="B203" s="78">
        <f t="shared" si="22"/>
        <v>137.9</v>
      </c>
      <c r="C203" s="83">
        <v>161</v>
      </c>
      <c r="F203" s="79">
        <f t="shared" si="23"/>
        <v>-1.981226494182881</v>
      </c>
      <c r="G203" s="80">
        <f t="shared" si="24"/>
        <v>4.926528784799256</v>
      </c>
      <c r="H203" s="73">
        <f t="shared" si="25"/>
        <v>2.3033513762524475E-3</v>
      </c>
      <c r="I203" s="69"/>
      <c r="J203" s="69">
        <f t="shared" si="21"/>
        <v>163.8090861484763</v>
      </c>
      <c r="K203" s="69">
        <f t="shared" si="26"/>
        <v>1.7447740052647806E-2</v>
      </c>
      <c r="L203" s="69">
        <f t="shared" si="27"/>
        <v>2.8090861484762968</v>
      </c>
      <c r="M203" s="69"/>
    </row>
    <row r="204" spans="1:13" x14ac:dyDescent="0.3">
      <c r="A204" s="79">
        <v>0.13500000000000001</v>
      </c>
      <c r="B204" s="78">
        <f t="shared" si="22"/>
        <v>135</v>
      </c>
      <c r="C204" s="83">
        <v>162</v>
      </c>
      <c r="F204" s="79">
        <f t="shared" si="23"/>
        <v>-2.0024805005437076</v>
      </c>
      <c r="G204" s="80">
        <f t="shared" si="24"/>
        <v>4.9052747784384296</v>
      </c>
      <c r="H204" s="73">
        <f t="shared" si="25"/>
        <v>2.2980581408709642E-3</v>
      </c>
      <c r="I204" s="69"/>
      <c r="J204" s="69">
        <f t="shared" si="21"/>
        <v>164.841940261616</v>
      </c>
      <c r="K204" s="69">
        <f t="shared" si="26"/>
        <v>1.7542841121086436E-2</v>
      </c>
      <c r="L204" s="69">
        <f t="shared" si="27"/>
        <v>2.8419402616160028</v>
      </c>
      <c r="M204" s="69"/>
    </row>
    <row r="205" spans="1:13" x14ac:dyDescent="0.3">
      <c r="A205" s="79">
        <v>0.1321</v>
      </c>
      <c r="B205" s="78">
        <f t="shared" si="22"/>
        <v>132.1</v>
      </c>
      <c r="C205" s="83">
        <v>163</v>
      </c>
      <c r="F205" s="79">
        <f t="shared" si="23"/>
        <v>-2.0241960674538575</v>
      </c>
      <c r="G205" s="80">
        <f t="shared" si="24"/>
        <v>4.8835592115282793</v>
      </c>
      <c r="H205" s="73">
        <f t="shared" si="25"/>
        <v>2.2927891780350797E-3</v>
      </c>
      <c r="I205" s="69"/>
      <c r="J205" s="69">
        <f t="shared" si="21"/>
        <v>165.90227944499475</v>
      </c>
      <c r="K205" s="69">
        <f t="shared" si="26"/>
        <v>1.780539536806593E-2</v>
      </c>
      <c r="L205" s="69">
        <f t="shared" si="27"/>
        <v>2.9022794449947469</v>
      </c>
      <c r="M205" s="69"/>
    </row>
    <row r="206" spans="1:13" x14ac:dyDescent="0.3">
      <c r="A206" s="79">
        <v>0.1293</v>
      </c>
      <c r="B206" s="78">
        <f t="shared" si="22"/>
        <v>129.30000000000001</v>
      </c>
      <c r="C206" s="83">
        <v>164</v>
      </c>
      <c r="F206" s="79">
        <f t="shared" si="23"/>
        <v>-2.0456199932043253</v>
      </c>
      <c r="G206" s="80">
        <f t="shared" si="24"/>
        <v>4.8621352857778115</v>
      </c>
      <c r="H206" s="73">
        <f t="shared" si="25"/>
        <v>2.2875443211712227E-3</v>
      </c>
      <c r="I206" s="69"/>
      <c r="J206" s="69">
        <f t="shared" si="21"/>
        <v>166.95342127520689</v>
      </c>
      <c r="K206" s="69">
        <f t="shared" si="26"/>
        <v>1.8008666312237149E-2</v>
      </c>
      <c r="L206" s="69">
        <f t="shared" si="27"/>
        <v>2.9534212752068925</v>
      </c>
      <c r="M206" s="69"/>
    </row>
    <row r="207" spans="1:13" x14ac:dyDescent="0.3">
      <c r="A207" s="83">
        <v>0.1265</v>
      </c>
      <c r="B207" s="78">
        <f t="shared" si="22"/>
        <v>126.5</v>
      </c>
      <c r="C207" s="83">
        <v>165</v>
      </c>
      <c r="F207" s="79">
        <f t="shared" si="23"/>
        <v>-2.0675129708145623</v>
      </c>
      <c r="G207" s="80">
        <f t="shared" si="24"/>
        <v>4.8402423081675749</v>
      </c>
      <c r="H207" s="73">
        <f t="shared" si="25"/>
        <v>2.2823234052265209E-3</v>
      </c>
      <c r="I207" s="69"/>
      <c r="J207" s="69">
        <f t="shared" si="21"/>
        <v>168.0327889887655</v>
      </c>
      <c r="K207" s="69">
        <f t="shared" si="26"/>
        <v>1.8380539325851535E-2</v>
      </c>
      <c r="L207" s="69">
        <f t="shared" si="27"/>
        <v>3.0327889887655033</v>
      </c>
      <c r="M207" s="69"/>
    </row>
    <row r="208" spans="1:13" x14ac:dyDescent="0.3">
      <c r="A208" s="83">
        <v>0.1239</v>
      </c>
      <c r="B208" s="78">
        <f t="shared" si="22"/>
        <v>123.89999999999999</v>
      </c>
      <c r="C208" s="83">
        <v>166</v>
      </c>
      <c r="F208" s="79">
        <f t="shared" si="23"/>
        <v>-2.0882804903470404</v>
      </c>
      <c r="G208" s="80">
        <f t="shared" si="24"/>
        <v>4.8194747886350964</v>
      </c>
      <c r="H208" s="73">
        <f t="shared" si="25"/>
        <v>2.277126266651486E-3</v>
      </c>
      <c r="I208" s="69"/>
      <c r="J208" s="69">
        <f t="shared" si="21"/>
        <v>169.06157388151956</v>
      </c>
      <c r="K208" s="69">
        <f t="shared" si="26"/>
        <v>1.8443216153732313E-2</v>
      </c>
      <c r="L208" s="69">
        <f t="shared" si="27"/>
        <v>3.0615738815195641</v>
      </c>
      <c r="M208" s="69"/>
    </row>
    <row r="209" spans="1:13" x14ac:dyDescent="0.3">
      <c r="A209" s="83">
        <v>0.12130000000000001</v>
      </c>
      <c r="B209" s="78">
        <f t="shared" si="22"/>
        <v>121.30000000000001</v>
      </c>
      <c r="C209" s="83">
        <v>167</v>
      </c>
      <c r="F209" s="79">
        <f t="shared" si="23"/>
        <v>-2.1094884630321324</v>
      </c>
      <c r="G209" s="80">
        <f t="shared" si="24"/>
        <v>4.7982668159500044</v>
      </c>
      <c r="H209" s="73">
        <f t="shared" si="25"/>
        <v>2.2719527433829379E-3</v>
      </c>
      <c r="I209" s="69"/>
      <c r="J209" s="69">
        <f t="shared" si="21"/>
        <v>170.11714155928297</v>
      </c>
      <c r="K209" s="69">
        <f t="shared" si="26"/>
        <v>1.8665518319059701E-2</v>
      </c>
      <c r="L209" s="69">
        <f t="shared" si="27"/>
        <v>3.1171415592829703</v>
      </c>
      <c r="M209" s="69"/>
    </row>
    <row r="210" spans="1:13" x14ac:dyDescent="0.3">
      <c r="A210" s="83">
        <v>0.1187</v>
      </c>
      <c r="B210" s="78">
        <f t="shared" si="22"/>
        <v>118.7</v>
      </c>
      <c r="C210" s="83">
        <v>168</v>
      </c>
      <c r="F210" s="79">
        <f t="shared" si="23"/>
        <v>-2.1311559773665145</v>
      </c>
      <c r="G210" s="80">
        <f t="shared" si="24"/>
        <v>4.7765993016156223</v>
      </c>
      <c r="H210" s="73">
        <f t="shared" si="25"/>
        <v>2.2668026748271564E-3</v>
      </c>
      <c r="I210" s="69"/>
      <c r="J210" s="69">
        <f t="shared" si="21"/>
        <v>171.20079865868803</v>
      </c>
      <c r="K210" s="69">
        <f t="shared" si="26"/>
        <v>1.9052372968381127E-2</v>
      </c>
      <c r="L210" s="69">
        <f t="shared" si="27"/>
        <v>3.2007986586880293</v>
      </c>
      <c r="M210" s="69"/>
    </row>
    <row r="211" spans="1:13" x14ac:dyDescent="0.3">
      <c r="A211" s="84">
        <v>0.1163</v>
      </c>
      <c r="B211" s="78">
        <f t="shared" si="22"/>
        <v>116.3</v>
      </c>
      <c r="C211" s="83">
        <v>169</v>
      </c>
      <c r="F211" s="79">
        <f t="shared" si="23"/>
        <v>-2.1515822194575183</v>
      </c>
      <c r="G211" s="80">
        <f t="shared" si="24"/>
        <v>4.7561730595246186</v>
      </c>
      <c r="H211" s="73">
        <f t="shared" si="25"/>
        <v>2.2616759018432662E-3</v>
      </c>
      <c r="I211" s="69"/>
      <c r="J211" s="69">
        <f t="shared" si="21"/>
        <v>172.2272390708444</v>
      </c>
      <c r="K211" s="69">
        <f t="shared" si="26"/>
        <v>1.9096089176594111E-2</v>
      </c>
      <c r="L211" s="69">
        <f t="shared" si="27"/>
        <v>3.227239070844405</v>
      </c>
      <c r="M211" s="69"/>
    </row>
    <row r="212" spans="1:13" x14ac:dyDescent="0.3">
      <c r="A212" s="84">
        <v>0.1139</v>
      </c>
      <c r="B212" s="78">
        <f t="shared" si="22"/>
        <v>113.9</v>
      </c>
      <c r="C212" s="83">
        <v>170</v>
      </c>
      <c r="F212" s="79">
        <f t="shared" si="23"/>
        <v>-2.1724344085290004</v>
      </c>
      <c r="G212" s="80">
        <f t="shared" si="24"/>
        <v>4.7353208704531369</v>
      </c>
      <c r="H212" s="73">
        <f t="shared" si="25"/>
        <v>2.2565722667268421E-3</v>
      </c>
      <c r="I212" s="69"/>
      <c r="J212" s="69">
        <f t="shared" si="21"/>
        <v>173.27998680447809</v>
      </c>
      <c r="K212" s="69">
        <f t="shared" si="26"/>
        <v>1.9294040026341677E-2</v>
      </c>
      <c r="L212" s="69">
        <f t="shared" si="27"/>
        <v>3.2799868044780851</v>
      </c>
      <c r="M212" s="69"/>
    </row>
    <row r="213" spans="1:13" x14ac:dyDescent="0.3">
      <c r="A213" s="84">
        <v>0.1115</v>
      </c>
      <c r="B213" s="78">
        <f t="shared" si="22"/>
        <v>111.5</v>
      </c>
      <c r="C213" s="83">
        <v>171</v>
      </c>
      <c r="F213" s="79">
        <f t="shared" si="23"/>
        <v>-2.1937306880819634</v>
      </c>
      <c r="G213" s="80">
        <f t="shared" si="24"/>
        <v>4.7140245909001735</v>
      </c>
      <c r="H213" s="73">
        <f t="shared" si="25"/>
        <v>2.251491613193741E-3</v>
      </c>
      <c r="I213" s="69"/>
      <c r="J213" s="69">
        <f t="shared" si="21"/>
        <v>174.36030432914993</v>
      </c>
      <c r="K213" s="69">
        <f t="shared" si="26"/>
        <v>1.9650902509648693E-2</v>
      </c>
      <c r="L213" s="69">
        <f t="shared" si="27"/>
        <v>3.3603043291499262</v>
      </c>
      <c r="M213" s="69"/>
    </row>
    <row r="214" spans="1:13" x14ac:dyDescent="0.3">
      <c r="A214" s="84">
        <v>0.10920000000000001</v>
      </c>
      <c r="B214" s="78">
        <f t="shared" si="22"/>
        <v>109.2</v>
      </c>
      <c r="C214" s="83">
        <v>172</v>
      </c>
      <c r="F214" s="79">
        <f t="shared" si="23"/>
        <v>-2.2145742156713322</v>
      </c>
      <c r="G214" s="80">
        <f t="shared" si="24"/>
        <v>4.6931810633108046</v>
      </c>
      <c r="H214" s="73">
        <f t="shared" si="25"/>
        <v>2.2464337863641469E-3</v>
      </c>
      <c r="I214" s="69"/>
      <c r="J214" s="69">
        <f t="shared" si="21"/>
        <v>175.42272965005071</v>
      </c>
      <c r="K214" s="69">
        <f t="shared" si="26"/>
        <v>1.9899590988666931E-2</v>
      </c>
      <c r="L214" s="69">
        <f t="shared" si="27"/>
        <v>3.4227296500507123</v>
      </c>
      <c r="M214" s="69"/>
    </row>
    <row r="215" spans="1:13" x14ac:dyDescent="0.3">
      <c r="A215" s="84">
        <v>0.107</v>
      </c>
      <c r="B215" s="78">
        <f t="shared" si="22"/>
        <v>107</v>
      </c>
      <c r="C215" s="83">
        <v>173</v>
      </c>
      <c r="F215" s="79">
        <f t="shared" si="23"/>
        <v>-2.234926444520231</v>
      </c>
      <c r="G215" s="80">
        <f t="shared" si="24"/>
        <v>4.6728288344619058</v>
      </c>
      <c r="H215" s="73">
        <f t="shared" si="25"/>
        <v>2.241398632746834E-3</v>
      </c>
      <c r="I215" s="69"/>
      <c r="J215" s="69">
        <f t="shared" si="21"/>
        <v>176.46499167029606</v>
      </c>
      <c r="K215" s="69">
        <f t="shared" si="26"/>
        <v>2.0028853585526349E-2</v>
      </c>
      <c r="L215" s="69">
        <f t="shared" si="27"/>
        <v>3.4649916702960581</v>
      </c>
      <c r="M215" s="69"/>
    </row>
    <row r="216" spans="1:13" x14ac:dyDescent="0.3">
      <c r="A216" s="84">
        <v>0.1048</v>
      </c>
      <c r="B216" s="78">
        <f t="shared" si="22"/>
        <v>104.80000000000001</v>
      </c>
      <c r="C216" s="83">
        <v>174</v>
      </c>
      <c r="F216" s="79">
        <f t="shared" si="23"/>
        <v>-2.2557015070951953</v>
      </c>
      <c r="G216" s="80">
        <f t="shared" si="24"/>
        <v>4.6520537718869415</v>
      </c>
      <c r="H216" s="73">
        <f t="shared" si="25"/>
        <v>2.2363860002236387E-3</v>
      </c>
      <c r="I216" s="69"/>
      <c r="J216" s="69">
        <f t="shared" si="21"/>
        <v>177.53391477891239</v>
      </c>
      <c r="K216" s="69">
        <f t="shared" si="26"/>
        <v>2.030985505122063E-2</v>
      </c>
      <c r="L216" s="69">
        <f t="shared" si="27"/>
        <v>3.5339147789123899</v>
      </c>
      <c r="M216" s="69"/>
    </row>
    <row r="217" spans="1:13" x14ac:dyDescent="0.3">
      <c r="A217" s="84">
        <v>0.1027</v>
      </c>
      <c r="B217" s="78">
        <f t="shared" si="22"/>
        <v>102.7</v>
      </c>
      <c r="C217" s="83">
        <v>175</v>
      </c>
      <c r="F217" s="79">
        <f t="shared" si="23"/>
        <v>-2.2759431620476245</v>
      </c>
      <c r="G217" s="80">
        <f t="shared" si="24"/>
        <v>4.6318121169345128</v>
      </c>
      <c r="H217" s="73">
        <f t="shared" si="25"/>
        <v>2.2313957380341405E-3</v>
      </c>
      <c r="I217" s="69"/>
      <c r="J217" s="69">
        <f t="shared" si="21"/>
        <v>178.58029271670108</v>
      </c>
      <c r="K217" s="69">
        <f t="shared" si="26"/>
        <v>2.0458815524006177E-2</v>
      </c>
      <c r="L217" s="69">
        <f t="shared" si="27"/>
        <v>3.5802927167010807</v>
      </c>
      <c r="M217" s="69"/>
    </row>
    <row r="218" spans="1:13" x14ac:dyDescent="0.3">
      <c r="A218" s="84">
        <v>0.10059999999999999</v>
      </c>
      <c r="B218" s="78">
        <f t="shared" si="22"/>
        <v>100.6</v>
      </c>
      <c r="C218" s="83">
        <v>176</v>
      </c>
      <c r="F218" s="79">
        <f t="shared" si="23"/>
        <v>-2.2966030213164981</v>
      </c>
      <c r="G218" s="80">
        <f t="shared" si="24"/>
        <v>4.6111522576656387</v>
      </c>
      <c r="H218" s="73">
        <f t="shared" si="25"/>
        <v>2.2264276967605477E-3</v>
      </c>
      <c r="I218" s="69"/>
      <c r="J218" s="69">
        <f t="shared" si="21"/>
        <v>179.65331181587862</v>
      </c>
      <c r="K218" s="69">
        <f t="shared" si="26"/>
        <v>2.0757453499310363E-2</v>
      </c>
      <c r="L218" s="69">
        <f t="shared" si="27"/>
        <v>3.6533118158786237</v>
      </c>
      <c r="M218" s="69"/>
    </row>
    <row r="219" spans="1:13" x14ac:dyDescent="0.3">
      <c r="A219" s="84">
        <v>9.8599999999999993E-2</v>
      </c>
      <c r="B219" s="78">
        <f t="shared" si="22"/>
        <v>98.6</v>
      </c>
      <c r="C219" s="83">
        <v>177</v>
      </c>
      <c r="F219" s="79">
        <f t="shared" si="23"/>
        <v>-2.3166840173735475</v>
      </c>
      <c r="G219" s="80">
        <f t="shared" si="24"/>
        <v>4.5910712616085894</v>
      </c>
      <c r="H219" s="73">
        <f t="shared" si="25"/>
        <v>2.2214817283127846E-3</v>
      </c>
      <c r="I219" s="69"/>
      <c r="J219" s="69">
        <f t="shared" si="21"/>
        <v>180.70116293568191</v>
      </c>
      <c r="K219" s="69">
        <f t="shared" si="26"/>
        <v>2.0910525060349759E-2</v>
      </c>
      <c r="L219" s="69">
        <f t="shared" si="27"/>
        <v>3.7011629356819071</v>
      </c>
      <c r="M219" s="69"/>
    </row>
    <row r="220" spans="1:13" x14ac:dyDescent="0.3">
      <c r="A220" s="84">
        <v>9.6600000000000005E-2</v>
      </c>
      <c r="B220" s="78">
        <f t="shared" si="22"/>
        <v>96.600000000000009</v>
      </c>
      <c r="C220" s="83">
        <v>178</v>
      </c>
      <c r="F220" s="79">
        <f t="shared" si="23"/>
        <v>-2.3371765377636646</v>
      </c>
      <c r="G220" s="80">
        <f t="shared" si="24"/>
        <v>4.5705787412184726</v>
      </c>
      <c r="H220" s="73">
        <f t="shared" si="25"/>
        <v>2.2165576859137759E-3</v>
      </c>
      <c r="I220" s="69"/>
      <c r="J220" s="69">
        <f t="shared" si="21"/>
        <v>181.77549958907611</v>
      </c>
      <c r="K220" s="69">
        <f t="shared" si="26"/>
        <v>2.1210671848742164E-2</v>
      </c>
      <c r="L220" s="69">
        <f t="shared" si="27"/>
        <v>3.7754995890761052</v>
      </c>
      <c r="M220" s="69"/>
    </row>
    <row r="221" spans="1:13" x14ac:dyDescent="0.3">
      <c r="A221" s="84">
        <v>9.4700000000000006E-2</v>
      </c>
      <c r="B221" s="78">
        <f t="shared" si="22"/>
        <v>94.7</v>
      </c>
      <c r="C221" s="83">
        <v>179</v>
      </c>
      <c r="F221" s="79">
        <f t="shared" si="23"/>
        <v>-2.3570412787901045</v>
      </c>
      <c r="G221" s="80">
        <f t="shared" si="24"/>
        <v>4.5507140001920323</v>
      </c>
      <c r="H221" s="73">
        <f t="shared" si="25"/>
        <v>2.2116554240849276E-3</v>
      </c>
      <c r="I221" s="69"/>
      <c r="J221" s="69">
        <f t="shared" si="21"/>
        <v>182.82179048666467</v>
      </c>
      <c r="K221" s="69">
        <f t="shared" si="26"/>
        <v>2.1350784841702053E-2</v>
      </c>
      <c r="L221" s="69">
        <f t="shared" si="27"/>
        <v>3.8217904866646677</v>
      </c>
      <c r="M221" s="69"/>
    </row>
    <row r="222" spans="1:13" x14ac:dyDescent="0.3">
      <c r="A222" s="84">
        <v>9.2799999999999994E-2</v>
      </c>
      <c r="B222" s="78">
        <f t="shared" si="22"/>
        <v>92.8</v>
      </c>
      <c r="C222" s="83">
        <v>180</v>
      </c>
      <c r="F222" s="79">
        <f t="shared" si="23"/>
        <v>-2.377308639189982</v>
      </c>
      <c r="G222" s="80">
        <f t="shared" si="24"/>
        <v>4.5304466397921548</v>
      </c>
      <c r="H222" s="73">
        <f t="shared" si="25"/>
        <v>2.2067747986317999E-3</v>
      </c>
      <c r="I222" s="69"/>
      <c r="J222" s="69">
        <f t="shared" si="21"/>
        <v>183.89425938772558</v>
      </c>
      <c r="K222" s="69">
        <f t="shared" si="26"/>
        <v>2.1634774376253239E-2</v>
      </c>
      <c r="L222" s="69">
        <f t="shared" si="27"/>
        <v>3.8942593877255831</v>
      </c>
      <c r="M222" s="69"/>
    </row>
    <row r="223" spans="1:13" x14ac:dyDescent="0.3">
      <c r="A223" s="84">
        <v>9.0899999999999995E-2</v>
      </c>
      <c r="B223" s="78">
        <f t="shared" si="22"/>
        <v>90.899999999999991</v>
      </c>
      <c r="C223" s="83">
        <v>181</v>
      </c>
      <c r="F223" s="79">
        <f t="shared" si="23"/>
        <v>-2.3979952777987039</v>
      </c>
      <c r="G223" s="80">
        <f t="shared" si="24"/>
        <v>4.5097600011834329</v>
      </c>
      <c r="H223" s="73">
        <f t="shared" si="25"/>
        <v>2.2019156666299683E-3</v>
      </c>
      <c r="I223" s="69"/>
      <c r="J223" s="69">
        <f t="shared" si="21"/>
        <v>184.99412999491011</v>
      </c>
      <c r="K223" s="69">
        <f t="shared" si="26"/>
        <v>2.2067016546464702E-2</v>
      </c>
      <c r="L223" s="69">
        <f t="shared" si="27"/>
        <v>3.9941299949101108</v>
      </c>
      <c r="M223" s="69"/>
    </row>
    <row r="224" spans="1:13" x14ac:dyDescent="0.3">
      <c r="A224" s="84">
        <v>8.9099999999999999E-2</v>
      </c>
      <c r="B224" s="78">
        <f t="shared" si="22"/>
        <v>89.1</v>
      </c>
      <c r="C224" s="83">
        <v>182</v>
      </c>
      <c r="F224" s="79">
        <f t="shared" si="23"/>
        <v>-2.4179959445053734</v>
      </c>
      <c r="G224" s="80">
        <f t="shared" si="24"/>
        <v>4.4897593344767639</v>
      </c>
      <c r="H224" s="73">
        <f t="shared" si="25"/>
        <v>2.1970778864110734E-3</v>
      </c>
      <c r="I224" s="69"/>
      <c r="J224" s="69">
        <f t="shared" si="21"/>
        <v>186.06257372291805</v>
      </c>
      <c r="K224" s="69">
        <f t="shared" si="26"/>
        <v>2.2321833642406846E-2</v>
      </c>
      <c r="L224" s="69">
        <f t="shared" si="27"/>
        <v>4.0625737229180459</v>
      </c>
      <c r="M224" s="69"/>
    </row>
    <row r="225" spans="1:13" x14ac:dyDescent="0.3">
      <c r="A225" s="84">
        <v>8.7300000000000003E-2</v>
      </c>
      <c r="B225" s="78">
        <f t="shared" si="22"/>
        <v>87.3</v>
      </c>
      <c r="C225" s="83">
        <v>183</v>
      </c>
      <c r="F225" s="79">
        <f t="shared" si="23"/>
        <v>-2.4384048161365803</v>
      </c>
      <c r="G225" s="80">
        <f t="shared" si="24"/>
        <v>4.4693504628455569</v>
      </c>
      <c r="H225" s="73">
        <f t="shared" si="25"/>
        <v>2.1922613175490518E-3</v>
      </c>
      <c r="I225" s="69"/>
      <c r="J225" s="69">
        <f t="shared" si="21"/>
        <v>187.15797324314048</v>
      </c>
      <c r="K225" s="69">
        <f t="shared" si="26"/>
        <v>2.2721165263062705E-2</v>
      </c>
      <c r="L225" s="69">
        <f t="shared" si="27"/>
        <v>4.157973243140475</v>
      </c>
      <c r="M225" s="69"/>
    </row>
    <row r="226" spans="1:13" x14ac:dyDescent="0.3">
      <c r="A226" s="84">
        <v>8.5599999999999996E-2</v>
      </c>
      <c r="B226" s="78">
        <f t="shared" si="22"/>
        <v>85.6</v>
      </c>
      <c r="C226" s="83">
        <v>184</v>
      </c>
      <c r="F226" s="79">
        <f t="shared" si="23"/>
        <v>-2.4580699958344407</v>
      </c>
      <c r="G226" s="80">
        <f t="shared" si="24"/>
        <v>4.4496852831476961</v>
      </c>
      <c r="H226" s="73">
        <f t="shared" si="25"/>
        <v>2.1874658208465496E-3</v>
      </c>
      <c r="I226" s="69"/>
      <c r="J226" s="69">
        <f t="shared" si="21"/>
        <v>188.21841191569649</v>
      </c>
      <c r="K226" s="69">
        <f t="shared" si="26"/>
        <v>2.2926151715741808E-2</v>
      </c>
      <c r="L226" s="69">
        <f t="shared" si="27"/>
        <v>4.2184119156964925</v>
      </c>
      <c r="M226" s="69"/>
    </row>
    <row r="227" spans="1:13" x14ac:dyDescent="0.3">
      <c r="A227" s="84">
        <v>8.3900000000000002E-2</v>
      </c>
      <c r="B227" s="78">
        <f t="shared" si="22"/>
        <v>83.9</v>
      </c>
      <c r="C227" s="83">
        <v>185</v>
      </c>
      <c r="F227" s="79">
        <f t="shared" si="23"/>
        <v>-2.4781296655089764</v>
      </c>
      <c r="G227" s="80">
        <f t="shared" si="24"/>
        <v>4.4296256134731609</v>
      </c>
      <c r="H227" s="73">
        <f t="shared" si="25"/>
        <v>2.1826912583215105E-3</v>
      </c>
      <c r="I227" s="69"/>
      <c r="J227" s="69">
        <f t="shared" si="21"/>
        <v>189.3051691900468</v>
      </c>
      <c r="K227" s="69">
        <f t="shared" si="26"/>
        <v>2.3271184811063769E-2</v>
      </c>
      <c r="L227" s="69">
        <f t="shared" si="27"/>
        <v>4.3051691900467972</v>
      </c>
      <c r="M227" s="69"/>
    </row>
    <row r="228" spans="1:13" x14ac:dyDescent="0.3">
      <c r="A228" s="84">
        <v>8.2199999999999995E-2</v>
      </c>
      <c r="B228" s="78">
        <f t="shared" si="22"/>
        <v>82.199999999999989</v>
      </c>
      <c r="C228" s="83">
        <v>186</v>
      </c>
      <c r="F228" s="79">
        <f t="shared" si="23"/>
        <v>-2.4985999769200027</v>
      </c>
      <c r="G228" s="80">
        <f t="shared" si="24"/>
        <v>4.4091553020621337</v>
      </c>
      <c r="H228" s="73">
        <f t="shared" si="25"/>
        <v>2.1779374931939453E-3</v>
      </c>
      <c r="I228" s="69"/>
      <c r="J228" s="69">
        <f t="shared" si="21"/>
        <v>190.41946421713067</v>
      </c>
      <c r="K228" s="69">
        <f t="shared" si="26"/>
        <v>2.3760560307154122E-2</v>
      </c>
      <c r="L228" s="69">
        <f t="shared" si="27"/>
        <v>4.4194642171306668</v>
      </c>
      <c r="M228" s="69"/>
    </row>
    <row r="229" spans="1:13" x14ac:dyDescent="0.3">
      <c r="A229" s="84">
        <v>8.0600000000000005E-2</v>
      </c>
      <c r="B229" s="78">
        <f t="shared" si="22"/>
        <v>80.600000000000009</v>
      </c>
      <c r="C229" s="83">
        <v>187</v>
      </c>
      <c r="F229" s="79">
        <f t="shared" si="23"/>
        <v>-2.5182566294695543</v>
      </c>
      <c r="G229" s="80">
        <f t="shared" si="24"/>
        <v>4.389498649512583</v>
      </c>
      <c r="H229" s="73">
        <f t="shared" si="25"/>
        <v>2.1732043898728677E-3</v>
      </c>
      <c r="I229" s="69"/>
      <c r="J229" s="69">
        <f t="shared" si="21"/>
        <v>191.49453361046079</v>
      </c>
      <c r="K229" s="69">
        <f t="shared" si="26"/>
        <v>2.4034939093373217E-2</v>
      </c>
      <c r="L229" s="69">
        <f t="shared" si="27"/>
        <v>4.4945336104607918</v>
      </c>
      <c r="M229" s="69"/>
    </row>
    <row r="230" spans="1:13" x14ac:dyDescent="0.3">
      <c r="A230" s="84">
        <v>7.9000000000000001E-2</v>
      </c>
      <c r="B230" s="78">
        <f t="shared" si="22"/>
        <v>79</v>
      </c>
      <c r="C230" s="83">
        <v>188</v>
      </c>
      <c r="F230" s="79">
        <f t="shared" si="23"/>
        <v>-2.5383074265151158</v>
      </c>
      <c r="G230" s="80">
        <f t="shared" si="24"/>
        <v>4.3694478524670215</v>
      </c>
      <c r="H230" s="73">
        <f t="shared" si="25"/>
        <v>2.1684918139434025E-3</v>
      </c>
      <c r="I230" s="69"/>
      <c r="J230" s="69">
        <f t="shared" si="21"/>
        <v>192.59630928369347</v>
      </c>
      <c r="K230" s="69">
        <f t="shared" si="26"/>
        <v>2.4448453636667405E-2</v>
      </c>
      <c r="L230" s="69">
        <f t="shared" si="27"/>
        <v>4.596309283693472</v>
      </c>
      <c r="M230" s="69"/>
    </row>
    <row r="231" spans="1:13" x14ac:dyDescent="0.3">
      <c r="A231" s="84">
        <v>7.7399999999999997E-2</v>
      </c>
      <c r="B231" s="78">
        <f t="shared" si="22"/>
        <v>77.399999999999991</v>
      </c>
      <c r="C231" s="83">
        <v>189</v>
      </c>
      <c r="F231" s="79">
        <f t="shared" si="23"/>
        <v>-2.5587684983864558</v>
      </c>
      <c r="G231" s="80">
        <f t="shared" si="24"/>
        <v>4.3489867805956814</v>
      </c>
      <c r="H231" s="73">
        <f t="shared" si="25"/>
        <v>2.1637996321540627E-3</v>
      </c>
      <c r="I231" s="69"/>
      <c r="J231" s="69">
        <f t="shared" si="21"/>
        <v>193.72602888202942</v>
      </c>
      <c r="K231" s="69">
        <f t="shared" si="26"/>
        <v>2.5005443820261507E-2</v>
      </c>
      <c r="L231" s="69">
        <f t="shared" si="27"/>
        <v>4.7260288820294249</v>
      </c>
      <c r="M231" s="69"/>
    </row>
    <row r="232" spans="1:13" x14ac:dyDescent="0.3">
      <c r="A232" s="84">
        <v>7.5899999999999995E-2</v>
      </c>
      <c r="B232" s="78">
        <f t="shared" si="22"/>
        <v>75.899999999999991</v>
      </c>
      <c r="C232" s="83">
        <v>190</v>
      </c>
      <c r="F232" s="79">
        <f t="shared" si="23"/>
        <v>-2.5783385945805528</v>
      </c>
      <c r="G232" s="80">
        <f t="shared" si="24"/>
        <v>4.3294166844015844</v>
      </c>
      <c r="H232" s="73">
        <f t="shared" si="25"/>
        <v>2.1591277124041889E-3</v>
      </c>
      <c r="I232" s="69"/>
      <c r="J232" s="69">
        <f t="shared" si="21"/>
        <v>194.81169460249754</v>
      </c>
      <c r="K232" s="69">
        <f t="shared" si="26"/>
        <v>2.5324708434197575E-2</v>
      </c>
      <c r="L232" s="69">
        <f t="shared" si="27"/>
        <v>4.8116946024975391</v>
      </c>
      <c r="M232" s="69"/>
    </row>
    <row r="233" spans="1:13" x14ac:dyDescent="0.3">
      <c r="A233" s="84">
        <v>7.4300000000000005E-2</v>
      </c>
      <c r="B233" s="78">
        <f t="shared" si="22"/>
        <v>74.300000000000011</v>
      </c>
      <c r="C233" s="83">
        <v>191</v>
      </c>
      <c r="F233" s="79">
        <f t="shared" si="23"/>
        <v>-2.5996443272584235</v>
      </c>
      <c r="G233" s="80">
        <f t="shared" si="24"/>
        <v>4.3081109517237133</v>
      </c>
      <c r="H233" s="73">
        <f t="shared" si="25"/>
        <v>2.1544759237315525E-3</v>
      </c>
      <c r="I233" s="69"/>
      <c r="J233" s="69">
        <f t="shared" si="21"/>
        <v>195.99940136397987</v>
      </c>
      <c r="K233" s="69">
        <f t="shared" si="26"/>
        <v>2.6174876251203513E-2</v>
      </c>
      <c r="L233" s="69">
        <f t="shared" si="27"/>
        <v>4.9994013639798709</v>
      </c>
      <c r="M233" s="69"/>
    </row>
    <row r="234" spans="1:13" x14ac:dyDescent="0.3">
      <c r="A234" s="84">
        <v>7.2900000000000006E-2</v>
      </c>
      <c r="B234" s="78">
        <f t="shared" si="22"/>
        <v>72.900000000000006</v>
      </c>
      <c r="C234" s="83">
        <v>192</v>
      </c>
      <c r="F234" s="79">
        <f t="shared" si="23"/>
        <v>-2.6186666399675245</v>
      </c>
      <c r="G234" s="80">
        <f t="shared" si="24"/>
        <v>4.2890886390146123</v>
      </c>
      <c r="H234" s="73">
        <f t="shared" si="25"/>
        <v>2.1498441363001185E-3</v>
      </c>
      <c r="I234" s="69"/>
      <c r="J234" s="69">
        <f t="shared" si="21"/>
        <v>197.06492275977814</v>
      </c>
      <c r="K234" s="69">
        <f t="shared" si="26"/>
        <v>2.6379806040511156E-2</v>
      </c>
      <c r="L234" s="69">
        <f t="shared" si="27"/>
        <v>5.0649227597781419</v>
      </c>
      <c r="M234" s="69"/>
    </row>
    <row r="235" spans="1:13" x14ac:dyDescent="0.3">
      <c r="A235" s="84">
        <v>7.1400000000000005E-2</v>
      </c>
      <c r="B235" s="78">
        <f t="shared" si="22"/>
        <v>71.400000000000006</v>
      </c>
      <c r="C235" s="83">
        <v>193</v>
      </c>
      <c r="F235" s="79">
        <f t="shared" si="23"/>
        <v>-2.6394574096365981</v>
      </c>
      <c r="G235" s="80">
        <f t="shared" si="24"/>
        <v>4.2682978693455391</v>
      </c>
      <c r="H235" s="73">
        <f t="shared" si="25"/>
        <v>2.1452322213879652E-3</v>
      </c>
      <c r="I235" s="69"/>
      <c r="J235" s="69">
        <f t="shared" si="21"/>
        <v>198.23505262986072</v>
      </c>
      <c r="K235" s="69">
        <f t="shared" si="26"/>
        <v>2.7124625025185065E-2</v>
      </c>
      <c r="L235" s="69">
        <f t="shared" si="27"/>
        <v>5.2350526298607178</v>
      </c>
      <c r="M235" s="69"/>
    </row>
    <row r="236" spans="1:13" x14ac:dyDescent="0.3">
      <c r="A236" s="84">
        <v>7.0000000000000007E-2</v>
      </c>
      <c r="B236" s="78">
        <f t="shared" si="22"/>
        <v>70</v>
      </c>
      <c r="C236" s="83">
        <v>194</v>
      </c>
      <c r="F236" s="79">
        <f t="shared" si="23"/>
        <v>-2.6592600369327779</v>
      </c>
      <c r="G236" s="80">
        <f t="shared" si="24"/>
        <v>4.2484952420493594</v>
      </c>
      <c r="H236" s="73">
        <f t="shared" si="25"/>
        <v>2.1406400513753615E-3</v>
      </c>
      <c r="I236" s="69"/>
      <c r="J236" s="69">
        <f t="shared" si="21"/>
        <v>199.35499663669628</v>
      </c>
      <c r="K236" s="69">
        <f t="shared" si="26"/>
        <v>2.7603075446888066E-2</v>
      </c>
      <c r="L236" s="69">
        <f t="shared" si="27"/>
        <v>5.3549966366962849</v>
      </c>
      <c r="M236" s="69"/>
    </row>
    <row r="237" spans="1:13" x14ac:dyDescent="0.3">
      <c r="A237" s="84">
        <v>6.8599999999999994E-2</v>
      </c>
      <c r="B237" s="78">
        <f t="shared" si="22"/>
        <v>68.599999999999994</v>
      </c>
      <c r="C237" s="83">
        <v>195</v>
      </c>
      <c r="F237" s="79">
        <f t="shared" si="23"/>
        <v>-2.6794627442502974</v>
      </c>
      <c r="G237" s="80">
        <f t="shared" si="24"/>
        <v>4.2282925347318399</v>
      </c>
      <c r="H237" s="73">
        <f t="shared" si="25"/>
        <v>2.1360674997329917E-3</v>
      </c>
      <c r="I237" s="69"/>
      <c r="J237" s="69">
        <f t="shared" si="21"/>
        <v>200.5030646390116</v>
      </c>
      <c r="K237" s="69">
        <f t="shared" si="26"/>
        <v>2.8220844302623577E-2</v>
      </c>
      <c r="L237" s="69">
        <f t="shared" si="27"/>
        <v>5.5030646390115976</v>
      </c>
      <c r="M237" s="69"/>
    </row>
    <row r="238" spans="1:13" x14ac:dyDescent="0.3">
      <c r="A238" s="84">
        <v>6.7199999999999996E-2</v>
      </c>
      <c r="B238" s="78">
        <f t="shared" si="22"/>
        <v>67.2</v>
      </c>
      <c r="C238" s="83">
        <v>196</v>
      </c>
      <c r="F238" s="79">
        <f t="shared" si="23"/>
        <v>-2.7000820314530332</v>
      </c>
      <c r="G238" s="80">
        <f t="shared" si="24"/>
        <v>4.2076732475291037</v>
      </c>
      <c r="H238" s="73">
        <f t="shared" si="25"/>
        <v>2.1315144410103378E-3</v>
      </c>
      <c r="I238" s="69"/>
      <c r="J238" s="69">
        <f t="shared" si="21"/>
        <v>201.68057288551091</v>
      </c>
      <c r="K238" s="69">
        <f t="shared" si="26"/>
        <v>2.8982514721994451E-2</v>
      </c>
      <c r="L238" s="69">
        <f t="shared" si="27"/>
        <v>5.6805728855109123</v>
      </c>
      <c r="M238" s="69"/>
    </row>
    <row r="239" spans="1:13" x14ac:dyDescent="0.3">
      <c r="A239" s="84">
        <v>6.5799999999999997E-2</v>
      </c>
      <c r="B239" s="78">
        <f t="shared" si="22"/>
        <v>65.8</v>
      </c>
      <c r="C239" s="83">
        <v>197</v>
      </c>
      <c r="F239" s="79">
        <f t="shared" si="23"/>
        <v>-2.7211354406508654</v>
      </c>
      <c r="G239" s="80">
        <f t="shared" si="24"/>
        <v>4.1866198383312714</v>
      </c>
      <c r="H239" s="73">
        <f t="shared" si="25"/>
        <v>2.126980750824205E-3</v>
      </c>
      <c r="I239" s="69"/>
      <c r="J239" s="69">
        <f t="shared" si="21"/>
        <v>202.88892876231893</v>
      </c>
      <c r="K239" s="69">
        <f t="shared" si="26"/>
        <v>2.9893039402634144E-2</v>
      </c>
      <c r="L239" s="69">
        <f t="shared" si="27"/>
        <v>5.8889287623189261</v>
      </c>
      <c r="M239" s="69"/>
    </row>
    <row r="240" spans="1:13" x14ac:dyDescent="0.3">
      <c r="A240" s="84">
        <v>6.4500000000000002E-2</v>
      </c>
      <c r="B240" s="78">
        <f t="shared" si="22"/>
        <v>64.5</v>
      </c>
      <c r="C240" s="83">
        <v>198</v>
      </c>
      <c r="F240" s="79">
        <f t="shared" si="23"/>
        <v>-2.7410900551804103</v>
      </c>
      <c r="G240" s="80">
        <f t="shared" si="24"/>
        <v>4.1666652238017265</v>
      </c>
      <c r="H240" s="73">
        <f t="shared" si="25"/>
        <v>2.1224663058473947E-3</v>
      </c>
      <c r="I240" s="69"/>
      <c r="J240" s="69">
        <f t="shared" si="21"/>
        <v>204.03991027536335</v>
      </c>
      <c r="K240" s="69">
        <f t="shared" si="26"/>
        <v>3.0504597350319972E-2</v>
      </c>
      <c r="L240" s="69">
        <f t="shared" si="27"/>
        <v>6.0399102753633542</v>
      </c>
      <c r="M240" s="69"/>
    </row>
    <row r="241" spans="1:13" x14ac:dyDescent="0.3">
      <c r="A241" s="84">
        <v>6.3100000000000003E-2</v>
      </c>
      <c r="B241" s="78">
        <f t="shared" si="22"/>
        <v>63.1</v>
      </c>
      <c r="C241" s="83">
        <v>199</v>
      </c>
      <c r="F241" s="79">
        <f t="shared" si="23"/>
        <v>-2.7630345094349695</v>
      </c>
      <c r="G241" s="80">
        <f t="shared" si="24"/>
        <v>4.1447207695471677</v>
      </c>
      <c r="H241" s="73">
        <f t="shared" si="25"/>
        <v>2.117970983797522E-3</v>
      </c>
      <c r="I241" s="69"/>
      <c r="J241" s="69">
        <f t="shared" si="21"/>
        <v>205.31210875077687</v>
      </c>
      <c r="K241" s="69">
        <f t="shared" si="26"/>
        <v>3.1719139451140063E-2</v>
      </c>
      <c r="L241" s="69">
        <f t="shared" si="27"/>
        <v>6.3121087507768721</v>
      </c>
      <c r="M241" s="69"/>
    </row>
    <row r="242" spans="1:13" x14ac:dyDescent="0.3">
      <c r="A242" s="84">
        <v>6.1899999999999997E-2</v>
      </c>
      <c r="B242" s="78">
        <f t="shared" si="22"/>
        <v>61.9</v>
      </c>
      <c r="C242" s="83">
        <v>200</v>
      </c>
      <c r="F242" s="79">
        <f t="shared" si="23"/>
        <v>-2.7822350992915865</v>
      </c>
      <c r="G242" s="80">
        <f t="shared" si="24"/>
        <v>4.1255201796905503</v>
      </c>
      <c r="H242" s="73">
        <f t="shared" si="25"/>
        <v>2.1134946634259748E-3</v>
      </c>
      <c r="I242" s="69"/>
      <c r="J242" s="69">
        <f t="shared" si="21"/>
        <v>206.43081278421556</v>
      </c>
      <c r="K242" s="69">
        <f t="shared" si="26"/>
        <v>3.2154063921077808E-2</v>
      </c>
      <c r="L242" s="69">
        <f t="shared" si="27"/>
        <v>6.4308127842155614</v>
      </c>
      <c r="M242" s="6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Achat a faire</vt:lpstr>
      <vt:lpstr>Achat fait</vt:lpstr>
      <vt:lpstr>conso</vt:lpstr>
      <vt:lpstr>Pin des Arduino</vt:lpstr>
      <vt:lpstr>Radio</vt:lpstr>
      <vt:lpstr>Test mesure frequence</vt:lpstr>
      <vt:lpstr>Direction Vent</vt:lpstr>
      <vt:lpstr>dew frost point</vt:lpstr>
      <vt:lpstr>thermistance etalonnage</vt:lpstr>
      <vt:lpstr>thermistance etalonnage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Roblot</dc:creator>
  <cp:lastModifiedBy>Brice Roblot</cp:lastModifiedBy>
  <dcterms:created xsi:type="dcterms:W3CDTF">2019-11-26T21:26:46Z</dcterms:created>
  <dcterms:modified xsi:type="dcterms:W3CDTF">2020-01-17T19:38:50Z</dcterms:modified>
</cp:coreProperties>
</file>