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/>
  <xr:revisionPtr revIDLastSave="0" documentId="8_{45FB3907-C1E6-482C-94D5-C7C28C39B884}" xr6:coauthVersionLast="45" xr6:coauthVersionMax="45" xr10:uidLastSave="{00000000-0000-0000-0000-000000000000}"/>
  <bookViews>
    <workbookView xWindow="28680" yWindow="-120" windowWidth="29040" windowHeight="15840" tabRatio="895" xr2:uid="{00000000-000D-0000-FFFF-FFFF00000000}"/>
  </bookViews>
  <sheets>
    <sheet name="Cover" sheetId="78" r:id="rId1"/>
    <sheet name="Calculations &gt;&gt;" sheetId="79" r:id="rId2"/>
    <sheet name="Inputs" sheetId="80" r:id="rId3"/>
    <sheet name="Comps Inputs" sheetId="81" r:id="rId4"/>
    <sheet name="WACC Comps" sheetId="82" r:id="rId5"/>
    <sheet name="Outputs &gt;&gt;" sheetId="83" r:id="rId6"/>
    <sheet name="Model Output" sheetId="84" r:id="rId7"/>
    <sheet name=" Comps" sheetId="85" r:id="rId8"/>
    <sheet name="WACC" sheetId="86" r:id="rId9"/>
    <sheet name="Valuation Summary" sheetId="35" r:id="rId10"/>
    <sheet name="Raw Data &gt;&gt;" sheetId="87" r:id="rId11"/>
    <sheet name="PSN Income Statement" sheetId="88" r:id="rId12"/>
    <sheet name="PSN Balance Sheet" sheetId="90" r:id="rId13"/>
    <sheet name="PSN Cash Flow" sheetId="92" r:id="rId14"/>
  </sheets>
  <externalReferences>
    <externalReference r:id="rId15"/>
  </externalReferences>
  <definedNames>
    <definedName name="__FDS_HYPERLINK_TOGGLE_STATE__" hidden="1">"ON"</definedName>
    <definedName name="__FDS_UNIQUE_RANGE_ID_GENERATOR_COUNTER" hidden="1">13</definedName>
    <definedName name="_10__FDSAUDITLINK__" hidden="1">{"fdsup://directions/FAT Viewer?action=UPDATE&amp;creator=factset&amp;DYN_ARGS=TRUE&amp;DOC_NAME=FAT:FQL_AUDITING_CLIENT_TEMPLATE.FAT&amp;display_string=Audit&amp;VAR:KEY=MNGZABETCD&amp;VAR:QUERY=RkZfRUJJVERBX09QRVIoQU5OLDBZKQ==&amp;WINDOW=FIRST_POPUP&amp;HEIGHT=450&amp;WIDTH=450&amp;START_MAXIMI","ZED=FALSE&amp;VAR:CALENDAR=US&amp;VAR:SYMBOL=331952&amp;VAR:INDEX=0"}</definedName>
    <definedName name="_11__FDSAUDITLINK__" hidden="1">{"fdsup://directions/FAT Viewer?action=UPDATE&amp;creator=factset&amp;DYN_ARGS=TRUE&amp;DOC_NAME=FAT:FQL_AUDITING_CLIENT_TEMPLATE.FAT&amp;display_string=Audit&amp;VAR:KEY=TUNETORCBC&amp;VAR:QUERY=RkZfRUJJVERBX09QRVIoQU5OLDBZKQ==&amp;WINDOW=FIRST_POPUP&amp;HEIGHT=450&amp;WIDTH=450&amp;START_MAXIMI","ZED=FALSE&amp;VAR:CALENDAR=US&amp;VAR:SYMBOL=54866110&amp;VAR:INDEX=0"}</definedName>
    <definedName name="_12__FDSAUDITLINK__" hidden="1">{"fdsup://directions/FAT Viewer?action=UPDATE&amp;creator=factset&amp;DYN_ARGS=TRUE&amp;DOC_NAME=FAT:FQL_AUDITING_CLIENT_TEMPLATE.FAT&amp;display_string=Audit&amp;VAR:KEY=HEXWNWXALU&amp;VAR:QUERY=RkZfRUJJVERBX09QRVIoQU5OLDBZKQ==&amp;WINDOW=FIRST_POPUP&amp;HEIGHT=450&amp;WIDTH=450&amp;START_MAXIMI","ZED=FALSE&amp;VAR:CALENDAR=US&amp;VAR:SYMBOL=43707610&amp;VAR:INDEX=0"}</definedName>
    <definedName name="_bdm.11CDA39B209F47F3A5FA0C7E16A4C422.edm" hidden="1">#REF!</definedName>
    <definedName name="_bdm.1C616A64763E4AC593EEC7FD4BD37202.edm" hidden="1">#REF!</definedName>
    <definedName name="_bdm.28FE2206B1204195BCA58A5EB206D558.edm" hidden="1">#REF!</definedName>
    <definedName name="_bdm.39DB517BB14341309DB6B4B6B5770ADA.edm" hidden="1">#REF!</definedName>
    <definedName name="_bdm.4DF7AEEE3EB34521B3F52E2E555FD414.edm" hidden="1">#REF!</definedName>
    <definedName name="_bdm.5C43047BED58493FBFFF76F7DE4F7437.edm" hidden="1">#REF!</definedName>
    <definedName name="_bdm.6B86276AC80F4D1E84F989BB2301FFE6.edm" hidden="1">#REF!</definedName>
    <definedName name="_bdm.6FC09D8738AB445EBEDA56E8A921B9C5.edm" hidden="1">#REF!</definedName>
    <definedName name="_bdm.7FBBF664137740ABBF36FFB0875F8FA3.edm" hidden="1">#REF!</definedName>
    <definedName name="_bdm.82AF3043AEB14B1F9AA64CBFFD57D636.edm" hidden="1">#REF!</definedName>
    <definedName name="_bdm.B627D969EFE941888EEDB6429B7393D1.edm" hidden="1">#REF!</definedName>
    <definedName name="_bdm.DF83F1CBCE2949C597136D8172B2A82E.edm" hidden="1">#REF!</definedName>
    <definedName name="_bdm.EA65F90B23AA424FA4C3AC1D2234059D.edm" hidden="1">#REF!</definedName>
    <definedName name="_bdm.F6F324487B31418FAFD68E91FE7E3464.edm" hidden="1">#REF!</definedName>
    <definedName name="Data">'[1]Horizontal Summary'!$E$10:$BR$43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localSheetId="9" hidden="1">43787.1190162037</definedName>
    <definedName name="IQ_NAMES_REVISION_DATE_" hidden="1">43571.6777430556</definedName>
    <definedName name="IQ_NAV_ACT_OR_EST" hidden="1">"c2225"</definedName>
    <definedName name="IQ_NET_DEBT_ISSUED_BR" hidden="1">"c753"</definedName>
    <definedName name="IQ_NET_INT_INC_BR" hidden="1">"c765"</definedName>
    <definedName name="IQ_NTM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Lease">[1]xyz!$M$204</definedName>
    <definedName name="Method">[1]xyz!$Q$204</definedName>
    <definedName name="Methods">#REF!</definedName>
    <definedName name="_xlnm.Print_Area" localSheetId="7">' Comps'!$B$3:$K$19,' Comps'!$D$22:$F$35,' Comps'!$I$22:$M$35,' Comps'!$D$37:$F$49,' Comps'!$I$37:$M$49,' Comps'!$Q$22:$S$29,' Comps'!$W$22:$Y$29,' Comps'!$Q$32:$S$39,' Comps'!$W$32:$Y$39</definedName>
    <definedName name="_xlnm.Print_Area" localSheetId="3">'Comps Inputs'!$A$2:$AE$13</definedName>
    <definedName name="_xlnm.Print_Area" localSheetId="0">Cover!$C$4:$G$12</definedName>
    <definedName name="_xlnm.Print_Area" localSheetId="2">Inputs!$B$2:$L$31,Inputs!$O$24:$P$29,Inputs!$E$35:$K$36,Inputs!$B$38:$K$78</definedName>
    <definedName name="_xlnm.Print_Area" localSheetId="6">'Model Output'!$B$2:$I$23,'Model Output'!$B$26:$I$36,'Model Output'!$J$37:$K$51,'Model Output'!$J$54:$K$56,'Model Output'!$J$59:$K$62,'Model Output'!$M$37:$W$48</definedName>
    <definedName name="_xlnm.Print_Area" localSheetId="12">'PSN Balance Sheet'!$B$2:$F$51</definedName>
    <definedName name="_xlnm.Print_Area" localSheetId="13">'PSN Cash Flow'!$B$2:$F$8</definedName>
    <definedName name="_xlnm.Print_Area" localSheetId="11">'PSN Income Statement'!$B$2:$F$24</definedName>
    <definedName name="_xlnm.Print_Area" localSheetId="9">'Valuation Summary'!$D$2:$J$35</definedName>
    <definedName name="_xlnm.Print_Area" localSheetId="8">WACC!$H$3:$I$8,WACC!$B$18:$J$26,WACC!$B$3:$C$15,WACC!$E$3:$F$7</definedName>
    <definedName name="_xlnm.Print_Area" localSheetId="4">'WACC Comps'!$A$1:$J$10</definedName>
    <definedName name="_xlnm.Print_Titles" localSheetId="3">'Comps Inputs'!#REF!</definedName>
    <definedName name="_xlnm.Print_Titles" localSheetId="12">'PSN Balance Sheet'!$1:$3</definedName>
    <definedName name="_xlnm.Print_Titles" localSheetId="13">'PSN Cash Flow'!$1:$3</definedName>
    <definedName name="_xlnm.Print_Titles" localSheetId="11">'PSN Income Statement'!$2:$4</definedName>
    <definedName name="_xlnm.Print_Titles" localSheetId="4">'WACC Comps'!#REF!</definedName>
    <definedName name="s">#REF!</definedName>
    <definedName name="solver_adj" localSheetId="6" hidden="1">'Model Output'!$K$38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Output'!$K$56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0.36</definedName>
    <definedName name="solver_ver" localSheetId="6" hidden="1">3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85" l="1"/>
  <c r="F48" i="85" s="1"/>
  <c r="M34" i="85" l="1"/>
  <c r="K15" i="85"/>
  <c r="K16" i="85"/>
  <c r="K17" i="85"/>
  <c r="U11" i="81"/>
  <c r="D78" i="80"/>
  <c r="G25" i="80" l="1"/>
  <c r="F25" i="80"/>
  <c r="V9" i="81"/>
  <c r="V5" i="81"/>
  <c r="S36" i="85"/>
  <c r="Y36" i="85"/>
  <c r="Y26" i="85"/>
  <c r="F19" i="86"/>
  <c r="I19" i="86"/>
  <c r="I4" i="86"/>
  <c r="E78" i="80"/>
  <c r="E24" i="80"/>
  <c r="E26" i="80" s="1"/>
  <c r="C77" i="80"/>
  <c r="E73" i="80"/>
  <c r="D73" i="80"/>
  <c r="E71" i="80"/>
  <c r="D71" i="80"/>
  <c r="C73" i="80"/>
  <c r="C68" i="80"/>
  <c r="E66" i="80"/>
  <c r="D66" i="80"/>
  <c r="D77" i="80" s="1"/>
  <c r="C66" i="80"/>
  <c r="C60" i="80"/>
  <c r="E56" i="80"/>
  <c r="D56" i="80"/>
  <c r="C58" i="80"/>
  <c r="E53" i="80"/>
  <c r="E45" i="80"/>
  <c r="E49" i="80"/>
  <c r="E51" i="80"/>
  <c r="D51" i="80"/>
  <c r="D49" i="80"/>
  <c r="C51" i="80"/>
  <c r="C46" i="80"/>
  <c r="C45" i="80"/>
  <c r="C43" i="80"/>
  <c r="C39" i="80"/>
  <c r="F14" i="80"/>
  <c r="E14" i="80"/>
  <c r="D14" i="80"/>
  <c r="C14" i="80"/>
  <c r="F11" i="80"/>
  <c r="E11" i="80"/>
  <c r="D11" i="80"/>
  <c r="C11" i="80"/>
  <c r="G19" i="86"/>
  <c r="F6" i="86"/>
  <c r="F26" i="86"/>
  <c r="K45" i="84"/>
  <c r="F20" i="80"/>
  <c r="K14" i="85" l="1"/>
  <c r="F25" i="86"/>
  <c r="J25" i="86" s="1"/>
  <c r="G20" i="86"/>
  <c r="G21" i="86"/>
  <c r="G22" i="86"/>
  <c r="G23" i="86"/>
  <c r="G24" i="86"/>
  <c r="G25" i="86"/>
  <c r="G26" i="86"/>
  <c r="I3" i="82"/>
  <c r="J3" i="82" s="1"/>
  <c r="H19" i="86" s="1"/>
  <c r="A4" i="82"/>
  <c r="A5" i="82"/>
  <c r="A6" i="82"/>
  <c r="A7" i="82"/>
  <c r="A8" i="82"/>
  <c r="A9" i="82"/>
  <c r="A3" i="82"/>
  <c r="H19" i="85"/>
  <c r="B19" i="85"/>
  <c r="X9" i="81"/>
  <c r="I10" i="85" s="1"/>
  <c r="J7" i="85"/>
  <c r="J8" i="85"/>
  <c r="J9" i="85"/>
  <c r="J10" i="85"/>
  <c r="J11" i="85"/>
  <c r="J12" i="85"/>
  <c r="I7" i="85"/>
  <c r="G7" i="85"/>
  <c r="F7" i="85"/>
  <c r="D7" i="85"/>
  <c r="C12" i="85"/>
  <c r="B9" i="82" s="1"/>
  <c r="C11" i="85"/>
  <c r="B8" i="82" s="1"/>
  <c r="C10" i="85"/>
  <c r="B7" i="82" s="1"/>
  <c r="C9" i="85"/>
  <c r="B6" i="82" s="1"/>
  <c r="C8" i="85"/>
  <c r="B5" i="82" s="1"/>
  <c r="C7" i="85"/>
  <c r="B4" i="82" s="1"/>
  <c r="F24" i="86"/>
  <c r="I20" i="86" l="1"/>
  <c r="E72" i="80"/>
  <c r="F71" i="80"/>
  <c r="I4" i="82"/>
  <c r="J4" i="82" s="1"/>
  <c r="H20" i="86" s="1"/>
  <c r="C22" i="80" l="1"/>
  <c r="F16" i="80"/>
  <c r="C16" i="80"/>
  <c r="C9" i="90" l="1"/>
  <c r="C11" i="88"/>
  <c r="C7" i="88"/>
  <c r="J3" i="35" l="1"/>
  <c r="D20" i="80" l="1"/>
  <c r="D41" i="80"/>
  <c r="E41" i="80"/>
  <c r="E43" i="80"/>
  <c r="C10" i="90"/>
  <c r="C11" i="90"/>
  <c r="C14" i="90"/>
  <c r="C17" i="90"/>
  <c r="C18" i="90"/>
  <c r="C19" i="90"/>
  <c r="C20" i="90"/>
  <c r="C21" i="90"/>
  <c r="C24" i="90"/>
  <c r="C25" i="90"/>
  <c r="D64" i="80"/>
  <c r="E64" i="80"/>
  <c r="C30" i="90"/>
  <c r="C31" i="90"/>
  <c r="C34" i="90"/>
  <c r="C40" i="90"/>
  <c r="C41" i="90"/>
  <c r="C49" i="90"/>
  <c r="C50" i="90"/>
  <c r="C51" i="90"/>
  <c r="C4" i="80"/>
  <c r="D7" i="88"/>
  <c r="D4" i="80" s="1"/>
  <c r="E7" i="88"/>
  <c r="F7" i="88"/>
  <c r="C6" i="80"/>
  <c r="D11" i="88"/>
  <c r="D6" i="80" s="1"/>
  <c r="E11" i="88"/>
  <c r="E6" i="80" s="1"/>
  <c r="F11" i="88"/>
  <c r="F6" i="80" s="1"/>
  <c r="D9" i="80"/>
  <c r="D10" i="80" s="1"/>
  <c r="F9" i="80"/>
  <c r="D16" i="80"/>
  <c r="C15" i="84"/>
  <c r="F5" i="86"/>
  <c r="C6" i="86"/>
  <c r="C11" i="86"/>
  <c r="F20" i="86"/>
  <c r="J20" i="86" s="1"/>
  <c r="F21" i="86"/>
  <c r="F22" i="86"/>
  <c r="F23" i="86"/>
  <c r="C5" i="85"/>
  <c r="C6" i="85"/>
  <c r="B3" i="82" s="1"/>
  <c r="C19" i="85"/>
  <c r="B10" i="82" s="1"/>
  <c r="S25" i="85"/>
  <c r="F31" i="85"/>
  <c r="F45" i="85" s="1"/>
  <c r="M31" i="85" s="1"/>
  <c r="M45" i="85" s="1"/>
  <c r="C28" i="84"/>
  <c r="D28" i="84" s="1"/>
  <c r="E28" i="84" s="1"/>
  <c r="F28" i="84" s="1"/>
  <c r="G28" i="84" s="1"/>
  <c r="H28" i="84" s="1"/>
  <c r="I28" i="84" s="1"/>
  <c r="D30" i="84"/>
  <c r="E30" i="84"/>
  <c r="F30" i="84"/>
  <c r="G30" i="84"/>
  <c r="H30" i="84"/>
  <c r="I30" i="84"/>
  <c r="D31" i="84"/>
  <c r="E31" i="84"/>
  <c r="F31" i="84"/>
  <c r="G31" i="84"/>
  <c r="H31" i="84"/>
  <c r="I31" i="84"/>
  <c r="D33" i="84"/>
  <c r="E33" i="84"/>
  <c r="F33" i="84"/>
  <c r="G33" i="84"/>
  <c r="H33" i="84"/>
  <c r="I33" i="84"/>
  <c r="D34" i="84"/>
  <c r="E34" i="84"/>
  <c r="F34" i="84"/>
  <c r="G34" i="84"/>
  <c r="H34" i="84"/>
  <c r="I34" i="84"/>
  <c r="D35" i="84"/>
  <c r="E35" i="84"/>
  <c r="F35" i="84"/>
  <c r="G35" i="84"/>
  <c r="H35" i="84"/>
  <c r="I35" i="84"/>
  <c r="C36" i="84"/>
  <c r="D36" i="84"/>
  <c r="N39" i="84"/>
  <c r="I5" i="82"/>
  <c r="J5" i="82" s="1"/>
  <c r="H21" i="86" s="1"/>
  <c r="I21" i="86" s="1"/>
  <c r="J21" i="86" s="1"/>
  <c r="I6" i="82"/>
  <c r="J6" i="82" s="1"/>
  <c r="H22" i="86" s="1"/>
  <c r="I22" i="86" s="1"/>
  <c r="I7" i="82"/>
  <c r="J7" i="82" s="1"/>
  <c r="H23" i="86" s="1"/>
  <c r="I23" i="86" s="1"/>
  <c r="J23" i="86" s="1"/>
  <c r="I8" i="82"/>
  <c r="J8" i="82" s="1"/>
  <c r="H24" i="86" s="1"/>
  <c r="I24" i="86" s="1"/>
  <c r="J24" i="86" s="1"/>
  <c r="I9" i="82"/>
  <c r="J9" i="82" s="1"/>
  <c r="H25" i="86" s="1"/>
  <c r="I25" i="86" s="1"/>
  <c r="I10" i="82"/>
  <c r="J10" i="82" s="1"/>
  <c r="H26" i="86" s="1"/>
  <c r="I26" i="86" s="1"/>
  <c r="J26" i="86" s="1"/>
  <c r="I6" i="86" s="1"/>
  <c r="K5" i="81"/>
  <c r="D5" i="85" s="1"/>
  <c r="W5" i="81"/>
  <c r="X5" i="81"/>
  <c r="I6" i="85" s="1"/>
  <c r="Y5" i="81"/>
  <c r="K6" i="81"/>
  <c r="V6" i="81"/>
  <c r="W6" i="81"/>
  <c r="X6" i="81"/>
  <c r="Y6" i="81"/>
  <c r="K7" i="81"/>
  <c r="D8" i="85" s="1"/>
  <c r="V7" i="81"/>
  <c r="H8" i="85" s="1"/>
  <c r="W7" i="81"/>
  <c r="X7" i="81"/>
  <c r="I8" i="85" s="1"/>
  <c r="Y7" i="81"/>
  <c r="K8" i="81"/>
  <c r="D9" i="85" s="1"/>
  <c r="V8" i="81"/>
  <c r="H9" i="85" s="1"/>
  <c r="W8" i="81"/>
  <c r="X8" i="81"/>
  <c r="I9" i="85" s="1"/>
  <c r="Y8" i="81"/>
  <c r="K9" i="81"/>
  <c r="D10" i="85" s="1"/>
  <c r="H10" i="85"/>
  <c r="W9" i="81"/>
  <c r="Y9" i="81"/>
  <c r="K10" i="81"/>
  <c r="D11" i="85" s="1"/>
  <c r="V10" i="81"/>
  <c r="H11" i="85" s="1"/>
  <c r="W10" i="81"/>
  <c r="X10" i="81"/>
  <c r="I11" i="85" s="1"/>
  <c r="Y10" i="81"/>
  <c r="K11" i="81"/>
  <c r="D12" i="85" s="1"/>
  <c r="V11" i="81"/>
  <c r="H12" i="85" s="1"/>
  <c r="W11" i="81"/>
  <c r="X11" i="81"/>
  <c r="I12" i="85" s="1"/>
  <c r="Y11" i="81"/>
  <c r="K13" i="81"/>
  <c r="D19" i="85" s="1"/>
  <c r="V13" i="81"/>
  <c r="W13" i="81"/>
  <c r="X13" i="81"/>
  <c r="I19" i="85" s="1"/>
  <c r="Y13" i="81"/>
  <c r="J19" i="85" s="1"/>
  <c r="D2" i="80"/>
  <c r="E2" i="80" s="1"/>
  <c r="F3" i="80"/>
  <c r="G3" i="80" s="1"/>
  <c r="H3" i="80" s="1"/>
  <c r="I3" i="80" s="1"/>
  <c r="E4" i="80"/>
  <c r="D75" i="80" s="1"/>
  <c r="F4" i="80"/>
  <c r="C9" i="80"/>
  <c r="E9" i="80"/>
  <c r="E16" i="80"/>
  <c r="C20" i="80"/>
  <c r="E20" i="80"/>
  <c r="D22" i="80"/>
  <c r="E22" i="80"/>
  <c r="F22" i="80"/>
  <c r="C19" i="84" s="1"/>
  <c r="H28" i="80"/>
  <c r="I28" i="80"/>
  <c r="J28" i="80"/>
  <c r="K28" i="80"/>
  <c r="L28" i="80"/>
  <c r="F46" i="80"/>
  <c r="G46" i="80"/>
  <c r="H46" i="80"/>
  <c r="I46" i="80"/>
  <c r="J46" i="80"/>
  <c r="K46" i="80"/>
  <c r="D58" i="80"/>
  <c r="Y35" i="85" l="1"/>
  <c r="S35" i="85"/>
  <c r="Y25" i="85"/>
  <c r="J22" i="86"/>
  <c r="F2" i="80"/>
  <c r="D39" i="80"/>
  <c r="C7" i="84"/>
  <c r="G4" i="80"/>
  <c r="E46" i="80"/>
  <c r="D5" i="80"/>
  <c r="T6" i="81"/>
  <c r="U13" i="81"/>
  <c r="G19" i="85" s="1"/>
  <c r="T13" i="81"/>
  <c r="S13" i="81"/>
  <c r="F19" i="85" s="1"/>
  <c r="U8" i="81"/>
  <c r="G9" i="85" s="1"/>
  <c r="T8" i="81"/>
  <c r="S8" i="81"/>
  <c r="F9" i="85" s="1"/>
  <c r="H6" i="85"/>
  <c r="H15" i="85" s="1"/>
  <c r="H5" i="85"/>
  <c r="I5" i="85"/>
  <c r="U7" i="81"/>
  <c r="G8" i="85" s="1"/>
  <c r="T7" i="81"/>
  <c r="S7" i="81"/>
  <c r="F8" i="85" s="1"/>
  <c r="S6" i="81"/>
  <c r="U6" i="81"/>
  <c r="T10" i="81"/>
  <c r="U5" i="81"/>
  <c r="T5" i="81"/>
  <c r="S5" i="81"/>
  <c r="F6" i="85" s="1"/>
  <c r="U9" i="81"/>
  <c r="G10" i="85" s="1"/>
  <c r="S10" i="81"/>
  <c r="F11" i="85" s="1"/>
  <c r="T9" i="81"/>
  <c r="S9" i="81"/>
  <c r="G12" i="85"/>
  <c r="T11" i="81"/>
  <c r="S11" i="81"/>
  <c r="F12" i="85" s="1"/>
  <c r="U10" i="81"/>
  <c r="G11" i="85" s="1"/>
  <c r="C13" i="86"/>
  <c r="C14" i="86"/>
  <c r="D65" i="80"/>
  <c r="D43" i="80"/>
  <c r="F12" i="80"/>
  <c r="D60" i="80"/>
  <c r="F10" i="80"/>
  <c r="E23" i="80"/>
  <c r="E10" i="80"/>
  <c r="E12" i="80"/>
  <c r="E21" i="80"/>
  <c r="D21" i="80"/>
  <c r="D23" i="80"/>
  <c r="D12" i="80"/>
  <c r="C12" i="80"/>
  <c r="C23" i="80"/>
  <c r="C10" i="80"/>
  <c r="C21" i="80"/>
  <c r="D53" i="80"/>
  <c r="Y38" i="85"/>
  <c r="S38" i="85"/>
  <c r="M48" i="85"/>
  <c r="Y28" i="85"/>
  <c r="S28" i="85"/>
  <c r="F7" i="80"/>
  <c r="C31" i="84" s="1"/>
  <c r="C9" i="84"/>
  <c r="D7" i="80"/>
  <c r="D8" i="80"/>
  <c r="D13" i="80" s="1"/>
  <c r="E65" i="80"/>
  <c r="F64" i="80"/>
  <c r="E68" i="80"/>
  <c r="E42" i="80"/>
  <c r="F41" i="80"/>
  <c r="C18" i="84"/>
  <c r="F21" i="80"/>
  <c r="C34" i="84" s="1"/>
  <c r="E75" i="80"/>
  <c r="D72" i="80"/>
  <c r="D68" i="80"/>
  <c r="D50" i="80"/>
  <c r="F23" i="80"/>
  <c r="C35" i="84" s="1"/>
  <c r="F8" i="80"/>
  <c r="F5" i="80"/>
  <c r="C30" i="84" s="1"/>
  <c r="D7" i="84"/>
  <c r="D57" i="80"/>
  <c r="D61" i="80"/>
  <c r="I17" i="85"/>
  <c r="J19" i="86"/>
  <c r="C12" i="84"/>
  <c r="C32" i="84"/>
  <c r="S24" i="85"/>
  <c r="S34" i="85"/>
  <c r="Y34" i="85"/>
  <c r="Y24" i="85"/>
  <c r="E5" i="80"/>
  <c r="E7" i="80"/>
  <c r="E8" i="80"/>
  <c r="E13" i="80" s="1"/>
  <c r="C7" i="80"/>
  <c r="C8" i="80"/>
  <c r="C13" i="80" s="1"/>
  <c r="J5" i="85"/>
  <c r="J6" i="85"/>
  <c r="J14" i="85" s="1"/>
  <c r="I14" i="85"/>
  <c r="I16" i="85"/>
  <c r="I15" i="85"/>
  <c r="D6" i="85"/>
  <c r="I5" i="86" l="1"/>
  <c r="I8" i="86" s="1"/>
  <c r="C5" i="86" s="1"/>
  <c r="I7" i="86"/>
  <c r="H4" i="80"/>
  <c r="G6" i="80"/>
  <c r="G2" i="80"/>
  <c r="E39" i="80"/>
  <c r="D15" i="80"/>
  <c r="D17" i="80" s="1"/>
  <c r="F5" i="85"/>
  <c r="F16" i="85"/>
  <c r="F24" i="85" s="1"/>
  <c r="F17" i="85"/>
  <c r="F14" i="85"/>
  <c r="M24" i="85" s="1"/>
  <c r="H16" i="85"/>
  <c r="S27" i="85" s="1"/>
  <c r="S29" i="85" s="1"/>
  <c r="H14" i="85"/>
  <c r="Y27" i="85" s="1"/>
  <c r="Y29" i="85" s="1"/>
  <c r="E4" i="35" s="1"/>
  <c r="H17" i="85"/>
  <c r="S37" i="85" s="1"/>
  <c r="S39" i="85" s="1"/>
  <c r="G5" i="85"/>
  <c r="G6" i="85"/>
  <c r="F15" i="85"/>
  <c r="M39" i="85" s="1"/>
  <c r="D45" i="80"/>
  <c r="D46" i="80" s="1"/>
  <c r="D42" i="80"/>
  <c r="D9" i="84"/>
  <c r="H20" i="80"/>
  <c r="E18" i="84" s="1"/>
  <c r="D18" i="80"/>
  <c r="D26" i="80" s="1"/>
  <c r="G11" i="80"/>
  <c r="G22" i="80"/>
  <c r="D19" i="84" s="1"/>
  <c r="F73" i="80"/>
  <c r="G9" i="80"/>
  <c r="G20" i="80"/>
  <c r="D18" i="84" s="1"/>
  <c r="F43" i="80"/>
  <c r="F66" i="80"/>
  <c r="C10" i="84"/>
  <c r="F13" i="80"/>
  <c r="Y37" i="85"/>
  <c r="Y39" i="85" s="1"/>
  <c r="G4" i="35" s="1"/>
  <c r="C15" i="80"/>
  <c r="C17" i="80" s="1"/>
  <c r="C18" i="80"/>
  <c r="C26" i="80" s="1"/>
  <c r="E15" i="80"/>
  <c r="E17" i="80" s="1"/>
  <c r="E18" i="80"/>
  <c r="J16" i="85"/>
  <c r="J17" i="85"/>
  <c r="J15" i="85"/>
  <c r="F39" i="85" l="1"/>
  <c r="K39" i="84"/>
  <c r="S39" i="84" s="1"/>
  <c r="H2" i="80"/>
  <c r="F39" i="80"/>
  <c r="F15" i="80"/>
  <c r="F17" i="80" s="1"/>
  <c r="C7" i="86"/>
  <c r="C15" i="86" s="1"/>
  <c r="K62" i="84" s="1"/>
  <c r="G17" i="85"/>
  <c r="G16" i="85"/>
  <c r="G14" i="85"/>
  <c r="G15" i="85"/>
  <c r="G8" i="80"/>
  <c r="D10" i="84" s="1"/>
  <c r="F51" i="80"/>
  <c r="F58" i="80"/>
  <c r="H6" i="80"/>
  <c r="E9" i="84" s="1"/>
  <c r="H9" i="80"/>
  <c r="I4" i="80"/>
  <c r="I20" i="80" s="1"/>
  <c r="F18" i="84" s="1"/>
  <c r="G73" i="80"/>
  <c r="G66" i="80"/>
  <c r="G77" i="80" s="1"/>
  <c r="G43" i="80"/>
  <c r="H41" i="80" s="1"/>
  <c r="H22" i="80"/>
  <c r="E19" i="84" s="1"/>
  <c r="E7" i="84"/>
  <c r="H11" i="80"/>
  <c r="G41" i="80"/>
  <c r="F42" i="80"/>
  <c r="D32" i="84"/>
  <c r="D12" i="84"/>
  <c r="C13" i="84"/>
  <c r="F18" i="80"/>
  <c r="C33" i="84"/>
  <c r="G64" i="80"/>
  <c r="F65" i="80"/>
  <c r="G71" i="80"/>
  <c r="F72" i="80"/>
  <c r="G49" i="80" l="1"/>
  <c r="G36" i="80"/>
  <c r="F77" i="80"/>
  <c r="I2" i="80"/>
  <c r="G39" i="80"/>
  <c r="G13" i="80"/>
  <c r="D13" i="84" s="1"/>
  <c r="G42" i="80"/>
  <c r="N41" i="84"/>
  <c r="N46" i="84"/>
  <c r="N47" i="84"/>
  <c r="N42" i="84"/>
  <c r="N45" i="84"/>
  <c r="N44" i="84"/>
  <c r="N40" i="84"/>
  <c r="N48" i="84"/>
  <c r="N43" i="84"/>
  <c r="G65" i="80"/>
  <c r="G56" i="80"/>
  <c r="E12" i="84"/>
  <c r="H43" i="80"/>
  <c r="I41" i="80" s="1"/>
  <c r="J4" i="80"/>
  <c r="I43" i="80" s="1"/>
  <c r="I11" i="80"/>
  <c r="I9" i="80"/>
  <c r="H8" i="80"/>
  <c r="E10" i="84" s="1"/>
  <c r="G72" i="80"/>
  <c r="E32" i="84"/>
  <c r="H73" i="80"/>
  <c r="H66" i="80"/>
  <c r="I64" i="80" s="1"/>
  <c r="H71" i="80"/>
  <c r="G58" i="80"/>
  <c r="G51" i="80"/>
  <c r="I6" i="80"/>
  <c r="H51" i="80" s="1"/>
  <c r="H64" i="80"/>
  <c r="F7" i="84"/>
  <c r="I22" i="80"/>
  <c r="F19" i="84" s="1"/>
  <c r="C16" i="84"/>
  <c r="T39" i="84"/>
  <c r="U39" i="84" s="1"/>
  <c r="V39" i="84" s="1"/>
  <c r="W39" i="84" s="1"/>
  <c r="R39" i="84"/>
  <c r="Q39" i="84" s="1"/>
  <c r="P39" i="84" s="1"/>
  <c r="O39" i="84" s="1"/>
  <c r="G78" i="80" l="1"/>
  <c r="H24" i="80" s="1"/>
  <c r="H25" i="80" s="1"/>
  <c r="E36" i="84" s="1"/>
  <c r="F78" i="80"/>
  <c r="G50" i="80"/>
  <c r="H36" i="80"/>
  <c r="H39" i="80"/>
  <c r="J2" i="80"/>
  <c r="G16" i="80"/>
  <c r="D15" i="84" s="1"/>
  <c r="G15" i="80"/>
  <c r="I66" i="80"/>
  <c r="J64" i="80" s="1"/>
  <c r="H72" i="80"/>
  <c r="J22" i="80"/>
  <c r="G19" i="84" s="1"/>
  <c r="J11" i="80"/>
  <c r="J9" i="80"/>
  <c r="J20" i="80"/>
  <c r="G18" i="84" s="1"/>
  <c r="G7" i="84"/>
  <c r="I71" i="80"/>
  <c r="H65" i="80"/>
  <c r="G57" i="80"/>
  <c r="J6" i="80"/>
  <c r="J8" i="80" s="1"/>
  <c r="G10" i="84" s="1"/>
  <c r="K4" i="80"/>
  <c r="K6" i="80" s="1"/>
  <c r="K8" i="80" s="1"/>
  <c r="I73" i="80"/>
  <c r="J71" i="80" s="1"/>
  <c r="F12" i="84"/>
  <c r="F32" i="84"/>
  <c r="H42" i="80"/>
  <c r="I8" i="80"/>
  <c r="I13" i="80" s="1"/>
  <c r="F9" i="84"/>
  <c r="H13" i="80"/>
  <c r="H15" i="80" s="1"/>
  <c r="H56" i="80"/>
  <c r="G61" i="80"/>
  <c r="H49" i="80"/>
  <c r="H50" i="80" s="1"/>
  <c r="H58" i="80"/>
  <c r="I36" i="80" s="1"/>
  <c r="I42" i="80"/>
  <c r="J41" i="80"/>
  <c r="I49" i="80"/>
  <c r="G18" i="80" l="1"/>
  <c r="D16" i="84" s="1"/>
  <c r="I35" i="80"/>
  <c r="H77" i="80"/>
  <c r="I65" i="80"/>
  <c r="H35" i="80"/>
  <c r="I39" i="80"/>
  <c r="K2" i="80"/>
  <c r="G12" i="84"/>
  <c r="G32" i="84"/>
  <c r="F10" i="84"/>
  <c r="I58" i="80"/>
  <c r="J56" i="80" s="1"/>
  <c r="K22" i="80"/>
  <c r="H19" i="84" s="1"/>
  <c r="K20" i="80"/>
  <c r="K11" i="80"/>
  <c r="L4" i="80"/>
  <c r="L6" i="80" s="1"/>
  <c r="J73" i="80"/>
  <c r="K71" i="80" s="1"/>
  <c r="J66" i="80"/>
  <c r="K64" i="80" s="1"/>
  <c r="K9" i="80"/>
  <c r="H7" i="84"/>
  <c r="J43" i="80"/>
  <c r="K41" i="80" s="1"/>
  <c r="I72" i="80"/>
  <c r="J13" i="80"/>
  <c r="G13" i="84" s="1"/>
  <c r="I51" i="80"/>
  <c r="G9" i="84"/>
  <c r="E13" i="84"/>
  <c r="H16" i="80"/>
  <c r="E15" i="84" s="1"/>
  <c r="H61" i="80"/>
  <c r="I56" i="80"/>
  <c r="H57" i="80"/>
  <c r="H10" i="84"/>
  <c r="F13" i="84"/>
  <c r="I15" i="80"/>
  <c r="I16" i="80"/>
  <c r="F15" i="84" s="1"/>
  <c r="H9" i="84"/>
  <c r="J51" i="80"/>
  <c r="J58" i="80"/>
  <c r="H78" i="80" l="1"/>
  <c r="E20" i="84"/>
  <c r="K36" i="80"/>
  <c r="J77" i="80"/>
  <c r="J49" i="80"/>
  <c r="I77" i="80"/>
  <c r="J36" i="80"/>
  <c r="J39" i="80"/>
  <c r="L2" i="80"/>
  <c r="K39" i="80" s="1"/>
  <c r="H18" i="84"/>
  <c r="J72" i="80"/>
  <c r="K73" i="80"/>
  <c r="K72" i="80" s="1"/>
  <c r="L22" i="80"/>
  <c r="I19" i="84" s="1"/>
  <c r="K13" i="80"/>
  <c r="K16" i="80" s="1"/>
  <c r="H15" i="84" s="1"/>
  <c r="I57" i="80"/>
  <c r="K66" i="80"/>
  <c r="K65" i="80" s="1"/>
  <c r="L20" i="80"/>
  <c r="I18" i="84" s="1"/>
  <c r="K43" i="80"/>
  <c r="K42" i="80" s="1"/>
  <c r="I7" i="84"/>
  <c r="L11" i="80"/>
  <c r="L9" i="80"/>
  <c r="J65" i="80"/>
  <c r="H12" i="84"/>
  <c r="H32" i="84"/>
  <c r="J42" i="80"/>
  <c r="I50" i="80"/>
  <c r="J16" i="80"/>
  <c r="G15" i="84" s="1"/>
  <c r="J15" i="80"/>
  <c r="I61" i="80"/>
  <c r="H18" i="80"/>
  <c r="K49" i="80"/>
  <c r="J50" i="80"/>
  <c r="I9" i="84"/>
  <c r="K51" i="80"/>
  <c r="K58" i="80"/>
  <c r="K56" i="80"/>
  <c r="J57" i="80"/>
  <c r="J61" i="80"/>
  <c r="I18" i="80"/>
  <c r="L8" i="80"/>
  <c r="J78" i="80" l="1"/>
  <c r="F20" i="84"/>
  <c r="I24" i="80"/>
  <c r="I25" i="80" s="1"/>
  <c r="F36" i="84" s="1"/>
  <c r="I78" i="80"/>
  <c r="G20" i="84" s="1"/>
  <c r="K35" i="80"/>
  <c r="J35" i="80"/>
  <c r="K77" i="80"/>
  <c r="K78" i="80" s="1"/>
  <c r="H13" i="84"/>
  <c r="F27" i="85" s="1"/>
  <c r="F29" i="85" s="1"/>
  <c r="E16" i="84"/>
  <c r="H26" i="80"/>
  <c r="H31" i="80" s="1"/>
  <c r="E23" i="84" s="1"/>
  <c r="I12" i="84"/>
  <c r="K15" i="80"/>
  <c r="I32" i="84"/>
  <c r="J18" i="80"/>
  <c r="K50" i="80"/>
  <c r="I10" i="84"/>
  <c r="L13" i="80"/>
  <c r="K57" i="80"/>
  <c r="K61" i="80"/>
  <c r="K18" i="80"/>
  <c r="H16" i="84" s="1"/>
  <c r="F16" i="84"/>
  <c r="I26" i="80" l="1"/>
  <c r="F21" i="84" s="1"/>
  <c r="M41" i="85"/>
  <c r="M43" i="85" s="1"/>
  <c r="J24" i="80"/>
  <c r="F41" i="85"/>
  <c r="F43" i="85" s="1"/>
  <c r="M27" i="85"/>
  <c r="M29" i="85" s="1"/>
  <c r="G16" i="84"/>
  <c r="E21" i="84"/>
  <c r="I20" i="84"/>
  <c r="L24" i="80"/>
  <c r="L15" i="80"/>
  <c r="L16" i="80"/>
  <c r="I15" i="84" s="1"/>
  <c r="I13" i="84"/>
  <c r="K40" i="84" s="1"/>
  <c r="H20" i="84"/>
  <c r="K24" i="80"/>
  <c r="I31" i="80" l="1"/>
  <c r="F23" i="84" s="1"/>
  <c r="K26" i="80"/>
  <c r="H21" i="84" s="1"/>
  <c r="L25" i="80"/>
  <c r="I36" i="84" s="1"/>
  <c r="J26" i="80"/>
  <c r="G21" i="84" s="1"/>
  <c r="K25" i="80"/>
  <c r="H36" i="84" s="1"/>
  <c r="J25" i="80"/>
  <c r="G36" i="84" s="1"/>
  <c r="K42" i="84"/>
  <c r="L18" i="80"/>
  <c r="L26" i="80" s="1"/>
  <c r="K31" i="80" l="1"/>
  <c r="H23" i="84" s="1"/>
  <c r="J31" i="80"/>
  <c r="G23" i="84" s="1"/>
  <c r="I16" i="84"/>
  <c r="I4" i="35"/>
  <c r="I5" i="35" s="1"/>
  <c r="I6" i="35" s="1"/>
  <c r="H4" i="35"/>
  <c r="H5" i="35" s="1"/>
  <c r="H6" i="35" s="1"/>
  <c r="J4" i="35"/>
  <c r="J5" i="35" s="1"/>
  <c r="J6" i="35" s="1"/>
  <c r="I21" i="84" l="1"/>
  <c r="L31" i="80"/>
  <c r="I23" i="84" s="1"/>
  <c r="K38" i="84" s="1"/>
  <c r="F25" i="85" s="1"/>
  <c r="F4" i="35"/>
  <c r="F40" i="85" l="1"/>
  <c r="F30" i="85"/>
  <c r="F33" i="85" s="1"/>
  <c r="F35" i="85" s="1"/>
  <c r="K43" i="84"/>
  <c r="K48" i="84" s="1"/>
  <c r="K51" i="84" s="1"/>
  <c r="S46" i="84"/>
  <c r="S45" i="84"/>
  <c r="Q46" i="84"/>
  <c r="E5" i="35" s="1"/>
  <c r="E6" i="35" s="1"/>
  <c r="R46" i="84"/>
  <c r="S47" i="84"/>
  <c r="S48" i="84"/>
  <c r="P43" i="84"/>
  <c r="O43" i="84"/>
  <c r="S41" i="84"/>
  <c r="O42" i="84"/>
  <c r="Q45" i="84"/>
  <c r="P45" i="84"/>
  <c r="O44" i="84"/>
  <c r="S40" i="84"/>
  <c r="U40" i="84"/>
  <c r="T44" i="84"/>
  <c r="W42" i="84"/>
  <c r="T43" i="84"/>
  <c r="W47" i="84"/>
  <c r="T40" i="84"/>
  <c r="R44" i="84"/>
  <c r="O45" i="84"/>
  <c r="Q42" i="84"/>
  <c r="T41" i="84"/>
  <c r="R43" i="84"/>
  <c r="T48" i="84"/>
  <c r="U47" i="84"/>
  <c r="W46" i="84"/>
  <c r="W44" i="84"/>
  <c r="T42" i="84"/>
  <c r="V48" i="84"/>
  <c r="U46" i="84"/>
  <c r="Q40" i="84"/>
  <c r="V44" i="84"/>
  <c r="W45" i="84"/>
  <c r="U42" i="84"/>
  <c r="G5" i="35" s="1"/>
  <c r="G6" i="35" s="1"/>
  <c r="O41" i="84"/>
  <c r="V43" i="84"/>
  <c r="O48" i="84"/>
  <c r="R47" i="84"/>
  <c r="T46" i="84"/>
  <c r="S43" i="84"/>
  <c r="S44" i="84"/>
  <c r="P46" i="84"/>
  <c r="O47" i="84"/>
  <c r="R48" i="84"/>
  <c r="Q48" i="84"/>
  <c r="Q43" i="84"/>
  <c r="R41" i="84"/>
  <c r="Q41" i="84"/>
  <c r="S42" i="84"/>
  <c r="R45" i="84"/>
  <c r="P44" i="84"/>
  <c r="R40" i="84"/>
  <c r="O46" i="84"/>
  <c r="U44" i="84"/>
  <c r="V42" i="84"/>
  <c r="V41" i="84"/>
  <c r="T47" i="84"/>
  <c r="O40" i="84"/>
  <c r="Q44" i="84"/>
  <c r="V45" i="84"/>
  <c r="P42" i="84"/>
  <c r="W41" i="84"/>
  <c r="U43" i="84"/>
  <c r="W48" i="84"/>
  <c r="P47" i="84"/>
  <c r="V46" i="84"/>
  <c r="V40" i="84"/>
  <c r="U45" i="84"/>
  <c r="W43" i="84"/>
  <c r="V47" i="84"/>
  <c r="W40" i="84"/>
  <c r="P40" i="84"/>
  <c r="T45" i="84"/>
  <c r="R42" i="84"/>
  <c r="U41" i="84"/>
  <c r="P41" i="84"/>
  <c r="U48" i="84"/>
  <c r="P48" i="84"/>
  <c r="Q47" i="84"/>
  <c r="F6" i="35" l="1"/>
  <c r="M25" i="85"/>
  <c r="F44" i="85"/>
  <c r="F47" i="85" s="1"/>
  <c r="F49" i="85" s="1"/>
  <c r="K55" i="84"/>
  <c r="K56" i="84" s="1"/>
  <c r="F5" i="35"/>
  <c r="M40" i="85" l="1"/>
  <c r="M44" i="85" s="1"/>
  <c r="M47" i="85" s="1"/>
  <c r="M49" i="85" s="1"/>
  <c r="G3" i="35" s="1"/>
  <c r="M30" i="85"/>
  <c r="M33" i="85" s="1"/>
  <c r="M35" i="85" s="1"/>
  <c r="E3" i="35" s="1"/>
  <c r="F3" i="35" l="1"/>
  <c r="E50" i="80" l="1"/>
  <c r="F49" i="80" l="1"/>
  <c r="F50" i="80" s="1"/>
  <c r="E58" i="80"/>
  <c r="E57" i="80" s="1"/>
  <c r="E61" i="80" l="1"/>
  <c r="F36" i="80"/>
  <c r="G35" i="80" s="1"/>
  <c r="F56" i="80"/>
  <c r="F57" i="80" s="1"/>
  <c r="E77" i="80"/>
  <c r="C20" i="84" l="1"/>
  <c r="F61" i="80"/>
  <c r="F24" i="80" l="1"/>
  <c r="F26" i="80" s="1"/>
  <c r="C21" i="84" s="1"/>
  <c r="G24" i="80"/>
  <c r="G26" i="80" s="1"/>
  <c r="D21" i="84" s="1"/>
  <c r="D20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BDC48BD5-34FA-409A-9820-45A732D8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 Revenue from Product Sales and Rentals, Services. Is not on the orignal income statement.</t>
        </r>
      </text>
    </comment>
  </commentList>
</comments>
</file>

<file path=xl/sharedStrings.xml><?xml version="1.0" encoding="utf-8"?>
<sst xmlns="http://schemas.openxmlformats.org/spreadsheetml/2006/main" count="467" uniqueCount="272">
  <si>
    <t xml:space="preserve">For the Fiscal Period Ending
</t>
  </si>
  <si>
    <t>Total Revenue</t>
  </si>
  <si>
    <t>Gross Profit</t>
  </si>
  <si>
    <t>-</t>
  </si>
  <si>
    <t>EBIT</t>
  </si>
  <si>
    <t xml:space="preserve"> </t>
  </si>
  <si>
    <t>Income Statement</t>
  </si>
  <si>
    <t>Revenue</t>
  </si>
  <si>
    <t xml:space="preserve">Balance Sheet as of:
</t>
  </si>
  <si>
    <t xml:space="preserve">  Total Current Assets</t>
  </si>
  <si>
    <t xml:space="preserve">  Total Current Liabilities</t>
  </si>
  <si>
    <t>Total Debt</t>
  </si>
  <si>
    <t>Data</t>
  </si>
  <si>
    <t>High</t>
  </si>
  <si>
    <t>Low</t>
  </si>
  <si>
    <t>Company</t>
  </si>
  <si>
    <t>Mean</t>
  </si>
  <si>
    <t>Median</t>
  </si>
  <si>
    <t>In Millions</t>
  </si>
  <si>
    <t>From Income Statement</t>
  </si>
  <si>
    <t>Revenue (Growth Rate)</t>
  </si>
  <si>
    <t>COGS</t>
  </si>
  <si>
    <t>COGS (% of Sales)</t>
  </si>
  <si>
    <t>Income Tax Rate</t>
  </si>
  <si>
    <t>CapEx (% of Sales)</t>
  </si>
  <si>
    <t>Free Cash Flow</t>
  </si>
  <si>
    <t>PV of Cash Flow</t>
  </si>
  <si>
    <t>Discounted Cash Flow Analysis</t>
  </si>
  <si>
    <t>Implied Share Price</t>
  </si>
  <si>
    <t>Sum of Free Cash Flow</t>
  </si>
  <si>
    <t>Exit Multiple (TEV/EBITDA LTM)</t>
  </si>
  <si>
    <t>Terminal Value</t>
  </si>
  <si>
    <t>Discounted Terminal Value</t>
  </si>
  <si>
    <t>Implied Enterprise Value</t>
  </si>
  <si>
    <t>Less: Net Debt</t>
  </si>
  <si>
    <t>Less: Noncontrolling Interest</t>
  </si>
  <si>
    <t>Implied Equity Value</t>
  </si>
  <si>
    <t>Diluted Shares Outstanding</t>
  </si>
  <si>
    <t>Current Price</t>
  </si>
  <si>
    <t>Assumptions</t>
  </si>
  <si>
    <t>$ Increase</t>
  </si>
  <si>
    <t>Return</t>
  </si>
  <si>
    <t>Sensitivity Assumptions</t>
  </si>
  <si>
    <t>Exit Multiple Step</t>
  </si>
  <si>
    <t>D&amp;A (% of Sales)</t>
  </si>
  <si>
    <t>WACC Step</t>
  </si>
  <si>
    <t xml:space="preserve">Cap Ex. </t>
  </si>
  <si>
    <t xml:space="preserve">WACC </t>
  </si>
  <si>
    <t>Sensitivity Analysis</t>
  </si>
  <si>
    <t>Exit Multiple</t>
  </si>
  <si>
    <t>Weighted Average Cost of Capital</t>
  </si>
  <si>
    <t>WACC</t>
  </si>
  <si>
    <t>Beta Calculation</t>
  </si>
  <si>
    <t>Risk Free Rate</t>
  </si>
  <si>
    <t>Tax Rate</t>
  </si>
  <si>
    <t>Debt</t>
  </si>
  <si>
    <t>Equity</t>
  </si>
  <si>
    <t>Cost of Equity</t>
  </si>
  <si>
    <t>Market Risk Premium</t>
  </si>
  <si>
    <t>Pre-Tax Cost of Debt</t>
  </si>
  <si>
    <t>After-Tax Cost of Debt</t>
  </si>
  <si>
    <t>% Equity</t>
  </si>
  <si>
    <t>% Debt</t>
  </si>
  <si>
    <t>SG&amp;A(% of Sales)</t>
  </si>
  <si>
    <t>Enterprise Value</t>
  </si>
  <si>
    <t>Debt/Equity</t>
  </si>
  <si>
    <t xml:space="preserve">LTM EFF Tax Rate </t>
  </si>
  <si>
    <t xml:space="preserve">Average EFF Tax Rate </t>
  </si>
  <si>
    <t xml:space="preserve">Unlevered Beta </t>
  </si>
  <si>
    <t xml:space="preserve">Years 1-5 EFF Tax Rate </t>
  </si>
  <si>
    <t xml:space="preserve">Average Unlevered Beta </t>
  </si>
  <si>
    <t>Operating Expense (% of Sales)</t>
  </si>
  <si>
    <t>x</t>
  </si>
  <si>
    <t>EBT</t>
  </si>
  <si>
    <t>Discount Factor</t>
  </si>
  <si>
    <t>Stub</t>
  </si>
  <si>
    <t>WORKING CAPITAL SCHEDULE</t>
  </si>
  <si>
    <t>Accounts receivable</t>
  </si>
  <si>
    <t>Beginning of period</t>
  </si>
  <si>
    <t>Increases / (decreases)</t>
  </si>
  <si>
    <t>End of period</t>
  </si>
  <si>
    <t>AR as % of sales</t>
  </si>
  <si>
    <t>Days sales outstanding (DSO)</t>
  </si>
  <si>
    <t>Accounts payable</t>
  </si>
  <si>
    <t>AP as % of COGS</t>
  </si>
  <si>
    <t>Days payables outstanding (DPO)</t>
  </si>
  <si>
    <t>Accrued expenses as % of sales</t>
  </si>
  <si>
    <t xml:space="preserve">5 Yr Levered Beta </t>
  </si>
  <si>
    <t xml:space="preserve">Future Fiscal Years </t>
  </si>
  <si>
    <t xml:space="preserve">
               </t>
  </si>
  <si>
    <t>Other Current Assets</t>
  </si>
  <si>
    <t>Cash Flow</t>
  </si>
  <si>
    <t>Inventory as % of COGS</t>
  </si>
  <si>
    <t>Levered Beta</t>
  </si>
  <si>
    <t>Change in WC</t>
  </si>
  <si>
    <t>WC</t>
  </si>
  <si>
    <t>Balance Sheet</t>
  </si>
  <si>
    <t>25th Percentile</t>
  </si>
  <si>
    <t>75th Percentile</t>
  </si>
  <si>
    <t>(-) COGS</t>
  </si>
  <si>
    <t>(-) Income Tax Expense</t>
  </si>
  <si>
    <t>(-) CapEX</t>
  </si>
  <si>
    <t>(-) Selling, General, &amp; Admin Exp.</t>
  </si>
  <si>
    <t xml:space="preserve">  Provision for Income Tax</t>
  </si>
  <si>
    <t>Taxes and Other Expenses</t>
  </si>
  <si>
    <t>Expenses</t>
  </si>
  <si>
    <t xml:space="preserve">  Total Revenues</t>
  </si>
  <si>
    <t>Revenues</t>
  </si>
  <si>
    <t>Millions</t>
  </si>
  <si>
    <t>Units</t>
  </si>
  <si>
    <t xml:space="preserve">  Total Liabilities &amp; Shareholders Equity</t>
  </si>
  <si>
    <t xml:space="preserve">  Total Shareholders Equity</t>
  </si>
  <si>
    <t xml:space="preserve">  Accumulated Other Comprehensive Income</t>
  </si>
  <si>
    <t xml:space="preserve">  Additional Paid in Capital</t>
  </si>
  <si>
    <t>Shareholders' Equity</t>
  </si>
  <si>
    <t xml:space="preserve">  Other Long-term Liabilities</t>
  </si>
  <si>
    <t xml:space="preserve">  Deferred Income Taxes</t>
  </si>
  <si>
    <t xml:space="preserve">  Long-term Debt Net</t>
  </si>
  <si>
    <t>Non Current Liabilities</t>
  </si>
  <si>
    <t xml:space="preserve">  Accrued Expenses and Other Liabilities</t>
  </si>
  <si>
    <t xml:space="preserve">  Accounts Payable</t>
  </si>
  <si>
    <t>Current Liabilities</t>
  </si>
  <si>
    <t xml:space="preserve">  Total Assets</t>
  </si>
  <si>
    <t xml:space="preserve">  Goodwill</t>
  </si>
  <si>
    <t>Non Current Assets</t>
  </si>
  <si>
    <t xml:space="preserve">  Accounts Receivables</t>
  </si>
  <si>
    <t xml:space="preserve">  Cash and Cash Equivalents</t>
  </si>
  <si>
    <t>Current Assets</t>
  </si>
  <si>
    <t xml:space="preserve">  Capital Expenditures</t>
  </si>
  <si>
    <t>Investing Activities</t>
  </si>
  <si>
    <t xml:space="preserve">(-) Interest Expense </t>
  </si>
  <si>
    <t>D&amp;A</t>
  </si>
  <si>
    <t>Accrued expenses &amp; Other</t>
  </si>
  <si>
    <t>Difference</t>
  </si>
  <si>
    <t>Valuation Summary</t>
  </si>
  <si>
    <t>52-Week Low</t>
  </si>
  <si>
    <t>52-Week High</t>
  </si>
  <si>
    <t>Current Trading Price</t>
  </si>
  <si>
    <t>Comparable Company Analysis (LTM EV/EBITDA)</t>
  </si>
  <si>
    <t>Discounted Cash Flows Analysis (LTM EV/EBITDA)</t>
  </si>
  <si>
    <t xml:space="preserve">Target Range </t>
  </si>
  <si>
    <t>Fiscal Year Ending December 31,</t>
  </si>
  <si>
    <t>(Inc) / Dec in NWC</t>
  </si>
  <si>
    <t>(+) D&amp;A</t>
  </si>
  <si>
    <t>(-) Op. Ex</t>
  </si>
  <si>
    <t>(-) CapEx</t>
  </si>
  <si>
    <t>Change in OWC. (% of Sales)</t>
  </si>
  <si>
    <t>NOPAT</t>
  </si>
  <si>
    <t>Investor Model</t>
  </si>
  <si>
    <t>Implied Target Price</t>
  </si>
  <si>
    <t>Exit Multiple (EV/EBITDA)</t>
  </si>
  <si>
    <t>Sum of FCF</t>
  </si>
  <si>
    <t>Discounted TV</t>
  </si>
  <si>
    <t>Less Net Debt</t>
  </si>
  <si>
    <t xml:space="preserve">Diluted Shares Outstanding </t>
  </si>
  <si>
    <t>Taxe effect as a % of sales</t>
  </si>
  <si>
    <t>(+) Depreciation and Amortization</t>
  </si>
  <si>
    <t xml:space="preserve">  Net Income (Loss)</t>
  </si>
  <si>
    <t xml:space="preserve">  Minority Interest (After Tax)</t>
  </si>
  <si>
    <t xml:space="preserve">  Earnings before Taxes</t>
  </si>
  <si>
    <t xml:space="preserve">  Interest Income</t>
  </si>
  <si>
    <t xml:space="preserve">  Interest Expense</t>
  </si>
  <si>
    <t xml:space="preserve">  Common Stock - Par Value</t>
  </si>
  <si>
    <t xml:space="preserve">  Minority Interest</t>
  </si>
  <si>
    <t xml:space="preserve">  Contract Liabilities</t>
  </si>
  <si>
    <t xml:space="preserve">  Income Taxes Payable</t>
  </si>
  <si>
    <t xml:space="preserve">  Other Non-current Assets</t>
  </si>
  <si>
    <t xml:space="preserve">  Contract Asset</t>
  </si>
  <si>
    <t>TEV</t>
  </si>
  <si>
    <t>Net Debt</t>
  </si>
  <si>
    <t>LTM EBITDA</t>
  </si>
  <si>
    <t>LTM</t>
  </si>
  <si>
    <t>(USD)</t>
  </si>
  <si>
    <t xml:space="preserve">Company </t>
  </si>
  <si>
    <t>Debt /</t>
  </si>
  <si>
    <t>P/E</t>
  </si>
  <si>
    <t>TEV/EBITDA</t>
  </si>
  <si>
    <t>Market Cap</t>
  </si>
  <si>
    <t xml:space="preserve">  </t>
  </si>
  <si>
    <t xml:space="preserve">CY2021 Net Income (GAAP) (Capital IQ) </t>
  </si>
  <si>
    <t xml:space="preserve">CY2020 Net Income (GAAP) (Capital IQ) </t>
  </si>
  <si>
    <t xml:space="preserve">LTM Net Income </t>
  </si>
  <si>
    <t xml:space="preserve">CY2021 EBITDA (Capital IQ) </t>
  </si>
  <si>
    <t xml:space="preserve">CY2020 EBITDA (Capital IQ) </t>
  </si>
  <si>
    <t xml:space="preserve">LTM EBITDA </t>
  </si>
  <si>
    <t xml:space="preserve">FQ Equity Method Investments </t>
  </si>
  <si>
    <t xml:space="preserve">FQ Short Term Investments </t>
  </si>
  <si>
    <t xml:space="preserve">FQ Cash And Equivalents </t>
  </si>
  <si>
    <t xml:space="preserve">FQ Total Pref. Equity </t>
  </si>
  <si>
    <t xml:space="preserve">FQ Minority Interest </t>
  </si>
  <si>
    <t xml:space="preserve">FQ Total Short-Term Borrowings </t>
  </si>
  <si>
    <t xml:space="preserve">FQ Curr. Port. of Long Term Debt </t>
  </si>
  <si>
    <t xml:space="preserve">FQ Long-Term Debt </t>
  </si>
  <si>
    <t>Market Capitalization Latest</t>
  </si>
  <si>
    <t>Company Name</t>
  </si>
  <si>
    <t>Debt / EBITDA</t>
  </si>
  <si>
    <t>P / E</t>
  </si>
  <si>
    <t>EV / EBITDA</t>
  </si>
  <si>
    <t>Company Comp Set</t>
  </si>
  <si>
    <t>(-)</t>
  </si>
  <si>
    <t>(+)</t>
  </si>
  <si>
    <t>75th  Percentile</t>
  </si>
  <si>
    <t xml:space="preserve">Income Sheet as of:
</t>
  </si>
  <si>
    <t>(-) Change in Working Cap</t>
  </si>
  <si>
    <t>Fiscal Year Ending Dec 31</t>
  </si>
  <si>
    <t>Comparable Company Analysis (LTM P/E)</t>
  </si>
  <si>
    <t>Equity Value</t>
  </si>
  <si>
    <t>Fully Diluted Shares Outstanding</t>
  </si>
  <si>
    <t>EPS</t>
  </si>
  <si>
    <t>EV/EBITDA</t>
  </si>
  <si>
    <t xml:space="preserve">LTM-5 Effective Tax Rate </t>
  </si>
  <si>
    <t xml:space="preserve">LTM-4 Effective Tax Rate </t>
  </si>
  <si>
    <t xml:space="preserve">LTM-3 Effective Tax Rate </t>
  </si>
  <si>
    <t xml:space="preserve">LTM-2 Effective Tax Rate </t>
  </si>
  <si>
    <t xml:space="preserve">LTM-1 Effective Tax Rate </t>
  </si>
  <si>
    <t xml:space="preserve">LTM Effective Tax Rate </t>
  </si>
  <si>
    <t>Sum</t>
  </si>
  <si>
    <t>Average</t>
  </si>
  <si>
    <t>Q3 2020</t>
  </si>
  <si>
    <t>NWC</t>
  </si>
  <si>
    <t>Taxes Payable</t>
  </si>
  <si>
    <t>NM</t>
  </si>
  <si>
    <t>($ 'mm)</t>
  </si>
  <si>
    <t>(-) Tax Effect</t>
  </si>
  <si>
    <t>Operating Income</t>
  </si>
  <si>
    <t xml:space="preserve">  Revenues</t>
  </si>
  <si>
    <t>Direct Cost of Contracts</t>
  </si>
  <si>
    <t xml:space="preserve">  Indirect, General and Administrative Expenses</t>
  </si>
  <si>
    <t xml:space="preserve">  Impairment of Goodwill, Intangibles and Other Assets</t>
  </si>
  <si>
    <t xml:space="preserve"> (Interest and Other Expense) Gain Associated with Claim on Long-term Contract</t>
  </si>
  <si>
    <t xml:space="preserve">  Equity in Earnings of Unconsolidated Joint Ventures</t>
  </si>
  <si>
    <t xml:space="preserve">  Other Income/expense-net</t>
  </si>
  <si>
    <t xml:space="preserve">  Restricted Cash and Investments</t>
  </si>
  <si>
    <t xml:space="preserve">  Prepaid Expenses and Other Current Assets</t>
  </si>
  <si>
    <t xml:space="preserve">  Intangible Asset, Net</t>
  </si>
  <si>
    <t xml:space="preserve">  Property and Equipment, net</t>
  </si>
  <si>
    <t xml:space="preserve">  Investments in and Advances to Unconsolidated Joint Ventures</t>
  </si>
  <si>
    <t xml:space="preserve">  Right of Use Assets - Operating Leases</t>
  </si>
  <si>
    <t xml:space="preserve">  Short-term Lease Liabilities, Operating Leases</t>
  </si>
  <si>
    <t xml:space="preserve">  Billings in Excess of Costs</t>
  </si>
  <si>
    <t xml:space="preserve">  Provision for Contract Losses</t>
  </si>
  <si>
    <t xml:space="preserve">  Long- Term Lease Liabilities - Operating Leases</t>
  </si>
  <si>
    <t xml:space="preserve">  Deferred Gain Resulting from Sale-leaseback Transactions</t>
  </si>
  <si>
    <t xml:space="preserve">  Deferred Tax Liabilities</t>
  </si>
  <si>
    <t xml:space="preserve">  Redeemable Common Stock Held By Employee Stock Ownership Plan (esop), 1 Par Value Authorized 50,000,000 Shares 41,699,228 Sha</t>
  </si>
  <si>
    <t xml:space="preserve">  Long-term Employee Incentives</t>
  </si>
  <si>
    <t xml:space="preserve">  Treasury Stock - Common</t>
  </si>
  <si>
    <t xml:space="preserve">  Accumulated Deficit/retained Earnings</t>
  </si>
  <si>
    <t xml:space="preserve">  Accumulated Other Comprehensive Loss</t>
  </si>
  <si>
    <t xml:space="preserve">Parsons Corporation </t>
  </si>
  <si>
    <t xml:space="preserve">Triumph Group, Inc. </t>
  </si>
  <si>
    <t xml:space="preserve">PAE Incorporated </t>
  </si>
  <si>
    <t xml:space="preserve">Spirit AeroSystems Holdings, Inc. </t>
  </si>
  <si>
    <t xml:space="preserve">Science Applications International Corporation </t>
  </si>
  <si>
    <t xml:space="preserve">CACI International Inc </t>
  </si>
  <si>
    <t xml:space="preserve">Booz Allen Hamilton Holding Corporation </t>
  </si>
  <si>
    <t xml:space="preserve">Leidos Holdings, Inc. </t>
  </si>
  <si>
    <t>N/A</t>
  </si>
  <si>
    <t>PSN</t>
  </si>
  <si>
    <t>Booz Allen Hamilton Holdings</t>
  </si>
  <si>
    <t>Leidos Holdings</t>
  </si>
  <si>
    <t>CACI International</t>
  </si>
  <si>
    <t>Spirit AeroSystems Holdings</t>
  </si>
  <si>
    <t>Triumph Group</t>
  </si>
  <si>
    <t>Quick Ratio</t>
  </si>
  <si>
    <t>Parsons Corporation</t>
  </si>
  <si>
    <t xml:space="preserve">PSN Re-levered Beta </t>
  </si>
  <si>
    <t xml:space="preserve">PSN Unlevered Beta </t>
  </si>
  <si>
    <t>Science Applications Intl.</t>
  </si>
  <si>
    <t>Other  (% of Sales)</t>
  </si>
  <si>
    <t xml:space="preserve">    Other</t>
  </si>
  <si>
    <t>Industry Median 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</si>
</sst>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_)\ ;_(* 0_)"/>
    <numFmt numFmtId="165" formatCode=";;"/>
    <numFmt numFmtId="166" formatCode="_(* #,##0_);_(* \(#,##0\);_(* &quot;-&quot;??_);_(@_)"/>
    <numFmt numFmtId="167" formatCode="0.0\x"/>
    <numFmt numFmtId="168" formatCode="0.0%"/>
    <numFmt numFmtId="169" formatCode="###.0\x"/>
    <numFmt numFmtId="170" formatCode="#.0\x"/>
    <numFmt numFmtId="171" formatCode="\ _(&quot;$&quot;* #,###_);_(&quot;$&quot;* \(#,##0.00\);_(&quot;$&quot;* &quot;&quot;\-&quot;&quot;??_);_(@_)"/>
    <numFmt numFmtId="172" formatCode="_(&quot;$&quot;* #,##0_);_(&quot;$&quot;* \(#,##0\);_(&quot;$&quot;* &quot;-&quot;??_);_(@_)"/>
    <numFmt numFmtId="173" formatCode="_([$$-409]* #,##0_);_([$$-409]* \(#,##0\);_([$$-409]* &quot;-&quot;??_);_(@_)"/>
    <numFmt numFmtId="174" formatCode="_([$$-409]* #,##0.00_);_([$$-409]* \(#,##0.00\);_([$$-409]* &quot;-&quot;??_);_(@_)"/>
    <numFmt numFmtId="175" formatCode="0.0"/>
    <numFmt numFmtId="176" formatCode="&quot;$&quot;#,##0.00;\(&quot;$&quot;#,##0.00\);&quot;--&quot;"/>
    <numFmt numFmtId="177" formatCode="#,##0;\(#,##0\);&quot;--&quot;"/>
    <numFmt numFmtId="178" formatCode="0\ &quot;days&quot;"/>
    <numFmt numFmtId="179" formatCode="0&quot;E&quot;"/>
    <numFmt numFmtId="180" formatCode="yyyy&quot;A&quot;"/>
    <numFmt numFmtId="181" formatCode="yyyy&quot;E&quot;"/>
    <numFmt numFmtId="182" formatCode="0%;\(0%\)"/>
    <numFmt numFmtId="183" formatCode="_(\ #,##0.0#_);_(\(\ #,##0.0#\)_);_(\ &quot; - &quot;_)"/>
    <numFmt numFmtId="184" formatCode="#,##0.00\x_);\(&quot;$&quot;#,##0.00\x\)"/>
    <numFmt numFmtId="185" formatCode="#,##0.00\x_);\(#,##0.00\x\)"/>
    <numFmt numFmtId="186" formatCode="#,##0.0\x_);\(#,##0.0\x\)"/>
    <numFmt numFmtId="187" formatCode="_(\ #,##0.0_);_(\ \(#,##0.0\)_);_(\ &quot; - &quot;_)"/>
    <numFmt numFmtId="188" formatCode="0.00_);\(0.00\)"/>
    <numFmt numFmtId="189" formatCode="_(#,##0.00%_);_(\(#,##0.00%\)_);_(#,##0.00%_)"/>
    <numFmt numFmtId="190" formatCode="#,##0%_);\(#,##0%\)"/>
    <numFmt numFmtId="191" formatCode="&quot;$&quot;#,##0"/>
  </numFmts>
  <fonts count="9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0"/>
      <color indexed="8"/>
      <name val="Gill Sans MT"/>
      <family val="2"/>
    </font>
    <font>
      <sz val="10"/>
      <name val="Gill Sans MT"/>
      <family val="2"/>
    </font>
    <font>
      <b/>
      <sz val="10"/>
      <color theme="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8"/>
      <name val="Gill Sans MT"/>
      <family val="2"/>
    </font>
    <font>
      <sz val="12"/>
      <color theme="0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0"/>
      <name val="Bookman Old Style"/>
      <family val="1"/>
    </font>
    <font>
      <i/>
      <sz val="10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10"/>
      <color theme="0"/>
      <name val="Bookman Old Style"/>
      <family val="1"/>
    </font>
    <font>
      <sz val="8"/>
      <name val="Bookman Old Style"/>
      <family val="1"/>
    </font>
    <font>
      <sz val="10"/>
      <color indexed="8"/>
      <name val="Bookman Old Style"/>
      <family val="1"/>
    </font>
    <font>
      <b/>
      <sz val="10"/>
      <color rgb="FF000000"/>
      <name val="Bookman Old Style"/>
      <family val="1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sz val="10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indexed="9"/>
      <name val="Bookman Old Style"/>
      <family val="1"/>
    </font>
    <font>
      <b/>
      <sz val="10"/>
      <color indexed="8"/>
      <name val="Bookman Old Style"/>
      <family val="1"/>
    </font>
    <font>
      <sz val="10"/>
      <color rgb="FF0000FF"/>
      <name val="Bookman Old Style"/>
      <family val="1"/>
    </font>
    <font>
      <b/>
      <sz val="10"/>
      <color theme="0"/>
      <name val="Arial"/>
      <family val="2"/>
    </font>
    <font>
      <sz val="10"/>
      <color rgb="FF00990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10"/>
      <color rgb="FF008000"/>
      <name val="Bookman Old Style"/>
      <family val="1"/>
    </font>
    <font>
      <sz val="11"/>
      <color rgb="FF008000"/>
      <name val="Bookman Old Style"/>
      <family val="1"/>
    </font>
    <font>
      <i/>
      <sz val="11"/>
      <color theme="1"/>
      <name val="Bookman Old Style"/>
      <family val="1"/>
    </font>
    <font>
      <u val="singleAccounting"/>
      <sz val="10"/>
      <name val="Bookman Old Style"/>
      <family val="1"/>
    </font>
    <font>
      <b/>
      <i/>
      <sz val="10"/>
      <color theme="0"/>
      <name val="Bookman Old Style"/>
      <family val="1"/>
    </font>
    <font>
      <sz val="8"/>
      <color rgb="FF0000FF"/>
      <name val="Gill Sans MT"/>
      <family val="2"/>
    </font>
    <font>
      <b/>
      <sz val="10"/>
      <color rgb="FFFF0000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55"/>
      <color theme="1"/>
      <name val="Bookman Old Style"/>
      <family val="1"/>
    </font>
    <font>
      <b/>
      <sz val="48"/>
      <color theme="1"/>
      <name val="Bookman Old Style"/>
      <family val="1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2"/>
      <name val="Bookman Old Style"/>
      <family val="1"/>
    </font>
    <font>
      <sz val="12"/>
      <name val="Gill Sans MT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i/>
      <sz val="10"/>
      <name val="Calibri Light"/>
      <family val="2"/>
      <scheme val="major"/>
    </font>
    <font>
      <i/>
      <sz val="8"/>
      <name val="Arial"/>
      <family val="2"/>
    </font>
    <font>
      <i/>
      <sz val="10"/>
      <name val="Calibri"/>
      <family val="2"/>
      <scheme val="minor"/>
    </font>
    <font>
      <b/>
      <u val="singleAccounting"/>
      <sz val="10"/>
      <color theme="0"/>
      <name val="Bookman Old Style"/>
      <family val="1"/>
    </font>
    <font>
      <sz val="11"/>
      <color rgb="FF0000FF"/>
      <name val="Calibri"/>
      <family val="2"/>
      <scheme val="minor"/>
    </font>
    <font>
      <u/>
      <sz val="8"/>
      <color theme="1"/>
      <name val="Arial"/>
      <family val="2"/>
    </font>
    <font>
      <b/>
      <sz val="8"/>
      <color theme="0"/>
      <name val="Arial"/>
      <family val="2"/>
    </font>
    <font>
      <sz val="1"/>
      <color indexed="9"/>
      <name val="Symbol"/>
      <family val="1"/>
      <charset val="2"/>
    </font>
    <font>
      <b/>
      <sz val="11"/>
      <color theme="0"/>
      <name val="Bookman Old Style"/>
      <family val="1"/>
    </font>
    <font>
      <sz val="11"/>
      <color theme="0"/>
      <name val="Bookman Old Style"/>
      <family val="1"/>
    </font>
    <font>
      <b/>
      <sz val="8"/>
      <color theme="0"/>
      <name val="Bookman Old Style"/>
      <family val="1"/>
    </font>
    <font>
      <b/>
      <sz val="8"/>
      <color indexed="8"/>
      <name val="Bookman Old Style"/>
      <family val="1"/>
    </font>
    <font>
      <sz val="8"/>
      <color indexed="8"/>
      <name val="Bookman Old Style"/>
      <family val="1"/>
    </font>
    <font>
      <i/>
      <sz val="10"/>
      <color theme="0"/>
      <name val="Bookman Old Style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Bookman Old Style"/>
      <family val="1"/>
    </font>
    <font>
      <sz val="8"/>
      <color theme="0"/>
      <name val="Arial"/>
      <family val="2"/>
    </font>
    <font>
      <i/>
      <sz val="10"/>
      <color theme="1"/>
      <name val="Bookman Old Style"/>
      <family val="1"/>
    </font>
    <font>
      <sz val="10"/>
      <color theme="1"/>
      <name val="Calibri Light"/>
      <family val="2"/>
      <scheme val="maj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9A9B9F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1AADF"/>
        <bgColor indexed="64"/>
      </patternFill>
    </fill>
    <fill>
      <patternFill patternType="solid">
        <fgColor rgb="FF3399FF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0">
    <xf numFmtId="0" fontId="0" fillId="0" borderId="0"/>
    <xf numFmtId="0" fontId="7" fillId="0" borderId="0" applyAlignment="0"/>
    <xf numFmtId="0" fontId="8" fillId="0" borderId="0" applyAlignment="0"/>
    <xf numFmtId="0" fontId="9" fillId="2" borderId="0" applyAlignment="0"/>
    <xf numFmtId="0" fontId="10" fillId="3" borderId="0" applyAlignment="0"/>
    <xf numFmtId="0" fontId="11" fillId="4" borderId="0" applyAlignment="0"/>
    <xf numFmtId="0" fontId="12" fillId="5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 applyAlignment="0"/>
    <xf numFmtId="0" fontId="16" fillId="0" borderId="0" applyAlignment="0">
      <alignment wrapText="1"/>
    </xf>
    <xf numFmtId="0" fontId="18" fillId="0" borderId="0" applyAlignment="0"/>
    <xf numFmtId="0" fontId="19" fillId="0" borderId="0" applyAlignment="0"/>
    <xf numFmtId="0" fontId="20" fillId="0" borderId="0" applyAlignment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5" fillId="0" borderId="0"/>
    <xf numFmtId="43" fontId="5" fillId="0" borderId="0" applyFont="0" applyFill="0" applyBorder="0" applyAlignment="0" applyProtection="0"/>
    <xf numFmtId="0" fontId="41" fillId="0" borderId="0"/>
    <xf numFmtId="0" fontId="42" fillId="0" borderId="0" applyAlignment="0"/>
    <xf numFmtId="0" fontId="21" fillId="0" borderId="0"/>
    <xf numFmtId="0" fontId="4" fillId="6" borderId="0" applyNumberFormat="0" applyBorder="0" applyAlignment="0" applyProtection="0"/>
    <xf numFmtId="0" fontId="16" fillId="0" borderId="0" applyAlignment="0">
      <alignment wrapText="1"/>
    </xf>
    <xf numFmtId="0" fontId="4" fillId="10" borderId="0" applyNumberFormat="0" applyBorder="0" applyAlignment="0" applyProtection="0"/>
    <xf numFmtId="0" fontId="4" fillId="0" borderId="0"/>
    <xf numFmtId="0" fontId="51" fillId="0" borderId="0" applyNumberForma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2" fillId="0" borderId="0"/>
    <xf numFmtId="0" fontId="76" fillId="0" borderId="0" applyAlignment="0"/>
    <xf numFmtId="0" fontId="18" fillId="0" borderId="0" applyAlignment="0"/>
    <xf numFmtId="0" fontId="1" fillId="0" borderId="0"/>
    <xf numFmtId="0" fontId="1" fillId="0" borderId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</cellStyleXfs>
  <cellXfs count="477">
    <xf numFmtId="0" fontId="6" fillId="0" borderId="0" xfId="0" applyFont="1"/>
    <xf numFmtId="0" fontId="23" fillId="0" borderId="0" xfId="19" applyFont="1"/>
    <xf numFmtId="0" fontId="27" fillId="0" borderId="0" xfId="19" applyFont="1"/>
    <xf numFmtId="0" fontId="28" fillId="0" borderId="0" xfId="19" applyFont="1"/>
    <xf numFmtId="171" fontId="28" fillId="0" borderId="0" xfId="19" applyNumberFormat="1" applyFont="1"/>
    <xf numFmtId="0" fontId="29" fillId="0" borderId="0" xfId="19" applyFont="1"/>
    <xf numFmtId="0" fontId="28" fillId="8" borderId="0" xfId="19" applyFont="1" applyFill="1"/>
    <xf numFmtId="0" fontId="23" fillId="8" borderId="0" xfId="19" applyFont="1" applyFill="1"/>
    <xf numFmtId="14" fontId="23" fillId="0" borderId="0" xfId="19" applyNumberFormat="1" applyFont="1"/>
    <xf numFmtId="14" fontId="28" fillId="0" borderId="0" xfId="19" applyNumberFormat="1" applyFont="1"/>
    <xf numFmtId="0" fontId="36" fillId="0" borderId="4" xfId="19" applyFont="1" applyBorder="1"/>
    <xf numFmtId="0" fontId="35" fillId="0" borderId="4" xfId="19" applyFont="1" applyBorder="1"/>
    <xf numFmtId="0" fontId="35" fillId="8" borderId="5" xfId="19" applyFont="1" applyFill="1" applyBorder="1"/>
    <xf numFmtId="0" fontId="35" fillId="0" borderId="8" xfId="19" applyFont="1" applyBorder="1"/>
    <xf numFmtId="0" fontId="35" fillId="7" borderId="1" xfId="19" applyFont="1" applyFill="1" applyBorder="1"/>
    <xf numFmtId="0" fontId="36" fillId="8" borderId="2" xfId="19" applyFont="1" applyFill="1" applyBorder="1" applyAlignment="1">
      <alignment horizontal="centerContinuous"/>
    </xf>
    <xf numFmtId="0" fontId="35" fillId="8" borderId="2" xfId="19" applyFont="1" applyFill="1" applyBorder="1" applyAlignment="1">
      <alignment horizontal="centerContinuous"/>
    </xf>
    <xf numFmtId="170" fontId="35" fillId="8" borderId="3" xfId="19" applyNumberFormat="1" applyFont="1" applyFill="1" applyBorder="1"/>
    <xf numFmtId="0" fontId="35" fillId="7" borderId="4" xfId="19" applyFont="1" applyFill="1" applyBorder="1"/>
    <xf numFmtId="168" fontId="35" fillId="8" borderId="0" xfId="18" applyNumberFormat="1" applyFont="1" applyFill="1" applyBorder="1"/>
    <xf numFmtId="0" fontId="36" fillId="7" borderId="4" xfId="19" applyFont="1" applyFill="1" applyBorder="1" applyAlignment="1">
      <alignment horizontal="center"/>
    </xf>
    <xf numFmtId="0" fontId="35" fillId="7" borderId="8" xfId="19" applyFont="1" applyFill="1" applyBorder="1"/>
    <xf numFmtId="168" fontId="35" fillId="8" borderId="9" xfId="18" applyNumberFormat="1" applyFont="1" applyFill="1" applyBorder="1"/>
    <xf numFmtId="173" fontId="35" fillId="8" borderId="5" xfId="19" applyNumberFormat="1" applyFont="1" applyFill="1" applyBorder="1"/>
    <xf numFmtId="174" fontId="35" fillId="8" borderId="5" xfId="19" applyNumberFormat="1" applyFont="1" applyFill="1" applyBorder="1"/>
    <xf numFmtId="0" fontId="35" fillId="0" borderId="1" xfId="19" applyFont="1" applyBorder="1"/>
    <xf numFmtId="174" fontId="35" fillId="8" borderId="3" xfId="19" applyNumberFormat="1" applyFont="1" applyFill="1" applyBorder="1"/>
    <xf numFmtId="0" fontId="35" fillId="0" borderId="0" xfId="19" applyFont="1"/>
    <xf numFmtId="0" fontId="35" fillId="8" borderId="0" xfId="19" applyFont="1" applyFill="1"/>
    <xf numFmtId="0" fontId="38" fillId="0" borderId="0" xfId="19" applyFont="1"/>
    <xf numFmtId="0" fontId="36" fillId="0" borderId="8" xfId="19" applyFont="1" applyBorder="1"/>
    <xf numFmtId="0" fontId="38" fillId="8" borderId="0" xfId="19" applyFont="1" applyFill="1"/>
    <xf numFmtId="2" fontId="38" fillId="8" borderId="0" xfId="19" applyNumberFormat="1" applyFont="1" applyFill="1"/>
    <xf numFmtId="0" fontId="35" fillId="8" borderId="4" xfId="19" applyFont="1" applyFill="1" applyBorder="1"/>
    <xf numFmtId="0" fontId="35" fillId="8" borderId="1" xfId="19" applyFont="1" applyFill="1" applyBorder="1"/>
    <xf numFmtId="0" fontId="35" fillId="8" borderId="8" xfId="19" applyFont="1" applyFill="1" applyBorder="1"/>
    <xf numFmtId="0" fontId="6" fillId="0" borderId="0" xfId="19" applyFont="1"/>
    <xf numFmtId="0" fontId="13" fillId="0" borderId="0" xfId="19" applyFont="1" applyAlignment="1">
      <alignment horizontal="center" vertical="center"/>
    </xf>
    <xf numFmtId="0" fontId="6" fillId="0" borderId="0" xfId="19" applyFont="1" applyAlignment="1">
      <alignment vertical="top" wrapText="1"/>
    </xf>
    <xf numFmtId="0" fontId="13" fillId="0" borderId="0" xfId="19" applyFont="1" applyAlignment="1">
      <alignment horizontal="left" vertical="top"/>
    </xf>
    <xf numFmtId="0" fontId="18" fillId="0" borderId="0" xfId="13" applyAlignment="1"/>
    <xf numFmtId="9" fontId="27" fillId="0" borderId="0" xfId="18" applyFont="1" applyFill="1" applyBorder="1"/>
    <xf numFmtId="0" fontId="21" fillId="0" borderId="0" xfId="19"/>
    <xf numFmtId="0" fontId="48" fillId="8" borderId="0" xfId="19" applyFont="1" applyFill="1"/>
    <xf numFmtId="0" fontId="21" fillId="0" borderId="0" xfId="19" applyAlignment="1">
      <alignment horizontal="left" vertical="center" indent="1"/>
    </xf>
    <xf numFmtId="0" fontId="46" fillId="0" borderId="4" xfId="19" applyFont="1" applyBorder="1" applyAlignment="1">
      <alignment horizontal="left" vertical="top"/>
    </xf>
    <xf numFmtId="0" fontId="39" fillId="0" borderId="4" xfId="19" applyFont="1" applyBorder="1" applyAlignment="1">
      <alignment horizontal="left" vertical="top"/>
    </xf>
    <xf numFmtId="0" fontId="46" fillId="0" borderId="8" xfId="19" applyFont="1" applyBorder="1" applyAlignment="1">
      <alignment horizontal="left" vertical="top"/>
    </xf>
    <xf numFmtId="180" fontId="35" fillId="0" borderId="0" xfId="19" applyNumberFormat="1" applyFont="1" applyBorder="1" applyAlignment="1">
      <alignment horizontal="right"/>
    </xf>
    <xf numFmtId="181" fontId="35" fillId="0" borderId="0" xfId="19" applyNumberFormat="1" applyFont="1" applyBorder="1" applyAlignment="1">
      <alignment horizontal="right"/>
    </xf>
    <xf numFmtId="180" fontId="55" fillId="0" borderId="0" xfId="19" applyNumberFormat="1" applyFont="1" applyBorder="1" applyAlignment="1">
      <alignment horizontal="center"/>
    </xf>
    <xf numFmtId="181" fontId="55" fillId="0" borderId="0" xfId="19" applyNumberFormat="1" applyFont="1" applyBorder="1" applyAlignment="1">
      <alignment horizontal="center"/>
    </xf>
    <xf numFmtId="0" fontId="57" fillId="0" borderId="0" xfId="19" applyFont="1"/>
    <xf numFmtId="0" fontId="51" fillId="0" borderId="0" xfId="29"/>
    <xf numFmtId="0" fontId="35" fillId="0" borderId="4" xfId="19" applyFont="1" applyBorder="1" applyAlignment="1">
      <alignment horizontal="left" indent="1"/>
    </xf>
    <xf numFmtId="0" fontId="25" fillId="0" borderId="0" xfId="19" applyFont="1"/>
    <xf numFmtId="0" fontId="26" fillId="0" borderId="0" xfId="24" applyFont="1" applyAlignment="1">
      <alignment horizontal="right"/>
    </xf>
    <xf numFmtId="9" fontId="43" fillId="0" borderId="1" xfId="18" applyFont="1" applyBorder="1"/>
    <xf numFmtId="9" fontId="43" fillId="0" borderId="8" xfId="18" applyFont="1" applyBorder="1"/>
    <xf numFmtId="170" fontId="35" fillId="8" borderId="5" xfId="19" applyNumberFormat="1" applyFont="1" applyFill="1" applyBorder="1" applyAlignment="1">
      <alignment horizontal="center"/>
    </xf>
    <xf numFmtId="0" fontId="60" fillId="0" borderId="0" xfId="24" applyFont="1"/>
    <xf numFmtId="0" fontId="60" fillId="0" borderId="16" xfId="24" applyFont="1" applyBorder="1"/>
    <xf numFmtId="0" fontId="60" fillId="0" borderId="17" xfId="24" applyFont="1" applyBorder="1"/>
    <xf numFmtId="0" fontId="60" fillId="0" borderId="4" xfId="24" applyFont="1" applyBorder="1"/>
    <xf numFmtId="167" fontId="60" fillId="0" borderId="18" xfId="24" applyNumberFormat="1" applyFont="1" applyBorder="1" applyAlignment="1">
      <alignment horizontal="right"/>
    </xf>
    <xf numFmtId="5" fontId="35" fillId="0" borderId="5" xfId="24" applyNumberFormat="1" applyFont="1" applyBorder="1" applyAlignment="1">
      <alignment horizontal="right"/>
    </xf>
    <xf numFmtId="5" fontId="60" fillId="0" borderId="5" xfId="24" applyNumberFormat="1" applyFont="1" applyBorder="1" applyAlignment="1">
      <alignment horizontal="right"/>
    </xf>
    <xf numFmtId="3" fontId="60" fillId="0" borderId="12" xfId="24" applyNumberFormat="1" applyFont="1" applyBorder="1" applyAlignment="1">
      <alignment horizontal="right"/>
    </xf>
    <xf numFmtId="3" fontId="35" fillId="0" borderId="12" xfId="24" applyNumberFormat="1" applyFont="1" applyBorder="1" applyAlignment="1">
      <alignment horizontal="right"/>
    </xf>
    <xf numFmtId="37" fontId="60" fillId="0" borderId="5" xfId="24" applyNumberFormat="1" applyFont="1" applyBorder="1" applyAlignment="1">
      <alignment horizontal="right"/>
    </xf>
    <xf numFmtId="37" fontId="35" fillId="0" borderId="5" xfId="24" applyNumberFormat="1" applyFont="1" applyBorder="1" applyAlignment="1">
      <alignment horizontal="right"/>
    </xf>
    <xf numFmtId="37" fontId="59" fillId="0" borderId="19" xfId="26" applyNumberFormat="1" applyFont="1" applyBorder="1" applyAlignment="1">
      <alignment horizontal="right"/>
    </xf>
    <xf numFmtId="37" fontId="36" fillId="0" borderId="19" xfId="26" applyNumberFormat="1" applyFont="1" applyBorder="1" applyAlignment="1">
      <alignment horizontal="right"/>
    </xf>
    <xf numFmtId="37" fontId="60" fillId="0" borderId="0" xfId="24" applyNumberFormat="1" applyFont="1" applyAlignment="1">
      <alignment horizontal="right"/>
    </xf>
    <xf numFmtId="0" fontId="21" fillId="0" borderId="4" xfId="19" applyBorder="1" applyAlignment="1">
      <alignment horizontal="left" vertical="center" wrapText="1" indent="1"/>
    </xf>
    <xf numFmtId="176" fontId="49" fillId="0" borderId="0" xfId="19" applyNumberFormat="1" applyFont="1" applyBorder="1" applyAlignment="1">
      <alignment horizontal="right" vertical="center" indent="2"/>
    </xf>
    <xf numFmtId="176" fontId="21" fillId="0" borderId="0" xfId="19" applyNumberFormat="1" applyBorder="1" applyAlignment="1">
      <alignment horizontal="right" vertical="center" indent="2"/>
    </xf>
    <xf numFmtId="176" fontId="21" fillId="0" borderId="5" xfId="19" applyNumberFormat="1" applyBorder="1" applyAlignment="1">
      <alignment horizontal="right" vertical="center" indent="2"/>
    </xf>
    <xf numFmtId="0" fontId="21" fillId="0" borderId="4" xfId="19" applyBorder="1"/>
    <xf numFmtId="177" fontId="21" fillId="0" borderId="0" xfId="19" applyNumberFormat="1" applyBorder="1"/>
    <xf numFmtId="0" fontId="21" fillId="0" borderId="0" xfId="19" applyBorder="1"/>
    <xf numFmtId="0" fontId="21" fillId="0" borderId="5" xfId="19" applyBorder="1"/>
    <xf numFmtId="0" fontId="21" fillId="0" borderId="8" xfId="19" applyBorder="1"/>
    <xf numFmtId="0" fontId="21" fillId="0" borderId="9" xfId="19" applyBorder="1"/>
    <xf numFmtId="0" fontId="21" fillId="0" borderId="10" xfId="19" applyBorder="1"/>
    <xf numFmtId="0" fontId="65" fillId="8" borderId="1" xfId="19" applyFont="1" applyFill="1" applyBorder="1" applyAlignment="1">
      <alignment horizontal="left" vertical="center" indent="1"/>
    </xf>
    <xf numFmtId="0" fontId="65" fillId="8" borderId="4" xfId="19" applyFont="1" applyFill="1" applyBorder="1" applyAlignment="1">
      <alignment horizontal="left" vertical="center" wrapText="1" indent="1"/>
    </xf>
    <xf numFmtId="0" fontId="65" fillId="8" borderId="8" xfId="19" applyFont="1" applyFill="1" applyBorder="1" applyAlignment="1">
      <alignment horizontal="left" vertical="center" wrapText="1" indent="1"/>
    </xf>
    <xf numFmtId="8" fontId="66" fillId="8" borderId="9" xfId="17" applyNumberFormat="1" applyFont="1" applyFill="1" applyBorder="1" applyAlignment="1">
      <alignment horizontal="center" vertical="top" wrapText="1"/>
    </xf>
    <xf numFmtId="0" fontId="6" fillId="0" borderId="0" xfId="19" applyFont="1" applyBorder="1"/>
    <xf numFmtId="0" fontId="68" fillId="0" borderId="0" xfId="19" applyFont="1"/>
    <xf numFmtId="0" fontId="69" fillId="0" borderId="0" xfId="19" applyFont="1"/>
    <xf numFmtId="0" fontId="71" fillId="0" borderId="0" xfId="19" applyFont="1"/>
    <xf numFmtId="0" fontId="35" fillId="8" borderId="0" xfId="19" applyFont="1" applyFill="1" applyBorder="1" applyAlignment="1">
      <alignment horizontal="center"/>
    </xf>
    <xf numFmtId="165" fontId="35" fillId="8" borderId="0" xfId="19" applyNumberFormat="1" applyFont="1" applyFill="1" applyBorder="1" applyAlignment="1">
      <alignment horizontal="center"/>
    </xf>
    <xf numFmtId="5" fontId="59" fillId="11" borderId="0" xfId="19" applyNumberFormat="1" applyFont="1" applyFill="1" applyBorder="1" applyAlignment="1">
      <alignment horizontal="center"/>
    </xf>
    <xf numFmtId="37" fontId="59" fillId="11" borderId="0" xfId="19" applyNumberFormat="1" applyFont="1" applyFill="1" applyBorder="1" applyAlignment="1">
      <alignment horizontal="center"/>
    </xf>
    <xf numFmtId="37" fontId="60" fillId="8" borderId="0" xfId="19" applyNumberFormat="1" applyFont="1" applyFill="1" applyBorder="1" applyAlignment="1">
      <alignment horizontal="center"/>
    </xf>
    <xf numFmtId="0" fontId="16" fillId="0" borderId="0" xfId="19" applyFont="1" applyAlignment="1">
      <alignment vertical="top" wrapText="1"/>
    </xf>
    <xf numFmtId="0" fontId="16" fillId="0" borderId="0" xfId="19" applyFont="1" applyAlignment="1">
      <alignment horizontal="left" vertical="top" wrapText="1"/>
    </xf>
    <xf numFmtId="164" fontId="6" fillId="0" borderId="0" xfId="19" applyNumberFormat="1" applyFont="1"/>
    <xf numFmtId="164" fontId="46" fillId="0" borderId="9" xfId="19" applyNumberFormat="1" applyFont="1" applyBorder="1" applyAlignment="1">
      <alignment horizontal="center" vertical="top" wrapText="1"/>
    </xf>
    <xf numFmtId="175" fontId="60" fillId="0" borderId="18" xfId="24" applyNumberFormat="1" applyFont="1" applyBorder="1" applyAlignment="1">
      <alignment horizontal="right"/>
    </xf>
    <xf numFmtId="0" fontId="18" fillId="13" borderId="0" xfId="13" applyFill="1" applyAlignment="1"/>
    <xf numFmtId="0" fontId="6" fillId="13" borderId="0" xfId="19" applyFont="1" applyFill="1"/>
    <xf numFmtId="189" fontId="13" fillId="0" borderId="0" xfId="19" applyNumberFormat="1" applyFont="1" applyAlignment="1">
      <alignment horizontal="right" vertical="top" wrapText="1"/>
    </xf>
    <xf numFmtId="187" fontId="13" fillId="0" borderId="0" xfId="19" applyNumberFormat="1" applyFont="1" applyAlignment="1">
      <alignment horizontal="right" vertical="top" wrapText="1"/>
    </xf>
    <xf numFmtId="189" fontId="6" fillId="0" borderId="0" xfId="19" applyNumberFormat="1" applyFont="1"/>
    <xf numFmtId="10" fontId="6" fillId="0" borderId="0" xfId="19" applyNumberFormat="1" applyFont="1"/>
    <xf numFmtId="0" fontId="81" fillId="0" borderId="0" xfId="19" applyFont="1" applyBorder="1" applyAlignment="1">
      <alignment horizontal="center" vertical="top"/>
    </xf>
    <xf numFmtId="0" fontId="65" fillId="8" borderId="4" xfId="19" applyFont="1" applyFill="1" applyBorder="1" applyAlignment="1">
      <alignment horizontal="left" vertical="center" indent="1"/>
    </xf>
    <xf numFmtId="0" fontId="21" fillId="0" borderId="0" xfId="19" applyAlignment="1">
      <alignment wrapText="1"/>
    </xf>
    <xf numFmtId="14" fontId="64" fillId="0" borderId="0" xfId="19" applyNumberFormat="1" applyFont="1"/>
    <xf numFmtId="0" fontId="63" fillId="0" borderId="0" xfId="19" applyFont="1" applyAlignment="1">
      <alignment horizontal="left"/>
    </xf>
    <xf numFmtId="0" fontId="62" fillId="0" borderId="0" xfId="19" applyFont="1" applyAlignment="1">
      <alignment horizontal="left"/>
    </xf>
    <xf numFmtId="0" fontId="61" fillId="0" borderId="0" xfId="19" applyFont="1" applyAlignment="1">
      <alignment horizontal="left"/>
    </xf>
    <xf numFmtId="0" fontId="28" fillId="0" borderId="31" xfId="19" applyFont="1" applyBorder="1" applyAlignment="1">
      <alignment horizontal="left" indent="1"/>
    </xf>
    <xf numFmtId="0" fontId="28" fillId="0" borderId="36" xfId="19" applyFont="1" applyBorder="1"/>
    <xf numFmtId="190" fontId="54" fillId="0" borderId="0" xfId="18" applyNumberFormat="1" applyFont="1" applyFill="1" applyBorder="1" applyAlignment="1">
      <alignment horizontal="right"/>
    </xf>
    <xf numFmtId="0" fontId="31" fillId="8" borderId="36" xfId="19" applyFont="1" applyFill="1" applyBorder="1"/>
    <xf numFmtId="0" fontId="31" fillId="0" borderId="35" xfId="19" applyFont="1" applyBorder="1"/>
    <xf numFmtId="0" fontId="31" fillId="0" borderId="0" xfId="19" applyFont="1"/>
    <xf numFmtId="6" fontId="31" fillId="0" borderId="35" xfId="19" applyNumberFormat="1" applyFont="1" applyBorder="1" applyAlignment="1">
      <alignment horizontal="right"/>
    </xf>
    <xf numFmtId="6" fontId="31" fillId="0" borderId="0" xfId="19" applyNumberFormat="1" applyFont="1" applyAlignment="1">
      <alignment horizontal="right"/>
    </xf>
    <xf numFmtId="0" fontId="31" fillId="8" borderId="36" xfId="19" applyFont="1" applyFill="1" applyBorder="1" applyAlignment="1">
      <alignment horizontal="left" indent="1"/>
    </xf>
    <xf numFmtId="37" fontId="31" fillId="0" borderId="35" xfId="19" applyNumberFormat="1" applyFont="1" applyBorder="1"/>
    <xf numFmtId="37" fontId="31" fillId="0" borderId="0" xfId="19" applyNumberFormat="1" applyFont="1"/>
    <xf numFmtId="0" fontId="31" fillId="8" borderId="36" xfId="19" quotePrefix="1" applyFont="1" applyFill="1" applyBorder="1" applyAlignment="1">
      <alignment horizontal="left" indent="1"/>
    </xf>
    <xf numFmtId="0" fontId="31" fillId="11" borderId="35" xfId="19" applyFont="1" applyFill="1" applyBorder="1"/>
    <xf numFmtId="0" fontId="31" fillId="11" borderId="0" xfId="19" applyFont="1" applyFill="1"/>
    <xf numFmtId="0" fontId="32" fillId="11" borderId="0" xfId="19" applyFont="1" applyFill="1"/>
    <xf numFmtId="0" fontId="32" fillId="11" borderId="36" xfId="19" applyFont="1" applyFill="1" applyBorder="1"/>
    <xf numFmtId="37" fontId="31" fillId="0" borderId="35" xfId="19" applyNumberFormat="1" applyFont="1" applyBorder="1" applyAlignment="1">
      <alignment horizontal="right"/>
    </xf>
    <xf numFmtId="37" fontId="31" fillId="0" borderId="0" xfId="19" applyNumberFormat="1" applyFont="1" applyAlignment="1">
      <alignment horizontal="right"/>
    </xf>
    <xf numFmtId="175" fontId="31" fillId="0" borderId="35" xfId="19" applyNumberFormat="1" applyFont="1" applyBorder="1"/>
    <xf numFmtId="175" fontId="31" fillId="0" borderId="0" xfId="19" applyNumberFormat="1" applyFont="1"/>
    <xf numFmtId="178" fontId="31" fillId="0" borderId="35" xfId="19" applyNumberFormat="1" applyFont="1" applyBorder="1"/>
    <xf numFmtId="178" fontId="31" fillId="0" borderId="0" xfId="19" applyNumberFormat="1" applyFont="1"/>
    <xf numFmtId="175" fontId="31" fillId="0" borderId="0" xfId="19" applyNumberFormat="1" applyFont="1" applyAlignment="1">
      <alignment horizontal="right"/>
    </xf>
    <xf numFmtId="0" fontId="31" fillId="0" borderId="0" xfId="19" applyFont="1" applyAlignment="1">
      <alignment horizontal="right"/>
    </xf>
    <xf numFmtId="6" fontId="31" fillId="0" borderId="35" xfId="19" applyNumberFormat="1" applyFont="1" applyBorder="1"/>
    <xf numFmtId="6" fontId="31" fillId="0" borderId="0" xfId="19" applyNumberFormat="1" applyFont="1"/>
    <xf numFmtId="0" fontId="31" fillId="11" borderId="30" xfId="19" applyFont="1" applyFill="1" applyBorder="1"/>
    <xf numFmtId="0" fontId="31" fillId="11" borderId="17" xfId="19" applyFont="1" applyFill="1" applyBorder="1"/>
    <xf numFmtId="0" fontId="32" fillId="11" borderId="29" xfId="19" applyFont="1" applyFill="1" applyBorder="1"/>
    <xf numFmtId="181" fontId="40" fillId="8" borderId="26" xfId="19" applyNumberFormat="1" applyFont="1" applyFill="1" applyBorder="1" applyAlignment="1">
      <alignment horizontal="center"/>
    </xf>
    <xf numFmtId="181" fontId="40" fillId="8" borderId="24" xfId="19" applyNumberFormat="1" applyFont="1" applyFill="1" applyBorder="1" applyAlignment="1">
      <alignment horizontal="center"/>
    </xf>
    <xf numFmtId="180" fontId="40" fillId="8" borderId="24" xfId="19" applyNumberFormat="1" applyFont="1" applyFill="1" applyBorder="1" applyAlignment="1">
      <alignment horizontal="center"/>
    </xf>
    <xf numFmtId="14" fontId="54" fillId="8" borderId="25" xfId="19" applyNumberFormat="1" applyFont="1" applyFill="1" applyBorder="1"/>
    <xf numFmtId="171" fontId="27" fillId="0" borderId="0" xfId="19" applyNumberFormat="1" applyFont="1"/>
    <xf numFmtId="5" fontId="60" fillId="8" borderId="0" xfId="19" applyNumberFormat="1" applyFont="1" applyFill="1" applyAlignment="1">
      <alignment horizontal="center"/>
    </xf>
    <xf numFmtId="37" fontId="35" fillId="8" borderId="0" xfId="19" applyNumberFormat="1" applyFont="1" applyFill="1" applyAlignment="1">
      <alignment horizontal="center"/>
    </xf>
    <xf numFmtId="171" fontId="27" fillId="8" borderId="0" xfId="19" applyNumberFormat="1" applyFont="1" applyFill="1"/>
    <xf numFmtId="171" fontId="44" fillId="8" borderId="0" xfId="19" applyNumberFormat="1" applyFont="1" applyFill="1"/>
    <xf numFmtId="0" fontId="70" fillId="0" borderId="0" xfId="19" applyFont="1"/>
    <xf numFmtId="0" fontId="37" fillId="8" borderId="0" xfId="19" applyFont="1" applyFill="1"/>
    <xf numFmtId="0" fontId="37" fillId="0" borderId="0" xfId="19" applyFont="1"/>
    <xf numFmtId="37" fontId="35" fillId="8" borderId="32" xfId="19" applyNumberFormat="1" applyFont="1" applyFill="1" applyBorder="1" applyAlignment="1">
      <alignment horizontal="center"/>
    </xf>
    <xf numFmtId="37" fontId="35" fillId="8" borderId="15" xfId="19" applyNumberFormat="1" applyFont="1" applyFill="1" applyBorder="1" applyAlignment="1">
      <alignment horizontal="center"/>
    </xf>
    <xf numFmtId="37" fontId="35" fillId="8" borderId="31" xfId="19" applyNumberFormat="1" applyFont="1" applyFill="1" applyBorder="1" applyAlignment="1">
      <alignment horizontal="center"/>
    </xf>
    <xf numFmtId="37" fontId="35" fillId="8" borderId="35" xfId="19" applyNumberFormat="1" applyFont="1" applyFill="1" applyBorder="1" applyAlignment="1">
      <alignment horizontal="center"/>
    </xf>
    <xf numFmtId="37" fontId="35" fillId="8" borderId="36" xfId="19" applyNumberFormat="1" applyFont="1" applyFill="1" applyBorder="1" applyAlignment="1">
      <alignment horizontal="center"/>
    </xf>
    <xf numFmtId="6" fontId="35" fillId="8" borderId="30" xfId="19" applyNumberFormat="1" applyFont="1" applyFill="1" applyBorder="1" applyAlignment="1">
      <alignment horizontal="center"/>
    </xf>
    <xf numFmtId="6" fontId="35" fillId="8" borderId="17" xfId="19" applyNumberFormat="1" applyFont="1" applyFill="1" applyBorder="1" applyAlignment="1">
      <alignment horizontal="center"/>
    </xf>
    <xf numFmtId="6" fontId="35" fillId="8" borderId="29" xfId="19" applyNumberFormat="1" applyFont="1" applyFill="1" applyBorder="1" applyAlignment="1">
      <alignment horizontal="center"/>
    </xf>
    <xf numFmtId="170" fontId="35" fillId="8" borderId="0" xfId="19" applyNumberFormat="1" applyFont="1" applyFill="1" applyAlignment="1">
      <alignment horizontal="center"/>
    </xf>
    <xf numFmtId="165" fontId="35" fillId="8" borderId="0" xfId="19" applyNumberFormat="1" applyFont="1" applyFill="1"/>
    <xf numFmtId="0" fontId="18" fillId="0" borderId="0" xfId="35"/>
    <xf numFmtId="182" fontId="52" fillId="8" borderId="0" xfId="19" applyNumberFormat="1" applyFont="1" applyFill="1"/>
    <xf numFmtId="0" fontId="1" fillId="0" borderId="0" xfId="37"/>
    <xf numFmtId="44" fontId="36" fillId="12" borderId="22" xfId="38" applyNumberFormat="1" applyFont="1" applyFill="1" applyBorder="1" applyAlignment="1">
      <alignment horizontal="right"/>
    </xf>
    <xf numFmtId="0" fontId="33" fillId="12" borderId="21" xfId="38" applyFont="1" applyFill="1" applyBorder="1"/>
    <xf numFmtId="0" fontId="33" fillId="12" borderId="20" xfId="38" applyFont="1" applyFill="1" applyBorder="1"/>
    <xf numFmtId="37" fontId="35" fillId="0" borderId="5" xfId="39" applyNumberFormat="1" applyFont="1" applyFill="1" applyBorder="1" applyAlignment="1">
      <alignment horizontal="right"/>
    </xf>
    <xf numFmtId="0" fontId="60" fillId="0" borderId="0" xfId="39" applyFont="1" applyFill="1" applyBorder="1"/>
    <xf numFmtId="0" fontId="60" fillId="0" borderId="4" xfId="39" applyFont="1" applyFill="1" applyBorder="1"/>
    <xf numFmtId="44" fontId="36" fillId="12" borderId="10" xfId="38" applyNumberFormat="1" applyFont="1" applyFill="1" applyBorder="1" applyAlignment="1">
      <alignment horizontal="right"/>
    </xf>
    <xf numFmtId="0" fontId="33" fillId="12" borderId="9" xfId="38" applyFont="1" applyFill="1" applyBorder="1"/>
    <xf numFmtId="0" fontId="33" fillId="12" borderId="8" xfId="38" applyFont="1" applyFill="1" applyBorder="1"/>
    <xf numFmtId="0" fontId="73" fillId="0" borderId="0" xfId="37" applyFont="1"/>
    <xf numFmtId="0" fontId="31" fillId="0" borderId="0" xfId="37" applyFont="1" applyAlignment="1">
      <alignment horizontal="center" vertical="center"/>
    </xf>
    <xf numFmtId="185" fontId="31" fillId="0" borderId="0" xfId="37" applyNumberFormat="1" applyFont="1" applyAlignment="1">
      <alignment horizontal="center" vertical="center"/>
    </xf>
    <xf numFmtId="5" fontId="31" fillId="0" borderId="0" xfId="37" applyNumberFormat="1" applyFont="1" applyAlignment="1">
      <alignment horizontal="center" vertical="center"/>
    </xf>
    <xf numFmtId="0" fontId="31" fillId="0" borderId="4" xfId="37" applyFont="1" applyBorder="1" applyAlignment="1">
      <alignment vertical="center"/>
    </xf>
    <xf numFmtId="186" fontId="53" fillId="8" borderId="5" xfId="37" applyNumberFormat="1" applyFont="1" applyFill="1" applyBorder="1" applyAlignment="1">
      <alignment horizontal="center" vertical="center"/>
    </xf>
    <xf numFmtId="186" fontId="53" fillId="8" borderId="0" xfId="37" applyNumberFormat="1" applyFont="1" applyFill="1" applyAlignment="1">
      <alignment horizontal="center" vertical="center"/>
    </xf>
    <xf numFmtId="0" fontId="53" fillId="8" borderId="0" xfId="37" applyFont="1" applyFill="1" applyAlignment="1">
      <alignment horizontal="center" vertical="center"/>
    </xf>
    <xf numFmtId="5" fontId="53" fillId="8" borderId="0" xfId="37" applyNumberFormat="1" applyFont="1" applyFill="1" applyAlignment="1">
      <alignment horizontal="center" vertical="center"/>
    </xf>
    <xf numFmtId="0" fontId="31" fillId="8" borderId="4" xfId="37" applyFont="1" applyFill="1" applyBorder="1" applyAlignment="1">
      <alignment vertical="center"/>
    </xf>
    <xf numFmtId="184" fontId="31" fillId="0" borderId="5" xfId="37" applyNumberFormat="1" applyFont="1" applyBorder="1"/>
    <xf numFmtId="0" fontId="31" fillId="0" borderId="0" xfId="37" applyFont="1"/>
    <xf numFmtId="185" fontId="31" fillId="0" borderId="0" xfId="37" applyNumberFormat="1" applyFont="1"/>
    <xf numFmtId="0" fontId="31" fillId="0" borderId="4" xfId="37" applyFont="1" applyBorder="1"/>
    <xf numFmtId="0" fontId="67" fillId="8" borderId="0" xfId="37" applyFont="1" applyFill="1"/>
    <xf numFmtId="0" fontId="67" fillId="8" borderId="0" xfId="37" applyFont="1" applyFill="1" applyAlignment="1">
      <alignment horizontal="centerContinuous"/>
    </xf>
    <xf numFmtId="43" fontId="29" fillId="0" borderId="0" xfId="19" applyNumberFormat="1" applyFont="1"/>
    <xf numFmtId="43" fontId="22" fillId="8" borderId="0" xfId="16" applyFont="1" applyFill="1" applyBorder="1" applyAlignment="1">
      <alignment horizontal="right" vertical="top" wrapText="1"/>
    </xf>
    <xf numFmtId="43" fontId="58" fillId="8" borderId="0" xfId="16" applyFont="1" applyFill="1" applyBorder="1" applyAlignment="1">
      <alignment horizontal="right" vertical="top"/>
    </xf>
    <xf numFmtId="43" fontId="39" fillId="8" borderId="0" xfId="16" applyFont="1" applyFill="1" applyBorder="1" applyAlignment="1">
      <alignment horizontal="right" vertical="top" wrapText="1"/>
    </xf>
    <xf numFmtId="43" fontId="38" fillId="0" borderId="0" xfId="19" applyNumberFormat="1" applyFont="1"/>
    <xf numFmtId="164" fontId="46" fillId="0" borderId="0" xfId="19" applyNumberFormat="1" applyFont="1" applyAlignment="1">
      <alignment horizontal="center" vertical="top" wrapText="1"/>
    </xf>
    <xf numFmtId="39" fontId="39" fillId="0" borderId="0" xfId="19" applyNumberFormat="1" applyFont="1" applyAlignment="1">
      <alignment horizontal="center" vertical="top"/>
    </xf>
    <xf numFmtId="164" fontId="39" fillId="0" borderId="0" xfId="19" applyNumberFormat="1" applyFont="1" applyAlignment="1">
      <alignment horizontal="center" vertical="top" wrapText="1"/>
    </xf>
    <xf numFmtId="0" fontId="39" fillId="0" borderId="0" xfId="19" applyFont="1" applyAlignment="1">
      <alignment horizontal="center" vertical="top"/>
    </xf>
    <xf numFmtId="0" fontId="46" fillId="0" borderId="0" xfId="19" applyFont="1" applyAlignment="1">
      <alignment horizontal="center" vertical="top"/>
    </xf>
    <xf numFmtId="0" fontId="39" fillId="0" borderId="0" xfId="19" applyFont="1" applyAlignment="1">
      <alignment horizontal="left" vertical="top"/>
    </xf>
    <xf numFmtId="0" fontId="46" fillId="0" borderId="0" xfId="19" applyFont="1" applyAlignment="1">
      <alignment horizontal="left" vertical="top"/>
    </xf>
    <xf numFmtId="0" fontId="34" fillId="0" borderId="37" xfId="19" applyFont="1" applyBorder="1"/>
    <xf numFmtId="180" fontId="55" fillId="0" borderId="21" xfId="19" applyNumberFormat="1" applyFont="1" applyBorder="1" applyAlignment="1">
      <alignment horizontal="center"/>
    </xf>
    <xf numFmtId="181" fontId="55" fillId="0" borderId="21" xfId="19" applyNumberFormat="1" applyFont="1" applyBorder="1" applyAlignment="1">
      <alignment horizontal="center"/>
    </xf>
    <xf numFmtId="181" fontId="55" fillId="0" borderId="38" xfId="19" applyNumberFormat="1" applyFont="1" applyBorder="1" applyAlignment="1">
      <alignment horizontal="center"/>
    </xf>
    <xf numFmtId="0" fontId="34" fillId="0" borderId="36" xfId="19" applyFont="1" applyBorder="1"/>
    <xf numFmtId="0" fontId="23" fillId="0" borderId="35" xfId="19" applyFont="1" applyBorder="1"/>
    <xf numFmtId="0" fontId="36" fillId="11" borderId="36" xfId="19" applyFont="1" applyFill="1" applyBorder="1"/>
    <xf numFmtId="0" fontId="6" fillId="0" borderId="36" xfId="19" applyFont="1" applyBorder="1"/>
    <xf numFmtId="0" fontId="6" fillId="0" borderId="35" xfId="19" applyFont="1" applyBorder="1"/>
    <xf numFmtId="0" fontId="35" fillId="0" borderId="36" xfId="19" applyFont="1" applyBorder="1" applyAlignment="1">
      <alignment horizontal="left" indent="1"/>
    </xf>
    <xf numFmtId="181" fontId="55" fillId="0" borderId="35" xfId="19" applyNumberFormat="1" applyFont="1" applyBorder="1" applyAlignment="1">
      <alignment horizontal="center"/>
    </xf>
    <xf numFmtId="0" fontId="35" fillId="0" borderId="36" xfId="19" applyFont="1" applyBorder="1"/>
    <xf numFmtId="0" fontId="35" fillId="0" borderId="31" xfId="19" applyFont="1" applyBorder="1"/>
    <xf numFmtId="43" fontId="36" fillId="0" borderId="0" xfId="19" applyNumberFormat="1" applyFont="1" applyFill="1"/>
    <xf numFmtId="0" fontId="60" fillId="0" borderId="36" xfId="37" applyFont="1" applyBorder="1" applyAlignment="1">
      <alignment vertical="center"/>
    </xf>
    <xf numFmtId="191" fontId="66" fillId="8" borderId="0" xfId="17" applyNumberFormat="1" applyFont="1" applyFill="1" applyBorder="1" applyAlignment="1">
      <alignment horizontal="center" vertical="top" wrapText="1"/>
    </xf>
    <xf numFmtId="8" fontId="66" fillId="8" borderId="0" xfId="17" applyNumberFormat="1" applyFont="1" applyFill="1" applyBorder="1" applyAlignment="1">
      <alignment horizontal="center" vertical="top" wrapText="1"/>
    </xf>
    <xf numFmtId="176" fontId="65" fillId="8" borderId="2" xfId="19" applyNumberFormat="1" applyFont="1" applyFill="1" applyBorder="1" applyAlignment="1">
      <alignment horizontal="right" vertical="center" indent="2"/>
    </xf>
    <xf numFmtId="176" fontId="65" fillId="8" borderId="3" xfId="19" applyNumberFormat="1" applyFont="1" applyFill="1" applyBorder="1" applyAlignment="1">
      <alignment horizontal="right" vertical="center" indent="2"/>
    </xf>
    <xf numFmtId="176" fontId="65" fillId="8" borderId="0" xfId="19" applyNumberFormat="1" applyFont="1" applyFill="1" applyBorder="1" applyAlignment="1">
      <alignment horizontal="right" vertical="center" indent="2"/>
    </xf>
    <xf numFmtId="176" fontId="65" fillId="8" borderId="5" xfId="19" applyNumberFormat="1" applyFont="1" applyFill="1" applyBorder="1" applyAlignment="1">
      <alignment horizontal="right" vertical="center" indent="2"/>
    </xf>
    <xf numFmtId="5" fontId="66" fillId="8" borderId="0" xfId="17" applyNumberFormat="1" applyFont="1" applyFill="1" applyBorder="1" applyAlignment="1">
      <alignment horizontal="center" vertical="top" wrapText="1"/>
    </xf>
    <xf numFmtId="176" fontId="65" fillId="8" borderId="9" xfId="19" applyNumberFormat="1" applyFont="1" applyFill="1" applyBorder="1" applyAlignment="1">
      <alignment horizontal="right" vertical="center" indent="2"/>
    </xf>
    <xf numFmtId="176" fontId="65" fillId="8" borderId="10" xfId="19" applyNumberFormat="1" applyFont="1" applyFill="1" applyBorder="1" applyAlignment="1">
      <alignment horizontal="right" vertical="center" indent="2"/>
    </xf>
    <xf numFmtId="0" fontId="35" fillId="0" borderId="29" xfId="19" applyFont="1" applyBorder="1"/>
    <xf numFmtId="14" fontId="47" fillId="0" borderId="30" xfId="19" applyNumberFormat="1" applyFont="1" applyBorder="1"/>
    <xf numFmtId="14" fontId="47" fillId="0" borderId="35" xfId="19" applyNumberFormat="1" applyFont="1" applyBorder="1"/>
    <xf numFmtId="14" fontId="47" fillId="0" borderId="32" xfId="19" applyNumberFormat="1" applyFont="1" applyBorder="1"/>
    <xf numFmtId="165" fontId="35" fillId="8" borderId="35" xfId="19" applyNumberFormat="1" applyFont="1" applyFill="1" applyBorder="1" applyAlignment="1">
      <alignment horizontal="center"/>
    </xf>
    <xf numFmtId="0" fontId="34" fillId="0" borderId="36" xfId="19" applyFont="1" applyBorder="1" applyAlignment="1">
      <alignment horizontal="left" indent="1"/>
    </xf>
    <xf numFmtId="37" fontId="60" fillId="8" borderId="35" xfId="19" applyNumberFormat="1" applyFont="1" applyFill="1" applyBorder="1" applyAlignment="1">
      <alignment horizontal="center"/>
    </xf>
    <xf numFmtId="37" fontId="59" fillId="11" borderId="35" xfId="19" applyNumberFormat="1" applyFont="1" applyFill="1" applyBorder="1" applyAlignment="1">
      <alignment horizontal="center"/>
    </xf>
    <xf numFmtId="0" fontId="36" fillId="0" borderId="36" xfId="19" applyFont="1" applyBorder="1"/>
    <xf numFmtId="5" fontId="59" fillId="11" borderId="35" xfId="19" applyNumberFormat="1" applyFont="1" applyFill="1" applyBorder="1" applyAlignment="1">
      <alignment horizontal="center"/>
    </xf>
    <xf numFmtId="0" fontId="80" fillId="0" borderId="36" xfId="19" applyFont="1" applyBorder="1" applyAlignment="1">
      <alignment horizontal="left" vertical="top"/>
    </xf>
    <xf numFmtId="0" fontId="81" fillId="0" borderId="35" xfId="19" applyFont="1" applyBorder="1" applyAlignment="1">
      <alignment horizontal="center" vertical="top"/>
    </xf>
    <xf numFmtId="0" fontId="81" fillId="0" borderId="36" xfId="19" applyFont="1" applyBorder="1" applyAlignment="1">
      <alignment horizontal="left" vertical="top"/>
    </xf>
    <xf numFmtId="0" fontId="80" fillId="0" borderId="31" xfId="19" applyFont="1" applyBorder="1" applyAlignment="1">
      <alignment horizontal="left" vertical="top"/>
    </xf>
    <xf numFmtId="0" fontId="83" fillId="0" borderId="0" xfId="37" applyFont="1"/>
    <xf numFmtId="39" fontId="35" fillId="14" borderId="29" xfId="19" applyNumberFormat="1" applyFont="1" applyFill="1" applyBorder="1" applyAlignment="1">
      <alignment horizontal="center"/>
    </xf>
    <xf numFmtId="39" fontId="35" fillId="14" borderId="17" xfId="19" applyNumberFormat="1" applyFont="1" applyFill="1" applyBorder="1" applyAlignment="1">
      <alignment horizontal="center"/>
    </xf>
    <xf numFmtId="39" fontId="35" fillId="14" borderId="30" xfId="19" applyNumberFormat="1" applyFont="1" applyFill="1" applyBorder="1" applyAlignment="1">
      <alignment horizontal="center"/>
    </xf>
    <xf numFmtId="39" fontId="35" fillId="14" borderId="36" xfId="19" applyNumberFormat="1" applyFont="1" applyFill="1" applyBorder="1" applyAlignment="1">
      <alignment horizontal="center"/>
    </xf>
    <xf numFmtId="39" fontId="35" fillId="14" borderId="0" xfId="19" applyNumberFormat="1" applyFont="1" applyFill="1" applyAlignment="1">
      <alignment horizontal="center"/>
    </xf>
    <xf numFmtId="39" fontId="35" fillId="14" borderId="35" xfId="19" applyNumberFormat="1" applyFont="1" applyFill="1" applyBorder="1" applyAlignment="1">
      <alignment horizontal="center"/>
    </xf>
    <xf numFmtId="39" fontId="33" fillId="15" borderId="28" xfId="19" applyNumberFormat="1" applyFont="1" applyFill="1" applyBorder="1" applyAlignment="1">
      <alignment horizontal="center"/>
    </xf>
    <xf numFmtId="39" fontId="35" fillId="14" borderId="31" xfId="19" applyNumberFormat="1" applyFont="1" applyFill="1" applyBorder="1" applyAlignment="1">
      <alignment horizontal="center"/>
    </xf>
    <xf numFmtId="39" fontId="35" fillId="14" borderId="15" xfId="19" applyNumberFormat="1" applyFont="1" applyFill="1" applyBorder="1" applyAlignment="1">
      <alignment horizontal="center"/>
    </xf>
    <xf numFmtId="39" fontId="35" fillId="14" borderId="32" xfId="19" applyNumberFormat="1" applyFont="1" applyFill="1" applyBorder="1" applyAlignment="1">
      <alignment horizontal="center"/>
    </xf>
    <xf numFmtId="0" fontId="86" fillId="0" borderId="0" xfId="19" applyFont="1" applyAlignment="1">
      <alignment horizontal="left" vertical="top" wrapText="1"/>
    </xf>
    <xf numFmtId="184" fontId="31" fillId="0" borderId="0" xfId="37" applyNumberFormat="1" applyFont="1" applyBorder="1"/>
    <xf numFmtId="186" fontId="53" fillId="8" borderId="0" xfId="37" applyNumberFormat="1" applyFont="1" applyFill="1" applyBorder="1" applyAlignment="1">
      <alignment horizontal="center" vertical="center"/>
    </xf>
    <xf numFmtId="184" fontId="31" fillId="0" borderId="0" xfId="37" applyNumberFormat="1" applyFont="1" applyBorder="1" applyAlignment="1">
      <alignment horizontal="center" vertical="center"/>
    </xf>
    <xf numFmtId="0" fontId="60" fillId="0" borderId="0" xfId="24" applyFont="1" applyBorder="1"/>
    <xf numFmtId="0" fontId="11" fillId="16" borderId="0" xfId="19" applyFont="1" applyFill="1"/>
    <xf numFmtId="0" fontId="18" fillId="16" borderId="0" xfId="13" applyFill="1" applyAlignment="1"/>
    <xf numFmtId="0" fontId="74" fillId="16" borderId="0" xfId="13" applyFont="1" applyFill="1" applyAlignment="1"/>
    <xf numFmtId="0" fontId="75" fillId="16" borderId="0" xfId="19" applyFont="1" applyFill="1" applyAlignment="1">
      <alignment horizontal="left" vertical="top" wrapText="1"/>
    </xf>
    <xf numFmtId="0" fontId="87" fillId="16" borderId="0" xfId="19" applyFont="1" applyFill="1" applyAlignment="1">
      <alignment horizontal="left" vertical="top" wrapText="1"/>
    </xf>
    <xf numFmtId="0" fontId="33" fillId="16" borderId="6" xfId="19" applyFont="1" applyFill="1" applyBorder="1" applyAlignment="1">
      <alignment horizontal="center"/>
    </xf>
    <xf numFmtId="0" fontId="75" fillId="16" borderId="0" xfId="19" applyFont="1" applyFill="1" applyAlignment="1">
      <alignment horizontal="center" vertical="top" wrapText="1"/>
    </xf>
    <xf numFmtId="0" fontId="33" fillId="16" borderId="29" xfId="19" applyFont="1" applyFill="1" applyBorder="1"/>
    <xf numFmtId="0" fontId="33" fillId="16" borderId="17" xfId="19" applyFont="1" applyFill="1" applyBorder="1"/>
    <xf numFmtId="0" fontId="33" fillId="16" borderId="30" xfId="19" applyFont="1" applyFill="1" applyBorder="1"/>
    <xf numFmtId="0" fontId="24" fillId="16" borderId="31" xfId="36" applyFont="1" applyFill="1" applyBorder="1"/>
    <xf numFmtId="0" fontId="33" fillId="16" borderId="15" xfId="19" applyFont="1" applyFill="1" applyBorder="1"/>
    <xf numFmtId="0" fontId="33" fillId="16" borderId="32" xfId="19" applyFont="1" applyFill="1" applyBorder="1"/>
    <xf numFmtId="0" fontId="33" fillId="16" borderId="31" xfId="19" applyFont="1" applyFill="1" applyBorder="1" applyAlignment="1">
      <alignment horizontal="left"/>
    </xf>
    <xf numFmtId="172" fontId="33" fillId="16" borderId="15" xfId="17" applyNumberFormat="1" applyFont="1" applyFill="1" applyBorder="1" applyAlignment="1">
      <alignment horizontal="center"/>
    </xf>
    <xf numFmtId="6" fontId="56" fillId="16" borderId="15" xfId="17" applyNumberFormat="1" applyFont="1" applyFill="1" applyBorder="1" applyAlignment="1">
      <alignment horizontal="center"/>
    </xf>
    <xf numFmtId="6" fontId="56" fillId="16" borderId="32" xfId="17" applyNumberFormat="1" applyFont="1" applyFill="1" applyBorder="1" applyAlignment="1">
      <alignment horizontal="center"/>
    </xf>
    <xf numFmtId="0" fontId="82" fillId="17" borderId="31" xfId="19" applyFont="1" applyFill="1" applyBorder="1"/>
    <xf numFmtId="0" fontId="33" fillId="17" borderId="15" xfId="19" applyFont="1" applyFill="1" applyBorder="1"/>
    <xf numFmtId="0" fontId="33" fillId="17" borderId="24" xfId="19" applyFont="1" applyFill="1" applyBorder="1"/>
    <xf numFmtId="0" fontId="37" fillId="17" borderId="24" xfId="19" applyFont="1" applyFill="1" applyBorder="1"/>
    <xf numFmtId="0" fontId="37" fillId="17" borderId="34" xfId="19" applyFont="1" applyFill="1" applyBorder="1"/>
    <xf numFmtId="0" fontId="33" fillId="16" borderId="33" xfId="19" applyFont="1" applyFill="1" applyBorder="1"/>
    <xf numFmtId="0" fontId="33" fillId="16" borderId="24" xfId="19" applyFont="1" applyFill="1" applyBorder="1"/>
    <xf numFmtId="0" fontId="37" fillId="16" borderId="24" xfId="19" applyFont="1" applyFill="1" applyBorder="1"/>
    <xf numFmtId="0" fontId="37" fillId="16" borderId="34" xfId="19" applyFont="1" applyFill="1" applyBorder="1"/>
    <xf numFmtId="0" fontId="82" fillId="17" borderId="33" xfId="19" applyFont="1" applyFill="1" applyBorder="1"/>
    <xf numFmtId="0" fontId="33" fillId="16" borderId="11" xfId="19" applyFont="1" applyFill="1" applyBorder="1"/>
    <xf numFmtId="0" fontId="33" fillId="16" borderId="7" xfId="19" applyFont="1" applyFill="1" applyBorder="1"/>
    <xf numFmtId="9" fontId="33" fillId="16" borderId="7" xfId="18" applyFont="1" applyFill="1" applyBorder="1"/>
    <xf numFmtId="0" fontId="33" fillId="16" borderId="6" xfId="19" applyFont="1" applyFill="1" applyBorder="1"/>
    <xf numFmtId="174" fontId="33" fillId="16" borderId="7" xfId="19" applyNumberFormat="1" applyFont="1" applyFill="1" applyBorder="1"/>
    <xf numFmtId="0" fontId="33" fillId="16" borderId="1" xfId="19" applyFont="1" applyFill="1" applyBorder="1"/>
    <xf numFmtId="0" fontId="33" fillId="16" borderId="2" xfId="19" applyFont="1" applyFill="1" applyBorder="1"/>
    <xf numFmtId="0" fontId="33" fillId="16" borderId="3" xfId="19" applyFont="1" applyFill="1" applyBorder="1"/>
    <xf numFmtId="0" fontId="77" fillId="16" borderId="1" xfId="37" applyFont="1" applyFill="1" applyBorder="1"/>
    <xf numFmtId="0" fontId="77" fillId="16" borderId="2" xfId="37" applyFont="1" applyFill="1" applyBorder="1" applyAlignment="1">
      <alignment horizontal="center"/>
    </xf>
    <xf numFmtId="0" fontId="77" fillId="16" borderId="2" xfId="37" applyFont="1" applyFill="1" applyBorder="1"/>
    <xf numFmtId="0" fontId="77" fillId="16" borderId="27" xfId="37" applyFont="1" applyFill="1" applyBorder="1" applyAlignment="1">
      <alignment horizontal="centerContinuous"/>
    </xf>
    <xf numFmtId="0" fontId="77" fillId="16" borderId="3" xfId="37" applyFont="1" applyFill="1" applyBorder="1" applyAlignment="1">
      <alignment horizontal="center"/>
    </xf>
    <xf numFmtId="0" fontId="77" fillId="16" borderId="8" xfId="37" applyFont="1" applyFill="1" applyBorder="1"/>
    <xf numFmtId="0" fontId="77" fillId="16" borderId="9" xfId="37" applyFont="1" applyFill="1" applyBorder="1" applyAlignment="1">
      <alignment horizontal="center"/>
    </xf>
    <xf numFmtId="0" fontId="77" fillId="16" borderId="9" xfId="37" applyFont="1" applyFill="1" applyBorder="1"/>
    <xf numFmtId="179" fontId="77" fillId="16" borderId="9" xfId="37" applyNumberFormat="1" applyFont="1" applyFill="1" applyBorder="1" applyAlignment="1">
      <alignment horizontal="center"/>
    </xf>
    <xf numFmtId="0" fontId="77" fillId="16" borderId="10" xfId="37" applyFont="1" applyFill="1" applyBorder="1" applyAlignment="1">
      <alignment horizontal="center"/>
    </xf>
    <xf numFmtId="0" fontId="78" fillId="16" borderId="4" xfId="37" applyFont="1" applyFill="1" applyBorder="1" applyAlignment="1">
      <alignment vertical="center"/>
    </xf>
    <xf numFmtId="5" fontId="53" fillId="16" borderId="0" xfId="37" applyNumberFormat="1" applyFont="1" applyFill="1" applyAlignment="1">
      <alignment horizontal="center" vertical="center"/>
    </xf>
    <xf numFmtId="0" fontId="53" fillId="16" borderId="0" xfId="37" applyFont="1" applyFill="1" applyAlignment="1">
      <alignment horizontal="center" vertical="center"/>
    </xf>
    <xf numFmtId="186" fontId="78" fillId="16" borderId="0" xfId="37" applyNumberFormat="1" applyFont="1" applyFill="1" applyAlignment="1">
      <alignment horizontal="center" vertical="center"/>
    </xf>
    <xf numFmtId="186" fontId="78" fillId="16" borderId="5" xfId="37" applyNumberFormat="1" applyFont="1" applyFill="1" applyBorder="1" applyAlignment="1">
      <alignment horizontal="center" vertical="center"/>
    </xf>
    <xf numFmtId="5" fontId="78" fillId="16" borderId="0" xfId="37" applyNumberFormat="1" applyFont="1" applyFill="1" applyAlignment="1">
      <alignment horizontal="center" vertical="center"/>
    </xf>
    <xf numFmtId="0" fontId="78" fillId="16" borderId="0" xfId="37" applyFont="1" applyFill="1" applyAlignment="1">
      <alignment horizontal="center" vertical="center"/>
    </xf>
    <xf numFmtId="0" fontId="78" fillId="17" borderId="8" xfId="37" applyFont="1" applyFill="1" applyBorder="1" applyAlignment="1">
      <alignment vertical="center"/>
    </xf>
    <xf numFmtId="5" fontId="78" fillId="17" borderId="9" xfId="37" applyNumberFormat="1" applyFont="1" applyFill="1" applyBorder="1" applyAlignment="1">
      <alignment horizontal="center" vertical="center"/>
    </xf>
    <xf numFmtId="0" fontId="78" fillId="17" borderId="9" xfId="37" applyFont="1" applyFill="1" applyBorder="1" applyAlignment="1">
      <alignment horizontal="center" vertical="center"/>
    </xf>
    <xf numFmtId="185" fontId="78" fillId="17" borderId="9" xfId="37" applyNumberFormat="1" applyFont="1" applyFill="1" applyBorder="1" applyAlignment="1">
      <alignment horizontal="center" vertical="center"/>
    </xf>
    <xf numFmtId="184" fontId="78" fillId="17" borderId="9" xfId="37" applyNumberFormat="1" applyFont="1" applyFill="1" applyBorder="1" applyAlignment="1">
      <alignment horizontal="center" vertical="center"/>
    </xf>
    <xf numFmtId="0" fontId="33" fillId="16" borderId="1" xfId="24" applyFont="1" applyFill="1" applyBorder="1"/>
    <xf numFmtId="0" fontId="33" fillId="16" borderId="2" xfId="24" applyFont="1" applyFill="1" applyBorder="1"/>
    <xf numFmtId="0" fontId="33" fillId="16" borderId="3" xfId="24" applyFont="1" applyFill="1" applyBorder="1" applyAlignment="1">
      <alignment horizontal="right"/>
    </xf>
    <xf numFmtId="0" fontId="33" fillId="16" borderId="4" xfId="24" applyFont="1" applyFill="1" applyBorder="1"/>
    <xf numFmtId="0" fontId="33" fillId="16" borderId="0" xfId="24" applyFont="1" applyFill="1"/>
    <xf numFmtId="0" fontId="33" fillId="16" borderId="5" xfId="24" applyFont="1" applyFill="1" applyBorder="1"/>
    <xf numFmtId="0" fontId="33" fillId="16" borderId="14" xfId="24" applyFont="1" applyFill="1" applyBorder="1"/>
    <xf numFmtId="0" fontId="33" fillId="16" borderId="15" xfId="24" applyFont="1" applyFill="1" applyBorder="1"/>
    <xf numFmtId="0" fontId="33" fillId="16" borderId="12" xfId="24" applyFont="1" applyFill="1" applyBorder="1"/>
    <xf numFmtId="0" fontId="33" fillId="16" borderId="24" xfId="19" applyFont="1" applyFill="1" applyBorder="1" applyAlignment="1">
      <alignment horizontal="right"/>
    </xf>
    <xf numFmtId="0" fontId="33" fillId="16" borderId="24" xfId="19" applyFont="1" applyFill="1" applyBorder="1" applyAlignment="1">
      <alignment horizontal="center"/>
    </xf>
    <xf numFmtId="0" fontId="33" fillId="16" borderId="34" xfId="19" applyFont="1" applyFill="1" applyBorder="1" applyAlignment="1">
      <alignment horizontal="right"/>
    </xf>
    <xf numFmtId="0" fontId="80" fillId="17" borderId="39" xfId="19" applyFont="1" applyFill="1" applyBorder="1" applyAlignment="1">
      <alignment wrapText="1"/>
    </xf>
    <xf numFmtId="0" fontId="46" fillId="17" borderId="0" xfId="19" applyFont="1" applyFill="1" applyBorder="1" applyAlignment="1">
      <alignment horizontal="center" wrapText="1"/>
    </xf>
    <xf numFmtId="0" fontId="46" fillId="17" borderId="35" xfId="19" applyFont="1" applyFill="1" applyBorder="1" applyAlignment="1">
      <alignment horizontal="center" wrapText="1"/>
    </xf>
    <xf numFmtId="0" fontId="80" fillId="17" borderId="36" xfId="19" applyFont="1" applyFill="1" applyBorder="1" applyAlignment="1">
      <alignment wrapText="1"/>
    </xf>
    <xf numFmtId="0" fontId="80" fillId="17" borderId="0" xfId="19" applyFont="1" applyFill="1" applyBorder="1" applyAlignment="1">
      <alignment horizontal="center" wrapText="1"/>
    </xf>
    <xf numFmtId="0" fontId="80" fillId="17" borderId="35" xfId="19" applyFont="1" applyFill="1" applyBorder="1" applyAlignment="1">
      <alignment horizontal="center" wrapText="1"/>
    </xf>
    <xf numFmtId="0" fontId="46" fillId="17" borderId="4" xfId="19" applyFont="1" applyFill="1" applyBorder="1" applyAlignment="1">
      <alignment wrapText="1"/>
    </xf>
    <xf numFmtId="0" fontId="46" fillId="17" borderId="0" xfId="19" applyFont="1" applyFill="1" applyAlignment="1">
      <alignment horizontal="center" wrapText="1"/>
    </xf>
    <xf numFmtId="0" fontId="45" fillId="16" borderId="0" xfId="19" applyFont="1" applyFill="1"/>
    <xf numFmtId="0" fontId="46" fillId="17" borderId="0" xfId="19" applyFont="1" applyFill="1" applyAlignment="1">
      <alignment wrapText="1"/>
    </xf>
    <xf numFmtId="0" fontId="46" fillId="17" borderId="0" xfId="19" applyFont="1" applyFill="1" applyAlignment="1">
      <alignment horizontal="right" wrapText="1"/>
    </xf>
    <xf numFmtId="0" fontId="33" fillId="16" borderId="37" xfId="19" applyFont="1" applyFill="1" applyBorder="1"/>
    <xf numFmtId="180" fontId="72" fillId="16" borderId="21" xfId="19" applyNumberFormat="1" applyFont="1" applyFill="1" applyBorder="1" applyAlignment="1">
      <alignment horizontal="center"/>
    </xf>
    <xf numFmtId="181" fontId="72" fillId="16" borderId="21" xfId="19" applyNumberFormat="1" applyFont="1" applyFill="1" applyBorder="1" applyAlignment="1">
      <alignment horizontal="center"/>
    </xf>
    <xf numFmtId="181" fontId="72" fillId="16" borderId="38" xfId="19" applyNumberFormat="1" applyFont="1" applyFill="1" applyBorder="1" applyAlignment="1">
      <alignment horizontal="center"/>
    </xf>
    <xf numFmtId="0" fontId="33" fillId="16" borderId="31" xfId="19" applyFont="1" applyFill="1" applyBorder="1"/>
    <xf numFmtId="0" fontId="33" fillId="16" borderId="15" xfId="19" applyFont="1" applyFill="1" applyBorder="1" applyAlignment="1">
      <alignment horizontal="center"/>
    </xf>
    <xf numFmtId="5" fontId="33" fillId="16" borderId="15" xfId="17" applyNumberFormat="1" applyFont="1" applyFill="1" applyBorder="1" applyAlignment="1">
      <alignment horizontal="center"/>
    </xf>
    <xf numFmtId="5" fontId="33" fillId="16" borderId="32" xfId="17" applyNumberFormat="1" applyFont="1" applyFill="1" applyBorder="1" applyAlignment="1">
      <alignment horizontal="center"/>
    </xf>
    <xf numFmtId="0" fontId="30" fillId="16" borderId="2" xfId="19" applyFont="1" applyFill="1" applyBorder="1"/>
    <xf numFmtId="0" fontId="30" fillId="16" borderId="3" xfId="19" applyFont="1" applyFill="1" applyBorder="1"/>
    <xf numFmtId="43" fontId="6" fillId="0" borderId="0" xfId="19" applyNumberFormat="1" applyFont="1"/>
    <xf numFmtId="5" fontId="59" fillId="8" borderId="0" xfId="19" applyNumberFormat="1" applyFont="1" applyFill="1" applyBorder="1" applyAlignment="1">
      <alignment horizontal="center"/>
    </xf>
    <xf numFmtId="178" fontId="31" fillId="0" borderId="0" xfId="19" applyNumberFormat="1" applyFont="1" applyAlignment="1">
      <alignment horizontal="right"/>
    </xf>
    <xf numFmtId="6" fontId="59" fillId="11" borderId="0" xfId="19" applyNumberFormat="1" applyFont="1" applyFill="1" applyBorder="1" applyAlignment="1">
      <alignment horizontal="center"/>
    </xf>
    <xf numFmtId="6" fontId="59" fillId="11" borderId="35" xfId="19" applyNumberFormat="1" applyFont="1" applyFill="1" applyBorder="1" applyAlignment="1">
      <alignment horizontal="center"/>
    </xf>
    <xf numFmtId="190" fontId="88" fillId="8" borderId="0" xfId="19" applyNumberFormat="1" applyFont="1" applyFill="1" applyBorder="1" applyAlignment="1">
      <alignment horizontal="center"/>
    </xf>
    <xf numFmtId="190" fontId="88" fillId="8" borderId="0" xfId="18" applyNumberFormat="1" applyFont="1" applyFill="1" applyBorder="1" applyAlignment="1">
      <alignment horizontal="center"/>
    </xf>
    <xf numFmtId="190" fontId="88" fillId="8" borderId="35" xfId="18" applyNumberFormat="1" applyFont="1" applyFill="1" applyBorder="1" applyAlignment="1">
      <alignment horizontal="center"/>
    </xf>
    <xf numFmtId="38" fontId="59" fillId="11" borderId="0" xfId="19" applyNumberFormat="1" applyFont="1" applyFill="1" applyBorder="1" applyAlignment="1">
      <alignment horizontal="center"/>
    </xf>
    <xf numFmtId="38" fontId="59" fillId="11" borderId="35" xfId="19" applyNumberFormat="1" applyFont="1" applyFill="1" applyBorder="1" applyAlignment="1">
      <alignment horizontal="center"/>
    </xf>
    <xf numFmtId="171" fontId="60" fillId="8" borderId="0" xfId="19" applyNumberFormat="1" applyFont="1" applyFill="1" applyBorder="1" applyAlignment="1">
      <alignment horizontal="center"/>
    </xf>
    <xf numFmtId="0" fontId="60" fillId="8" borderId="0" xfId="19" applyFont="1" applyFill="1" applyBorder="1" applyAlignment="1">
      <alignment horizontal="center"/>
    </xf>
    <xf numFmtId="0" fontId="60" fillId="8" borderId="35" xfId="19" applyFont="1" applyFill="1" applyBorder="1" applyAlignment="1">
      <alignment horizontal="center"/>
    </xf>
    <xf numFmtId="37" fontId="60" fillId="0" borderId="0" xfId="19" applyNumberFormat="1" applyFont="1" applyBorder="1" applyAlignment="1">
      <alignment horizontal="center"/>
    </xf>
    <xf numFmtId="190" fontId="88" fillId="0" borderId="0" xfId="18" applyNumberFormat="1" applyFont="1" applyFill="1" applyBorder="1" applyAlignment="1">
      <alignment horizontal="center"/>
    </xf>
    <xf numFmtId="190" fontId="88" fillId="0" borderId="35" xfId="18" applyNumberFormat="1" applyFont="1" applyFill="1" applyBorder="1" applyAlignment="1">
      <alignment horizontal="center"/>
    </xf>
    <xf numFmtId="171" fontId="60" fillId="8" borderId="35" xfId="19" applyNumberFormat="1" applyFont="1" applyFill="1" applyBorder="1" applyAlignment="1">
      <alignment horizontal="center"/>
    </xf>
    <xf numFmtId="190" fontId="54" fillId="0" borderId="0" xfId="18" applyNumberFormat="1" applyFont="1" applyFill="1" applyBorder="1"/>
    <xf numFmtId="190" fontId="54" fillId="0" borderId="0" xfId="18" applyNumberFormat="1" applyFont="1" applyBorder="1"/>
    <xf numFmtId="190" fontId="54" fillId="0" borderId="35" xfId="18" applyNumberFormat="1" applyFont="1" applyBorder="1"/>
    <xf numFmtId="0" fontId="89" fillId="8" borderId="0" xfId="19" applyFont="1" applyFill="1"/>
    <xf numFmtId="0" fontId="89" fillId="0" borderId="0" xfId="19" applyFont="1"/>
    <xf numFmtId="0" fontId="89" fillId="0" borderId="35" xfId="19" applyFont="1" applyBorder="1"/>
    <xf numFmtId="6" fontId="89" fillId="8" borderId="0" xfId="19" applyNumberFormat="1" applyFont="1" applyFill="1"/>
    <xf numFmtId="6" fontId="89" fillId="8" borderId="35" xfId="19" applyNumberFormat="1" applyFont="1" applyFill="1" applyBorder="1"/>
    <xf numFmtId="0" fontId="89" fillId="8" borderId="15" xfId="19" applyFont="1" applyFill="1" applyBorder="1"/>
    <xf numFmtId="5" fontId="89" fillId="8" borderId="15" xfId="19" applyNumberFormat="1" applyFont="1" applyFill="1" applyBorder="1"/>
    <xf numFmtId="5" fontId="89" fillId="8" borderId="32" xfId="19" applyNumberFormat="1" applyFont="1" applyFill="1" applyBorder="1"/>
    <xf numFmtId="0" fontId="89" fillId="0" borderId="2" xfId="19" applyFont="1" applyBorder="1"/>
    <xf numFmtId="1" fontId="89" fillId="0" borderId="2" xfId="19" applyNumberFormat="1" applyFont="1" applyBorder="1"/>
    <xf numFmtId="1" fontId="89" fillId="0" borderId="3" xfId="19" applyNumberFormat="1" applyFont="1" applyBorder="1"/>
    <xf numFmtId="37" fontId="89" fillId="0" borderId="9" xfId="19" applyNumberFormat="1" applyFont="1" applyBorder="1"/>
    <xf numFmtId="1" fontId="89" fillId="0" borderId="9" xfId="19" applyNumberFormat="1" applyFont="1" applyBorder="1"/>
    <xf numFmtId="1" fontId="89" fillId="0" borderId="10" xfId="19" applyNumberFormat="1" applyFont="1" applyBorder="1"/>
    <xf numFmtId="0" fontId="90" fillId="0" borderId="0" xfId="19" applyFont="1" applyAlignment="1">
      <alignment horizontal="right" vertical="top" wrapText="1"/>
    </xf>
    <xf numFmtId="0" fontId="91" fillId="0" borderId="0" xfId="19" applyFont="1"/>
    <xf numFmtId="187" fontId="91" fillId="0" borderId="0" xfId="19" applyNumberFormat="1" applyFont="1" applyAlignment="1">
      <alignment horizontal="right" vertical="top" wrapText="1"/>
    </xf>
    <xf numFmtId="183" fontId="91" fillId="0" borderId="0" xfId="19" applyNumberFormat="1" applyFont="1" applyAlignment="1">
      <alignment horizontal="right" vertical="top" wrapText="1"/>
    </xf>
    <xf numFmtId="0" fontId="91" fillId="0" borderId="0" xfId="19" applyFont="1" applyAlignment="1">
      <alignment horizontal="right" vertical="top" wrapText="1"/>
    </xf>
    <xf numFmtId="188" fontId="91" fillId="0" borderId="0" xfId="19" applyNumberFormat="1" applyFont="1"/>
    <xf numFmtId="186" fontId="91" fillId="0" borderId="0" xfId="19" applyNumberFormat="1" applyFont="1" applyAlignment="1">
      <alignment horizontal="right"/>
    </xf>
    <xf numFmtId="0" fontId="90" fillId="0" borderId="0" xfId="19" applyFont="1" applyAlignment="1">
      <alignment vertical="top" wrapText="1"/>
    </xf>
    <xf numFmtId="186" fontId="91" fillId="0" borderId="0" xfId="19" applyNumberFormat="1" applyFont="1"/>
    <xf numFmtId="5" fontId="59" fillId="11" borderId="0" xfId="17" applyNumberFormat="1" applyFont="1" applyFill="1" applyBorder="1" applyAlignment="1">
      <alignment horizontal="center"/>
    </xf>
    <xf numFmtId="5" fontId="59" fillId="11" borderId="35" xfId="17" applyNumberFormat="1" applyFont="1" applyFill="1" applyBorder="1" applyAlignment="1">
      <alignment horizontal="center"/>
    </xf>
    <xf numFmtId="0" fontId="91" fillId="0" borderId="0" xfId="19" applyFont="1" applyBorder="1"/>
    <xf numFmtId="0" fontId="91" fillId="0" borderId="35" xfId="19" applyFont="1" applyBorder="1"/>
    <xf numFmtId="37" fontId="60" fillId="8" borderId="0" xfId="17" applyNumberFormat="1" applyFont="1" applyFill="1" applyBorder="1" applyAlignment="1">
      <alignment horizontal="center"/>
    </xf>
    <xf numFmtId="37" fontId="60" fillId="8" borderId="35" xfId="17" applyNumberFormat="1" applyFont="1" applyFill="1" applyBorder="1" applyAlignment="1">
      <alignment horizontal="center"/>
    </xf>
    <xf numFmtId="37" fontId="59" fillId="11" borderId="0" xfId="17" applyNumberFormat="1" applyFont="1" applyFill="1" applyBorder="1" applyAlignment="1">
      <alignment horizontal="center"/>
    </xf>
    <xf numFmtId="37" fontId="59" fillId="11" borderId="35" xfId="17" applyNumberFormat="1" applyFont="1" applyFill="1" applyBorder="1" applyAlignment="1">
      <alignment horizontal="center"/>
    </xf>
    <xf numFmtId="37" fontId="91" fillId="0" borderId="0" xfId="19" applyNumberFormat="1" applyFont="1" applyBorder="1"/>
    <xf numFmtId="37" fontId="91" fillId="0" borderId="35" xfId="19" applyNumberFormat="1" applyFont="1" applyBorder="1"/>
    <xf numFmtId="190" fontId="88" fillId="0" borderId="0" xfId="19" applyNumberFormat="1" applyFont="1" applyBorder="1"/>
    <xf numFmtId="190" fontId="88" fillId="0" borderId="35" xfId="19" applyNumberFormat="1" applyFont="1" applyBorder="1"/>
    <xf numFmtId="190" fontId="88" fillId="0" borderId="15" xfId="19" applyNumberFormat="1" applyFont="1" applyBorder="1"/>
    <xf numFmtId="190" fontId="88" fillId="0" borderId="32" xfId="19" applyNumberFormat="1" applyFont="1" applyBorder="1"/>
    <xf numFmtId="173" fontId="60" fillId="8" borderId="5" xfId="19" applyNumberFormat="1" applyFont="1" applyFill="1" applyBorder="1"/>
    <xf numFmtId="169" fontId="60" fillId="8" borderId="5" xfId="19" applyNumberFormat="1" applyFont="1" applyFill="1" applyBorder="1"/>
    <xf numFmtId="174" fontId="60" fillId="8" borderId="12" xfId="19" applyNumberFormat="1" applyFont="1" applyFill="1" applyBorder="1"/>
    <xf numFmtId="0" fontId="60" fillId="8" borderId="5" xfId="19" applyFont="1" applyFill="1" applyBorder="1"/>
    <xf numFmtId="166" fontId="60" fillId="8" borderId="5" xfId="16" applyNumberFormat="1" applyFont="1" applyFill="1" applyBorder="1"/>
    <xf numFmtId="1" fontId="60" fillId="8" borderId="12" xfId="19" applyNumberFormat="1" applyFont="1" applyFill="1" applyBorder="1"/>
    <xf numFmtId="174" fontId="60" fillId="8" borderId="5" xfId="19" applyNumberFormat="1" applyFont="1" applyFill="1" applyBorder="1"/>
    <xf numFmtId="9" fontId="60" fillId="8" borderId="5" xfId="18" applyFont="1" applyFill="1" applyBorder="1"/>
    <xf numFmtId="9" fontId="60" fillId="8" borderId="10" xfId="19" applyNumberFormat="1" applyFont="1" applyFill="1" applyBorder="1"/>
    <xf numFmtId="6" fontId="31" fillId="0" borderId="0" xfId="37" applyNumberFormat="1" applyFont="1" applyAlignment="1">
      <alignment horizontal="center" vertical="center"/>
    </xf>
    <xf numFmtId="186" fontId="31" fillId="0" borderId="0" xfId="37" applyNumberFormat="1" applyFont="1" applyAlignment="1">
      <alignment horizontal="center" vertical="center"/>
    </xf>
    <xf numFmtId="186" fontId="31" fillId="0" borderId="5" xfId="37" applyNumberFormat="1" applyFont="1" applyBorder="1" applyAlignment="1">
      <alignment horizontal="center" vertical="center"/>
    </xf>
    <xf numFmtId="186" fontId="31" fillId="0" borderId="0" xfId="37" applyNumberFormat="1" applyFont="1" applyBorder="1" applyAlignment="1">
      <alignment horizontal="center" vertical="center"/>
    </xf>
    <xf numFmtId="0" fontId="31" fillId="8" borderId="0" xfId="37" applyFont="1" applyFill="1" applyAlignment="1">
      <alignment horizontal="center" vertical="center"/>
    </xf>
    <xf numFmtId="37" fontId="60" fillId="0" borderId="5" xfId="39" applyNumberFormat="1" applyFont="1" applyFill="1" applyBorder="1" applyAlignment="1">
      <alignment horizontal="right"/>
    </xf>
    <xf numFmtId="167" fontId="60" fillId="0" borderId="5" xfId="24" applyNumberFormat="1" applyFont="1" applyBorder="1" applyAlignment="1">
      <alignment horizontal="right"/>
    </xf>
    <xf numFmtId="37" fontId="60" fillId="0" borderId="19" xfId="26" applyNumberFormat="1" applyFont="1" applyBorder="1" applyAlignment="1">
      <alignment horizontal="right"/>
    </xf>
    <xf numFmtId="0" fontId="60" fillId="0" borderId="5" xfId="24" applyFont="1" applyBorder="1" applyAlignment="1">
      <alignment horizontal="right"/>
    </xf>
    <xf numFmtId="2" fontId="60" fillId="0" borderId="0" xfId="19" applyNumberFormat="1" applyFont="1" applyBorder="1" applyAlignment="1">
      <alignment horizontal="center"/>
    </xf>
    <xf numFmtId="5" fontId="60" fillId="0" borderId="0" xfId="19" applyNumberFormat="1" applyFont="1" applyBorder="1" applyAlignment="1">
      <alignment horizontal="center"/>
    </xf>
    <xf numFmtId="9" fontId="60" fillId="0" borderId="0" xfId="19" applyNumberFormat="1" applyFont="1" applyBorder="1" applyAlignment="1">
      <alignment horizontal="center"/>
    </xf>
    <xf numFmtId="2" fontId="60" fillId="0" borderId="35" xfId="19" applyNumberFormat="1" applyFont="1" applyBorder="1" applyAlignment="1">
      <alignment horizontal="center"/>
    </xf>
    <xf numFmtId="0" fontId="60" fillId="9" borderId="31" xfId="19" applyFont="1" applyFill="1" applyBorder="1" applyAlignment="1">
      <alignment horizontal="left" vertical="top" wrapText="1"/>
    </xf>
    <xf numFmtId="2" fontId="60" fillId="9" borderId="15" xfId="19" applyNumberFormat="1" applyFont="1" applyFill="1" applyBorder="1" applyAlignment="1">
      <alignment horizontal="center"/>
    </xf>
    <xf numFmtId="5" fontId="60" fillId="9" borderId="15" xfId="19" applyNumberFormat="1" applyFont="1" applyFill="1" applyBorder="1" applyAlignment="1">
      <alignment horizontal="center"/>
    </xf>
    <xf numFmtId="9" fontId="60" fillId="9" borderId="15" xfId="19" applyNumberFormat="1" applyFont="1" applyFill="1" applyBorder="1" applyAlignment="1">
      <alignment horizontal="center"/>
    </xf>
    <xf numFmtId="9" fontId="60" fillId="9" borderId="0" xfId="19" applyNumberFormat="1" applyFont="1" applyFill="1" applyBorder="1" applyAlignment="1">
      <alignment horizontal="center"/>
    </xf>
    <xf numFmtId="2" fontId="60" fillId="9" borderId="35" xfId="19" applyNumberFormat="1" applyFont="1" applyFill="1" applyBorder="1" applyAlignment="1">
      <alignment horizontal="center"/>
    </xf>
    <xf numFmtId="10" fontId="60" fillId="8" borderId="5" xfId="18" applyNumberFormat="1" applyFont="1" applyFill="1" applyBorder="1"/>
    <xf numFmtId="2" fontId="60" fillId="0" borderId="5" xfId="19" applyNumberFormat="1" applyFont="1" applyBorder="1"/>
    <xf numFmtId="168" fontId="60" fillId="8" borderId="10" xfId="19" applyNumberFormat="1" applyFont="1" applyFill="1" applyBorder="1"/>
    <xf numFmtId="9" fontId="59" fillId="8" borderId="5" xfId="19" applyNumberFormat="1" applyFont="1" applyFill="1" applyBorder="1"/>
    <xf numFmtId="168" fontId="60" fillId="0" borderId="5" xfId="18" applyNumberFormat="1" applyFont="1" applyFill="1" applyBorder="1"/>
    <xf numFmtId="168" fontId="59" fillId="0" borderId="5" xfId="18" applyNumberFormat="1" applyFont="1" applyFill="1" applyBorder="1"/>
    <xf numFmtId="168" fontId="60" fillId="8" borderId="5" xfId="18" applyNumberFormat="1" applyFont="1" applyFill="1" applyBorder="1"/>
    <xf numFmtId="168" fontId="59" fillId="0" borderId="10" xfId="18" applyNumberFormat="1" applyFont="1" applyFill="1" applyBorder="1"/>
    <xf numFmtId="168" fontId="60" fillId="8" borderId="5" xfId="19" applyNumberFormat="1" applyFont="1" applyFill="1" applyBorder="1"/>
    <xf numFmtId="6" fontId="60" fillId="8" borderId="5" xfId="16" applyNumberFormat="1" applyFont="1" applyFill="1" applyBorder="1"/>
    <xf numFmtId="9" fontId="60" fillId="8" borderId="3" xfId="18" applyFont="1" applyFill="1" applyBorder="1" applyAlignment="1">
      <alignment horizontal="right"/>
    </xf>
    <xf numFmtId="2" fontId="60" fillId="8" borderId="5" xfId="19" applyNumberFormat="1" applyFont="1" applyFill="1" applyBorder="1" applyAlignment="1">
      <alignment horizontal="right"/>
    </xf>
    <xf numFmtId="2" fontId="60" fillId="8" borderId="10" xfId="19" applyNumberFormat="1" applyFont="1" applyFill="1" applyBorder="1" applyAlignment="1">
      <alignment horizontal="right"/>
    </xf>
    <xf numFmtId="0" fontId="33" fillId="16" borderId="13" xfId="19" applyFont="1" applyFill="1" applyBorder="1" applyAlignment="1">
      <alignment horizontal="center"/>
    </xf>
    <xf numFmtId="0" fontId="33" fillId="16" borderId="23" xfId="19" applyFont="1" applyFill="1" applyBorder="1" applyAlignment="1">
      <alignment horizontal="center"/>
    </xf>
    <xf numFmtId="164" fontId="92" fillId="0" borderId="0" xfId="19" applyNumberFormat="1" applyFont="1" applyBorder="1" applyAlignment="1">
      <alignment horizontal="center" vertical="top" wrapText="1"/>
    </xf>
    <xf numFmtId="164" fontId="92" fillId="0" borderId="35" xfId="19" applyNumberFormat="1" applyFont="1" applyBorder="1" applyAlignment="1">
      <alignment horizontal="center" vertical="top" wrapText="1"/>
    </xf>
    <xf numFmtId="164" fontId="93" fillId="0" borderId="0" xfId="19" applyNumberFormat="1" applyFont="1" applyBorder="1" applyAlignment="1">
      <alignment horizontal="center" vertical="top" wrapText="1"/>
    </xf>
    <xf numFmtId="164" fontId="93" fillId="0" borderId="35" xfId="19" applyNumberFormat="1" applyFont="1" applyBorder="1" applyAlignment="1">
      <alignment horizontal="center" vertical="top" wrapText="1"/>
    </xf>
    <xf numFmtId="0" fontId="92" fillId="0" borderId="0" xfId="19" applyFont="1" applyBorder="1" applyAlignment="1">
      <alignment horizontal="center" vertical="top"/>
    </xf>
    <xf numFmtId="0" fontId="92" fillId="0" borderId="35" xfId="19" applyFont="1" applyBorder="1" applyAlignment="1">
      <alignment horizontal="center" vertical="top"/>
    </xf>
    <xf numFmtId="164" fontId="93" fillId="0" borderId="15" xfId="19" applyNumberFormat="1" applyFont="1" applyBorder="1" applyAlignment="1">
      <alignment horizontal="center" vertical="top" wrapText="1"/>
    </xf>
    <xf numFmtId="164" fontId="93" fillId="0" borderId="32" xfId="19" applyNumberFormat="1" applyFont="1" applyBorder="1" applyAlignment="1">
      <alignment horizontal="center" vertical="top" wrapText="1"/>
    </xf>
    <xf numFmtId="39" fontId="39" fillId="0" borderId="0" xfId="19" applyNumberFormat="1" applyFont="1" applyAlignment="1">
      <alignment horizontal="right" vertical="center"/>
    </xf>
    <xf numFmtId="39" fontId="39" fillId="0" borderId="0" xfId="19" applyNumberFormat="1" applyFont="1" applyAlignment="1">
      <alignment horizontal="right" vertical="top"/>
    </xf>
    <xf numFmtId="164" fontId="59" fillId="0" borderId="0" xfId="19" applyNumberFormat="1" applyFont="1" applyAlignment="1">
      <alignment horizontal="right" vertical="top" wrapText="1"/>
    </xf>
    <xf numFmtId="0" fontId="60" fillId="0" borderId="0" xfId="19" applyFont="1" applyAlignment="1">
      <alignment horizontal="left" vertical="top"/>
    </xf>
    <xf numFmtId="164" fontId="60" fillId="0" borderId="0" xfId="19" applyNumberFormat="1" applyFont="1" applyAlignment="1">
      <alignment horizontal="right" vertical="top" wrapText="1"/>
    </xf>
    <xf numFmtId="164" fontId="39" fillId="0" borderId="0" xfId="19" applyNumberFormat="1" applyFont="1" applyAlignment="1">
      <alignment horizontal="right" vertical="center" wrapText="1"/>
    </xf>
    <xf numFmtId="186" fontId="78" fillId="16" borderId="0" xfId="37" applyNumberFormat="1" applyFont="1" applyFill="1" applyBorder="1" applyAlignment="1">
      <alignment horizontal="center" vertical="center"/>
    </xf>
    <xf numFmtId="0" fontId="73" fillId="0" borderId="0" xfId="37" applyFont="1" applyBorder="1"/>
    <xf numFmtId="0" fontId="73" fillId="0" borderId="9" xfId="37" applyFont="1" applyBorder="1"/>
    <xf numFmtId="0" fontId="1" fillId="0" borderId="4" xfId="37" applyBorder="1"/>
    <xf numFmtId="0" fontId="33" fillId="17" borderId="24" xfId="19" applyFont="1" applyFill="1" applyBorder="1" applyAlignment="1">
      <alignment horizontal="center"/>
    </xf>
    <xf numFmtId="0" fontId="33" fillId="17" borderId="34" xfId="19" applyFont="1" applyFill="1" applyBorder="1" applyAlignment="1">
      <alignment horizontal="center"/>
    </xf>
    <xf numFmtId="0" fontId="50" fillId="0" borderId="0" xfId="19" applyFont="1" applyAlignment="1">
      <alignment horizontal="center"/>
    </xf>
    <xf numFmtId="0" fontId="79" fillId="16" borderId="37" xfId="19" applyFont="1" applyFill="1" applyBorder="1" applyAlignment="1">
      <alignment horizontal="left"/>
    </xf>
    <xf numFmtId="0" fontId="79" fillId="16" borderId="21" xfId="19" applyFont="1" applyFill="1" applyBorder="1" applyAlignment="1">
      <alignment horizontal="left"/>
    </xf>
    <xf numFmtId="0" fontId="79" fillId="16" borderId="38" xfId="19" applyFont="1" applyFill="1" applyBorder="1" applyAlignment="1">
      <alignment horizontal="left"/>
    </xf>
    <xf numFmtId="0" fontId="45" fillId="16" borderId="11" xfId="19" applyFont="1" applyFill="1" applyBorder="1" applyAlignment="1">
      <alignment horizontal="left"/>
    </xf>
    <xf numFmtId="0" fontId="45" fillId="16" borderId="6" xfId="19" applyFont="1" applyFill="1" applyBorder="1" applyAlignment="1">
      <alignment horizontal="left"/>
    </xf>
  </cellXfs>
  <cellStyles count="43">
    <cellStyle name="40% - Accent2 2" xfId="25" xr:uid="{4C50AE76-723B-497A-BA58-03CE730F00CB}"/>
    <cellStyle name="40% - Accent2 3" xfId="32" xr:uid="{C3190FF3-DC80-4126-A725-D27184047FB5}"/>
    <cellStyle name="40% - Accent2 3 2" xfId="38" xr:uid="{B839B438-0E30-469F-9194-DBE75948D39E}"/>
    <cellStyle name="40% - Accent4 2" xfId="27" xr:uid="{D3343909-23DC-4F93-AA92-20972535D1BA}"/>
    <cellStyle name="40% - Accent4 2 2" xfId="31" xr:uid="{B72E3993-F5AA-40B0-9A58-803B3BBD62C2}"/>
    <cellStyle name="40% - Accent4 2 2 2" xfId="39" xr:uid="{CB2A3939-3D07-49EE-97B2-4373F299D6C6}"/>
    <cellStyle name="ChartingText" xfId="14" xr:uid="{00000000-0005-0000-0000-000001000000}"/>
    <cellStyle name="CHPAboveAverage" xfId="15" xr:uid="{00000000-0005-0000-0000-000002000000}"/>
    <cellStyle name="CHPBelowAverage" xfId="15" xr:uid="{00000000-0005-0000-0000-000003000000}"/>
    <cellStyle name="CHPBottom" xfId="15" xr:uid="{00000000-0005-0000-0000-000004000000}"/>
    <cellStyle name="CHPTop" xfId="15" xr:uid="{00000000-0005-0000-0000-000005000000}"/>
    <cellStyle name="ColumnHeaderNormal" xfId="6" xr:uid="{00000000-0005-0000-0000-000006000000}"/>
    <cellStyle name="Comma" xfId="16" builtinId="3"/>
    <cellStyle name="Comma 3" xfId="21" xr:uid="{00000000-0005-0000-0000-000008000000}"/>
    <cellStyle name="Currency" xfId="17" builtinId="4"/>
    <cellStyle name="Hyperlink" xfId="29" builtinId="8"/>
    <cellStyle name="Invisible" xfId="13" xr:uid="{00000000-0005-0000-0000-00000A000000}"/>
    <cellStyle name="Invisible 2" xfId="23" xr:uid="{00000000-0005-0000-0000-000044000000}"/>
    <cellStyle name="Invisible 2 2" xfId="35" xr:uid="{B5AB465D-6727-404A-8965-2497A86950FE}"/>
    <cellStyle name="Invisible 3" xfId="34" xr:uid="{DFEF2124-1B04-477D-9C26-20FE3B1DFB90}"/>
    <cellStyle name="NewColumnHeaderNormal" xfId="4" xr:uid="{00000000-0005-0000-0000-00000B000000}"/>
    <cellStyle name="NewSectionHeaderNormal" xfId="3" xr:uid="{00000000-0005-0000-0000-00000C000000}"/>
    <cellStyle name="NewTitleNormal" xfId="2" xr:uid="{00000000-0005-0000-0000-00000D000000}"/>
    <cellStyle name="Normal" xfId="0" builtinId="0"/>
    <cellStyle name="Normal 2" xfId="19" xr:uid="{00000000-0005-0000-0000-00000F000000}"/>
    <cellStyle name="Normal 2 2" xfId="22" xr:uid="{00000000-0005-0000-0000-000043000000}"/>
    <cellStyle name="Normal 3" xfId="24" xr:uid="{03488904-55C2-4359-9C3C-B1884D491B3D}"/>
    <cellStyle name="Normal 4" xfId="20" xr:uid="{00000000-0005-0000-0000-000010000000}"/>
    <cellStyle name="Normal 4 2" xfId="36" xr:uid="{E2108E94-6DE9-445D-B3C3-C015A4F6D58E}"/>
    <cellStyle name="Normal 5" xfId="28" xr:uid="{DC439C3F-2813-4C10-9F88-48AB539FCFFA}"/>
    <cellStyle name="Normal 6" xfId="30" xr:uid="{D441A5F3-9C55-4AA1-AD36-5E9AEF73B153}"/>
    <cellStyle name="Normal 7" xfId="33" xr:uid="{3AEBFCBA-A9CC-4EF0-B30B-C2439EED4B1E}"/>
    <cellStyle name="Normal 7 2" xfId="37" xr:uid="{61EC4CD7-1CAC-4FCF-BBB6-0A44182D0254}"/>
    <cellStyle name="Percent" xfId="18" builtinId="5"/>
    <cellStyle name="SectionHeaderNormal" xfId="5" xr:uid="{00000000-0005-0000-0000-000012000000}"/>
    <cellStyle name="SubScript" xfId="9" xr:uid="{00000000-0005-0000-0000-000013000000}"/>
    <cellStyle name="SuperScript" xfId="8" xr:uid="{00000000-0005-0000-0000-000014000000}"/>
    <cellStyle name="TextBold" xfId="10" xr:uid="{00000000-0005-0000-0000-000015000000}"/>
    <cellStyle name="TextItalic" xfId="11" xr:uid="{00000000-0005-0000-0000-000016000000}"/>
    <cellStyle name="TextNormal" xfId="7" xr:uid="{00000000-0005-0000-0000-000017000000}"/>
    <cellStyle name="TitleNormal" xfId="1" xr:uid="{00000000-0005-0000-0000-000018000000}"/>
    <cellStyle name="Total" xfId="12" builtinId="25" customBuiltin="1"/>
    <cellStyle name="Total 2" xfId="26" xr:uid="{C924E7F1-5406-46C0-8984-8BC89DB2ED38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61AADF"/>
      <color rgb="FF3399FF"/>
      <color rgb="FF008000"/>
      <color rgb="FFFF5B5B"/>
      <color rgb="FFEE9294"/>
      <color rgb="FF00368E"/>
      <color rgb="FF0000FF"/>
      <color rgb="FFA20000"/>
      <color rgb="FFF771AE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3831714492812122E-2"/>
          <c:w val="1"/>
          <c:h val="0.8595887739922111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Lbl>
              <c:idx val="6"/>
              <c:layout>
                <c:manualLayout>
                  <c:x val="0"/>
                  <c:y val="-0.21691954196785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ysClr val="windowText" lastClr="000000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Summary'!$E$3:$E$6</c:f>
              <c:numCache>
                <c:formatCode>"$"#,##0</c:formatCode>
                <c:ptCount val="4"/>
                <c:pt idx="0">
                  <c:v>40.255879569983698</c:v>
                </c:pt>
                <c:pt idx="1">
                  <c:v>27.411776731291766</c:v>
                </c:pt>
                <c:pt idx="2">
                  <c:v>41.219583251860968</c:v>
                </c:pt>
                <c:pt idx="3" formatCode="&quot;$&quot;#,##0.00_);[Red]\(&quot;$&quot;#,##0.00\)">
                  <c:v>41.219583251860968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7DC-9C9E-89E78EFEC87B}"/>
            </c:ext>
          </c:extLst>
        </c:ser>
        <c:ser>
          <c:idx val="1"/>
          <c:order val="1"/>
          <c:spPr>
            <a:solidFill>
              <a:srgbClr val="00206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2-47DC-9C9E-89E78EFEC87B}"/>
              </c:ext>
            </c:extLst>
          </c:dPt>
          <c:dPt>
            <c:idx val="1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2-47DC-9C9E-89E78EFEC8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2-44FE-B38B-D2995EF010E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E1-4622-93BB-56958CB88A4F}"/>
              </c:ext>
            </c:extLst>
          </c:dPt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Summary'!$F$3:$F$6</c:f>
              <c:numCache>
                <c:formatCode>"$"#,##0.00_);[Red]\("$"#,##0.00\)</c:formatCode>
                <c:ptCount val="4"/>
                <c:pt idx="0">
                  <c:v>11.30691695199485</c:v>
                </c:pt>
                <c:pt idx="1">
                  <c:v>9.5675497776697895</c:v>
                </c:pt>
                <c:pt idx="2">
                  <c:v>8.404326291017405</c:v>
                </c:pt>
                <c:pt idx="3">
                  <c:v>8.404326291017405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2-47DC-9C9E-89E78EFEC87B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chemeClr val="tx1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Summary'!$G$3:$G$6</c:f>
              <c:numCache>
                <c:formatCode>"$"#,##0</c:formatCode>
                <c:ptCount val="4"/>
                <c:pt idx="0">
                  <c:v>51.562796521978548</c:v>
                </c:pt>
                <c:pt idx="1">
                  <c:v>36.979326508961556</c:v>
                </c:pt>
                <c:pt idx="2" formatCode="&quot;$&quot;#,##0_);\(&quot;$&quot;#,##0\)">
                  <c:v>49.623909542878373</c:v>
                </c:pt>
                <c:pt idx="3" formatCode="&quot;$&quot;#,##0.00_);[Red]\(&quot;$&quot;#,##0.00\)">
                  <c:v>49.623909542878373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76562376"/>
        <c:axId val="776557784"/>
      </c:barChart>
      <c:lineChart>
        <c:grouping val="standard"/>
        <c:varyColors val="0"/>
        <c:ser>
          <c:idx val="3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22-47DC-9C9E-89E78EFEC87B}"/>
            </c:ext>
          </c:extLst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22-47DC-9C9E-89E78EFEC87B}"/>
            </c:ext>
          </c:extLst>
        </c:ser>
        <c:ser>
          <c:idx val="5"/>
          <c:order val="5"/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7261440400132556E-3"/>
                  <c:y val="0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22-47DC-9C9E-89E78EFEC87B}"/>
            </c:ext>
          </c:extLst>
        </c:ser>
        <c:ser>
          <c:idx val="6"/>
          <c:order val="6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4.5092058132020166E-3"/>
                  <c:y val="-1.388889192670529E-3"/>
                </c:manualLayout>
              </c:layout>
              <c:spPr/>
              <c:txPr>
                <a:bodyPr lIns="38100" tIns="19050" rIns="38100" bIns="19050">
                  <a:no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21262150162604E-2"/>
                      <c:h val="3.75000082021015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Summary'!$H$3:$H$6</c:f>
              <c:numCache>
                <c:formatCode>"$"#,##0.00;\("$"#,##0.00\);"--"</c:formatCode>
                <c:ptCount val="4"/>
                <c:pt idx="0">
                  <c:v>24.67</c:v>
                </c:pt>
                <c:pt idx="1">
                  <c:v>24.67</c:v>
                </c:pt>
                <c:pt idx="2">
                  <c:v>24.67</c:v>
                </c:pt>
                <c:pt idx="3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22-47DC-9C9E-89E78EFEC87B}"/>
            </c:ext>
          </c:extLst>
        </c:ser>
        <c:ser>
          <c:idx val="7"/>
          <c:order val="7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076301489804E-3"/>
                  <c:y val="-2.7777783853409053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Summary'!$I$3:$I$6</c:f>
              <c:numCache>
                <c:formatCode>"$"#,##0.00;\("$"#,##0.00\);"--"</c:formatCode>
                <c:ptCount val="4"/>
                <c:pt idx="0">
                  <c:v>45.4</c:v>
                </c:pt>
                <c:pt idx="1">
                  <c:v>45.4</c:v>
                </c:pt>
                <c:pt idx="2">
                  <c:v>45.4</c:v>
                </c:pt>
                <c:pt idx="3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22-47DC-9C9E-89E78EFEC87B}"/>
            </c:ext>
          </c:extLst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25257575257907E-3"/>
                  <c:y val="-2.7777783853408541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Summary'!$J$3:$J$6</c:f>
              <c:numCache>
                <c:formatCode>"$"#,##0.00;\("$"#,##0.00\);"--"</c:formatCode>
                <c:ptCount val="4"/>
                <c:pt idx="0">
                  <c:v>36.590000000000003</c:v>
                </c:pt>
                <c:pt idx="1">
                  <c:v>36.590000000000003</c:v>
                </c:pt>
                <c:pt idx="2">
                  <c:v>36.590000000000003</c:v>
                </c:pt>
                <c:pt idx="3">
                  <c:v>36.590000000000003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22-47DC-9C9E-89E78EFEC87B}"/>
            </c:ext>
          </c:extLst>
        </c:ser>
        <c:ser>
          <c:idx val="9"/>
          <c:order val="9"/>
          <c:spPr>
            <a:ln w="12700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62376"/>
        <c:axId val="776557784"/>
      </c:lineChart>
      <c:catAx>
        <c:axId val="7765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Bookman Old Style" panose="0205060405050502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776557784"/>
        <c:crosses val="autoZero"/>
        <c:auto val="1"/>
        <c:lblAlgn val="ctr"/>
        <c:lblOffset val="100"/>
        <c:noMultiLvlLbl val="0"/>
      </c:catAx>
      <c:valAx>
        <c:axId val="776557784"/>
        <c:scaling>
          <c:orientation val="minMax"/>
          <c:max val="55"/>
          <c:min val="23"/>
        </c:scaling>
        <c:delete val="0"/>
        <c:axPos val="l"/>
        <c:numFmt formatCode="&quot;$&quot;#,##0" sourceLinked="1"/>
        <c:majorTickMark val="out"/>
        <c:minorTickMark val="none"/>
        <c:tickLblPos val="none"/>
        <c:crossAx val="776562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277170</xdr:colOff>
      <xdr:row>7</xdr:row>
      <xdr:rowOff>218671</xdr:rowOff>
    </xdr:from>
    <xdr:to>
      <xdr:col>15</xdr:col>
      <xdr:colOff>3385</xdr:colOff>
      <xdr:row>7</xdr:row>
      <xdr:rowOff>219031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2D59D36-4179-4646-AC4C-C72143F281D5}"/>
                </a:ext>
              </a:extLst>
            </xdr14:cNvPr>
            <xdr14:cNvContentPartPr/>
          </xdr14:nvContentPartPr>
          <xdr14:nvPr macro=""/>
          <xdr14:xfrm>
            <a:off x="14181480" y="14302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2D59D36-4179-4646-AC4C-C72143F281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63840" y="13222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50577</xdr:colOff>
      <xdr:row>8</xdr:row>
      <xdr:rowOff>21396</xdr:rowOff>
    </xdr:from>
    <xdr:to>
      <xdr:col>10</xdr:col>
      <xdr:colOff>50937</xdr:colOff>
      <xdr:row>8</xdr:row>
      <xdr:rowOff>21756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C33AAFA-C042-45AC-B760-94A2563912AA}"/>
                </a:ext>
              </a:extLst>
            </xdr14:cNvPr>
            <xdr14:cNvContentPartPr/>
          </xdr14:nvContentPartPr>
          <xdr14:nvPr macro=""/>
          <xdr14:xfrm>
            <a:off x="9553680" y="152496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C33AAFA-C042-45AC-B760-94A2563912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535680" y="1417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109957</xdr:colOff>
      <xdr:row>6</xdr:row>
      <xdr:rowOff>138113</xdr:rowOff>
    </xdr:from>
    <xdr:to>
      <xdr:col>9</xdr:col>
      <xdr:colOff>1512092</xdr:colOff>
      <xdr:row>33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817D5-B779-4006-959F-128B254B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&amp;A\CLIENTS\Rona\2012\Comps\M&amp;A%20Trading%20Co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 Summary"/>
      <sheetName val="Vertical Summary"/>
      <sheetName val="Capitalization Table"/>
      <sheetName val="blank"/>
      <sheetName val="xyz"/>
      <sheetName val="abc"/>
      <sheetName val="WJX.UN"/>
    </sheetNames>
    <sheetDataSet>
      <sheetData sheetId="0">
        <row r="10">
          <cell r="F10" t="str">
            <v xml:space="preserve">Share </v>
          </cell>
          <cell r="H10" t="str">
            <v xml:space="preserve">Equity </v>
          </cell>
          <cell r="J10" t="str">
            <v>Enterprise</v>
          </cell>
          <cell r="L10" t="str">
            <v>EV/Sales</v>
          </cell>
          <cell r="S10" t="str">
            <v>EV/EBITDA</v>
          </cell>
          <cell r="Z10" t="str">
            <v>EV/EBIT</v>
          </cell>
          <cell r="AG10" t="str">
            <v>P/E</v>
          </cell>
          <cell r="AN10" t="str">
            <v>Fwd Growth</v>
          </cell>
          <cell r="AQ10" t="str">
            <v xml:space="preserve"> </v>
          </cell>
          <cell r="AR10" t="str">
            <v>Hist Growth</v>
          </cell>
          <cell r="AW10" t="str">
            <v>Net Debt</v>
          </cell>
          <cell r="BD10" t="str">
            <v>LTM Margin</v>
          </cell>
          <cell r="BI10" t="str">
            <v xml:space="preserve"> </v>
          </cell>
          <cell r="BK10" t="str">
            <v>FY+1 Margin</v>
          </cell>
          <cell r="BP10" t="str">
            <v xml:space="preserve"> </v>
          </cell>
          <cell r="BR10" t="str">
            <v>Capex/</v>
          </cell>
        </row>
        <row r="11">
          <cell r="F11" t="str">
            <v>Price</v>
          </cell>
          <cell r="H11" t="str">
            <v>Value</v>
          </cell>
          <cell r="J11" t="str">
            <v>Value</v>
          </cell>
          <cell r="L11" t="str">
            <v>LTM</v>
          </cell>
          <cell r="N11" t="str">
            <v>FY+1</v>
          </cell>
          <cell r="P11" t="str">
            <v>FY+2</v>
          </cell>
          <cell r="S11" t="str">
            <v>LTM</v>
          </cell>
          <cell r="U11" t="str">
            <v>FY+1</v>
          </cell>
          <cell r="W11" t="str">
            <v>FY+2</v>
          </cell>
          <cell r="Z11" t="str">
            <v>LTM</v>
          </cell>
          <cell r="AB11" t="str">
            <v>FY+1</v>
          </cell>
          <cell r="AD11" t="str">
            <v>FY+2</v>
          </cell>
          <cell r="AG11" t="str">
            <v>LTM</v>
          </cell>
          <cell r="AI11" t="str">
            <v>FY+1</v>
          </cell>
          <cell r="AK11" t="str">
            <v>FY+2</v>
          </cell>
          <cell r="AN11" t="str">
            <v>EPS</v>
          </cell>
          <cell r="AP11" t="str">
            <v>EBITDA</v>
          </cell>
          <cell r="AR11" t="str">
            <v>EPS</v>
          </cell>
          <cell r="AT11" t="str">
            <v>EBITDA</v>
          </cell>
          <cell r="AW11" t="str">
            <v>EBITDA</v>
          </cell>
          <cell r="AY11" t="str">
            <v>EV</v>
          </cell>
          <cell r="BA11" t="str">
            <v>Book Cap</v>
          </cell>
          <cell r="BD11" t="str">
            <v>EBITDA</v>
          </cell>
          <cell r="BF11" t="str">
            <v>EBIT</v>
          </cell>
          <cell r="BH11" t="str">
            <v>Net Income</v>
          </cell>
          <cell r="BK11" t="str">
            <v>EBITDA</v>
          </cell>
          <cell r="BM11" t="str">
            <v>EBIT</v>
          </cell>
          <cell r="BO11" t="str">
            <v>Net Income</v>
          </cell>
          <cell r="BR11" t="str">
            <v>LTM Sales</v>
          </cell>
        </row>
        <row r="12">
          <cell r="E12" t="str">
            <v>C$ Million unless otherwise noted</v>
          </cell>
          <cell r="F12" t="str">
            <v>C$</v>
          </cell>
        </row>
        <row r="14">
          <cell r="E14" t="str">
            <v>Group A</v>
          </cell>
        </row>
        <row r="15">
          <cell r="E15" t="str">
            <v xml:space="preserve">Company </v>
          </cell>
          <cell r="F15">
            <v>52.5</v>
          </cell>
          <cell r="H15">
            <v>8119.7339170999994</v>
          </cell>
          <cell r="J15">
            <v>9058.7159170999985</v>
          </cell>
          <cell r="L15">
            <v>2.172536805160338</v>
          </cell>
          <cell r="N15" t="str">
            <v xml:space="preserve">           na</v>
          </cell>
          <cell r="P15" t="str">
            <v xml:space="preserve">           na</v>
          </cell>
          <cell r="S15">
            <v>14.045500720360332</v>
          </cell>
          <cell r="U15" t="str">
            <v xml:space="preserve">           na</v>
          </cell>
          <cell r="W15" t="str">
            <v xml:space="preserve">           na</v>
          </cell>
          <cell r="Z15">
            <v>18.084806842655844</v>
          </cell>
          <cell r="AB15" t="str">
            <v xml:space="preserve">           na</v>
          </cell>
          <cell r="AD15" t="str">
            <v xml:space="preserve">           na</v>
          </cell>
          <cell r="AG15">
            <v>37.439948994896</v>
          </cell>
          <cell r="AI15" t="str">
            <v xml:space="preserve">           na</v>
          </cell>
          <cell r="AK15" t="str">
            <v xml:space="preserve">           na</v>
          </cell>
          <cell r="AN15">
            <v>-1</v>
          </cell>
          <cell r="AP15">
            <v>-1</v>
          </cell>
          <cell r="AR15" t="str">
            <v xml:space="preserve">          na</v>
          </cell>
          <cell r="AT15" t="str">
            <v xml:space="preserve">          na</v>
          </cell>
          <cell r="AW15">
            <v>1.4558876200665161</v>
          </cell>
          <cell r="AY15">
            <v>0.10365508849079792</v>
          </cell>
          <cell r="BA15">
            <v>0.43808511611111056</v>
          </cell>
          <cell r="BD15">
            <v>0.15467848732591161</v>
          </cell>
          <cell r="BF15">
            <v>0.12013049539661493</v>
          </cell>
          <cell r="BH15">
            <v>5.1649623265651382E-2</v>
          </cell>
          <cell r="BK15" t="str">
            <v xml:space="preserve">        na</v>
          </cell>
          <cell r="BM15" t="str">
            <v xml:space="preserve">        na</v>
          </cell>
          <cell r="BO15" t="str">
            <v xml:space="preserve">        na</v>
          </cell>
          <cell r="BR15">
            <v>4.1863955455243351E-2</v>
          </cell>
        </row>
        <row r="16">
          <cell r="E16" t="str">
            <v>ABC</v>
          </cell>
          <cell r="F16">
            <v>25</v>
          </cell>
          <cell r="H16">
            <v>4130.5779545999994</v>
          </cell>
          <cell r="J16">
            <v>5069.5599545999994</v>
          </cell>
          <cell r="L16">
            <v>1.2158241508098162</v>
          </cell>
          <cell r="N16" t="str">
            <v xml:space="preserve">           na</v>
          </cell>
          <cell r="P16" t="str">
            <v xml:space="preserve">           na</v>
          </cell>
          <cell r="S16">
            <v>7.8603312705537585</v>
          </cell>
          <cell r="U16" t="str">
            <v xml:space="preserve">           na</v>
          </cell>
          <cell r="W16" t="str">
            <v xml:space="preserve">           na</v>
          </cell>
          <cell r="Z16">
            <v>10.120861874378619</v>
          </cell>
          <cell r="AB16" t="str">
            <v xml:space="preserve">           na</v>
          </cell>
          <cell r="AD16" t="str">
            <v xml:space="preserve">           na</v>
          </cell>
          <cell r="AG16">
            <v>17.828547140426668</v>
          </cell>
          <cell r="AI16" t="str">
            <v xml:space="preserve">           na</v>
          </cell>
          <cell r="AK16" t="str">
            <v xml:space="preserve">           na</v>
          </cell>
          <cell r="AN16">
            <v>-1</v>
          </cell>
          <cell r="AP16">
            <v>-1</v>
          </cell>
          <cell r="AR16" t="str">
            <v xml:space="preserve">          na</v>
          </cell>
          <cell r="AT16" t="str">
            <v xml:space="preserve">          na</v>
          </cell>
          <cell r="AW16">
            <v>1.4558876200665161</v>
          </cell>
          <cell r="AY16">
            <v>0.18521962624152216</v>
          </cell>
          <cell r="BA16">
            <v>0.43808511611111056</v>
          </cell>
          <cell r="BD16">
            <v>0.15467848732591161</v>
          </cell>
          <cell r="BF16">
            <v>0.12013049539661493</v>
          </cell>
          <cell r="BH16">
            <v>5.1649623265651382E-2</v>
          </cell>
          <cell r="BK16" t="str">
            <v xml:space="preserve">        na</v>
          </cell>
          <cell r="BM16" t="str">
            <v xml:space="preserve">        na</v>
          </cell>
          <cell r="BO16" t="str">
            <v xml:space="preserve">        na</v>
          </cell>
          <cell r="BR16">
            <v>4.1863955455243351E-2</v>
          </cell>
        </row>
        <row r="17">
          <cell r="E17" t="str">
            <v xml:space="preserve">Company </v>
          </cell>
          <cell r="F17">
            <v>52.5</v>
          </cell>
          <cell r="H17">
            <v>8119.7339170999994</v>
          </cell>
          <cell r="J17">
            <v>9058.7159170999985</v>
          </cell>
          <cell r="L17">
            <v>2.172536805160338</v>
          </cell>
          <cell r="N17" t="str">
            <v xml:space="preserve">           na</v>
          </cell>
          <cell r="P17" t="str">
            <v xml:space="preserve">           na</v>
          </cell>
          <cell r="S17">
            <v>14.045500720360332</v>
          </cell>
          <cell r="U17" t="str">
            <v xml:space="preserve">           na</v>
          </cell>
          <cell r="W17" t="str">
            <v xml:space="preserve">           na</v>
          </cell>
          <cell r="Z17">
            <v>18.084806842655844</v>
          </cell>
          <cell r="AB17" t="str">
            <v xml:space="preserve">           na</v>
          </cell>
          <cell r="AD17" t="str">
            <v xml:space="preserve">           na</v>
          </cell>
          <cell r="AG17">
            <v>37.439948994896</v>
          </cell>
          <cell r="AI17" t="str">
            <v xml:space="preserve">           na</v>
          </cell>
          <cell r="AK17" t="str">
            <v xml:space="preserve">           na</v>
          </cell>
          <cell r="AN17">
            <v>-1</v>
          </cell>
          <cell r="AP17">
            <v>-1</v>
          </cell>
          <cell r="AR17" t="str">
            <v xml:space="preserve">          na</v>
          </cell>
          <cell r="AT17" t="str">
            <v xml:space="preserve">          na</v>
          </cell>
          <cell r="AW17">
            <v>1.4558876200665161</v>
          </cell>
          <cell r="AY17">
            <v>0.10365508849079792</v>
          </cell>
          <cell r="BA17">
            <v>0.43808511611111056</v>
          </cell>
          <cell r="BD17">
            <v>0.15467848732591161</v>
          </cell>
          <cell r="BF17">
            <v>0.12013049539661493</v>
          </cell>
          <cell r="BH17">
            <v>5.1649623265651382E-2</v>
          </cell>
          <cell r="BK17" t="str">
            <v xml:space="preserve">        na</v>
          </cell>
          <cell r="BM17" t="str">
            <v xml:space="preserve">        na</v>
          </cell>
          <cell r="BO17" t="str">
            <v xml:space="preserve">        na</v>
          </cell>
          <cell r="BR17">
            <v>4.1863955455243351E-2</v>
          </cell>
        </row>
        <row r="18">
          <cell r="E18" t="str">
            <v xml:space="preserve">Company </v>
          </cell>
          <cell r="F18">
            <v>52.5</v>
          </cell>
          <cell r="H18">
            <v>8119.7339170999994</v>
          </cell>
          <cell r="J18">
            <v>9058.7159170999985</v>
          </cell>
          <cell r="L18">
            <v>2.172536805160338</v>
          </cell>
          <cell r="N18" t="str">
            <v xml:space="preserve">           na</v>
          </cell>
          <cell r="P18" t="str">
            <v xml:space="preserve">           na</v>
          </cell>
          <cell r="S18">
            <v>14.045500720360332</v>
          </cell>
          <cell r="U18" t="str">
            <v xml:space="preserve">           na</v>
          </cell>
          <cell r="W18" t="str">
            <v xml:space="preserve">           na</v>
          </cell>
          <cell r="Z18">
            <v>18.084806842655844</v>
          </cell>
          <cell r="AB18" t="str">
            <v xml:space="preserve">           na</v>
          </cell>
          <cell r="AD18" t="str">
            <v xml:space="preserve">           na</v>
          </cell>
          <cell r="AG18">
            <v>37.439948994896</v>
          </cell>
          <cell r="AI18" t="str">
            <v xml:space="preserve">           na</v>
          </cell>
          <cell r="AK18" t="str">
            <v xml:space="preserve">           na</v>
          </cell>
          <cell r="AN18">
            <v>-1</v>
          </cell>
          <cell r="AP18">
            <v>-1</v>
          </cell>
          <cell r="AR18" t="str">
            <v xml:space="preserve">          na</v>
          </cell>
          <cell r="AT18" t="str">
            <v xml:space="preserve">          na</v>
          </cell>
          <cell r="AW18">
            <v>1.4558876200665161</v>
          </cell>
          <cell r="AY18">
            <v>0.10365508849079792</v>
          </cell>
          <cell r="BA18">
            <v>0.43808511611111056</v>
          </cell>
          <cell r="BD18">
            <v>0.15467848732591161</v>
          </cell>
          <cell r="BF18">
            <v>0.12013049539661493</v>
          </cell>
          <cell r="BH18">
            <v>5.1649623265651382E-2</v>
          </cell>
          <cell r="BK18" t="str">
            <v xml:space="preserve">        na</v>
          </cell>
          <cell r="BM18" t="str">
            <v xml:space="preserve">        na</v>
          </cell>
          <cell r="BO18" t="str">
            <v xml:space="preserve">        na</v>
          </cell>
          <cell r="BR18">
            <v>4.1863955455243351E-2</v>
          </cell>
        </row>
        <row r="19">
          <cell r="E19" t="str">
            <v xml:space="preserve">Company </v>
          </cell>
          <cell r="F19">
            <v>52.5</v>
          </cell>
          <cell r="H19">
            <v>8119.7339170999994</v>
          </cell>
          <cell r="J19">
            <v>9058.7159170999985</v>
          </cell>
          <cell r="L19">
            <v>2.172536805160338</v>
          </cell>
          <cell r="N19" t="str">
            <v xml:space="preserve">           na</v>
          </cell>
          <cell r="P19" t="str">
            <v xml:space="preserve">           na</v>
          </cell>
          <cell r="S19">
            <v>14.045500720360332</v>
          </cell>
          <cell r="U19" t="str">
            <v xml:space="preserve">           na</v>
          </cell>
          <cell r="W19" t="str">
            <v xml:space="preserve">           na</v>
          </cell>
          <cell r="Z19">
            <v>18.084806842655844</v>
          </cell>
          <cell r="AB19" t="str">
            <v xml:space="preserve">           na</v>
          </cell>
          <cell r="AD19" t="str">
            <v xml:space="preserve">           na</v>
          </cell>
          <cell r="AG19">
            <v>37.439948994896</v>
          </cell>
          <cell r="AI19" t="str">
            <v xml:space="preserve">           na</v>
          </cell>
          <cell r="AK19" t="str">
            <v xml:space="preserve">           na</v>
          </cell>
          <cell r="AN19">
            <v>-1</v>
          </cell>
          <cell r="AP19">
            <v>-1</v>
          </cell>
          <cell r="AR19" t="str">
            <v xml:space="preserve">          na</v>
          </cell>
          <cell r="AT19" t="str">
            <v xml:space="preserve">          na</v>
          </cell>
          <cell r="AW19">
            <v>1.4558876200665161</v>
          </cell>
          <cell r="AY19">
            <v>0.10365508849079792</v>
          </cell>
          <cell r="BA19">
            <v>0.43808511611111056</v>
          </cell>
          <cell r="BD19">
            <v>0.15467848732591161</v>
          </cell>
          <cell r="BF19">
            <v>0.12013049539661493</v>
          </cell>
          <cell r="BH19">
            <v>5.1649623265651382E-2</v>
          </cell>
          <cell r="BK19" t="str">
            <v xml:space="preserve">        na</v>
          </cell>
          <cell r="BM19" t="str">
            <v xml:space="preserve">        na</v>
          </cell>
          <cell r="BO19" t="str">
            <v xml:space="preserve">        na</v>
          </cell>
          <cell r="BR19">
            <v>4.1863955455243351E-2</v>
          </cell>
        </row>
        <row r="20">
          <cell r="E20" t="str">
            <v xml:space="preserve">Company </v>
          </cell>
          <cell r="F20">
            <v>52.5</v>
          </cell>
          <cell r="H20">
            <v>8119.7339170999994</v>
          </cell>
          <cell r="J20">
            <v>9058.7159170999985</v>
          </cell>
          <cell r="L20">
            <v>2.172536805160338</v>
          </cell>
          <cell r="N20" t="str">
            <v xml:space="preserve">           na</v>
          </cell>
          <cell r="P20" t="str">
            <v xml:space="preserve">           na</v>
          </cell>
          <cell r="S20">
            <v>14.045500720360332</v>
          </cell>
          <cell r="U20" t="str">
            <v xml:space="preserve">           na</v>
          </cell>
          <cell r="W20" t="str">
            <v xml:space="preserve">           na</v>
          </cell>
          <cell r="Z20">
            <v>18.084806842655844</v>
          </cell>
          <cell r="AB20" t="str">
            <v xml:space="preserve">           na</v>
          </cell>
          <cell r="AD20" t="str">
            <v xml:space="preserve">           na</v>
          </cell>
          <cell r="AG20">
            <v>37.439948994896</v>
          </cell>
          <cell r="AI20" t="str">
            <v xml:space="preserve">           na</v>
          </cell>
          <cell r="AK20" t="str">
            <v xml:space="preserve">           na</v>
          </cell>
          <cell r="AN20">
            <v>-1</v>
          </cell>
          <cell r="AP20">
            <v>-1</v>
          </cell>
          <cell r="AR20" t="str">
            <v xml:space="preserve">          na</v>
          </cell>
          <cell r="AT20" t="str">
            <v xml:space="preserve">          na</v>
          </cell>
          <cell r="AW20">
            <v>1.4558876200665161</v>
          </cell>
          <cell r="AY20">
            <v>0.10365508849079792</v>
          </cell>
          <cell r="BA20">
            <v>0.43808511611111056</v>
          </cell>
          <cell r="BD20">
            <v>0.15467848732591161</v>
          </cell>
          <cell r="BF20">
            <v>0.12013049539661493</v>
          </cell>
          <cell r="BH20">
            <v>5.1649623265651382E-2</v>
          </cell>
          <cell r="BK20" t="str">
            <v xml:space="preserve">        na</v>
          </cell>
          <cell r="BM20" t="str">
            <v xml:space="preserve">        na</v>
          </cell>
          <cell r="BO20" t="str">
            <v xml:space="preserve">        na</v>
          </cell>
          <cell r="BR20">
            <v>4.1863955455243351E-2</v>
          </cell>
        </row>
        <row r="21">
          <cell r="E21" t="str">
            <v xml:space="preserve">Company </v>
          </cell>
          <cell r="F21">
            <v>52.5</v>
          </cell>
          <cell r="H21">
            <v>8119.7339170999994</v>
          </cell>
          <cell r="J21">
            <v>9058.7159170999985</v>
          </cell>
          <cell r="L21">
            <v>2.172536805160338</v>
          </cell>
          <cell r="N21" t="str">
            <v xml:space="preserve">           na</v>
          </cell>
          <cell r="P21" t="str">
            <v xml:space="preserve">           na</v>
          </cell>
          <cell r="S21">
            <v>14.045500720360332</v>
          </cell>
          <cell r="U21" t="str">
            <v xml:space="preserve">           na</v>
          </cell>
          <cell r="W21" t="str">
            <v xml:space="preserve">           na</v>
          </cell>
          <cell r="Z21">
            <v>18.084806842655844</v>
          </cell>
          <cell r="AB21" t="str">
            <v xml:space="preserve">           na</v>
          </cell>
          <cell r="AD21" t="str">
            <v xml:space="preserve">           na</v>
          </cell>
          <cell r="AG21">
            <v>37.439948994896</v>
          </cell>
          <cell r="AI21" t="str">
            <v xml:space="preserve">           na</v>
          </cell>
          <cell r="AK21" t="str">
            <v xml:space="preserve">           na</v>
          </cell>
          <cell r="AN21">
            <v>-1</v>
          </cell>
          <cell r="AP21">
            <v>-1</v>
          </cell>
          <cell r="AR21" t="str">
            <v xml:space="preserve">          na</v>
          </cell>
          <cell r="AT21" t="str">
            <v xml:space="preserve">          na</v>
          </cell>
          <cell r="AW21">
            <v>1.4558876200665161</v>
          </cell>
          <cell r="AY21">
            <v>0.10365508849079792</v>
          </cell>
          <cell r="BA21">
            <v>0.43808511611111056</v>
          </cell>
          <cell r="BD21">
            <v>0.15467848732591161</v>
          </cell>
          <cell r="BF21">
            <v>0.12013049539661493</v>
          </cell>
          <cell r="BH21">
            <v>5.1649623265651382E-2</v>
          </cell>
          <cell r="BK21" t="str">
            <v xml:space="preserve">        na</v>
          </cell>
          <cell r="BM21" t="str">
            <v xml:space="preserve">        na</v>
          </cell>
          <cell r="BO21" t="str">
            <v xml:space="preserve">        na</v>
          </cell>
          <cell r="BR21">
            <v>4.1863955455243351E-2</v>
          </cell>
        </row>
        <row r="23">
          <cell r="E23" t="str">
            <v>Average</v>
          </cell>
          <cell r="L23">
            <v>2.0358635688245488</v>
          </cell>
          <cell r="N23" t="str">
            <v xml:space="preserve">           na</v>
          </cell>
          <cell r="P23" t="str">
            <v xml:space="preserve">           na</v>
          </cell>
          <cell r="S23">
            <v>13.16190508467368</v>
          </cell>
          <cell r="U23" t="str">
            <v xml:space="preserve">           na</v>
          </cell>
          <cell r="W23" t="str">
            <v xml:space="preserve">           na</v>
          </cell>
          <cell r="Z23">
            <v>16.947100418616238</v>
          </cell>
          <cell r="AB23" t="str">
            <v xml:space="preserve">           na</v>
          </cell>
          <cell r="AD23" t="str">
            <v xml:space="preserve">           na</v>
          </cell>
          <cell r="AG23">
            <v>34.638320158543237</v>
          </cell>
          <cell r="AI23" t="str">
            <v xml:space="preserve">           na</v>
          </cell>
          <cell r="AK23" t="str">
            <v xml:space="preserve">           na</v>
          </cell>
          <cell r="AN23">
            <v>-1</v>
          </cell>
          <cell r="AP23">
            <v>-1</v>
          </cell>
          <cell r="AR23" t="str">
            <v xml:space="preserve">           na</v>
          </cell>
          <cell r="AT23" t="str">
            <v xml:space="preserve">           na</v>
          </cell>
          <cell r="AW23">
            <v>1.4558876200665161</v>
          </cell>
          <cell r="AY23">
            <v>0.11530716531232997</v>
          </cell>
          <cell r="BA23">
            <v>0.43808511611111056</v>
          </cell>
          <cell r="BD23">
            <v>0.15467848732591158</v>
          </cell>
          <cell r="BF23">
            <v>0.12013049539661493</v>
          </cell>
          <cell r="BH23">
            <v>5.1649623265651375E-2</v>
          </cell>
          <cell r="BK23" t="str">
            <v xml:space="preserve">         na</v>
          </cell>
          <cell r="BM23" t="str">
            <v xml:space="preserve">         na</v>
          </cell>
          <cell r="BO23" t="str">
            <v xml:space="preserve">         na</v>
          </cell>
          <cell r="BR23">
            <v>4.1863955455243351E-2</v>
          </cell>
        </row>
        <row r="24">
          <cell r="E24" t="str">
            <v>Median</v>
          </cell>
          <cell r="L24">
            <v>2.172536805160338</v>
          </cell>
          <cell r="N24" t="str">
            <v xml:space="preserve">           na</v>
          </cell>
          <cell r="P24" t="str">
            <v xml:space="preserve">           na</v>
          </cell>
          <cell r="S24">
            <v>14.045500720360332</v>
          </cell>
          <cell r="U24" t="str">
            <v xml:space="preserve">           na</v>
          </cell>
          <cell r="W24" t="str">
            <v xml:space="preserve">           na</v>
          </cell>
          <cell r="Z24">
            <v>18.084806842655844</v>
          </cell>
          <cell r="AB24" t="str">
            <v xml:space="preserve">           na</v>
          </cell>
          <cell r="AD24" t="str">
            <v xml:space="preserve">           na</v>
          </cell>
          <cell r="AG24">
            <v>37.439948994896</v>
          </cell>
          <cell r="AI24" t="str">
            <v xml:space="preserve">           na</v>
          </cell>
          <cell r="AK24" t="str">
            <v xml:space="preserve">           na</v>
          </cell>
          <cell r="AN24">
            <v>-1</v>
          </cell>
          <cell r="AP24">
            <v>-1</v>
          </cell>
          <cell r="AR24" t="str">
            <v xml:space="preserve">           na</v>
          </cell>
          <cell r="AT24" t="str">
            <v xml:space="preserve">           na</v>
          </cell>
          <cell r="AW24">
            <v>1.4558876200665161</v>
          </cell>
          <cell r="AY24">
            <v>0.10365508849079792</v>
          </cell>
          <cell r="BA24">
            <v>0.43808511611111056</v>
          </cell>
          <cell r="BD24">
            <v>0.15467848732591161</v>
          </cell>
          <cell r="BF24">
            <v>0.12013049539661493</v>
          </cell>
          <cell r="BH24">
            <v>5.1649623265651382E-2</v>
          </cell>
          <cell r="BK24" t="str">
            <v xml:space="preserve">         na</v>
          </cell>
          <cell r="BM24" t="str">
            <v xml:space="preserve">         na</v>
          </cell>
          <cell r="BO24" t="str">
            <v xml:space="preserve">         na</v>
          </cell>
          <cell r="BR24">
            <v>4.1863955455243351E-2</v>
          </cell>
        </row>
        <row r="26">
          <cell r="E26" t="str">
            <v>Group B</v>
          </cell>
        </row>
        <row r="27">
          <cell r="E27" t="str">
            <v xml:space="preserve">Company </v>
          </cell>
          <cell r="F27">
            <v>52.5</v>
          </cell>
          <cell r="H27">
            <v>8119.7339170999994</v>
          </cell>
          <cell r="J27">
            <v>9058.7159170999985</v>
          </cell>
          <cell r="L27">
            <v>2.172536805160338</v>
          </cell>
          <cell r="N27" t="str">
            <v xml:space="preserve">           na</v>
          </cell>
          <cell r="P27" t="str">
            <v xml:space="preserve">           na</v>
          </cell>
          <cell r="S27">
            <v>14.045500720360332</v>
          </cell>
          <cell r="U27" t="str">
            <v xml:space="preserve">           na</v>
          </cell>
          <cell r="W27" t="str">
            <v xml:space="preserve">           na</v>
          </cell>
          <cell r="Z27">
            <v>18.084806842655844</v>
          </cell>
          <cell r="AB27" t="str">
            <v xml:space="preserve">           na</v>
          </cell>
          <cell r="AD27" t="str">
            <v xml:space="preserve">           na</v>
          </cell>
          <cell r="AG27">
            <v>37.439948994896</v>
          </cell>
          <cell r="AI27" t="str">
            <v xml:space="preserve">           na</v>
          </cell>
          <cell r="AK27" t="str">
            <v xml:space="preserve">           na</v>
          </cell>
          <cell r="AN27">
            <v>-1</v>
          </cell>
          <cell r="AP27">
            <v>-1</v>
          </cell>
          <cell r="AR27" t="str">
            <v xml:space="preserve">          na</v>
          </cell>
          <cell r="AT27" t="str">
            <v xml:space="preserve">          na</v>
          </cell>
          <cell r="AW27">
            <v>1.4558876200665161</v>
          </cell>
          <cell r="AY27">
            <v>0.10365508849079792</v>
          </cell>
          <cell r="BA27">
            <v>0.43808511611111056</v>
          </cell>
          <cell r="BD27">
            <v>0.15467848732591161</v>
          </cell>
          <cell r="BF27">
            <v>0.12013049539661493</v>
          </cell>
          <cell r="BH27">
            <v>5.1649623265651382E-2</v>
          </cell>
          <cell r="BK27" t="str">
            <v xml:space="preserve">        na</v>
          </cell>
          <cell r="BM27" t="str">
            <v xml:space="preserve">        na</v>
          </cell>
          <cell r="BO27" t="str">
            <v xml:space="preserve">        na</v>
          </cell>
          <cell r="BR27">
            <v>4.1863955455243351E-2</v>
          </cell>
        </row>
        <row r="28">
          <cell r="E28" t="str">
            <v xml:space="preserve">Company </v>
          </cell>
          <cell r="F28">
            <v>52.5</v>
          </cell>
          <cell r="H28">
            <v>8119.7339170999994</v>
          </cell>
          <cell r="J28">
            <v>9058.7159170999985</v>
          </cell>
          <cell r="L28">
            <v>2.172536805160338</v>
          </cell>
          <cell r="N28" t="str">
            <v xml:space="preserve">           na</v>
          </cell>
          <cell r="P28" t="str">
            <v xml:space="preserve">           na</v>
          </cell>
          <cell r="S28">
            <v>14.045500720360332</v>
          </cell>
          <cell r="U28" t="str">
            <v xml:space="preserve">           na</v>
          </cell>
          <cell r="W28" t="str">
            <v xml:space="preserve">           na</v>
          </cell>
          <cell r="Z28">
            <v>18.084806842655844</v>
          </cell>
          <cell r="AB28" t="str">
            <v xml:space="preserve">           na</v>
          </cell>
          <cell r="AD28" t="str">
            <v xml:space="preserve">           na</v>
          </cell>
          <cell r="AG28">
            <v>37.439948994896</v>
          </cell>
          <cell r="AI28" t="str">
            <v xml:space="preserve">           na</v>
          </cell>
          <cell r="AK28" t="str">
            <v xml:space="preserve">           na</v>
          </cell>
          <cell r="AN28">
            <v>-1</v>
          </cell>
          <cell r="AP28">
            <v>-1</v>
          </cell>
          <cell r="AR28" t="str">
            <v xml:space="preserve">          na</v>
          </cell>
          <cell r="AT28" t="str">
            <v xml:space="preserve">          na</v>
          </cell>
          <cell r="AW28">
            <v>1.4558876200665161</v>
          </cell>
          <cell r="AY28">
            <v>0.10365508849079792</v>
          </cell>
          <cell r="BA28">
            <v>0.43808511611111056</v>
          </cell>
          <cell r="BD28">
            <v>0.15467848732591161</v>
          </cell>
          <cell r="BF28">
            <v>0.12013049539661493</v>
          </cell>
          <cell r="BH28">
            <v>5.1649623265651382E-2</v>
          </cell>
          <cell r="BK28" t="str">
            <v xml:space="preserve">        na</v>
          </cell>
          <cell r="BM28" t="str">
            <v xml:space="preserve">        na</v>
          </cell>
          <cell r="BO28" t="str">
            <v xml:space="preserve">        na</v>
          </cell>
          <cell r="BR28">
            <v>4.1863955455243351E-2</v>
          </cell>
        </row>
        <row r="29">
          <cell r="E29" t="str">
            <v xml:space="preserve">Company </v>
          </cell>
          <cell r="F29">
            <v>52.5</v>
          </cell>
          <cell r="H29">
            <v>8119.7339170999994</v>
          </cell>
          <cell r="J29">
            <v>9058.7159170999985</v>
          </cell>
          <cell r="L29">
            <v>2.172536805160338</v>
          </cell>
          <cell r="N29" t="str">
            <v xml:space="preserve">           na</v>
          </cell>
          <cell r="P29" t="str">
            <v xml:space="preserve">           na</v>
          </cell>
          <cell r="S29">
            <v>14.045500720360332</v>
          </cell>
          <cell r="U29" t="str">
            <v xml:space="preserve">           na</v>
          </cell>
          <cell r="W29" t="str">
            <v xml:space="preserve">           na</v>
          </cell>
          <cell r="Z29">
            <v>18.084806842655844</v>
          </cell>
          <cell r="AB29" t="str">
            <v xml:space="preserve">           na</v>
          </cell>
          <cell r="AD29" t="str">
            <v xml:space="preserve">           na</v>
          </cell>
          <cell r="AG29">
            <v>37.439948994896</v>
          </cell>
          <cell r="AI29" t="str">
            <v xml:space="preserve">           na</v>
          </cell>
          <cell r="AK29" t="str">
            <v xml:space="preserve">           na</v>
          </cell>
          <cell r="AN29">
            <v>-1</v>
          </cell>
          <cell r="AP29">
            <v>-1</v>
          </cell>
          <cell r="AR29" t="str">
            <v xml:space="preserve">          na</v>
          </cell>
          <cell r="AT29" t="str">
            <v xml:space="preserve">          na</v>
          </cell>
          <cell r="AW29">
            <v>1.4558876200665161</v>
          </cell>
          <cell r="AY29">
            <v>0.10365508849079792</v>
          </cell>
          <cell r="BA29">
            <v>0.43808511611111056</v>
          </cell>
          <cell r="BD29">
            <v>0.15467848732591161</v>
          </cell>
          <cell r="BF29">
            <v>0.12013049539661493</v>
          </cell>
          <cell r="BH29">
            <v>5.1649623265651382E-2</v>
          </cell>
          <cell r="BK29" t="str">
            <v xml:space="preserve">        na</v>
          </cell>
          <cell r="BM29" t="str">
            <v xml:space="preserve">        na</v>
          </cell>
          <cell r="BO29" t="str">
            <v xml:space="preserve">        na</v>
          </cell>
          <cell r="BR29">
            <v>4.1863955455243351E-2</v>
          </cell>
        </row>
        <row r="30">
          <cell r="E30" t="str">
            <v xml:space="preserve">Company </v>
          </cell>
          <cell r="F30">
            <v>52.5</v>
          </cell>
          <cell r="H30">
            <v>8119.7339170999994</v>
          </cell>
          <cell r="J30">
            <v>9058.7159170999985</v>
          </cell>
          <cell r="L30">
            <v>2.172536805160338</v>
          </cell>
          <cell r="N30" t="str">
            <v xml:space="preserve">           na</v>
          </cell>
          <cell r="P30" t="str">
            <v xml:space="preserve">           na</v>
          </cell>
          <cell r="S30">
            <v>14.045500720360332</v>
          </cell>
          <cell r="U30" t="str">
            <v xml:space="preserve">           na</v>
          </cell>
          <cell r="W30" t="str">
            <v xml:space="preserve">           na</v>
          </cell>
          <cell r="Z30">
            <v>18.084806842655844</v>
          </cell>
          <cell r="AB30" t="str">
            <v xml:space="preserve">           na</v>
          </cell>
          <cell r="AD30" t="str">
            <v xml:space="preserve">           na</v>
          </cell>
          <cell r="AG30">
            <v>37.439948994896</v>
          </cell>
          <cell r="AI30" t="str">
            <v xml:space="preserve">           na</v>
          </cell>
          <cell r="AK30" t="str">
            <v xml:space="preserve">           na</v>
          </cell>
          <cell r="AN30">
            <v>-1</v>
          </cell>
          <cell r="AP30">
            <v>-1</v>
          </cell>
          <cell r="AR30" t="str">
            <v xml:space="preserve">          na</v>
          </cell>
          <cell r="AT30" t="str">
            <v xml:space="preserve">          na</v>
          </cell>
          <cell r="AW30">
            <v>1.4558876200665161</v>
          </cell>
          <cell r="AY30">
            <v>0.10365508849079792</v>
          </cell>
          <cell r="BA30">
            <v>0.43808511611111056</v>
          </cell>
          <cell r="BD30">
            <v>0.15467848732591161</v>
          </cell>
          <cell r="BF30">
            <v>0.12013049539661493</v>
          </cell>
          <cell r="BH30">
            <v>5.1649623265651382E-2</v>
          </cell>
          <cell r="BK30" t="str">
            <v xml:space="preserve">        na</v>
          </cell>
          <cell r="BM30" t="str">
            <v xml:space="preserve">        na</v>
          </cell>
          <cell r="BO30" t="str">
            <v xml:space="preserve">        na</v>
          </cell>
          <cell r="BR30">
            <v>4.1863955455243351E-2</v>
          </cell>
        </row>
        <row r="31">
          <cell r="E31" t="str">
            <v xml:space="preserve">Company </v>
          </cell>
          <cell r="F31">
            <v>52.5</v>
          </cell>
          <cell r="H31">
            <v>8119.7339170999994</v>
          </cell>
          <cell r="J31">
            <v>9058.7159170999985</v>
          </cell>
          <cell r="L31">
            <v>2.172536805160338</v>
          </cell>
          <cell r="N31" t="str">
            <v xml:space="preserve">           na</v>
          </cell>
          <cell r="P31" t="str">
            <v xml:space="preserve">           na</v>
          </cell>
          <cell r="S31">
            <v>14.045500720360332</v>
          </cell>
          <cell r="U31" t="str">
            <v xml:space="preserve">           na</v>
          </cell>
          <cell r="W31" t="str">
            <v xml:space="preserve">           na</v>
          </cell>
          <cell r="Z31">
            <v>18.084806842655844</v>
          </cell>
          <cell r="AB31" t="str">
            <v xml:space="preserve">           na</v>
          </cell>
          <cell r="AD31" t="str">
            <v xml:space="preserve">           na</v>
          </cell>
          <cell r="AG31">
            <v>37.439948994896</v>
          </cell>
          <cell r="AI31" t="str">
            <v xml:space="preserve">           na</v>
          </cell>
          <cell r="AK31" t="str">
            <v xml:space="preserve">           na</v>
          </cell>
          <cell r="AN31">
            <v>-1</v>
          </cell>
          <cell r="AP31">
            <v>-1</v>
          </cell>
          <cell r="AR31" t="str">
            <v xml:space="preserve">          na</v>
          </cell>
          <cell r="AT31" t="str">
            <v xml:space="preserve">          na</v>
          </cell>
          <cell r="AW31">
            <v>1.4558876200665161</v>
          </cell>
          <cell r="AY31">
            <v>0.10365508849079792</v>
          </cell>
          <cell r="BA31">
            <v>0.43808511611111056</v>
          </cell>
          <cell r="BD31">
            <v>0.15467848732591161</v>
          </cell>
          <cell r="BF31">
            <v>0.12013049539661493</v>
          </cell>
          <cell r="BH31">
            <v>5.1649623265651382E-2</v>
          </cell>
          <cell r="BK31" t="str">
            <v xml:space="preserve">        na</v>
          </cell>
          <cell r="BM31" t="str">
            <v xml:space="preserve">        na</v>
          </cell>
          <cell r="BO31" t="str">
            <v xml:space="preserve">        na</v>
          </cell>
          <cell r="BR31">
            <v>4.1863955455243351E-2</v>
          </cell>
        </row>
        <row r="32">
          <cell r="E32" t="str">
            <v xml:space="preserve">Company </v>
          </cell>
          <cell r="F32">
            <v>52.5</v>
          </cell>
          <cell r="H32">
            <v>8119.7339170999994</v>
          </cell>
          <cell r="J32">
            <v>9058.7159170999985</v>
          </cell>
          <cell r="L32">
            <v>2.172536805160338</v>
          </cell>
          <cell r="N32" t="str">
            <v xml:space="preserve">           na</v>
          </cell>
          <cell r="P32" t="str">
            <v xml:space="preserve">           na</v>
          </cell>
          <cell r="S32">
            <v>14.045500720360332</v>
          </cell>
          <cell r="U32" t="str">
            <v xml:space="preserve">           na</v>
          </cell>
          <cell r="W32" t="str">
            <v xml:space="preserve">           na</v>
          </cell>
          <cell r="Z32">
            <v>18.084806842655844</v>
          </cell>
          <cell r="AB32" t="str">
            <v xml:space="preserve">           na</v>
          </cell>
          <cell r="AD32" t="str">
            <v xml:space="preserve">           na</v>
          </cell>
          <cell r="AG32">
            <v>37.439948994896</v>
          </cell>
          <cell r="AI32" t="str">
            <v xml:space="preserve">           na</v>
          </cell>
          <cell r="AK32" t="str">
            <v xml:space="preserve">           na</v>
          </cell>
          <cell r="AN32">
            <v>-1</v>
          </cell>
          <cell r="AP32">
            <v>-1</v>
          </cell>
          <cell r="AR32" t="str">
            <v xml:space="preserve">          na</v>
          </cell>
          <cell r="AT32" t="str">
            <v xml:space="preserve">          na</v>
          </cell>
          <cell r="AW32">
            <v>1.4558876200665161</v>
          </cell>
          <cell r="AY32">
            <v>0.10365508849079792</v>
          </cell>
          <cell r="BA32">
            <v>0.43808511611111056</v>
          </cell>
          <cell r="BD32">
            <v>0.15467848732591161</v>
          </cell>
          <cell r="BF32">
            <v>0.12013049539661493</v>
          </cell>
          <cell r="BH32">
            <v>5.1649623265651382E-2</v>
          </cell>
          <cell r="BK32" t="str">
            <v xml:space="preserve">        na</v>
          </cell>
          <cell r="BM32" t="str">
            <v xml:space="preserve">        na</v>
          </cell>
          <cell r="BO32" t="str">
            <v xml:space="preserve">        na</v>
          </cell>
          <cell r="BR32">
            <v>4.1863955455243351E-2</v>
          </cell>
        </row>
        <row r="33">
          <cell r="E33" t="str">
            <v xml:space="preserve">Company </v>
          </cell>
          <cell r="F33">
            <v>52.5</v>
          </cell>
          <cell r="H33">
            <v>8119.7339170999994</v>
          </cell>
          <cell r="J33">
            <v>9058.7159170999985</v>
          </cell>
          <cell r="L33">
            <v>2.172536805160338</v>
          </cell>
          <cell r="N33" t="str">
            <v xml:space="preserve">           na</v>
          </cell>
          <cell r="P33" t="str">
            <v xml:space="preserve">           na</v>
          </cell>
          <cell r="S33">
            <v>14.045500720360332</v>
          </cell>
          <cell r="U33" t="str">
            <v xml:space="preserve">           na</v>
          </cell>
          <cell r="W33" t="str">
            <v xml:space="preserve">           na</v>
          </cell>
          <cell r="Z33">
            <v>18.084806842655844</v>
          </cell>
          <cell r="AB33" t="str">
            <v xml:space="preserve">           na</v>
          </cell>
          <cell r="AD33" t="str">
            <v xml:space="preserve">           na</v>
          </cell>
          <cell r="AG33">
            <v>37.439948994896</v>
          </cell>
          <cell r="AI33" t="str">
            <v xml:space="preserve">           na</v>
          </cell>
          <cell r="AK33" t="str">
            <v xml:space="preserve">           na</v>
          </cell>
          <cell r="AN33">
            <v>-1</v>
          </cell>
          <cell r="AP33">
            <v>-1</v>
          </cell>
          <cell r="AR33" t="str">
            <v xml:space="preserve">          na</v>
          </cell>
          <cell r="AT33" t="str">
            <v xml:space="preserve">          na</v>
          </cell>
          <cell r="AW33">
            <v>1.4558876200665161</v>
          </cell>
          <cell r="AY33">
            <v>0.10365508849079792</v>
          </cell>
          <cell r="BA33">
            <v>0.43808511611111056</v>
          </cell>
          <cell r="BD33">
            <v>0.15467848732591161</v>
          </cell>
          <cell r="BF33">
            <v>0.12013049539661493</v>
          </cell>
          <cell r="BH33">
            <v>5.1649623265651382E-2</v>
          </cell>
          <cell r="BK33" t="str">
            <v xml:space="preserve">        na</v>
          </cell>
          <cell r="BM33" t="str">
            <v xml:space="preserve">        na</v>
          </cell>
          <cell r="BO33" t="str">
            <v xml:space="preserve">        na</v>
          </cell>
          <cell r="BR33">
            <v>4.1863955455243351E-2</v>
          </cell>
        </row>
        <row r="35">
          <cell r="E35" t="str">
            <v>Average</v>
          </cell>
          <cell r="L35">
            <v>2.172536805160338</v>
          </cell>
          <cell r="N35" t="str">
            <v xml:space="preserve">           na</v>
          </cell>
          <cell r="P35" t="str">
            <v xml:space="preserve">           na</v>
          </cell>
          <cell r="S35">
            <v>14.045500720360334</v>
          </cell>
          <cell r="U35" t="str">
            <v xml:space="preserve">           na</v>
          </cell>
          <cell r="W35" t="str">
            <v xml:space="preserve">           na</v>
          </cell>
          <cell r="Z35">
            <v>18.084806842655841</v>
          </cell>
          <cell r="AB35" t="str">
            <v xml:space="preserve">           na</v>
          </cell>
          <cell r="AD35" t="str">
            <v xml:space="preserve">           na</v>
          </cell>
          <cell r="AG35">
            <v>37.439948994895992</v>
          </cell>
          <cell r="AI35" t="str">
            <v xml:space="preserve">           na</v>
          </cell>
          <cell r="AK35" t="str">
            <v xml:space="preserve">           na</v>
          </cell>
          <cell r="AN35">
            <v>-1</v>
          </cell>
          <cell r="AP35">
            <v>-1</v>
          </cell>
          <cell r="AR35" t="str">
            <v xml:space="preserve">           na</v>
          </cell>
          <cell r="AT35" t="str">
            <v xml:space="preserve">           na</v>
          </cell>
          <cell r="AW35">
            <v>1.4558876200665161</v>
          </cell>
          <cell r="AY35">
            <v>0.10365508849079794</v>
          </cell>
          <cell r="BA35">
            <v>0.43808511611111056</v>
          </cell>
          <cell r="BD35">
            <v>0.15467848732591158</v>
          </cell>
          <cell r="BF35">
            <v>0.12013049539661493</v>
          </cell>
          <cell r="BH35">
            <v>5.1649623265651375E-2</v>
          </cell>
          <cell r="BK35" t="str">
            <v xml:space="preserve">         na</v>
          </cell>
          <cell r="BM35" t="str">
            <v xml:space="preserve">         na</v>
          </cell>
          <cell r="BO35" t="str">
            <v xml:space="preserve">         na</v>
          </cell>
          <cell r="BR35">
            <v>4.1863955455243351E-2</v>
          </cell>
        </row>
        <row r="36">
          <cell r="E36" t="str">
            <v>Median</v>
          </cell>
          <cell r="L36">
            <v>2.172536805160338</v>
          </cell>
          <cell r="N36" t="str">
            <v xml:space="preserve">           na</v>
          </cell>
          <cell r="P36" t="str">
            <v xml:space="preserve">           na</v>
          </cell>
          <cell r="S36">
            <v>14.045500720360332</v>
          </cell>
          <cell r="U36" t="str">
            <v xml:space="preserve">           na</v>
          </cell>
          <cell r="W36" t="str">
            <v xml:space="preserve">           na</v>
          </cell>
          <cell r="Z36">
            <v>18.084806842655844</v>
          </cell>
          <cell r="AB36" t="str">
            <v xml:space="preserve">           na</v>
          </cell>
          <cell r="AD36" t="str">
            <v xml:space="preserve">           na</v>
          </cell>
          <cell r="AG36">
            <v>37.439948994896</v>
          </cell>
          <cell r="AI36" t="str">
            <v xml:space="preserve">           na</v>
          </cell>
          <cell r="AK36" t="str">
            <v xml:space="preserve">           na</v>
          </cell>
          <cell r="AN36">
            <v>-1</v>
          </cell>
          <cell r="AP36">
            <v>-1</v>
          </cell>
          <cell r="AR36" t="str">
            <v xml:space="preserve">           na</v>
          </cell>
          <cell r="AT36" t="str">
            <v xml:space="preserve">           na</v>
          </cell>
          <cell r="AW36">
            <v>1.4558876200665161</v>
          </cell>
          <cell r="AY36">
            <v>0.10365508849079792</v>
          </cell>
          <cell r="BA36">
            <v>0.43808511611111056</v>
          </cell>
          <cell r="BD36">
            <v>0.15467848732591161</v>
          </cell>
          <cell r="BF36">
            <v>0.12013049539661493</v>
          </cell>
          <cell r="BH36">
            <v>5.1649623265651382E-2</v>
          </cell>
          <cell r="BK36" t="str">
            <v xml:space="preserve">         na</v>
          </cell>
          <cell r="BM36" t="str">
            <v xml:space="preserve">         na</v>
          </cell>
          <cell r="BO36" t="str">
            <v xml:space="preserve">         na</v>
          </cell>
          <cell r="BR36">
            <v>4.1863955455243351E-2</v>
          </cell>
        </row>
        <row r="38">
          <cell r="E38" t="e">
            <v>#REF!</v>
          </cell>
          <cell r="F38" t="e">
            <v>#REF!</v>
          </cell>
          <cell r="H38" t="e">
            <v>#REF!</v>
          </cell>
          <cell r="J38" t="e">
            <v>#REF!</v>
          </cell>
          <cell r="L38" t="e">
            <v>#REF!</v>
          </cell>
          <cell r="N38" t="e">
            <v>#REF!</v>
          </cell>
          <cell r="P38" t="e">
            <v>#REF!</v>
          </cell>
          <cell r="S38" t="e">
            <v>#REF!</v>
          </cell>
          <cell r="U38" t="e">
            <v>#REF!</v>
          </cell>
          <cell r="W38" t="e">
            <v>#REF!</v>
          </cell>
          <cell r="Z38" t="e">
            <v>#REF!</v>
          </cell>
          <cell r="AB38" t="e">
            <v>#REF!</v>
          </cell>
          <cell r="AD38" t="e">
            <v>#REF!</v>
          </cell>
          <cell r="AG38" t="e">
            <v>#REF!</v>
          </cell>
          <cell r="AI38" t="e">
            <v>#REF!</v>
          </cell>
          <cell r="AK38" t="e">
            <v>#REF!</v>
          </cell>
          <cell r="AN38" t="e">
            <v>#REF!</v>
          </cell>
          <cell r="AP38" t="e">
            <v>#REF!</v>
          </cell>
          <cell r="AR38" t="e">
            <v>#REF!</v>
          </cell>
          <cell r="AT38" t="e">
            <v>#REF!</v>
          </cell>
          <cell r="AW38" t="e">
            <v>#REF!</v>
          </cell>
          <cell r="AY38" t="e">
            <v>#REF!</v>
          </cell>
          <cell r="BA38" t="e">
            <v>#REF!</v>
          </cell>
          <cell r="BD38" t="e">
            <v>#REF!</v>
          </cell>
          <cell r="BF38" t="e">
            <v>#REF!</v>
          </cell>
          <cell r="BH38" t="e">
            <v>#REF!</v>
          </cell>
          <cell r="BK38" t="e">
            <v>#REF!</v>
          </cell>
          <cell r="BM38" t="e">
            <v>#REF!</v>
          </cell>
          <cell r="BO38" t="e">
            <v>#REF!</v>
          </cell>
          <cell r="BR38" t="e">
            <v>#REF!</v>
          </cell>
        </row>
        <row r="40">
          <cell r="E40" t="str">
            <v>Selected Multiples</v>
          </cell>
          <cell r="L40">
            <v>1</v>
          </cell>
          <cell r="N40">
            <v>1</v>
          </cell>
          <cell r="P40">
            <v>1</v>
          </cell>
          <cell r="S40">
            <v>6</v>
          </cell>
          <cell r="U40">
            <v>6</v>
          </cell>
          <cell r="W40">
            <v>6</v>
          </cell>
          <cell r="Z40">
            <v>7</v>
          </cell>
          <cell r="AB40">
            <v>7</v>
          </cell>
          <cell r="AD40">
            <v>7</v>
          </cell>
          <cell r="AG40">
            <v>15</v>
          </cell>
          <cell r="AI40">
            <v>15</v>
          </cell>
          <cell r="AK40">
            <v>15</v>
          </cell>
        </row>
        <row r="41">
          <cell r="L41" t="str">
            <v xml:space="preserve">      -</v>
          </cell>
          <cell r="N41" t="str">
            <v xml:space="preserve">      -</v>
          </cell>
          <cell r="P41" t="str">
            <v xml:space="preserve">      -</v>
          </cell>
          <cell r="S41" t="str">
            <v xml:space="preserve">      -</v>
          </cell>
          <cell r="U41" t="str">
            <v xml:space="preserve">      -</v>
          </cell>
          <cell r="W41" t="str">
            <v xml:space="preserve">      -</v>
          </cell>
          <cell r="Z41" t="str">
            <v xml:space="preserve">      -</v>
          </cell>
          <cell r="AB41" t="str">
            <v xml:space="preserve">      -</v>
          </cell>
          <cell r="AD41" t="str">
            <v xml:space="preserve">      -</v>
          </cell>
          <cell r="AG41" t="str">
            <v xml:space="preserve">      -</v>
          </cell>
          <cell r="AI41" t="str">
            <v xml:space="preserve">      -</v>
          </cell>
          <cell r="AK41" t="str">
            <v xml:space="preserve">      -</v>
          </cell>
        </row>
        <row r="42">
          <cell r="L42">
            <v>2</v>
          </cell>
          <cell r="N42">
            <v>2</v>
          </cell>
          <cell r="P42">
            <v>2</v>
          </cell>
          <cell r="S42">
            <v>8</v>
          </cell>
          <cell r="U42">
            <v>8</v>
          </cell>
          <cell r="W42">
            <v>8</v>
          </cell>
          <cell r="Z42">
            <v>9</v>
          </cell>
          <cell r="AB42">
            <v>9</v>
          </cell>
          <cell r="AD42">
            <v>9</v>
          </cell>
          <cell r="AG42">
            <v>17</v>
          </cell>
          <cell r="AI42">
            <v>17</v>
          </cell>
          <cell r="AK42">
            <v>17</v>
          </cell>
        </row>
      </sheetData>
      <sheetData sheetId="1" refreshError="1"/>
      <sheetData sheetId="2" refreshError="1"/>
      <sheetData sheetId="3" refreshError="1"/>
      <sheetData sheetId="4">
        <row r="204">
          <cell r="M204">
            <v>1</v>
          </cell>
          <cell r="Q204">
            <v>1</v>
          </cell>
        </row>
      </sheetData>
      <sheetData sheetId="5" refreshError="1"/>
      <sheetData sheetId="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0T03:38:55.887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0T03:38:57.68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BBA-F80B-4E9A-BF3C-C99047CBAE4B}">
  <sheetPr>
    <tabColor theme="1"/>
    <pageSetUpPr fitToPage="1"/>
  </sheetPr>
  <dimension ref="B1:G13"/>
  <sheetViews>
    <sheetView showGridLines="0" tabSelected="1" view="pageBreakPreview" zoomScaleNormal="100" zoomScaleSheetLayoutView="100" workbookViewId="0">
      <selection activeCell="C27" sqref="C27"/>
    </sheetView>
  </sheetViews>
  <sheetFormatPr defaultColWidth="9.140625" defaultRowHeight="11.25" x14ac:dyDescent="0.2"/>
  <cols>
    <col min="1" max="2" width="9.140625" style="36"/>
    <col min="3" max="3" width="46.42578125" style="36" bestFit="1" customWidth="1"/>
    <col min="4" max="7" width="10.7109375" style="36" customWidth="1"/>
    <col min="8" max="16384" width="9.140625" style="36"/>
  </cols>
  <sheetData>
    <row r="1" spans="2:7" ht="12.75" x14ac:dyDescent="0.2">
      <c r="B1" s="42"/>
      <c r="C1" s="42"/>
      <c r="D1" s="42"/>
      <c r="E1" s="42"/>
      <c r="F1" s="42"/>
      <c r="G1" s="42"/>
    </row>
    <row r="2" spans="2:7" ht="12.75" x14ac:dyDescent="0.2">
      <c r="B2" s="42"/>
      <c r="C2" s="42"/>
      <c r="D2" s="42"/>
      <c r="E2" s="42"/>
      <c r="F2" s="42"/>
      <c r="G2" s="42"/>
    </row>
    <row r="3" spans="2:7" ht="12.75" x14ac:dyDescent="0.2">
      <c r="B3" s="42"/>
      <c r="C3" s="42"/>
      <c r="D3" s="42"/>
      <c r="E3" s="42"/>
      <c r="F3" s="42"/>
      <c r="G3" s="42"/>
    </row>
    <row r="4" spans="2:7" ht="68.25" x14ac:dyDescent="0.9">
      <c r="B4" s="42"/>
      <c r="C4" s="115" t="s">
        <v>258</v>
      </c>
      <c r="D4" s="114"/>
      <c r="E4" s="114"/>
      <c r="F4" s="114"/>
      <c r="G4" s="114"/>
    </row>
    <row r="5" spans="2:7" ht="45" x14ac:dyDescent="0.6">
      <c r="B5" s="42"/>
      <c r="C5" s="113" t="s">
        <v>148</v>
      </c>
      <c r="D5" s="113"/>
      <c r="E5" s="113"/>
      <c r="F5" s="113"/>
      <c r="G5" s="113"/>
    </row>
    <row r="6" spans="2:7" ht="45.75" x14ac:dyDescent="0.65">
      <c r="B6" s="42"/>
      <c r="C6" s="112">
        <v>44175</v>
      </c>
      <c r="D6" s="112"/>
      <c r="E6" s="112"/>
      <c r="F6" s="112"/>
      <c r="G6" s="112"/>
    </row>
    <row r="7" spans="2:7" ht="12.75" x14ac:dyDescent="0.2">
      <c r="B7" s="42"/>
      <c r="C7" s="42"/>
      <c r="D7" s="42"/>
      <c r="E7" s="42"/>
      <c r="F7" s="42"/>
      <c r="G7" s="42"/>
    </row>
    <row r="8" spans="2:7" ht="12.75" x14ac:dyDescent="0.2">
      <c r="B8" s="42"/>
      <c r="C8" s="42"/>
      <c r="D8" s="42"/>
      <c r="E8" s="42"/>
      <c r="F8" s="42"/>
      <c r="G8" s="42"/>
    </row>
    <row r="9" spans="2:7" ht="12.75" x14ac:dyDescent="0.2">
      <c r="B9" s="42"/>
      <c r="C9" s="42"/>
      <c r="D9" s="111"/>
      <c r="E9" s="111"/>
      <c r="F9" s="111"/>
      <c r="G9" s="111"/>
    </row>
    <row r="10" spans="2:7" ht="12.75" x14ac:dyDescent="0.2">
      <c r="B10" s="42"/>
      <c r="C10" s="42"/>
      <c r="D10" s="111"/>
      <c r="E10" s="111"/>
      <c r="F10" s="111"/>
      <c r="G10" s="111"/>
    </row>
    <row r="11" spans="2:7" ht="12.75" x14ac:dyDescent="0.2">
      <c r="B11" s="42"/>
      <c r="C11" s="42"/>
      <c r="D11" s="42"/>
      <c r="E11" s="42"/>
      <c r="F11" s="42"/>
      <c r="G11" s="42"/>
    </row>
    <row r="12" spans="2:7" ht="12.75" x14ac:dyDescent="0.2">
      <c r="B12" s="42"/>
      <c r="C12" s="42"/>
      <c r="D12" s="42"/>
      <c r="E12" s="42"/>
      <c r="F12" s="42"/>
      <c r="G12" s="42"/>
    </row>
    <row r="13" spans="2:7" ht="12.75" x14ac:dyDescent="0.2">
      <c r="B13" s="42"/>
      <c r="C13" s="42"/>
      <c r="D13" s="42"/>
      <c r="E13" s="42"/>
      <c r="F13" s="42"/>
      <c r="G13" s="42"/>
    </row>
  </sheetData>
  <pageMargins left="0.2" right="0.2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3289-50A2-4F52-898C-454184E2957A}">
  <sheetPr codeName="Sheet5">
    <tabColor theme="5" tint="0.39997558519241921"/>
  </sheetPr>
  <dimension ref="A1:J39"/>
  <sheetViews>
    <sheetView showGridLines="0" view="pageBreakPreview" zoomScale="51" zoomScaleNormal="80" zoomScaleSheetLayoutView="80" workbookViewId="0">
      <selection activeCell="D2" sqref="D2:J35"/>
    </sheetView>
  </sheetViews>
  <sheetFormatPr defaultColWidth="15.7109375" defaultRowHeight="15" customHeight="1" x14ac:dyDescent="0.2"/>
  <cols>
    <col min="1" max="2" width="3.7109375" style="42" customWidth="1"/>
    <col min="3" max="3" width="12.7109375" style="42" customWidth="1"/>
    <col min="4" max="4" width="51.5703125" style="42" bestFit="1" customWidth="1"/>
    <col min="5" max="9" width="20.7109375" style="42" customWidth="1"/>
    <col min="10" max="10" width="23.140625" style="42" bestFit="1" customWidth="1"/>
    <col min="11" max="16384" width="15.7109375" style="42"/>
  </cols>
  <sheetData>
    <row r="1" spans="1:10" ht="15" customHeight="1" thickBot="1" x14ac:dyDescent="0.25"/>
    <row r="2" spans="1:10" ht="30" customHeight="1" thickBot="1" x14ac:dyDescent="0.25">
      <c r="A2" s="42" t="s">
        <v>72</v>
      </c>
      <c r="B2" s="42" t="s">
        <v>72</v>
      </c>
      <c r="C2" s="43"/>
      <c r="D2" s="288" t="s">
        <v>134</v>
      </c>
      <c r="E2" s="449" t="s">
        <v>14</v>
      </c>
      <c r="F2" s="266" t="s">
        <v>133</v>
      </c>
      <c r="G2" s="449" t="s">
        <v>13</v>
      </c>
      <c r="H2" s="449" t="s">
        <v>135</v>
      </c>
      <c r="I2" s="266" t="s">
        <v>136</v>
      </c>
      <c r="J2" s="450" t="s">
        <v>137</v>
      </c>
    </row>
    <row r="3" spans="1:10" ht="15" customHeight="1" x14ac:dyDescent="0.2">
      <c r="C3" s="44"/>
      <c r="D3" s="85" t="s">
        <v>138</v>
      </c>
      <c r="E3" s="222">
        <f>' Comps'!M35</f>
        <v>40.255879569983698</v>
      </c>
      <c r="F3" s="223">
        <f>G3-E3</f>
        <v>11.30691695199485</v>
      </c>
      <c r="G3" s="222">
        <f>' Comps'!M49</f>
        <v>51.562796521978548</v>
      </c>
      <c r="H3" s="224">
        <v>24.67</v>
      </c>
      <c r="I3" s="224">
        <v>45.4</v>
      </c>
      <c r="J3" s="225">
        <f>'Model Output'!K54</f>
        <v>36.590000000000003</v>
      </c>
    </row>
    <row r="4" spans="1:10" ht="15" customHeight="1" x14ac:dyDescent="0.2">
      <c r="C4" s="44"/>
      <c r="D4" s="110" t="s">
        <v>205</v>
      </c>
      <c r="E4" s="222">
        <f>' Comps'!Y29</f>
        <v>27.411776731291766</v>
      </c>
      <c r="F4" s="223">
        <f>G4-E4</f>
        <v>9.5675497776697895</v>
      </c>
      <c r="G4" s="222">
        <f>' Comps'!Y39</f>
        <v>36.979326508961556</v>
      </c>
      <c r="H4" s="226">
        <f>H3</f>
        <v>24.67</v>
      </c>
      <c r="I4" s="226">
        <f>I3</f>
        <v>45.4</v>
      </c>
      <c r="J4" s="227">
        <f>J3</f>
        <v>36.590000000000003</v>
      </c>
    </row>
    <row r="5" spans="1:10" ht="15" customHeight="1" x14ac:dyDescent="0.2">
      <c r="C5" s="44"/>
      <c r="D5" s="86" t="s">
        <v>139</v>
      </c>
      <c r="E5" s="222">
        <f>'Model Output'!Q46</f>
        <v>41.219583251860968</v>
      </c>
      <c r="F5" s="223">
        <f t="shared" ref="F5" si="0">G5-E5</f>
        <v>8.404326291017405</v>
      </c>
      <c r="G5" s="228">
        <f>'Model Output'!U42</f>
        <v>49.623909542878373</v>
      </c>
      <c r="H5" s="226">
        <f t="shared" ref="H5:J6" si="1">H4</f>
        <v>24.67</v>
      </c>
      <c r="I5" s="226">
        <f t="shared" si="1"/>
        <v>45.4</v>
      </c>
      <c r="J5" s="227">
        <f t="shared" si="1"/>
        <v>36.590000000000003</v>
      </c>
    </row>
    <row r="6" spans="1:10" ht="15" customHeight="1" thickBot="1" x14ac:dyDescent="0.25">
      <c r="C6" s="44"/>
      <c r="D6" s="87" t="s">
        <v>140</v>
      </c>
      <c r="E6" s="88">
        <f>E5</f>
        <v>41.219583251860968</v>
      </c>
      <c r="F6" s="88">
        <f>G6-E6</f>
        <v>8.404326291017405</v>
      </c>
      <c r="G6" s="88">
        <f>G5</f>
        <v>49.623909542878373</v>
      </c>
      <c r="H6" s="229">
        <f t="shared" si="1"/>
        <v>24.67</v>
      </c>
      <c r="I6" s="229">
        <f t="shared" si="1"/>
        <v>45.4</v>
      </c>
      <c r="J6" s="230">
        <f t="shared" si="1"/>
        <v>36.590000000000003</v>
      </c>
    </row>
    <row r="7" spans="1:10" ht="15" customHeight="1" x14ac:dyDescent="0.2">
      <c r="C7" s="44"/>
      <c r="D7" s="74"/>
      <c r="E7" s="75"/>
      <c r="F7" s="76"/>
      <c r="G7" s="75"/>
      <c r="H7" s="76"/>
      <c r="I7" s="76"/>
      <c r="J7" s="77"/>
    </row>
    <row r="8" spans="1:10" ht="15" customHeight="1" x14ac:dyDescent="0.2">
      <c r="C8" s="44"/>
      <c r="D8" s="74"/>
      <c r="E8" s="75"/>
      <c r="F8" s="76"/>
      <c r="G8" s="75"/>
      <c r="H8" s="76"/>
      <c r="I8" s="76"/>
      <c r="J8" s="77"/>
    </row>
    <row r="9" spans="1:10" ht="15" customHeight="1" x14ac:dyDescent="0.2">
      <c r="C9" s="44"/>
      <c r="D9" s="74"/>
      <c r="E9" s="75"/>
      <c r="F9" s="76"/>
      <c r="G9" s="75"/>
      <c r="H9" s="76"/>
      <c r="I9" s="76"/>
      <c r="J9" s="77"/>
    </row>
    <row r="10" spans="1:10" ht="15" customHeight="1" x14ac:dyDescent="0.2">
      <c r="D10" s="78"/>
      <c r="E10" s="79"/>
      <c r="F10" s="79"/>
      <c r="G10" s="79"/>
      <c r="H10" s="80"/>
      <c r="I10" s="80"/>
      <c r="J10" s="81"/>
    </row>
    <row r="11" spans="1:10" ht="15" customHeight="1" x14ac:dyDescent="0.2">
      <c r="D11" s="78"/>
      <c r="E11" s="79"/>
      <c r="F11" s="79"/>
      <c r="G11" s="79"/>
      <c r="H11" s="80"/>
      <c r="I11" s="80"/>
      <c r="J11" s="81"/>
    </row>
    <row r="12" spans="1:10" ht="15" customHeight="1" x14ac:dyDescent="0.2">
      <c r="D12" s="78"/>
      <c r="E12" s="79"/>
      <c r="F12" s="79"/>
      <c r="G12" s="79"/>
      <c r="H12" s="80"/>
      <c r="I12" s="80"/>
      <c r="J12" s="81"/>
    </row>
    <row r="13" spans="1:10" ht="15" customHeight="1" x14ac:dyDescent="0.2">
      <c r="D13" s="78"/>
      <c r="E13" s="79"/>
      <c r="F13" s="79"/>
      <c r="G13" s="79"/>
      <c r="H13" s="80"/>
      <c r="I13" s="80"/>
      <c r="J13" s="81"/>
    </row>
    <row r="14" spans="1:10" ht="15" customHeight="1" x14ac:dyDescent="0.2">
      <c r="D14" s="78"/>
      <c r="E14" s="79"/>
      <c r="F14" s="79"/>
      <c r="G14" s="79"/>
      <c r="H14" s="80"/>
      <c r="I14" s="80"/>
      <c r="J14" s="81"/>
    </row>
    <row r="15" spans="1:10" ht="15" customHeight="1" x14ac:dyDescent="0.2">
      <c r="D15" s="78"/>
      <c r="E15" s="79"/>
      <c r="F15" s="79"/>
      <c r="G15" s="79"/>
      <c r="H15" s="80"/>
      <c r="I15" s="80"/>
      <c r="J15" s="81"/>
    </row>
    <row r="16" spans="1:10" ht="15" customHeight="1" x14ac:dyDescent="0.2">
      <c r="D16" s="78"/>
      <c r="E16" s="79"/>
      <c r="F16" s="79"/>
      <c r="G16" s="79"/>
      <c r="H16" s="80"/>
      <c r="I16" s="80"/>
      <c r="J16" s="81"/>
    </row>
    <row r="17" spans="4:10" ht="15" customHeight="1" x14ac:dyDescent="0.2">
      <c r="D17" s="78"/>
      <c r="E17" s="79"/>
      <c r="F17" s="79"/>
      <c r="G17" s="79"/>
      <c r="H17" s="80"/>
      <c r="I17" s="80"/>
      <c r="J17" s="81"/>
    </row>
    <row r="18" spans="4:10" ht="15" customHeight="1" x14ac:dyDescent="0.2">
      <c r="D18" s="78"/>
      <c r="E18" s="79"/>
      <c r="F18" s="79"/>
      <c r="G18" s="79"/>
      <c r="H18" s="80"/>
      <c r="I18" s="80"/>
      <c r="J18" s="81"/>
    </row>
    <row r="19" spans="4:10" ht="15" customHeight="1" x14ac:dyDescent="0.2">
      <c r="D19" s="78"/>
      <c r="E19" s="79"/>
      <c r="F19" s="79"/>
      <c r="G19" s="79"/>
      <c r="H19" s="80"/>
      <c r="I19" s="80"/>
      <c r="J19" s="81"/>
    </row>
    <row r="20" spans="4:10" ht="15" customHeight="1" x14ac:dyDescent="0.2">
      <c r="D20" s="78"/>
      <c r="E20" s="79"/>
      <c r="F20" s="79"/>
      <c r="G20" s="79"/>
      <c r="H20" s="80"/>
      <c r="I20" s="80"/>
      <c r="J20" s="81"/>
    </row>
    <row r="21" spans="4:10" ht="15" customHeight="1" x14ac:dyDescent="0.2">
      <c r="D21" s="78"/>
      <c r="E21" s="79"/>
      <c r="F21" s="79"/>
      <c r="G21" s="79"/>
      <c r="H21" s="80"/>
      <c r="I21" s="80"/>
      <c r="J21" s="81"/>
    </row>
    <row r="22" spans="4:10" ht="15" customHeight="1" x14ac:dyDescent="0.2">
      <c r="D22" s="78"/>
      <c r="E22" s="79"/>
      <c r="F22" s="79"/>
      <c r="G22" s="79"/>
      <c r="H22" s="80"/>
      <c r="I22" s="80"/>
      <c r="J22" s="81"/>
    </row>
    <row r="23" spans="4:10" ht="15" customHeight="1" x14ac:dyDescent="0.2">
      <c r="D23" s="78"/>
      <c r="E23" s="79"/>
      <c r="F23" s="79"/>
      <c r="G23" s="79"/>
      <c r="H23" s="80"/>
      <c r="I23" s="80"/>
      <c r="J23" s="81"/>
    </row>
    <row r="24" spans="4:10" ht="15" customHeight="1" x14ac:dyDescent="0.2">
      <c r="D24" s="78"/>
      <c r="E24" s="79"/>
      <c r="F24" s="79"/>
      <c r="G24" s="79"/>
      <c r="H24" s="80"/>
      <c r="I24" s="80"/>
      <c r="J24" s="81"/>
    </row>
    <row r="25" spans="4:10" ht="15" customHeight="1" x14ac:dyDescent="0.2">
      <c r="D25" s="78"/>
      <c r="E25" s="79"/>
      <c r="F25" s="79"/>
      <c r="G25" s="79"/>
      <c r="H25" s="80"/>
      <c r="I25" s="80"/>
      <c r="J25" s="81"/>
    </row>
    <row r="26" spans="4:10" ht="15" customHeight="1" x14ac:dyDescent="0.2">
      <c r="D26" s="78"/>
      <c r="E26" s="79"/>
      <c r="F26" s="79"/>
      <c r="G26" s="79"/>
      <c r="H26" s="80"/>
      <c r="I26" s="80"/>
      <c r="J26" s="81"/>
    </row>
    <row r="27" spans="4:10" ht="15" customHeight="1" x14ac:dyDescent="0.2">
      <c r="D27" s="78"/>
      <c r="E27" s="79"/>
      <c r="F27" s="79"/>
      <c r="G27" s="79"/>
      <c r="H27" s="80"/>
      <c r="I27" s="80"/>
      <c r="J27" s="81"/>
    </row>
    <row r="28" spans="4:10" ht="15" customHeight="1" x14ac:dyDescent="0.2">
      <c r="D28" s="78"/>
      <c r="E28" s="79"/>
      <c r="F28" s="79"/>
      <c r="G28" s="79"/>
      <c r="H28" s="80"/>
      <c r="I28" s="80"/>
      <c r="J28" s="81"/>
    </row>
    <row r="29" spans="4:10" ht="15" customHeight="1" x14ac:dyDescent="0.2">
      <c r="D29" s="78"/>
      <c r="E29" s="79"/>
      <c r="F29" s="79"/>
      <c r="G29" s="79"/>
      <c r="H29" s="80"/>
      <c r="I29" s="80"/>
      <c r="J29" s="81"/>
    </row>
    <row r="30" spans="4:10" ht="15" customHeight="1" x14ac:dyDescent="0.2">
      <c r="D30" s="78"/>
      <c r="E30" s="79"/>
      <c r="F30" s="79"/>
      <c r="G30" s="79"/>
      <c r="H30" s="80"/>
      <c r="I30" s="80"/>
      <c r="J30" s="81"/>
    </row>
    <row r="31" spans="4:10" ht="15" customHeight="1" x14ac:dyDescent="0.2">
      <c r="D31" s="78"/>
      <c r="E31" s="79"/>
      <c r="F31" s="79"/>
      <c r="G31" s="79"/>
      <c r="H31" s="80"/>
      <c r="I31" s="80"/>
      <c r="J31" s="81"/>
    </row>
    <row r="32" spans="4:10" ht="15" customHeight="1" x14ac:dyDescent="0.2">
      <c r="D32" s="78"/>
      <c r="E32" s="79"/>
      <c r="F32" s="79"/>
      <c r="G32" s="79"/>
      <c r="H32" s="80"/>
      <c r="I32" s="80"/>
      <c r="J32" s="81"/>
    </row>
    <row r="33" spans="4:10" ht="15" customHeight="1" x14ac:dyDescent="0.2">
      <c r="D33" s="78"/>
      <c r="E33" s="79"/>
      <c r="F33" s="79"/>
      <c r="G33" s="79"/>
      <c r="H33" s="80"/>
      <c r="I33" s="80"/>
      <c r="J33" s="81"/>
    </row>
    <row r="34" spans="4:10" ht="15" customHeight="1" x14ac:dyDescent="0.2">
      <c r="D34" s="78"/>
      <c r="E34" s="79"/>
      <c r="F34" s="79"/>
      <c r="G34" s="79"/>
      <c r="H34" s="80"/>
      <c r="I34" s="80"/>
      <c r="J34" s="81"/>
    </row>
    <row r="35" spans="4:10" ht="15" customHeight="1" thickBot="1" x14ac:dyDescent="0.25">
      <c r="D35" s="82"/>
      <c r="E35" s="83"/>
      <c r="F35" s="83"/>
      <c r="G35" s="83"/>
      <c r="H35" s="83"/>
      <c r="I35" s="83"/>
      <c r="J35" s="84"/>
    </row>
    <row r="39" spans="4:10" ht="15" customHeight="1" x14ac:dyDescent="0.2">
      <c r="E39" s="471"/>
      <c r="F39" s="471"/>
      <c r="G39" s="471"/>
    </row>
  </sheetData>
  <mergeCells count="1">
    <mergeCell ref="E39:G39"/>
  </mergeCells>
  <pageMargins left="0.7" right="0.7" top="0.75" bottom="0.75" header="0.3" footer="0.3"/>
  <pageSetup scale="33" orientation="portrait" r:id="rId1"/>
  <ignoredErrors>
    <ignoredError sqref="F6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EA9-1BCF-4EC3-9ACC-FEC104972CF9}">
  <sheetPr>
    <tabColor theme="8" tint="-0.249977111117893"/>
    <pageSetUpPr fitToPage="1"/>
  </sheetPr>
  <dimension ref="A1"/>
  <sheetViews>
    <sheetView showGridLines="0" view="pageBreakPreview" zoomScaleNormal="100" zoomScaleSheetLayoutView="100" workbookViewId="0"/>
  </sheetViews>
  <sheetFormatPr defaultColWidth="9.140625" defaultRowHeight="11.25" x14ac:dyDescent="0.2"/>
  <cols>
    <col min="1" max="16384" width="9.140625" style="36"/>
  </cols>
  <sheetData/>
  <pageMargins left="0.2" right="0.2" top="0.5" bottom="0.5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8DD-5E0A-430B-9242-09580B8D0020}">
  <sheetPr>
    <tabColor theme="8" tint="0.39997558519241921"/>
    <outlinePr summaryBelow="0" summaryRight="0"/>
    <pageSetUpPr autoPageBreaks="0" fitToPage="1"/>
  </sheetPr>
  <dimension ref="B2:IM25"/>
  <sheetViews>
    <sheetView showGridLines="0" view="pageBreakPreview" zoomScale="114" zoomScaleNormal="100" zoomScaleSheetLayoutView="145" workbookViewId="0">
      <selection activeCell="B2" sqref="B2:F24"/>
    </sheetView>
  </sheetViews>
  <sheetFormatPr defaultColWidth="9.140625" defaultRowHeight="11.25" x14ac:dyDescent="0.2"/>
  <cols>
    <col min="1" max="1" width="9.140625" style="36"/>
    <col min="2" max="2" width="43.7109375" style="36" bestFit="1" customWidth="1"/>
    <col min="3" max="3" width="10.28515625" style="36" bestFit="1" customWidth="1"/>
    <col min="4" max="4" width="11" style="36" bestFit="1" customWidth="1"/>
    <col min="5" max="5" width="10.5703125" style="36" bestFit="1" customWidth="1"/>
    <col min="6" max="6" width="11" style="36" bestFit="1" customWidth="1"/>
    <col min="7" max="16384" width="9.140625" style="36"/>
  </cols>
  <sheetData>
    <row r="2" spans="2:247" ht="12" thickBot="1" x14ac:dyDescent="0.25">
      <c r="B2" s="472" t="s">
        <v>6</v>
      </c>
      <c r="C2" s="473"/>
      <c r="D2" s="473"/>
      <c r="E2" s="473"/>
      <c r="F2" s="474"/>
    </row>
    <row r="3" spans="2:247" ht="22.5" x14ac:dyDescent="0.2">
      <c r="B3" s="330" t="s">
        <v>202</v>
      </c>
      <c r="C3" s="331">
        <v>2016</v>
      </c>
      <c r="D3" s="331">
        <v>2017</v>
      </c>
      <c r="E3" s="331">
        <v>2018</v>
      </c>
      <c r="F3" s="332">
        <v>2019</v>
      </c>
    </row>
    <row r="4" spans="2:247" x14ac:dyDescent="0.2">
      <c r="B4" s="333" t="s">
        <v>109</v>
      </c>
      <c r="C4" s="334" t="s">
        <v>108</v>
      </c>
      <c r="D4" s="334" t="s">
        <v>108</v>
      </c>
      <c r="E4" s="334" t="s">
        <v>108</v>
      </c>
      <c r="F4" s="335" t="s">
        <v>108</v>
      </c>
    </row>
    <row r="5" spans="2:247" ht="12.75" x14ac:dyDescent="0.2">
      <c r="B5" s="241" t="s">
        <v>107</v>
      </c>
      <c r="C5" s="109"/>
      <c r="D5" s="109"/>
      <c r="E5" s="109"/>
      <c r="F5" s="242"/>
    </row>
    <row r="6" spans="2:247" ht="12.75" x14ac:dyDescent="0.2">
      <c r="B6" s="243" t="s">
        <v>225</v>
      </c>
      <c r="C6" s="451">
        <v>3039.1909999999998</v>
      </c>
      <c r="D6" s="451">
        <v>3017.011</v>
      </c>
      <c r="E6" s="451">
        <v>3560.5079999999998</v>
      </c>
      <c r="F6" s="452">
        <v>3954.8119999999999</v>
      </c>
    </row>
    <row r="7" spans="2:247" x14ac:dyDescent="0.2">
      <c r="B7" s="241" t="s">
        <v>106</v>
      </c>
      <c r="C7" s="453">
        <f>C6</f>
        <v>3039.1909999999998</v>
      </c>
      <c r="D7" s="453">
        <f>D6</f>
        <v>3017.011</v>
      </c>
      <c r="E7" s="453">
        <f>E6</f>
        <v>3560.5079999999998</v>
      </c>
      <c r="F7" s="454">
        <f>F6</f>
        <v>3954.8119999999999</v>
      </c>
    </row>
    <row r="8" spans="2:247" ht="12.75" x14ac:dyDescent="0.2">
      <c r="B8" s="243"/>
      <c r="C8" s="455"/>
      <c r="D8" s="455"/>
      <c r="E8" s="455"/>
      <c r="F8" s="456"/>
    </row>
    <row r="9" spans="2:247" ht="12.75" x14ac:dyDescent="0.2">
      <c r="B9" s="241" t="s">
        <v>105</v>
      </c>
      <c r="C9" s="455"/>
      <c r="D9" s="455"/>
      <c r="E9" s="455"/>
      <c r="F9" s="456"/>
    </row>
    <row r="10" spans="2:247" ht="12.75" x14ac:dyDescent="0.2">
      <c r="B10" s="243" t="s">
        <v>226</v>
      </c>
      <c r="C10" s="451">
        <v>-2431.1930000000002</v>
      </c>
      <c r="D10" s="451">
        <v>-2400.14</v>
      </c>
      <c r="E10" s="451">
        <v>-2795.0050000000001</v>
      </c>
      <c r="F10" s="452">
        <v>-3123.0619999999999</v>
      </c>
    </row>
    <row r="11" spans="2:247" x14ac:dyDescent="0.2">
      <c r="B11" s="241" t="s">
        <v>21</v>
      </c>
      <c r="C11" s="453">
        <f>C10</f>
        <v>-2431.1930000000002</v>
      </c>
      <c r="D11" s="453">
        <f>D10</f>
        <v>-2400.14</v>
      </c>
      <c r="E11" s="453">
        <f>E10</f>
        <v>-2795.0050000000001</v>
      </c>
      <c r="F11" s="454">
        <f>F10</f>
        <v>-3123.0619999999999</v>
      </c>
    </row>
    <row r="12" spans="2:247" ht="12.75" x14ac:dyDescent="0.2">
      <c r="B12" s="243" t="s">
        <v>227</v>
      </c>
      <c r="C12" s="451">
        <v>-522.91999999999996</v>
      </c>
      <c r="D12" s="451">
        <v>-506.255</v>
      </c>
      <c r="E12" s="451">
        <v>-597.41</v>
      </c>
      <c r="F12" s="452">
        <v>-781.40800000000002</v>
      </c>
    </row>
    <row r="13" spans="2:247" ht="12.75" x14ac:dyDescent="0.2">
      <c r="B13" s="243" t="s">
        <v>228</v>
      </c>
      <c r="C13" s="451">
        <v>-85.132999999999996</v>
      </c>
      <c r="D13" s="451">
        <v>0</v>
      </c>
      <c r="E13" s="451">
        <v>0</v>
      </c>
      <c r="F13" s="452">
        <v>0</v>
      </c>
    </row>
    <row r="14" spans="2:247" ht="12.75" x14ac:dyDescent="0.2">
      <c r="B14" s="243" t="s">
        <v>161</v>
      </c>
      <c r="C14" s="451">
        <v>-16.509</v>
      </c>
      <c r="D14" s="451">
        <v>-15.798</v>
      </c>
      <c r="E14" s="451">
        <v>-20.841999999999999</v>
      </c>
      <c r="F14" s="452">
        <v>-23.728999999999999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</row>
    <row r="15" spans="2:247" ht="12.75" x14ac:dyDescent="0.2">
      <c r="B15" s="243" t="s">
        <v>160</v>
      </c>
      <c r="C15" s="451">
        <v>1.19</v>
      </c>
      <c r="D15" s="451">
        <v>2.4649999999999999</v>
      </c>
      <c r="E15" s="451">
        <v>2.71</v>
      </c>
      <c r="F15" s="452">
        <v>1.3</v>
      </c>
    </row>
    <row r="16" spans="2:247" ht="12.75" x14ac:dyDescent="0.2">
      <c r="B16" s="243" t="s">
        <v>230</v>
      </c>
      <c r="C16" s="451">
        <v>35.462000000000003</v>
      </c>
      <c r="D16" s="451">
        <v>40.085999999999999</v>
      </c>
      <c r="E16" s="451">
        <v>36.914999999999999</v>
      </c>
      <c r="F16" s="452">
        <v>41.720999999999997</v>
      </c>
    </row>
    <row r="17" spans="2:7" ht="12.75" x14ac:dyDescent="0.2">
      <c r="B17" s="243" t="s">
        <v>231</v>
      </c>
      <c r="C17" s="451">
        <v>1.34</v>
      </c>
      <c r="D17" s="451">
        <v>5.6580000000000004</v>
      </c>
      <c r="E17" s="451">
        <v>-1.651</v>
      </c>
      <c r="F17" s="452">
        <v>-2.3919999999999999</v>
      </c>
    </row>
    <row r="18" spans="2:7" ht="12.75" x14ac:dyDescent="0.2">
      <c r="B18" s="243" t="s">
        <v>229</v>
      </c>
      <c r="C18" s="451">
        <v>-9.4220000000000006</v>
      </c>
      <c r="D18" s="451">
        <v>-10.026</v>
      </c>
      <c r="E18" s="451">
        <v>-74.578000000000003</v>
      </c>
      <c r="F18" s="452">
        <v>0</v>
      </c>
    </row>
    <row r="19" spans="2:7" x14ac:dyDescent="0.2">
      <c r="B19" s="241" t="s">
        <v>159</v>
      </c>
      <c r="C19" s="453">
        <v>12.006</v>
      </c>
      <c r="D19" s="453">
        <v>133.001</v>
      </c>
      <c r="E19" s="453">
        <v>259.803</v>
      </c>
      <c r="F19" s="454">
        <v>67.242000000000004</v>
      </c>
      <c r="G19" s="351"/>
    </row>
    <row r="20" spans="2:7" ht="12.75" x14ac:dyDescent="0.2">
      <c r="B20" s="243"/>
      <c r="C20" s="455"/>
      <c r="D20" s="455"/>
      <c r="E20" s="455"/>
      <c r="F20" s="456"/>
    </row>
    <row r="21" spans="2:7" ht="12.75" x14ac:dyDescent="0.2">
      <c r="B21" s="241" t="s">
        <v>104</v>
      </c>
      <c r="C21" s="455"/>
      <c r="D21" s="455"/>
      <c r="E21" s="455"/>
      <c r="F21" s="456"/>
    </row>
    <row r="22" spans="2:7" ht="12.75" x14ac:dyDescent="0.2">
      <c r="B22" s="243" t="s">
        <v>103</v>
      </c>
      <c r="C22" s="451">
        <v>-13.992000000000001</v>
      </c>
      <c r="D22" s="451">
        <v>-21.463999999999999</v>
      </c>
      <c r="E22" s="451">
        <v>-20.367000000000001</v>
      </c>
      <c r="F22" s="452">
        <v>69.866</v>
      </c>
    </row>
    <row r="23" spans="2:7" ht="12.75" x14ac:dyDescent="0.2">
      <c r="B23" s="243" t="s">
        <v>158</v>
      </c>
      <c r="C23" s="451">
        <v>-11.161</v>
      </c>
      <c r="D23" s="451">
        <v>-14.211</v>
      </c>
      <c r="E23" s="451">
        <v>-17.099</v>
      </c>
      <c r="F23" s="452">
        <v>-16.594000000000001</v>
      </c>
    </row>
    <row r="24" spans="2:7" x14ac:dyDescent="0.2">
      <c r="B24" s="244" t="s">
        <v>157</v>
      </c>
      <c r="C24" s="457">
        <v>-13.147</v>
      </c>
      <c r="D24" s="457">
        <v>97.325999999999993</v>
      </c>
      <c r="E24" s="457">
        <v>222.33699999999999</v>
      </c>
      <c r="F24" s="458">
        <v>120.53400000000001</v>
      </c>
    </row>
    <row r="25" spans="2:7" x14ac:dyDescent="0.2">
      <c r="B25" s="39"/>
      <c r="C25" s="39"/>
      <c r="D25" s="39"/>
      <c r="E25" s="39"/>
      <c r="F25" s="39"/>
    </row>
  </sheetData>
  <mergeCells count="1">
    <mergeCell ref="B2:F2"/>
  </mergeCells>
  <pageMargins left="0.2" right="0.2" top="0.5" bottom="0.5" header="0.5" footer="0.5"/>
  <pageSetup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0DA7-4C4B-4625-8D0C-E0C20EFD2892}">
  <sheetPr>
    <tabColor theme="8" tint="0.39997558519241921"/>
    <outlinePr summaryBelow="0" summaryRight="0"/>
    <pageSetUpPr autoPageBreaks="0" fitToPage="1"/>
  </sheetPr>
  <dimension ref="B1:IQ54"/>
  <sheetViews>
    <sheetView showGridLines="0" view="pageBreakPreview" topLeftCell="F12" zoomScaleNormal="100" zoomScaleSheetLayoutView="100" workbookViewId="0">
      <selection activeCell="T57" sqref="T57"/>
    </sheetView>
  </sheetViews>
  <sheetFormatPr defaultColWidth="9.140625" defaultRowHeight="11.25" x14ac:dyDescent="0.2"/>
  <cols>
    <col min="1" max="1" width="2.7109375" style="36" customWidth="1"/>
    <col min="2" max="2" width="45.85546875" style="36" customWidth="1"/>
    <col min="3" max="3" width="15.7109375" style="36" hidden="1" customWidth="1"/>
    <col min="4" max="6" width="15.7109375" style="36" customWidth="1"/>
    <col min="7" max="8" width="9.140625" style="36"/>
    <col min="9" max="9" width="21" style="36" bestFit="1" customWidth="1"/>
    <col min="10" max="11" width="11.28515625" style="36" bestFit="1" customWidth="1"/>
    <col min="12" max="12" width="10" style="36" bestFit="1" customWidth="1"/>
    <col min="13" max="13" width="11.28515625" style="36" bestFit="1" customWidth="1"/>
    <col min="14" max="14" width="11.140625" style="36" bestFit="1" customWidth="1"/>
    <col min="15" max="16384" width="9.140625" style="36"/>
  </cols>
  <sheetData>
    <row r="1" spans="2:6" ht="12" thickBot="1" x14ac:dyDescent="0.25"/>
    <row r="2" spans="2:6" ht="13.5" thickBot="1" x14ac:dyDescent="0.25">
      <c r="B2" s="475" t="s">
        <v>96</v>
      </c>
      <c r="C2" s="476"/>
      <c r="D2" s="476"/>
      <c r="E2" s="476"/>
      <c r="F2" s="476"/>
    </row>
    <row r="3" spans="2:6" ht="25.5" x14ac:dyDescent="0.2">
      <c r="B3" s="336" t="s">
        <v>8</v>
      </c>
      <c r="C3" s="337">
        <v>2016</v>
      </c>
      <c r="D3" s="337">
        <v>2017</v>
      </c>
      <c r="E3" s="337">
        <v>2018</v>
      </c>
      <c r="F3" s="337">
        <v>2019</v>
      </c>
    </row>
    <row r="4" spans="2:6" ht="12.75" x14ac:dyDescent="0.2">
      <c r="B4" s="336" t="s">
        <v>109</v>
      </c>
      <c r="C4" s="337" t="s">
        <v>108</v>
      </c>
      <c r="D4" s="337" t="s">
        <v>108</v>
      </c>
      <c r="E4" s="337" t="s">
        <v>108</v>
      </c>
      <c r="F4" s="337" t="s">
        <v>108</v>
      </c>
    </row>
    <row r="5" spans="2:6" ht="15" x14ac:dyDescent="0.2">
      <c r="B5" s="45" t="s">
        <v>127</v>
      </c>
      <c r="C5" s="204"/>
      <c r="D5" s="203"/>
      <c r="E5" s="203"/>
      <c r="F5" s="203"/>
    </row>
    <row r="6" spans="2:6" ht="15" x14ac:dyDescent="0.2">
      <c r="B6" s="46" t="s">
        <v>126</v>
      </c>
      <c r="C6" s="202">
        <v>0</v>
      </c>
      <c r="D6" s="202">
        <v>454.16399999999999</v>
      </c>
      <c r="E6" s="202">
        <v>280.221</v>
      </c>
      <c r="F6" s="202">
        <v>182.68799999999999</v>
      </c>
    </row>
    <row r="7" spans="2:6" ht="12.75" x14ac:dyDescent="0.2">
      <c r="B7" s="45" t="s">
        <v>125</v>
      </c>
      <c r="C7" s="200">
        <v>0</v>
      </c>
      <c r="D7" s="200">
        <v>1063.6379999999999</v>
      </c>
      <c r="E7" s="200">
        <v>623.28599999999994</v>
      </c>
      <c r="F7" s="200">
        <v>671.49199999999996</v>
      </c>
    </row>
    <row r="8" spans="2:6" ht="12.75" x14ac:dyDescent="0.2">
      <c r="B8" s="45" t="s">
        <v>167</v>
      </c>
      <c r="C8" s="200"/>
      <c r="D8" s="200">
        <v>0</v>
      </c>
      <c r="E8" s="200">
        <v>515.31899999999996</v>
      </c>
      <c r="F8" s="200">
        <v>575.08900000000006</v>
      </c>
    </row>
    <row r="9" spans="2:6" ht="12.75" x14ac:dyDescent="0.2">
      <c r="B9" s="45" t="s">
        <v>233</v>
      </c>
      <c r="C9" s="200" t="e">
        <f>SUM(#REF!)</f>
        <v>#REF!</v>
      </c>
      <c r="D9" s="200">
        <v>52.182000000000002</v>
      </c>
      <c r="E9" s="200">
        <v>69.007000000000005</v>
      </c>
      <c r="F9" s="200">
        <v>84.453999999999994</v>
      </c>
    </row>
    <row r="10" spans="2:6" ht="12.75" x14ac:dyDescent="0.2">
      <c r="B10" s="45" t="s">
        <v>232</v>
      </c>
      <c r="C10" s="200" t="e">
        <f>SUM(#REF!)</f>
        <v>#REF!</v>
      </c>
      <c r="D10" s="200">
        <v>0.98</v>
      </c>
      <c r="E10" s="200">
        <v>0.97399999999999998</v>
      </c>
      <c r="F10" s="200">
        <v>12.686</v>
      </c>
    </row>
    <row r="11" spans="2:6" ht="12.75" x14ac:dyDescent="0.2">
      <c r="B11" s="45" t="s">
        <v>9</v>
      </c>
      <c r="C11" s="200" t="e">
        <f>SUM(#REF!)</f>
        <v>#REF!</v>
      </c>
      <c r="D11" s="200">
        <v>1561.9639999999999</v>
      </c>
      <c r="E11" s="200">
        <v>1488.807</v>
      </c>
      <c r="F11" s="200">
        <v>1526.4090000000001</v>
      </c>
    </row>
    <row r="12" spans="2:6" ht="15" x14ac:dyDescent="0.2">
      <c r="B12" s="46"/>
      <c r="C12" s="203"/>
      <c r="D12" s="203"/>
      <c r="E12" s="203"/>
      <c r="F12" s="203"/>
    </row>
    <row r="13" spans="2:6" ht="15" x14ac:dyDescent="0.2">
      <c r="B13" s="45" t="s">
        <v>124</v>
      </c>
      <c r="C13" s="204"/>
      <c r="D13" s="203"/>
      <c r="E13" s="203"/>
      <c r="F13" s="203"/>
    </row>
    <row r="14" spans="2:6" ht="15" x14ac:dyDescent="0.2">
      <c r="B14" s="46" t="s">
        <v>237</v>
      </c>
      <c r="C14" s="202" t="e">
        <f>SUM(#REF!)</f>
        <v>#REF!</v>
      </c>
      <c r="D14" s="202">
        <v>0</v>
      </c>
      <c r="E14" s="202">
        <v>0</v>
      </c>
      <c r="F14" s="202">
        <v>233.41499999999999</v>
      </c>
    </row>
    <row r="15" spans="2:6" ht="15" x14ac:dyDescent="0.2">
      <c r="B15" s="46" t="s">
        <v>235</v>
      </c>
      <c r="C15" s="202"/>
      <c r="D15" s="202">
        <v>87.578000000000003</v>
      </c>
      <c r="E15" s="202">
        <v>91.849000000000004</v>
      </c>
      <c r="F15" s="202">
        <v>122.751</v>
      </c>
    </row>
    <row r="16" spans="2:6" ht="15" x14ac:dyDescent="0.2">
      <c r="B16" s="46" t="s">
        <v>236</v>
      </c>
      <c r="C16" s="202"/>
      <c r="D16" s="202">
        <v>71.578000000000003</v>
      </c>
      <c r="E16" s="202">
        <v>63.56</v>
      </c>
      <c r="F16" s="202">
        <v>68.62</v>
      </c>
    </row>
    <row r="17" spans="2:251" ht="15" x14ac:dyDescent="0.2">
      <c r="B17" s="46" t="s">
        <v>116</v>
      </c>
      <c r="C17" s="202" t="e">
        <f>SUM(#REF!)</f>
        <v>#REF!</v>
      </c>
      <c r="D17" s="202">
        <v>8.4589999999999996</v>
      </c>
      <c r="E17" s="202">
        <v>5.68</v>
      </c>
      <c r="F17" s="202">
        <v>130.40100000000001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</row>
    <row r="18" spans="2:251" ht="15" x14ac:dyDescent="0.2">
      <c r="B18" s="46" t="s">
        <v>123</v>
      </c>
      <c r="C18" s="202" t="e">
        <f>SUM(#REF!)</f>
        <v>#REF!</v>
      </c>
      <c r="D18" s="202">
        <v>496.786</v>
      </c>
      <c r="E18" s="202">
        <v>736.93799999999999</v>
      </c>
      <c r="F18" s="202">
        <v>1047.425</v>
      </c>
    </row>
    <row r="19" spans="2:251" ht="15" x14ac:dyDescent="0.2">
      <c r="B19" s="46" t="s">
        <v>234</v>
      </c>
      <c r="C19" s="202" t="e">
        <f>SUM(#REF!)</f>
        <v>#REF!</v>
      </c>
      <c r="D19" s="202">
        <v>17.699000000000002</v>
      </c>
      <c r="E19" s="202">
        <v>179.54900000000001</v>
      </c>
      <c r="F19" s="202">
        <v>259.858</v>
      </c>
    </row>
    <row r="20" spans="2:251" ht="15" x14ac:dyDescent="0.2">
      <c r="B20" s="46" t="s">
        <v>166</v>
      </c>
      <c r="C20" s="202" t="e">
        <f>SUM(#REF!)</f>
        <v>#REF!</v>
      </c>
      <c r="D20" s="202">
        <v>28.654</v>
      </c>
      <c r="E20" s="202">
        <v>46.225000000000001</v>
      </c>
      <c r="F20" s="202">
        <v>61.488999999999997</v>
      </c>
    </row>
    <row r="21" spans="2:251" ht="12.75" x14ac:dyDescent="0.2">
      <c r="B21" s="45" t="s">
        <v>122</v>
      </c>
      <c r="C21" s="200" t="e">
        <f>SUM(#REF!)</f>
        <v>#REF!</v>
      </c>
      <c r="D21" s="200">
        <v>2272.7179999999998</v>
      </c>
      <c r="E21" s="200">
        <v>2612.578</v>
      </c>
      <c r="F21" s="200">
        <v>3450.3679999999999</v>
      </c>
    </row>
    <row r="22" spans="2:251" ht="15" x14ac:dyDescent="0.2">
      <c r="B22" s="46"/>
      <c r="C22" s="203"/>
      <c r="D22" s="203"/>
      <c r="E22" s="203"/>
      <c r="F22" s="203"/>
      <c r="I22" s="100"/>
    </row>
    <row r="23" spans="2:251" ht="12.75" x14ac:dyDescent="0.2">
      <c r="B23" s="45" t="s">
        <v>121</v>
      </c>
      <c r="C23" s="204"/>
      <c r="D23" s="204"/>
      <c r="E23" s="204"/>
      <c r="F23" s="204"/>
    </row>
    <row r="24" spans="2:251" ht="12.75" x14ac:dyDescent="0.2">
      <c r="B24" s="45" t="s">
        <v>120</v>
      </c>
      <c r="C24" s="200" t="e">
        <f>SUM(#REF!)</f>
        <v>#REF!</v>
      </c>
      <c r="D24" s="200">
        <v>207.08</v>
      </c>
      <c r="E24" s="200">
        <v>226.345</v>
      </c>
      <c r="F24" s="200">
        <v>216.613</v>
      </c>
    </row>
    <row r="25" spans="2:251" ht="12.75" x14ac:dyDescent="0.2">
      <c r="B25" s="45" t="s">
        <v>119</v>
      </c>
      <c r="C25" s="200" t="e">
        <f>SUM(#REF!)</f>
        <v>#REF!</v>
      </c>
      <c r="D25" s="200">
        <v>504.15</v>
      </c>
      <c r="E25" s="200">
        <v>559.70000000000005</v>
      </c>
      <c r="F25" s="200">
        <v>639.86300000000006</v>
      </c>
    </row>
    <row r="26" spans="2:251" ht="12.75" x14ac:dyDescent="0.2">
      <c r="B26" s="45" t="s">
        <v>238</v>
      </c>
      <c r="C26" s="200"/>
      <c r="D26" s="200">
        <v>0</v>
      </c>
      <c r="E26" s="200">
        <v>0</v>
      </c>
      <c r="F26" s="200">
        <v>49.994</v>
      </c>
    </row>
    <row r="27" spans="2:251" ht="12.75" x14ac:dyDescent="0.2">
      <c r="B27" s="45" t="s">
        <v>165</v>
      </c>
      <c r="C27" s="200"/>
      <c r="D27" s="200">
        <v>7.6710000000000003</v>
      </c>
      <c r="E27" s="200">
        <v>11.54</v>
      </c>
      <c r="F27" s="200">
        <v>7.2309999999999999</v>
      </c>
    </row>
    <row r="28" spans="2:251" ht="12.75" x14ac:dyDescent="0.2">
      <c r="B28" s="45" t="s">
        <v>239</v>
      </c>
      <c r="C28" s="200"/>
      <c r="D28" s="200">
        <v>145.15100000000001</v>
      </c>
      <c r="E28" s="200">
        <v>0</v>
      </c>
      <c r="F28" s="200">
        <v>0</v>
      </c>
    </row>
    <row r="29" spans="2:251" ht="12.75" x14ac:dyDescent="0.2">
      <c r="B29" s="45" t="s">
        <v>164</v>
      </c>
      <c r="C29" s="200"/>
      <c r="D29" s="200">
        <v>0</v>
      </c>
      <c r="E29" s="200">
        <v>208.57599999999999</v>
      </c>
      <c r="F29" s="200">
        <v>230.68100000000001</v>
      </c>
    </row>
    <row r="30" spans="2:251" ht="12.75" x14ac:dyDescent="0.2">
      <c r="B30" s="45" t="s">
        <v>240</v>
      </c>
      <c r="C30" s="200" t="e">
        <f>SUM(#REF!)</f>
        <v>#REF!</v>
      </c>
      <c r="D30" s="200">
        <v>143.666</v>
      </c>
      <c r="E30" s="200">
        <v>0</v>
      </c>
      <c r="F30" s="200">
        <v>0</v>
      </c>
    </row>
    <row r="31" spans="2:251" ht="12.75" x14ac:dyDescent="0.2">
      <c r="B31" s="45" t="s">
        <v>10</v>
      </c>
      <c r="C31" s="200" t="e">
        <f>SUM(#REF!)</f>
        <v>#REF!</v>
      </c>
      <c r="D31" s="200">
        <v>1007.718</v>
      </c>
      <c r="E31" s="200">
        <v>1006.1609999999999</v>
      </c>
      <c r="F31" s="200">
        <v>1144.3820000000001</v>
      </c>
    </row>
    <row r="32" spans="2:251" ht="15" x14ac:dyDescent="0.2">
      <c r="B32" s="46"/>
      <c r="C32" s="203"/>
      <c r="D32" s="203"/>
      <c r="E32" s="203"/>
      <c r="F32" s="203"/>
    </row>
    <row r="33" spans="2:6" ht="12.75" x14ac:dyDescent="0.2">
      <c r="B33" s="45" t="s">
        <v>118</v>
      </c>
      <c r="C33" s="204"/>
      <c r="D33" s="204"/>
      <c r="E33" s="204"/>
      <c r="F33" s="204"/>
    </row>
    <row r="34" spans="2:6" ht="15" x14ac:dyDescent="0.2">
      <c r="B34" s="46" t="s">
        <v>117</v>
      </c>
      <c r="C34" s="202" t="e">
        <f>SUM(#REF!)</f>
        <v>#REF!</v>
      </c>
      <c r="D34" s="202">
        <v>249.40700000000001</v>
      </c>
      <c r="E34" s="202">
        <v>429.16399999999999</v>
      </c>
      <c r="F34" s="202">
        <v>249.35300000000001</v>
      </c>
    </row>
    <row r="35" spans="2:6" ht="15" x14ac:dyDescent="0.2">
      <c r="B35" s="46" t="s">
        <v>241</v>
      </c>
      <c r="C35" s="202"/>
      <c r="D35" s="202">
        <v>0</v>
      </c>
      <c r="E35" s="202">
        <v>0</v>
      </c>
      <c r="F35" s="202">
        <v>203.624</v>
      </c>
    </row>
    <row r="36" spans="2:6" ht="15" x14ac:dyDescent="0.2">
      <c r="B36" s="46" t="s">
        <v>242</v>
      </c>
      <c r="C36" s="202"/>
      <c r="D36" s="202">
        <v>53.341999999999999</v>
      </c>
      <c r="E36" s="202">
        <v>46.003999999999998</v>
      </c>
      <c r="F36" s="202">
        <v>0</v>
      </c>
    </row>
    <row r="37" spans="2:6" ht="15" x14ac:dyDescent="0.2">
      <c r="B37" s="46" t="s">
        <v>243</v>
      </c>
      <c r="C37" s="202"/>
      <c r="D37" s="202">
        <v>8.5399999999999991</v>
      </c>
      <c r="E37" s="202">
        <v>6.24</v>
      </c>
      <c r="F37" s="202">
        <v>9.6210000000000004</v>
      </c>
    </row>
    <row r="38" spans="2:6" ht="15" x14ac:dyDescent="0.2">
      <c r="B38" s="46" t="s">
        <v>163</v>
      </c>
      <c r="C38" s="202"/>
      <c r="D38" s="202">
        <v>27.494</v>
      </c>
      <c r="E38" s="202">
        <v>46.460999999999999</v>
      </c>
      <c r="F38" s="202">
        <v>30.866</v>
      </c>
    </row>
    <row r="39" spans="2:6" ht="15" x14ac:dyDescent="0.2">
      <c r="B39" s="46" t="s">
        <v>244</v>
      </c>
      <c r="C39" s="202"/>
      <c r="D39" s="202">
        <v>1855.3050000000001</v>
      </c>
      <c r="E39" s="202">
        <v>1876.309</v>
      </c>
      <c r="F39" s="202">
        <v>0</v>
      </c>
    </row>
    <row r="40" spans="2:6" ht="15" x14ac:dyDescent="0.2">
      <c r="B40" s="46" t="s">
        <v>115</v>
      </c>
      <c r="C40" s="202" t="e">
        <f>SUM(#REF!)</f>
        <v>#REF!</v>
      </c>
      <c r="D40" s="202">
        <v>106.434</v>
      </c>
      <c r="E40" s="202">
        <v>127.863</v>
      </c>
      <c r="F40" s="202">
        <v>125.70399999999999</v>
      </c>
    </row>
    <row r="41" spans="2:6" ht="15" x14ac:dyDescent="0.2">
      <c r="B41" s="46" t="s">
        <v>245</v>
      </c>
      <c r="C41" s="202" t="e">
        <f>SUM(#REF!)</f>
        <v>#REF!</v>
      </c>
      <c r="D41" s="202">
        <v>41.887999999999998</v>
      </c>
      <c r="E41" s="202">
        <v>41.912999999999997</v>
      </c>
      <c r="F41" s="464">
        <v>56.927999999999997</v>
      </c>
    </row>
    <row r="42" spans="2:6" ht="15" x14ac:dyDescent="0.2">
      <c r="B42" s="46"/>
      <c r="C42" s="203"/>
      <c r="D42" s="203"/>
      <c r="E42" s="203"/>
      <c r="F42" s="203"/>
    </row>
    <row r="43" spans="2:6" ht="12.75" x14ac:dyDescent="0.2">
      <c r="B43" s="45" t="s">
        <v>114</v>
      </c>
      <c r="C43" s="204"/>
      <c r="D43" s="204"/>
      <c r="E43" s="204"/>
      <c r="F43" s="204"/>
    </row>
    <row r="44" spans="2:6" ht="15" x14ac:dyDescent="0.2">
      <c r="B44" s="46" t="s">
        <v>162</v>
      </c>
      <c r="C44" s="202">
        <v>-495</v>
      </c>
      <c r="D44" s="202">
        <v>0</v>
      </c>
      <c r="E44" s="202">
        <v>0</v>
      </c>
      <c r="F44" s="202">
        <v>146.441</v>
      </c>
    </row>
    <row r="45" spans="2:6" ht="15" x14ac:dyDescent="0.2">
      <c r="B45" s="46" t="s">
        <v>113</v>
      </c>
      <c r="C45" s="202"/>
      <c r="D45" s="202">
        <v>0</v>
      </c>
      <c r="E45" s="202">
        <v>0</v>
      </c>
      <c r="F45" s="202">
        <v>2649.9749999999999</v>
      </c>
    </row>
    <row r="46" spans="2:6" ht="15" x14ac:dyDescent="0.2">
      <c r="B46" s="46" t="s">
        <v>246</v>
      </c>
      <c r="C46" s="202"/>
      <c r="D46" s="202">
        <v>-876.37199999999996</v>
      </c>
      <c r="E46" s="202">
        <v>-957.02499999999998</v>
      </c>
      <c r="F46" s="202">
        <v>-934.24</v>
      </c>
    </row>
    <row r="47" spans="2:6" ht="15" x14ac:dyDescent="0.2">
      <c r="B47" s="46" t="s">
        <v>247</v>
      </c>
      <c r="C47" s="202"/>
      <c r="D47" s="202">
        <v>-186.035</v>
      </c>
      <c r="E47" s="202">
        <v>12.445</v>
      </c>
      <c r="F47" s="202">
        <v>-218.02500000000001</v>
      </c>
    </row>
    <row r="48" spans="2:6" ht="15" x14ac:dyDescent="0.2">
      <c r="B48" s="46" t="s">
        <v>112</v>
      </c>
      <c r="C48" s="202"/>
      <c r="D48" s="202">
        <v>0</v>
      </c>
      <c r="E48" s="202">
        <v>-22.957000000000001</v>
      </c>
      <c r="F48" s="202">
        <v>-14.260999999999999</v>
      </c>
    </row>
    <row r="49" spans="2:7" ht="15" x14ac:dyDescent="0.2">
      <c r="B49" s="46" t="s">
        <v>248</v>
      </c>
      <c r="C49" s="201" t="e">
        <f>SUM(#REF!)</f>
        <v>#REF!</v>
      </c>
      <c r="D49" s="459">
        <v>-15.003</v>
      </c>
      <c r="E49" s="460">
        <v>0</v>
      </c>
      <c r="F49" s="460">
        <v>0</v>
      </c>
    </row>
    <row r="50" spans="2:7" ht="12.75" x14ac:dyDescent="0.2">
      <c r="B50" s="45" t="s">
        <v>111</v>
      </c>
      <c r="C50" s="200" t="e">
        <f>SUM(#REF!)</f>
        <v>#REF!</v>
      </c>
      <c r="D50" s="200">
        <v>-1077.4100000000001</v>
      </c>
      <c r="E50" s="200">
        <v>-967.53700000000003</v>
      </c>
      <c r="F50" s="200">
        <v>1629.89</v>
      </c>
      <c r="G50" s="200"/>
    </row>
    <row r="51" spans="2:7" ht="13.5" thickBot="1" x14ac:dyDescent="0.25">
      <c r="B51" s="47" t="s">
        <v>110</v>
      </c>
      <c r="C51" s="101" t="e">
        <f>SUM(#REF!)</f>
        <v>#REF!</v>
      </c>
      <c r="D51" s="101">
        <v>2272.7179999999998</v>
      </c>
      <c r="E51" s="101">
        <v>2612.578</v>
      </c>
      <c r="F51" s="101">
        <v>3450.3679999999999</v>
      </c>
    </row>
    <row r="52" spans="2:7" x14ac:dyDescent="0.2">
      <c r="B52" s="38"/>
      <c r="C52" s="38"/>
      <c r="D52" s="38"/>
      <c r="E52" s="38"/>
      <c r="F52" s="38"/>
    </row>
    <row r="54" spans="2:7" x14ac:dyDescent="0.2">
      <c r="B54" s="37" t="s">
        <v>89</v>
      </c>
      <c r="C54" s="37"/>
    </row>
  </sheetData>
  <mergeCells count="1">
    <mergeCell ref="B2:F2"/>
  </mergeCells>
  <pageMargins left="0.2" right="0.2" top="0.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5E08-F207-4103-9B6F-D3050467C858}">
  <sheetPr>
    <tabColor theme="8" tint="0.39997558519241921"/>
    <outlinePr summaryBelow="0" summaryRight="0"/>
    <pageSetUpPr autoPageBreaks="0" fitToPage="1"/>
  </sheetPr>
  <dimension ref="B2:G9"/>
  <sheetViews>
    <sheetView showGridLines="0" view="pageBreakPreview" topLeftCell="B1" zoomScaleNormal="100" zoomScaleSheetLayoutView="100" workbookViewId="0">
      <selection activeCell="C5" sqref="C5:F8"/>
    </sheetView>
  </sheetViews>
  <sheetFormatPr defaultColWidth="9.140625" defaultRowHeight="11.25" x14ac:dyDescent="0.2"/>
  <cols>
    <col min="1" max="1" width="2.7109375" style="36" customWidth="1"/>
    <col min="2" max="2" width="45.85546875" style="36" customWidth="1"/>
    <col min="3" max="6" width="14.85546875" style="36" customWidth="1"/>
    <col min="7" max="16384" width="9.140625" style="36"/>
  </cols>
  <sheetData>
    <row r="2" spans="2:7" ht="12.75" x14ac:dyDescent="0.2">
      <c r="B2" s="338" t="s">
        <v>91</v>
      </c>
      <c r="C2" s="338"/>
      <c r="D2" s="338"/>
      <c r="E2" s="338"/>
      <c r="F2" s="338"/>
    </row>
    <row r="3" spans="2:7" ht="25.5" x14ac:dyDescent="0.2">
      <c r="B3" s="339" t="s">
        <v>0</v>
      </c>
      <c r="C3" s="340">
        <v>2016</v>
      </c>
      <c r="D3" s="340">
        <v>2017</v>
      </c>
      <c r="E3" s="340">
        <v>2018</v>
      </c>
      <c r="F3" s="340">
        <v>2019</v>
      </c>
    </row>
    <row r="4" spans="2:7" ht="12.75" x14ac:dyDescent="0.2">
      <c r="B4" s="339" t="s">
        <v>109</v>
      </c>
      <c r="C4" s="340" t="s">
        <v>108</v>
      </c>
      <c r="D4" s="340" t="s">
        <v>108</v>
      </c>
      <c r="E4" s="340" t="s">
        <v>108</v>
      </c>
      <c r="F4" s="340" t="s">
        <v>108</v>
      </c>
    </row>
    <row r="5" spans="2:7" ht="12.75" x14ac:dyDescent="0.2">
      <c r="B5" s="206" t="s">
        <v>131</v>
      </c>
      <c r="C5" s="461">
        <v>42.155999999999999</v>
      </c>
      <c r="D5" s="461">
        <v>35.198</v>
      </c>
      <c r="E5" s="461">
        <v>69.869</v>
      </c>
      <c r="F5" s="461">
        <v>125.7</v>
      </c>
      <c r="G5" s="90"/>
    </row>
    <row r="6" spans="2:7" ht="15" x14ac:dyDescent="0.2">
      <c r="B6" s="205"/>
      <c r="C6" s="462"/>
      <c r="D6" s="462"/>
      <c r="E6" s="462"/>
      <c r="F6" s="462"/>
    </row>
    <row r="7" spans="2:7" ht="15" x14ac:dyDescent="0.2">
      <c r="B7" s="206" t="s">
        <v>129</v>
      </c>
      <c r="C7" s="462"/>
      <c r="D7" s="462"/>
      <c r="E7" s="462"/>
      <c r="F7" s="462"/>
    </row>
    <row r="8" spans="2:7" ht="15" x14ac:dyDescent="0.2">
      <c r="B8" s="205" t="s">
        <v>128</v>
      </c>
      <c r="C8" s="463">
        <v>-30.079000000000001</v>
      </c>
      <c r="D8" s="463">
        <v>-27.939</v>
      </c>
      <c r="E8" s="463">
        <v>-29.283000000000001</v>
      </c>
      <c r="F8" s="463">
        <v>-67.596999999999994</v>
      </c>
      <c r="G8" s="90"/>
    </row>
    <row r="9" spans="2:7" x14ac:dyDescent="0.2">
      <c r="C9" s="38"/>
      <c r="D9" s="38"/>
      <c r="E9" s="38"/>
      <c r="F9" s="38"/>
    </row>
  </sheetData>
  <pageMargins left="0.2" right="0.2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2C0E-6308-453C-84AD-F0466FD0D8B4}">
  <sheetPr>
    <tabColor theme="9" tint="-0.499984740745262"/>
    <pageSetUpPr fitToPage="1"/>
  </sheetPr>
  <dimension ref="A1"/>
  <sheetViews>
    <sheetView showGridLines="0" view="pageBreakPreview" zoomScaleNormal="100" zoomScaleSheetLayoutView="100" workbookViewId="0">
      <selection activeCell="O22" sqref="O22"/>
    </sheetView>
  </sheetViews>
  <sheetFormatPr defaultColWidth="9.140625" defaultRowHeight="11.25" x14ac:dyDescent="0.2"/>
  <cols>
    <col min="1" max="16384" width="9.140625" style="36"/>
  </cols>
  <sheetData/>
  <pageMargins left="0.2" right="0.2" top="0.5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FDD5-FEA6-4984-9553-E10247D17D09}">
  <sheetPr>
    <tabColor theme="9" tint="0.39997558519241921"/>
    <pageSetUpPr fitToPage="1"/>
  </sheetPr>
  <dimension ref="A2:S78"/>
  <sheetViews>
    <sheetView showGridLines="0" view="pageBreakPreview" zoomScale="55" zoomScaleNormal="70" zoomScaleSheetLayoutView="55" workbookViewId="0">
      <selection activeCell="O48" sqref="O48"/>
    </sheetView>
  </sheetViews>
  <sheetFormatPr defaultColWidth="11.42578125" defaultRowHeight="15" customHeight="1" x14ac:dyDescent="0.2"/>
  <cols>
    <col min="1" max="1" width="2.5703125" style="3" customWidth="1"/>
    <col min="2" max="2" width="47" style="3" bestFit="1" customWidth="1"/>
    <col min="3" max="4" width="14.5703125" style="6" customWidth="1"/>
    <col min="5" max="12" width="14.5703125" style="3" customWidth="1"/>
    <col min="13" max="13" width="11.42578125" style="3" customWidth="1"/>
    <col min="14" max="14" width="22.42578125" style="3" bestFit="1" customWidth="1"/>
    <col min="15" max="15" width="12.140625" style="3" bestFit="1" customWidth="1"/>
    <col min="16" max="16" width="13.7109375" style="3" bestFit="1" customWidth="1"/>
    <col min="17" max="16384" width="11.42578125" style="3"/>
  </cols>
  <sheetData>
    <row r="2" spans="1:18" ht="15" customHeight="1" thickBot="1" x14ac:dyDescent="0.4">
      <c r="A2" s="3" t="s">
        <v>72</v>
      </c>
      <c r="B2" s="341" t="s">
        <v>18</v>
      </c>
      <c r="C2" s="342">
        <v>42735</v>
      </c>
      <c r="D2" s="342">
        <f t="shared" ref="D2:L2" si="0">EOMONTH(C2,12)</f>
        <v>43100</v>
      </c>
      <c r="E2" s="342">
        <f t="shared" si="0"/>
        <v>43465</v>
      </c>
      <c r="F2" s="342">
        <f t="shared" si="0"/>
        <v>43830</v>
      </c>
      <c r="G2" s="343">
        <f t="shared" si="0"/>
        <v>44196</v>
      </c>
      <c r="H2" s="343">
        <f t="shared" si="0"/>
        <v>44561</v>
      </c>
      <c r="I2" s="343">
        <f t="shared" si="0"/>
        <v>44926</v>
      </c>
      <c r="J2" s="343">
        <f t="shared" si="0"/>
        <v>45291</v>
      </c>
      <c r="K2" s="343">
        <f t="shared" si="0"/>
        <v>45657</v>
      </c>
      <c r="L2" s="344">
        <f t="shared" si="0"/>
        <v>46022</v>
      </c>
      <c r="N2" s="2"/>
      <c r="O2" s="2"/>
      <c r="P2" s="2"/>
      <c r="Q2" s="2"/>
    </row>
    <row r="3" spans="1:18" ht="15" customHeight="1" x14ac:dyDescent="0.3">
      <c r="B3" s="211" t="s">
        <v>19</v>
      </c>
      <c r="C3" s="93"/>
      <c r="D3" s="93"/>
      <c r="E3" s="94">
        <v>43342</v>
      </c>
      <c r="F3" s="94">
        <f>E3+365</f>
        <v>43707</v>
      </c>
      <c r="G3" s="94">
        <f>F3+365</f>
        <v>44072</v>
      </c>
      <c r="H3" s="94">
        <f>G3+365</f>
        <v>44437</v>
      </c>
      <c r="I3" s="94">
        <f>H3+365</f>
        <v>44802</v>
      </c>
      <c r="J3" s="94"/>
      <c r="K3" s="94"/>
      <c r="L3" s="235"/>
      <c r="M3" s="2"/>
      <c r="N3" s="2"/>
      <c r="O3" s="2"/>
      <c r="P3" s="2"/>
      <c r="Q3" s="2"/>
    </row>
    <row r="4" spans="1:18" ht="15" customHeight="1" x14ac:dyDescent="0.2">
      <c r="A4" s="3" t="s">
        <v>72</v>
      </c>
      <c r="B4" s="213" t="s">
        <v>1</v>
      </c>
      <c r="C4" s="354">
        <f>'PSN Income Statement'!C7</f>
        <v>3039.1909999999998</v>
      </c>
      <c r="D4" s="354">
        <f>'PSN Income Statement'!D7</f>
        <v>3017.011</v>
      </c>
      <c r="E4" s="354">
        <f>'PSN Income Statement'!E7</f>
        <v>3560.5079999999998</v>
      </c>
      <c r="F4" s="354">
        <f>'PSN Income Statement'!F7</f>
        <v>3954.8119999999999</v>
      </c>
      <c r="G4" s="354">
        <f>F4*(1+G5)</f>
        <v>4013.7386987999994</v>
      </c>
      <c r="H4" s="354">
        <f>G4*(1+H5)</f>
        <v>4314.367727340119</v>
      </c>
      <c r="I4" s="354">
        <f t="shared" ref="I4:L4" si="1">H4*(1+I5)</f>
        <v>4616.373468253928</v>
      </c>
      <c r="J4" s="354">
        <f t="shared" si="1"/>
        <v>4939.5196110317029</v>
      </c>
      <c r="K4" s="354">
        <f t="shared" si="1"/>
        <v>5285.2859838039221</v>
      </c>
      <c r="L4" s="355">
        <f t="shared" si="1"/>
        <v>5655.2560026701967</v>
      </c>
      <c r="M4" s="36"/>
      <c r="N4" s="36"/>
      <c r="O4" s="36"/>
      <c r="P4" s="36"/>
      <c r="Q4" s="36"/>
    </row>
    <row r="5" spans="1:18" s="91" customFormat="1" ht="15" customHeight="1" x14ac:dyDescent="0.25">
      <c r="B5" s="236" t="s">
        <v>20</v>
      </c>
      <c r="C5" s="356"/>
      <c r="D5" s="356">
        <f>(D4-C4)/C4</f>
        <v>-7.2979947624219202E-3</v>
      </c>
      <c r="E5" s="357">
        <f>(E4-D4)/D4</f>
        <v>0.18014418906659599</v>
      </c>
      <c r="F5" s="357">
        <f>(F4-E4)/E4</f>
        <v>0.11074374780227993</v>
      </c>
      <c r="G5" s="357">
        <v>1.49E-2</v>
      </c>
      <c r="H5" s="357">
        <v>7.4899999999999994E-2</v>
      </c>
      <c r="I5" s="357">
        <v>7.0000000000000007E-2</v>
      </c>
      <c r="J5" s="357">
        <v>7.0000000000000007E-2</v>
      </c>
      <c r="K5" s="357">
        <v>7.0000000000000007E-2</v>
      </c>
      <c r="L5" s="358">
        <v>7.0000000000000007E-2</v>
      </c>
      <c r="M5" s="154"/>
      <c r="N5" s="154"/>
      <c r="O5" s="154"/>
      <c r="P5" s="154"/>
      <c r="Q5" s="154"/>
    </row>
    <row r="6" spans="1:18" ht="15" customHeight="1" x14ac:dyDescent="0.3">
      <c r="B6" s="218" t="s">
        <v>99</v>
      </c>
      <c r="C6" s="97">
        <f>'PSN Income Statement'!C11</f>
        <v>-2431.1930000000002</v>
      </c>
      <c r="D6" s="97">
        <f>'PSN Income Statement'!D11</f>
        <v>-2400.14</v>
      </c>
      <c r="E6" s="97">
        <f>'PSN Income Statement'!E11</f>
        <v>-2795.0050000000001</v>
      </c>
      <c r="F6" s="97">
        <f>'PSN Income Statement'!F11</f>
        <v>-3123.0619999999999</v>
      </c>
      <c r="G6" s="97">
        <f>-G4*G7</f>
        <v>-3170.8535720519994</v>
      </c>
      <c r="H6" s="97">
        <f t="shared" ref="H6:L6" si="2">-H4*H7</f>
        <v>-3322.0631500518916</v>
      </c>
      <c r="I6" s="97">
        <f t="shared" si="2"/>
        <v>-3554.6075705555245</v>
      </c>
      <c r="J6" s="97">
        <f t="shared" si="2"/>
        <v>-3803.4301004944114</v>
      </c>
      <c r="K6" s="97">
        <f t="shared" si="2"/>
        <v>-4069.67020752902</v>
      </c>
      <c r="L6" s="237">
        <f t="shared" si="2"/>
        <v>-4354.5471220560512</v>
      </c>
      <c r="M6" s="36"/>
      <c r="N6" s="36"/>
      <c r="O6" s="36"/>
      <c r="P6" s="36"/>
      <c r="Q6" s="36"/>
    </row>
    <row r="7" spans="1:18" s="91" customFormat="1" ht="15" customHeight="1" x14ac:dyDescent="0.25">
      <c r="B7" s="236" t="s">
        <v>22</v>
      </c>
      <c r="C7" s="357">
        <f>-C6/C4</f>
        <v>0.79994742021807785</v>
      </c>
      <c r="D7" s="357">
        <f>-D6/D4</f>
        <v>0.7955357139897733</v>
      </c>
      <c r="E7" s="357">
        <f>-E6/E4</f>
        <v>0.78500174694172864</v>
      </c>
      <c r="F7" s="357">
        <f>-F6/F4</f>
        <v>0.789686589400457</v>
      </c>
      <c r="G7" s="357">
        <v>0.79</v>
      </c>
      <c r="H7" s="357">
        <v>0.77</v>
      </c>
      <c r="I7" s="357">
        <v>0.77</v>
      </c>
      <c r="J7" s="357">
        <v>0.77</v>
      </c>
      <c r="K7" s="357">
        <v>0.77</v>
      </c>
      <c r="L7" s="358">
        <v>0.77</v>
      </c>
      <c r="M7" s="154"/>
      <c r="N7" s="154"/>
      <c r="O7" s="92"/>
      <c r="P7" s="154"/>
      <c r="Q7" s="154"/>
    </row>
    <row r="8" spans="1:18" ht="15" customHeight="1" x14ac:dyDescent="0.2">
      <c r="A8" s="3" t="s">
        <v>72</v>
      </c>
      <c r="B8" s="213" t="s">
        <v>2</v>
      </c>
      <c r="C8" s="359">
        <f t="shared" ref="C8:L8" si="3">C4+C6</f>
        <v>607.99799999999959</v>
      </c>
      <c r="D8" s="359">
        <f t="shared" si="3"/>
        <v>616.87100000000009</v>
      </c>
      <c r="E8" s="359">
        <f t="shared" si="3"/>
        <v>765.5029999999997</v>
      </c>
      <c r="F8" s="359">
        <f t="shared" si="3"/>
        <v>831.75</v>
      </c>
      <c r="G8" s="359">
        <f t="shared" si="3"/>
        <v>842.88512674799995</v>
      </c>
      <c r="H8" s="359">
        <f t="shared" si="3"/>
        <v>992.30457728822739</v>
      </c>
      <c r="I8" s="359">
        <f t="shared" si="3"/>
        <v>1061.7658976984035</v>
      </c>
      <c r="J8" s="359">
        <f t="shared" si="3"/>
        <v>1136.0895105372915</v>
      </c>
      <c r="K8" s="359">
        <f t="shared" si="3"/>
        <v>1215.6157762749021</v>
      </c>
      <c r="L8" s="360">
        <f t="shared" si="3"/>
        <v>1300.7088806141455</v>
      </c>
      <c r="M8" s="36"/>
      <c r="N8" s="36"/>
      <c r="O8" s="36"/>
      <c r="P8" s="36"/>
      <c r="Q8" s="36"/>
    </row>
    <row r="9" spans="1:18" ht="15" customHeight="1" x14ac:dyDescent="0.3">
      <c r="B9" s="218" t="s">
        <v>102</v>
      </c>
      <c r="C9" s="97">
        <f>'PSN Income Statement'!C12</f>
        <v>-522.91999999999996</v>
      </c>
      <c r="D9" s="97">
        <f>'PSN Income Statement'!D12</f>
        <v>-506.255</v>
      </c>
      <c r="E9" s="97">
        <f>'PSN Income Statement'!E12</f>
        <v>-597.41</v>
      </c>
      <c r="F9" s="97">
        <f>'PSN Income Statement'!F12</f>
        <v>-781.40800000000002</v>
      </c>
      <c r="G9" s="97">
        <f t="shared" ref="G9:L9" si="4">-G4*G10</f>
        <v>-738.52792057919987</v>
      </c>
      <c r="H9" s="97">
        <f t="shared" si="4"/>
        <v>-789.5292941032418</v>
      </c>
      <c r="I9" s="97">
        <f t="shared" si="4"/>
        <v>-844.7963446904688</v>
      </c>
      <c r="J9" s="97">
        <f t="shared" si="4"/>
        <v>-913.31717607976191</v>
      </c>
      <c r="K9" s="97">
        <f t="shared" si="4"/>
        <v>-977.24937840534528</v>
      </c>
      <c r="L9" s="237">
        <f t="shared" si="4"/>
        <v>-1023.6013364833055</v>
      </c>
      <c r="M9" s="36"/>
      <c r="N9" s="36"/>
      <c r="O9" s="36"/>
      <c r="P9" s="36"/>
      <c r="Q9" s="36"/>
      <c r="R9" s="4"/>
    </row>
    <row r="10" spans="1:18" ht="15" customHeight="1" x14ac:dyDescent="0.25">
      <c r="B10" s="236" t="s">
        <v>63</v>
      </c>
      <c r="C10" s="357">
        <f>-C9/C4</f>
        <v>0.17205894594976098</v>
      </c>
      <c r="D10" s="357">
        <f>-D9/D4</f>
        <v>0.16780018369173993</v>
      </c>
      <c r="E10" s="357">
        <f>-E9/E4</f>
        <v>0.16778785499147875</v>
      </c>
      <c r="F10" s="357">
        <f>-F9/F4</f>
        <v>0.19758410766428341</v>
      </c>
      <c r="G10" s="357">
        <v>0.184</v>
      </c>
      <c r="H10" s="357">
        <v>0.183</v>
      </c>
      <c r="I10" s="357">
        <v>0.183</v>
      </c>
      <c r="J10" s="357">
        <v>0.18490000000000001</v>
      </c>
      <c r="K10" s="357">
        <v>0.18490000000000001</v>
      </c>
      <c r="L10" s="358">
        <v>0.18099999999999999</v>
      </c>
      <c r="M10" s="41"/>
      <c r="N10" s="152"/>
      <c r="O10" s="152"/>
      <c r="P10" s="152"/>
      <c r="Q10" s="152"/>
      <c r="R10" s="4"/>
    </row>
    <row r="11" spans="1:18" ht="15" customHeight="1" x14ac:dyDescent="0.3">
      <c r="B11" s="218" t="s">
        <v>270</v>
      </c>
      <c r="C11" s="97">
        <f>'PSN Income Statement'!C13+'PSN Income Statement'!C16+'PSN Income Statement'!C17</f>
        <v>-48.330999999999989</v>
      </c>
      <c r="D11" s="97">
        <f>'PSN Income Statement'!D13+'PSN Income Statement'!D16+'PSN Income Statement'!D17</f>
        <v>45.744</v>
      </c>
      <c r="E11" s="97">
        <f>'PSN Income Statement'!E13+'PSN Income Statement'!E16+'PSN Income Statement'!E17</f>
        <v>35.263999999999996</v>
      </c>
      <c r="F11" s="97">
        <f>'PSN Income Statement'!F13+'PSN Income Statement'!F16+'PSN Income Statement'!F17</f>
        <v>39.328999999999994</v>
      </c>
      <c r="G11" s="97">
        <f t="shared" ref="G11:L11" si="5">-G4*G12</f>
        <v>20.068693493999998</v>
      </c>
      <c r="H11" s="97">
        <f t="shared" si="5"/>
        <v>21.571838636700594</v>
      </c>
      <c r="I11" s="97">
        <f t="shared" si="5"/>
        <v>23.081867341269639</v>
      </c>
      <c r="J11" s="97">
        <f t="shared" si="5"/>
        <v>24.697598055158515</v>
      </c>
      <c r="K11" s="97">
        <f t="shared" si="5"/>
        <v>26.426429919019611</v>
      </c>
      <c r="L11" s="237">
        <f t="shared" si="5"/>
        <v>28.276280013350984</v>
      </c>
      <c r="M11" s="153"/>
      <c r="N11" s="152"/>
      <c r="O11" s="152"/>
      <c r="P11" s="152"/>
      <c r="Q11" s="152"/>
      <c r="R11" s="4"/>
    </row>
    <row r="12" spans="1:18" ht="15" customHeight="1" x14ac:dyDescent="0.25">
      <c r="A12" s="3" t="s">
        <v>72</v>
      </c>
      <c r="B12" s="236" t="s">
        <v>269</v>
      </c>
      <c r="C12" s="357">
        <f>-C11/C4</f>
        <v>1.5902587234563406E-2</v>
      </c>
      <c r="D12" s="357">
        <f>-D11/D4</f>
        <v>-1.5162026257113414E-2</v>
      </c>
      <c r="E12" s="357">
        <f>-E11/E4</f>
        <v>-9.9042046809050838E-3</v>
      </c>
      <c r="F12" s="357">
        <f>-F11/F4</f>
        <v>-9.9445940793140095E-3</v>
      </c>
      <c r="G12" s="357">
        <v>-5.0000000000000001E-3</v>
      </c>
      <c r="H12" s="357">
        <v>-5.0000000000000001E-3</v>
      </c>
      <c r="I12" s="357">
        <v>-5.0000000000000001E-3</v>
      </c>
      <c r="J12" s="357">
        <v>-5.0000000000000001E-3</v>
      </c>
      <c r="K12" s="357">
        <v>-5.0000000000000001E-3</v>
      </c>
      <c r="L12" s="358">
        <v>-5.0000000000000001E-3</v>
      </c>
      <c r="M12" s="2"/>
      <c r="N12" s="2"/>
      <c r="O12" s="2"/>
      <c r="P12" s="2"/>
      <c r="Q12" s="2"/>
    </row>
    <row r="13" spans="1:18" ht="15" customHeight="1" x14ac:dyDescent="0.2">
      <c r="B13" s="213" t="s">
        <v>4</v>
      </c>
      <c r="C13" s="96">
        <f t="shared" ref="C13:L13" si="6">C8+C9+C11</f>
        <v>36.746999999999645</v>
      </c>
      <c r="D13" s="96">
        <f t="shared" si="6"/>
        <v>156.3600000000001</v>
      </c>
      <c r="E13" s="96">
        <f t="shared" si="6"/>
        <v>203.35699999999974</v>
      </c>
      <c r="F13" s="96">
        <f t="shared" si="6"/>
        <v>89.670999999999978</v>
      </c>
      <c r="G13" s="96">
        <f t="shared" si="6"/>
        <v>124.42589966280008</v>
      </c>
      <c r="H13" s="96">
        <f t="shared" si="6"/>
        <v>224.34712182168619</v>
      </c>
      <c r="I13" s="96">
        <f t="shared" si="6"/>
        <v>240.05142034920431</v>
      </c>
      <c r="J13" s="96">
        <f t="shared" si="6"/>
        <v>247.46993251268813</v>
      </c>
      <c r="K13" s="96">
        <f t="shared" si="6"/>
        <v>264.79282778857646</v>
      </c>
      <c r="L13" s="238">
        <f t="shared" si="6"/>
        <v>305.38382414419095</v>
      </c>
      <c r="M13" s="2"/>
      <c r="N13" s="2"/>
      <c r="O13" s="2"/>
      <c r="P13" s="2"/>
      <c r="Q13" s="2"/>
    </row>
    <row r="14" spans="1:18" ht="15" customHeight="1" x14ac:dyDescent="0.3">
      <c r="B14" s="239" t="s">
        <v>130</v>
      </c>
      <c r="C14" s="97">
        <f>'PSN Income Statement'!C14+'PSN Income Statement'!C15</f>
        <v>-15.319000000000001</v>
      </c>
      <c r="D14" s="97">
        <f>'PSN Income Statement'!D14+'PSN Income Statement'!D15</f>
        <v>-13.333</v>
      </c>
      <c r="E14" s="97">
        <f>'PSN Income Statement'!E14+'PSN Income Statement'!E15</f>
        <v>-18.131999999999998</v>
      </c>
      <c r="F14" s="97">
        <f>'PSN Income Statement'!F14+'PSN Income Statement'!F15</f>
        <v>-22.428999999999998</v>
      </c>
      <c r="G14" s="97">
        <v>-14.5</v>
      </c>
      <c r="H14" s="97">
        <v>-14.5</v>
      </c>
      <c r="I14" s="97">
        <v>-14.5</v>
      </c>
      <c r="J14" s="97">
        <v>-14.5</v>
      </c>
      <c r="K14" s="97">
        <v>-14.5</v>
      </c>
      <c r="L14" s="237">
        <v>-14.5</v>
      </c>
      <c r="M14" s="2"/>
      <c r="N14" s="2"/>
      <c r="O14" s="2"/>
      <c r="P14" s="2"/>
      <c r="Q14" s="2"/>
    </row>
    <row r="15" spans="1:18" ht="15" customHeight="1" x14ac:dyDescent="0.3">
      <c r="B15" s="239" t="s">
        <v>73</v>
      </c>
      <c r="C15" s="97">
        <f t="shared" ref="C15:L15" si="7">C13+C14</f>
        <v>21.427999999999642</v>
      </c>
      <c r="D15" s="97">
        <f t="shared" si="7"/>
        <v>143.0270000000001</v>
      </c>
      <c r="E15" s="97">
        <f t="shared" si="7"/>
        <v>185.22499999999974</v>
      </c>
      <c r="F15" s="97">
        <f>F13+F14</f>
        <v>67.241999999999976</v>
      </c>
      <c r="G15" s="97">
        <f t="shared" si="7"/>
        <v>109.92589966280008</v>
      </c>
      <c r="H15" s="97">
        <f t="shared" si="7"/>
        <v>209.84712182168619</v>
      </c>
      <c r="I15" s="97">
        <f t="shared" si="7"/>
        <v>225.55142034920431</v>
      </c>
      <c r="J15" s="97">
        <f t="shared" si="7"/>
        <v>232.96993251268813</v>
      </c>
      <c r="K15" s="97">
        <f t="shared" si="7"/>
        <v>250.29282778857646</v>
      </c>
      <c r="L15" s="237">
        <f t="shared" si="7"/>
        <v>290.88382414419095</v>
      </c>
      <c r="M15" s="2"/>
      <c r="N15" s="2"/>
      <c r="O15" s="2"/>
      <c r="P15" s="2"/>
      <c r="Q15" s="2"/>
    </row>
    <row r="16" spans="1:18" ht="15" customHeight="1" x14ac:dyDescent="0.3">
      <c r="B16" s="239" t="s">
        <v>100</v>
      </c>
      <c r="C16" s="97">
        <f>'PSN Income Statement'!C22</f>
        <v>-13.992000000000001</v>
      </c>
      <c r="D16" s="97">
        <f>'PSN Income Statement'!D22</f>
        <v>-21.463999999999999</v>
      </c>
      <c r="E16" s="97">
        <f>'PSN Income Statement'!E22</f>
        <v>-20.367000000000001</v>
      </c>
      <c r="F16" s="97">
        <f>'PSN Income Statement'!F22</f>
        <v>69.866</v>
      </c>
      <c r="G16" s="97">
        <f t="shared" ref="G16:L16" si="8">-G13*G17</f>
        <v>-26.129438929188016</v>
      </c>
      <c r="H16" s="97">
        <f t="shared" si="8"/>
        <v>-48.212196479480362</v>
      </c>
      <c r="I16" s="97">
        <f t="shared" si="8"/>
        <v>-51.58705023304401</v>
      </c>
      <c r="J16" s="97">
        <f t="shared" si="8"/>
        <v>-53.181288496976684</v>
      </c>
      <c r="K16" s="97">
        <f t="shared" si="8"/>
        <v>-56.903978691765083</v>
      </c>
      <c r="L16" s="237">
        <f t="shared" si="8"/>
        <v>-65.626983808586644</v>
      </c>
      <c r="M16" s="2"/>
      <c r="N16" s="2"/>
      <c r="O16" s="2"/>
      <c r="P16" s="2"/>
      <c r="Q16" s="2"/>
    </row>
    <row r="17" spans="1:19" ht="15" customHeight="1" x14ac:dyDescent="0.25">
      <c r="A17" s="3" t="s">
        <v>72</v>
      </c>
      <c r="B17" s="236" t="s">
        <v>23</v>
      </c>
      <c r="C17" s="356">
        <f>C16/C15</f>
        <v>-0.65297741273101706</v>
      </c>
      <c r="D17" s="356">
        <f>D16/D15</f>
        <v>-0.15006956728449861</v>
      </c>
      <c r="E17" s="357">
        <f>E16/E15</f>
        <v>-0.10995815899581605</v>
      </c>
      <c r="F17" s="357">
        <f>F16/F15</f>
        <v>1.0390232295291637</v>
      </c>
      <c r="G17" s="357">
        <v>0.21</v>
      </c>
      <c r="H17" s="357">
        <v>0.21490000000000001</v>
      </c>
      <c r="I17" s="357">
        <v>0.21490000000000001</v>
      </c>
      <c r="J17" s="357">
        <v>0.21490000000000001</v>
      </c>
      <c r="K17" s="357">
        <v>0.21490000000000001</v>
      </c>
      <c r="L17" s="357">
        <v>0.21490000000000001</v>
      </c>
      <c r="M17" s="2"/>
      <c r="N17" s="2"/>
      <c r="O17" s="2"/>
      <c r="P17" s="2"/>
      <c r="Q17" s="2"/>
    </row>
    <row r="18" spans="1:19" ht="15" customHeight="1" x14ac:dyDescent="0.3">
      <c r="B18" s="239" t="s">
        <v>147</v>
      </c>
      <c r="C18" s="97">
        <f t="shared" ref="C18:L18" si="9">C13+C16</f>
        <v>22.754999999999644</v>
      </c>
      <c r="D18" s="97">
        <f t="shared" si="9"/>
        <v>134.8960000000001</v>
      </c>
      <c r="E18" s="97">
        <f t="shared" si="9"/>
        <v>182.98999999999975</v>
      </c>
      <c r="F18" s="97">
        <f t="shared" si="9"/>
        <v>159.53699999999998</v>
      </c>
      <c r="G18" s="97">
        <f t="shared" si="9"/>
        <v>98.296460733612065</v>
      </c>
      <c r="H18" s="97">
        <f t="shared" si="9"/>
        <v>176.13492534220583</v>
      </c>
      <c r="I18" s="97">
        <f t="shared" si="9"/>
        <v>188.4643701161603</v>
      </c>
      <c r="J18" s="97">
        <f t="shared" si="9"/>
        <v>194.28864401571144</v>
      </c>
      <c r="K18" s="97">
        <f t="shared" si="9"/>
        <v>207.88884909681138</v>
      </c>
      <c r="L18" s="237">
        <f t="shared" si="9"/>
        <v>239.75684033560429</v>
      </c>
      <c r="M18" s="2"/>
      <c r="N18" s="2"/>
      <c r="O18" s="2"/>
      <c r="P18" s="2"/>
      <c r="Q18" s="2"/>
    </row>
    <row r="19" spans="1:19" ht="15" customHeight="1" x14ac:dyDescent="0.3">
      <c r="B19" s="218"/>
      <c r="C19" s="361"/>
      <c r="D19" s="361"/>
      <c r="E19" s="361"/>
      <c r="F19" s="362"/>
      <c r="G19" s="362"/>
      <c r="H19" s="362"/>
      <c r="I19" s="362"/>
      <c r="J19" s="362"/>
      <c r="K19" s="362"/>
      <c r="L19" s="363"/>
      <c r="M19" s="150"/>
      <c r="N19" s="2"/>
      <c r="O19" s="2"/>
      <c r="P19" s="2"/>
      <c r="Q19" s="2"/>
    </row>
    <row r="20" spans="1:19" ht="15" customHeight="1" x14ac:dyDescent="0.3">
      <c r="B20" s="239" t="s">
        <v>156</v>
      </c>
      <c r="C20" s="364">
        <f>'PSN Cash Flow'!C5</f>
        <v>42.155999999999999</v>
      </c>
      <c r="D20" s="364">
        <f>'PSN Cash Flow'!D5</f>
        <v>35.198</v>
      </c>
      <c r="E20" s="364">
        <f>'PSN Cash Flow'!E5</f>
        <v>69.869</v>
      </c>
      <c r="F20" s="364">
        <f>'PSN Cash Flow'!F5</f>
        <v>125.7</v>
      </c>
      <c r="G20" s="364">
        <f t="shared" ref="G20:L20" si="10">G4*G21</f>
        <v>99.942093600119975</v>
      </c>
      <c r="H20" s="97">
        <f t="shared" si="10"/>
        <v>86.287354546802376</v>
      </c>
      <c r="I20" s="97">
        <f t="shared" si="10"/>
        <v>83.094722428570691</v>
      </c>
      <c r="J20" s="97">
        <f t="shared" si="10"/>
        <v>74.092794165475539</v>
      </c>
      <c r="K20" s="97">
        <f t="shared" si="10"/>
        <v>79.279289757058834</v>
      </c>
      <c r="L20" s="237">
        <f t="shared" si="10"/>
        <v>56.552560026701968</v>
      </c>
      <c r="M20" s="2"/>
      <c r="N20" s="2"/>
      <c r="O20" s="2"/>
      <c r="P20" s="2"/>
      <c r="Q20" s="2"/>
    </row>
    <row r="21" spans="1:19" ht="15" customHeight="1" x14ac:dyDescent="0.25">
      <c r="B21" s="236" t="s">
        <v>44</v>
      </c>
      <c r="C21" s="357">
        <f>C20/C4</f>
        <v>1.3870796537631232E-2</v>
      </c>
      <c r="D21" s="357">
        <f>D20/D4</f>
        <v>1.1666513645459032E-2</v>
      </c>
      <c r="E21" s="357">
        <f>E20/E4</f>
        <v>1.9623323413400562E-2</v>
      </c>
      <c r="F21" s="357">
        <f>F20/F4</f>
        <v>3.1784064577532384E-2</v>
      </c>
      <c r="G21" s="357">
        <v>2.4899999999999999E-2</v>
      </c>
      <c r="H21" s="365">
        <v>0.02</v>
      </c>
      <c r="I21" s="365">
        <v>1.7999999999999999E-2</v>
      </c>
      <c r="J21" s="365">
        <v>1.4999999999999999E-2</v>
      </c>
      <c r="K21" s="365">
        <v>1.4999999999999999E-2</v>
      </c>
      <c r="L21" s="366">
        <v>0.01</v>
      </c>
      <c r="M21" s="2"/>
      <c r="N21" s="2"/>
      <c r="O21" s="2"/>
      <c r="P21" s="2"/>
      <c r="Q21" s="2"/>
    </row>
    <row r="22" spans="1:19" ht="15" customHeight="1" x14ac:dyDescent="0.3">
      <c r="B22" s="239" t="s">
        <v>101</v>
      </c>
      <c r="C22" s="364">
        <f>'PSN Cash Flow'!C8</f>
        <v>-30.079000000000001</v>
      </c>
      <c r="D22" s="364">
        <f>'PSN Cash Flow'!D8</f>
        <v>-27.939</v>
      </c>
      <c r="E22" s="364">
        <f>'PSN Cash Flow'!E8</f>
        <v>-29.283000000000001</v>
      </c>
      <c r="F22" s="364">
        <f>'PSN Cash Flow'!F8</f>
        <v>-67.596999999999994</v>
      </c>
      <c r="G22" s="364">
        <f t="shared" ref="G22:L22" si="11">-G4*G23</f>
        <v>-20.068693493999998</v>
      </c>
      <c r="H22" s="97">
        <f t="shared" si="11"/>
        <v>-21.571838636700594</v>
      </c>
      <c r="I22" s="97">
        <f t="shared" si="11"/>
        <v>-46.163734682539278</v>
      </c>
      <c r="J22" s="97">
        <f t="shared" si="11"/>
        <v>-34.57663727722192</v>
      </c>
      <c r="K22" s="97">
        <f t="shared" si="11"/>
        <v>-36.997001886627459</v>
      </c>
      <c r="L22" s="237">
        <f t="shared" si="11"/>
        <v>-28.276280013350984</v>
      </c>
      <c r="M22" s="2"/>
      <c r="N22" s="2"/>
      <c r="O22" s="2"/>
      <c r="P22" s="2"/>
      <c r="Q22" s="2"/>
    </row>
    <row r="23" spans="1:19" ht="15" customHeight="1" x14ac:dyDescent="0.25">
      <c r="B23" s="236" t="s">
        <v>24</v>
      </c>
      <c r="C23" s="357">
        <f>-C22/C4</f>
        <v>9.8970416798417737E-3</v>
      </c>
      <c r="D23" s="357">
        <f>-D22/D4</f>
        <v>9.2604899352372264E-3</v>
      </c>
      <c r="E23" s="357">
        <f>-E22/E4</f>
        <v>8.2243882052785728E-3</v>
      </c>
      <c r="F23" s="357">
        <f>-F22/F4</f>
        <v>1.7092342189717235E-2</v>
      </c>
      <c r="G23" s="357">
        <v>5.0000000000000001E-3</v>
      </c>
      <c r="H23" s="365">
        <v>5.0000000000000001E-3</v>
      </c>
      <c r="I23" s="365">
        <v>0.01</v>
      </c>
      <c r="J23" s="365">
        <v>7.0000000000000001E-3</v>
      </c>
      <c r="K23" s="365">
        <v>7.0000000000000001E-3</v>
      </c>
      <c r="L23" s="366">
        <v>5.0000000000000001E-3</v>
      </c>
      <c r="M23" s="2"/>
      <c r="N23" s="2"/>
      <c r="O23" s="2"/>
      <c r="P23" s="2"/>
      <c r="Q23" s="2"/>
    </row>
    <row r="24" spans="1:19" ht="15" customHeight="1" x14ac:dyDescent="0.3">
      <c r="B24" s="239" t="s">
        <v>203</v>
      </c>
      <c r="C24" s="97" t="s">
        <v>221</v>
      </c>
      <c r="D24" s="97" t="s">
        <v>221</v>
      </c>
      <c r="E24" s="97">
        <f t="shared" ref="E24:L24" si="12">D78</f>
        <v>-80.600000000000193</v>
      </c>
      <c r="F24" s="97">
        <f t="shared" si="12"/>
        <v>-133.85095999999982</v>
      </c>
      <c r="G24" s="97">
        <f t="shared" si="12"/>
        <v>-74.339601514754804</v>
      </c>
      <c r="H24" s="97">
        <f t="shared" si="12"/>
        <v>-53.659041303159768</v>
      </c>
      <c r="I24" s="97">
        <f t="shared" si="12"/>
        <v>-30.707986879793538</v>
      </c>
      <c r="J24" s="97">
        <f t="shared" si="12"/>
        <v>-25.849383235487778</v>
      </c>
      <c r="K24" s="97">
        <f t="shared" si="12"/>
        <v>-21.853422663126793</v>
      </c>
      <c r="L24" s="237">
        <f t="shared" si="12"/>
        <v>-20.079382833928946</v>
      </c>
      <c r="N24" s="2"/>
      <c r="O24" s="231" t="s">
        <v>218</v>
      </c>
      <c r="P24" s="232">
        <v>44106</v>
      </c>
      <c r="Q24" s="2"/>
    </row>
    <row r="25" spans="1:19" ht="15" customHeight="1" x14ac:dyDescent="0.3">
      <c r="A25" s="3" t="s">
        <v>72</v>
      </c>
      <c r="B25" s="236"/>
      <c r="C25" s="357"/>
      <c r="D25" s="357"/>
      <c r="E25" s="356"/>
      <c r="F25" s="356">
        <f t="shared" ref="F25:L25" si="13">(F24-E24)/E24</f>
        <v>0.66068188585607313</v>
      </c>
      <c r="G25" s="356">
        <f t="shared" si="13"/>
        <v>-0.44460912708616429</v>
      </c>
      <c r="H25" s="356">
        <f t="shared" si="13"/>
        <v>-0.27819035601758496</v>
      </c>
      <c r="I25" s="357">
        <f t="shared" si="13"/>
        <v>-0.42772017289125019</v>
      </c>
      <c r="J25" s="356">
        <f t="shared" si="13"/>
        <v>-0.15821954279597589</v>
      </c>
      <c r="K25" s="357">
        <f t="shared" si="13"/>
        <v>-0.15458630234840812</v>
      </c>
      <c r="L25" s="358">
        <f t="shared" si="13"/>
        <v>-8.1179038018203808E-2</v>
      </c>
      <c r="N25" s="2"/>
      <c r="O25" s="218" t="s">
        <v>88</v>
      </c>
      <c r="P25" s="233">
        <v>44561</v>
      </c>
      <c r="Q25" s="2"/>
    </row>
    <row r="26" spans="1:19" ht="15" customHeight="1" x14ac:dyDescent="0.3">
      <c r="B26" s="213" t="s">
        <v>25</v>
      </c>
      <c r="C26" s="95">
        <f>C18+C20+C22</f>
        <v>34.831999999999645</v>
      </c>
      <c r="D26" s="95">
        <f>D18+D20+D22</f>
        <v>142.15500000000011</v>
      </c>
      <c r="E26" s="95">
        <f t="shared" ref="E26:J26" si="14">E18+E20+E22+E24</f>
        <v>142.97599999999954</v>
      </c>
      <c r="F26" s="95">
        <f t="shared" si="14"/>
        <v>83.78904000000017</v>
      </c>
      <c r="G26" s="95">
        <f t="shared" si="14"/>
        <v>103.83025932497725</v>
      </c>
      <c r="H26" s="95">
        <f t="shared" si="14"/>
        <v>187.19139994914786</v>
      </c>
      <c r="I26" s="95">
        <f t="shared" si="14"/>
        <v>194.68737098239819</v>
      </c>
      <c r="J26" s="95">
        <f t="shared" si="14"/>
        <v>207.95541766847728</v>
      </c>
      <c r="K26" s="95">
        <f>K20+K22+K24+K18</f>
        <v>228.31771430411595</v>
      </c>
      <c r="L26" s="240">
        <f>L18+L20+L22+L24</f>
        <v>247.95373751502638</v>
      </c>
      <c r="N26" s="2"/>
      <c r="O26" s="218"/>
      <c r="P26" s="233">
        <v>44926</v>
      </c>
      <c r="Q26" s="2"/>
    </row>
    <row r="27" spans="1:19" ht="15" customHeight="1" x14ac:dyDescent="0.3">
      <c r="B27" s="239"/>
      <c r="C27" s="352"/>
      <c r="D27" s="352"/>
      <c r="E27" s="352"/>
      <c r="F27" s="352"/>
      <c r="G27" s="352"/>
      <c r="H27" s="352"/>
      <c r="I27" s="352"/>
      <c r="J27" s="361"/>
      <c r="K27" s="361"/>
      <c r="L27" s="367"/>
      <c r="N27" s="2"/>
      <c r="O27" s="218"/>
      <c r="P27" s="233">
        <v>45291</v>
      </c>
      <c r="Q27" s="2"/>
    </row>
    <row r="28" spans="1:19" ht="15" customHeight="1" x14ac:dyDescent="0.3">
      <c r="B28" s="239" t="s">
        <v>74</v>
      </c>
      <c r="C28" s="361"/>
      <c r="D28" s="361"/>
      <c r="E28" s="361"/>
      <c r="F28" s="361"/>
      <c r="G28" s="361"/>
      <c r="H28" s="357">
        <f>YEARFRAC(P24,P25)</f>
        <v>1.2472222222222222</v>
      </c>
      <c r="I28" s="357">
        <f>YEARFRAC(P24,P26)</f>
        <v>2.2472222222222222</v>
      </c>
      <c r="J28" s="357">
        <f>YEARFRAC(P24,P27)</f>
        <v>3.2472222222222222</v>
      </c>
      <c r="K28" s="357">
        <f>YEARFRAC(P24,P28)</f>
        <v>4.2472222222222218</v>
      </c>
      <c r="L28" s="358">
        <f>YEARFRAC(P24,P29)</f>
        <v>5.2472222222222218</v>
      </c>
      <c r="N28" s="150"/>
      <c r="O28" s="218"/>
      <c r="P28" s="233">
        <v>45657</v>
      </c>
      <c r="Q28" s="2"/>
    </row>
    <row r="29" spans="1:19" ht="15" customHeight="1" x14ac:dyDescent="0.3">
      <c r="B29" s="239" t="s">
        <v>75</v>
      </c>
      <c r="C29" s="361"/>
      <c r="D29" s="361"/>
      <c r="E29" s="361"/>
      <c r="F29" s="361"/>
      <c r="G29" s="361"/>
      <c r="H29" s="362">
        <v>1</v>
      </c>
      <c r="I29" s="362">
        <v>1</v>
      </c>
      <c r="J29" s="362">
        <v>1</v>
      </c>
      <c r="K29" s="362">
        <v>1</v>
      </c>
      <c r="L29" s="363">
        <v>1</v>
      </c>
      <c r="N29" s="2"/>
      <c r="O29" s="219"/>
      <c r="P29" s="234">
        <v>46022</v>
      </c>
      <c r="Q29" s="2"/>
    </row>
    <row r="30" spans="1:19" ht="15" customHeight="1" x14ac:dyDescent="0.3">
      <c r="B30" s="239"/>
      <c r="C30" s="361"/>
      <c r="D30" s="361"/>
      <c r="E30" s="361"/>
      <c r="F30" s="361"/>
      <c r="G30" s="361"/>
      <c r="H30" s="362"/>
      <c r="I30" s="362"/>
      <c r="J30" s="362"/>
      <c r="K30" s="362"/>
      <c r="L30" s="363"/>
      <c r="M30" s="36"/>
      <c r="N30" s="2"/>
      <c r="O30" s="2"/>
      <c r="P30" s="2"/>
      <c r="Q30" s="2"/>
    </row>
    <row r="31" spans="1:19" ht="15" customHeight="1" x14ac:dyDescent="0.2">
      <c r="B31" s="345" t="s">
        <v>26</v>
      </c>
      <c r="C31" s="346"/>
      <c r="D31" s="346"/>
      <c r="E31" s="346"/>
      <c r="F31" s="275"/>
      <c r="G31" s="275"/>
      <c r="H31" s="347">
        <f>H26*H29/(1+'Model Output'!$K$62)^(Inputs!H28-0.5*Inputs!H29)</f>
        <v>179.21280688893765</v>
      </c>
      <c r="I31" s="347">
        <f>I26*I29/(1+'Model Output'!$K$62)^(Inputs!I28-0.5*Inputs!I29)</f>
        <v>175.83474636535354</v>
      </c>
      <c r="J31" s="347">
        <f>J26*J29/(1+'Model Output'!$K$62)^(Inputs!J28-0.5*Inputs!J29)</f>
        <v>177.18254153701494</v>
      </c>
      <c r="K31" s="347">
        <f>K26*K29/(1+'Model Output'!$K$62)^(Inputs!K28-0.5*Inputs!K29)</f>
        <v>183.51605512117385</v>
      </c>
      <c r="L31" s="348">
        <f>L26*L29/(1+'Model Output'!$K$62)^(Inputs!L28-0.5*Inputs!L29)</f>
        <v>188.01343543547162</v>
      </c>
      <c r="M31" s="149"/>
      <c r="N31" s="36"/>
      <c r="O31" s="36"/>
      <c r="P31" s="2"/>
      <c r="Q31" s="2"/>
      <c r="R31" s="2"/>
      <c r="S31" s="2"/>
    </row>
    <row r="32" spans="1:19" ht="15" customHeight="1" x14ac:dyDescent="0.2">
      <c r="M32" s="149"/>
      <c r="N32" s="36"/>
      <c r="O32" s="36"/>
      <c r="P32" s="2"/>
      <c r="Q32" s="2"/>
      <c r="R32" s="2"/>
      <c r="S32" s="2"/>
    </row>
    <row r="33" spans="1:19" ht="15" customHeight="1" x14ac:dyDescent="0.2">
      <c r="A33" s="3" t="s">
        <v>72</v>
      </c>
      <c r="M33" s="2"/>
      <c r="P33" s="2"/>
      <c r="Q33" s="2"/>
      <c r="R33" s="2"/>
      <c r="S33" s="2"/>
    </row>
    <row r="34" spans="1:19" ht="15" customHeight="1" thickBot="1" x14ac:dyDescent="0.25">
      <c r="F34" s="9"/>
    </row>
    <row r="35" spans="1:19" ht="15" customHeight="1" x14ac:dyDescent="0.2">
      <c r="E35" s="57" t="s">
        <v>94</v>
      </c>
      <c r="F35" s="379"/>
      <c r="G35" s="380">
        <f>(F36-G36)*-1</f>
        <v>-74.339601514754804</v>
      </c>
      <c r="H35" s="380">
        <f t="shared" ref="H35:K35" si="15">(G36-H36)*-1</f>
        <v>-53.659041303159768</v>
      </c>
      <c r="I35" s="380">
        <f t="shared" si="15"/>
        <v>-30.707986879793538</v>
      </c>
      <c r="J35" s="380">
        <f t="shared" si="15"/>
        <v>-25.849383235487778</v>
      </c>
      <c r="K35" s="381">
        <f t="shared" si="15"/>
        <v>-21.853422663126793</v>
      </c>
    </row>
    <row r="36" spans="1:19" ht="15" customHeight="1" thickBot="1" x14ac:dyDescent="0.25">
      <c r="E36" s="58" t="s">
        <v>95</v>
      </c>
      <c r="F36" s="382">
        <f t="shared" ref="F36:K36" si="16">E43+E51-E58-E66-E73</f>
        <v>348.79504000000009</v>
      </c>
      <c r="G36" s="382">
        <f t="shared" si="16"/>
        <v>274.45543848524528</v>
      </c>
      <c r="H36" s="382">
        <f t="shared" si="16"/>
        <v>220.79639718208551</v>
      </c>
      <c r="I36" s="382">
        <f t="shared" si="16"/>
        <v>190.08841030229198</v>
      </c>
      <c r="J36" s="383">
        <f t="shared" si="16"/>
        <v>164.2390270668042</v>
      </c>
      <c r="K36" s="384">
        <f t="shared" si="16"/>
        <v>142.38560440367741</v>
      </c>
    </row>
    <row r="37" spans="1:19" ht="15" customHeight="1" thickBot="1" x14ac:dyDescent="0.25"/>
    <row r="38" spans="1:19" ht="15" customHeight="1" x14ac:dyDescent="0.25">
      <c r="B38" s="293" t="s">
        <v>76</v>
      </c>
      <c r="C38" s="349"/>
      <c r="D38" s="349"/>
      <c r="E38" s="349"/>
      <c r="F38" s="349"/>
      <c r="G38" s="349"/>
      <c r="H38" s="349"/>
      <c r="I38" s="349"/>
      <c r="J38" s="349"/>
      <c r="K38" s="350"/>
    </row>
    <row r="39" spans="1:19" ht="15" customHeight="1" x14ac:dyDescent="0.25">
      <c r="B39" s="148" t="s">
        <v>141</v>
      </c>
      <c r="C39" s="147">
        <f t="shared" ref="C39:K39" si="17">D2</f>
        <v>43100</v>
      </c>
      <c r="D39" s="147">
        <f t="shared" si="17"/>
        <v>43465</v>
      </c>
      <c r="E39" s="147">
        <f t="shared" si="17"/>
        <v>43830</v>
      </c>
      <c r="F39" s="146">
        <f t="shared" si="17"/>
        <v>44196</v>
      </c>
      <c r="G39" s="146">
        <f t="shared" si="17"/>
        <v>44561</v>
      </c>
      <c r="H39" s="146">
        <f t="shared" si="17"/>
        <v>44926</v>
      </c>
      <c r="I39" s="146">
        <f t="shared" si="17"/>
        <v>45291</v>
      </c>
      <c r="J39" s="146">
        <f t="shared" si="17"/>
        <v>45657</v>
      </c>
      <c r="K39" s="145">
        <f t="shared" si="17"/>
        <v>46022</v>
      </c>
    </row>
    <row r="40" spans="1:19" ht="15" customHeight="1" x14ac:dyDescent="0.25">
      <c r="A40" s="3" t="s">
        <v>72</v>
      </c>
      <c r="B40" s="144" t="s">
        <v>77</v>
      </c>
      <c r="C40" s="143"/>
      <c r="D40" s="143"/>
      <c r="E40" s="143"/>
      <c r="F40" s="143"/>
      <c r="G40" s="143"/>
      <c r="H40" s="143"/>
      <c r="I40" s="143"/>
      <c r="J40" s="143"/>
      <c r="K40" s="142"/>
    </row>
    <row r="41" spans="1:19" ht="15" customHeight="1" x14ac:dyDescent="0.25">
      <c r="B41" s="124" t="s">
        <v>78</v>
      </c>
      <c r="C41" s="123" t="s">
        <v>257</v>
      </c>
      <c r="D41" s="123">
        <f>'PSN Balance Sheet'!D7</f>
        <v>1063.6379999999999</v>
      </c>
      <c r="E41" s="123">
        <f>'PSN Balance Sheet'!E7</f>
        <v>623.28599999999994</v>
      </c>
      <c r="F41" s="123">
        <f t="shared" ref="F41:K41" si="18">E43</f>
        <v>671.49199999999996</v>
      </c>
      <c r="G41" s="141">
        <f t="shared" si="18"/>
        <v>662.26688530199988</v>
      </c>
      <c r="H41" s="141">
        <f t="shared" si="18"/>
        <v>711.87067501111972</v>
      </c>
      <c r="I41" s="141">
        <f t="shared" si="18"/>
        <v>761.70162226189814</v>
      </c>
      <c r="J41" s="141">
        <f t="shared" si="18"/>
        <v>815.02073582023104</v>
      </c>
      <c r="K41" s="140">
        <f t="shared" si="18"/>
        <v>872.07218732764716</v>
      </c>
    </row>
    <row r="42" spans="1:19" ht="15" customHeight="1" x14ac:dyDescent="0.25">
      <c r="B42" s="127" t="s">
        <v>79</v>
      </c>
      <c r="C42" s="123" t="s">
        <v>257</v>
      </c>
      <c r="D42" s="126">
        <f t="shared" ref="D42:K42" si="19">D43-D41</f>
        <v>-440.35199999999998</v>
      </c>
      <c r="E42" s="126">
        <f t="shared" si="19"/>
        <v>48.206000000000017</v>
      </c>
      <c r="F42" s="126">
        <f t="shared" si="19"/>
        <v>-9.225114698000084</v>
      </c>
      <c r="G42" s="126">
        <f t="shared" si="19"/>
        <v>49.603789709119837</v>
      </c>
      <c r="H42" s="126">
        <f t="shared" si="19"/>
        <v>49.830947250778422</v>
      </c>
      <c r="I42" s="126">
        <f t="shared" si="19"/>
        <v>53.319113558332901</v>
      </c>
      <c r="J42" s="126">
        <f t="shared" si="19"/>
        <v>57.051451507416118</v>
      </c>
      <c r="K42" s="125">
        <f t="shared" si="19"/>
        <v>61.045053112935307</v>
      </c>
    </row>
    <row r="43" spans="1:19" ht="15" customHeight="1" x14ac:dyDescent="0.25">
      <c r="B43" s="124" t="s">
        <v>80</v>
      </c>
      <c r="C43" s="133">
        <f>'PSN Balance Sheet'!D7</f>
        <v>1063.6379999999999</v>
      </c>
      <c r="D43" s="133">
        <f>'PSN Balance Sheet'!E7</f>
        <v>623.28599999999994</v>
      </c>
      <c r="E43" s="133">
        <f>'PSN Balance Sheet'!F7</f>
        <v>671.49199999999996</v>
      </c>
      <c r="F43" s="133">
        <f t="shared" ref="F43:K43" si="20">F45*G4</f>
        <v>662.26688530199988</v>
      </c>
      <c r="G43" s="133">
        <f t="shared" si="20"/>
        <v>711.87067501111972</v>
      </c>
      <c r="H43" s="133">
        <f t="shared" si="20"/>
        <v>761.70162226189814</v>
      </c>
      <c r="I43" s="133">
        <f t="shared" si="20"/>
        <v>815.02073582023104</v>
      </c>
      <c r="J43" s="133">
        <f t="shared" si="20"/>
        <v>872.07218732764716</v>
      </c>
      <c r="K43" s="132">
        <f t="shared" si="20"/>
        <v>933.11724044058246</v>
      </c>
    </row>
    <row r="44" spans="1:19" ht="15" customHeight="1" x14ac:dyDescent="0.25">
      <c r="B44" s="119"/>
      <c r="C44" s="121"/>
      <c r="D44" s="121"/>
      <c r="E44" s="121"/>
      <c r="F44" s="121"/>
      <c r="G44" s="121"/>
      <c r="H44" s="121"/>
      <c r="I44" s="121"/>
      <c r="J44" s="121"/>
      <c r="K44" s="120"/>
    </row>
    <row r="45" spans="1:19" ht="15" customHeight="1" x14ac:dyDescent="0.25">
      <c r="B45" s="124" t="s">
        <v>81</v>
      </c>
      <c r="C45" s="118">
        <f>C43/D4</f>
        <v>0.35254694132702863</v>
      </c>
      <c r="D45" s="118">
        <f>D43/E4</f>
        <v>0.17505535726924359</v>
      </c>
      <c r="E45" s="118">
        <f>E43/F4</f>
        <v>0.16979113040013027</v>
      </c>
      <c r="F45" s="368">
        <v>0.16500000000000001</v>
      </c>
      <c r="G45" s="369">
        <v>0.16500000000000001</v>
      </c>
      <c r="H45" s="369">
        <v>0.16500000000000001</v>
      </c>
      <c r="I45" s="369">
        <v>0.16500000000000001</v>
      </c>
      <c r="J45" s="369">
        <v>0.16500000000000001</v>
      </c>
      <c r="K45" s="370">
        <v>0.16500000000000001</v>
      </c>
    </row>
    <row r="46" spans="1:19" ht="15" customHeight="1" x14ac:dyDescent="0.25">
      <c r="B46" s="124" t="s">
        <v>82</v>
      </c>
      <c r="C46" s="137">
        <f t="shared" ref="C46:K46" si="21">365*C45</f>
        <v>128.67963358436546</v>
      </c>
      <c r="D46" s="137">
        <f t="shared" si="21"/>
        <v>63.895205403273913</v>
      </c>
      <c r="E46" s="137">
        <f t="shared" si="21"/>
        <v>61.97376259604755</v>
      </c>
      <c r="F46" s="137">
        <f t="shared" si="21"/>
        <v>60.225000000000001</v>
      </c>
      <c r="G46" s="137">
        <f t="shared" si="21"/>
        <v>60.225000000000001</v>
      </c>
      <c r="H46" s="137">
        <f t="shared" si="21"/>
        <v>60.225000000000001</v>
      </c>
      <c r="I46" s="137">
        <f t="shared" si="21"/>
        <v>60.225000000000001</v>
      </c>
      <c r="J46" s="137">
        <f t="shared" si="21"/>
        <v>60.225000000000001</v>
      </c>
      <c r="K46" s="136">
        <f t="shared" si="21"/>
        <v>60.225000000000001</v>
      </c>
    </row>
    <row r="47" spans="1:19" ht="15" customHeight="1" x14ac:dyDescent="0.25">
      <c r="B47" s="124"/>
      <c r="C47" s="135"/>
      <c r="D47" s="135"/>
      <c r="E47" s="135"/>
      <c r="F47" s="135"/>
      <c r="G47" s="135"/>
      <c r="H47" s="135"/>
      <c r="I47" s="135"/>
      <c r="J47" s="135"/>
      <c r="K47" s="134"/>
    </row>
    <row r="48" spans="1:19" ht="15" customHeight="1" x14ac:dyDescent="0.25">
      <c r="B48" s="131" t="s">
        <v>90</v>
      </c>
      <c r="C48" s="130"/>
      <c r="D48" s="130"/>
      <c r="E48" s="130"/>
      <c r="F48" s="130"/>
      <c r="G48" s="129"/>
      <c r="H48" s="129"/>
      <c r="I48" s="129"/>
      <c r="J48" s="129"/>
      <c r="K48" s="128"/>
    </row>
    <row r="49" spans="2:11" ht="15" customHeight="1" x14ac:dyDescent="0.25">
      <c r="B49" s="124" t="s">
        <v>78</v>
      </c>
      <c r="C49" s="123" t="s">
        <v>257</v>
      </c>
      <c r="D49" s="133">
        <f>C51</f>
        <v>507.32600000000002</v>
      </c>
      <c r="E49" s="133">
        <f>D51</f>
        <v>865.52100000000007</v>
      </c>
      <c r="F49" s="133">
        <f t="shared" ref="F49:K49" si="22">E51</f>
        <v>854.91700000000003</v>
      </c>
      <c r="G49" s="133">
        <f t="shared" si="22"/>
        <v>840.2761965937799</v>
      </c>
      <c r="H49" s="133">
        <f t="shared" si="22"/>
        <v>880.34673476375133</v>
      </c>
      <c r="I49" s="133">
        <f t="shared" si="22"/>
        <v>941.97100619721402</v>
      </c>
      <c r="J49" s="133">
        <f t="shared" si="22"/>
        <v>1007.9089766310191</v>
      </c>
      <c r="K49" s="132">
        <f t="shared" si="22"/>
        <v>1078.4626049951903</v>
      </c>
    </row>
    <row r="50" spans="2:11" ht="15" customHeight="1" x14ac:dyDescent="0.25">
      <c r="B50" s="127" t="s">
        <v>79</v>
      </c>
      <c r="C50" s="123" t="s">
        <v>257</v>
      </c>
      <c r="D50" s="133">
        <f t="shared" ref="D50:K50" si="23">D51-D49</f>
        <v>358.19500000000005</v>
      </c>
      <c r="E50" s="126">
        <f t="shared" si="23"/>
        <v>-10.604000000000042</v>
      </c>
      <c r="F50" s="126">
        <f t="shared" si="23"/>
        <v>-14.64080340622013</v>
      </c>
      <c r="G50" s="126">
        <f t="shared" si="23"/>
        <v>40.070538169971428</v>
      </c>
      <c r="H50" s="126">
        <f t="shared" si="23"/>
        <v>61.624271433462695</v>
      </c>
      <c r="I50" s="126">
        <f t="shared" si="23"/>
        <v>65.937970433805049</v>
      </c>
      <c r="J50" s="126">
        <f t="shared" si="23"/>
        <v>70.553628364171232</v>
      </c>
      <c r="K50" s="125">
        <f t="shared" si="23"/>
        <v>53.719646739383052</v>
      </c>
    </row>
    <row r="51" spans="2:11" ht="15" customHeight="1" x14ac:dyDescent="0.25">
      <c r="B51" s="124" t="s">
        <v>80</v>
      </c>
      <c r="C51" s="133">
        <f>'PSN Balance Sheet'!D6+'PSN Balance Sheet'!D8+'PSN Balance Sheet'!D9+'PSN Balance Sheet'!D10</f>
        <v>507.32600000000002</v>
      </c>
      <c r="D51" s="133">
        <f>'PSN Balance Sheet'!E6+'PSN Balance Sheet'!E8+'PSN Balance Sheet'!E9+'PSN Balance Sheet'!E10</f>
        <v>865.52100000000007</v>
      </c>
      <c r="E51" s="133">
        <f>'PSN Balance Sheet'!F6+'PSN Balance Sheet'!F8+'PSN Balance Sheet'!F9+'PSN Balance Sheet'!F10</f>
        <v>854.91700000000003</v>
      </c>
      <c r="F51" s="133">
        <f t="shared" ref="F51:K51" si="24">-F53*G6</f>
        <v>840.2761965937799</v>
      </c>
      <c r="G51" s="133">
        <f t="shared" si="24"/>
        <v>880.34673476375133</v>
      </c>
      <c r="H51" s="133">
        <f t="shared" si="24"/>
        <v>941.97100619721402</v>
      </c>
      <c r="I51" s="133">
        <f t="shared" si="24"/>
        <v>1007.9089766310191</v>
      </c>
      <c r="J51" s="133">
        <f t="shared" si="24"/>
        <v>1078.4626049951903</v>
      </c>
      <c r="K51" s="132">
        <f t="shared" si="24"/>
        <v>1132.1822517345734</v>
      </c>
    </row>
    <row r="52" spans="2:11" ht="15" customHeight="1" x14ac:dyDescent="0.25">
      <c r="B52" s="119"/>
      <c r="C52" s="139"/>
      <c r="D52" s="139"/>
      <c r="E52" s="121"/>
      <c r="F52" s="121"/>
      <c r="G52" s="121"/>
      <c r="H52" s="121"/>
      <c r="I52" s="121"/>
      <c r="J52" s="121"/>
      <c r="K52" s="120"/>
    </row>
    <row r="53" spans="2:11" ht="15" customHeight="1" x14ac:dyDescent="0.25">
      <c r="B53" s="124" t="s">
        <v>92</v>
      </c>
      <c r="C53" s="118"/>
      <c r="D53" s="118">
        <f>-D51/E6</f>
        <v>0.3096670667852115</v>
      </c>
      <c r="E53" s="118">
        <f>-E51/F6</f>
        <v>0.27374320458575591</v>
      </c>
      <c r="F53" s="368">
        <v>0.26500000000000001</v>
      </c>
      <c r="G53" s="369">
        <v>0.26500000000000001</v>
      </c>
      <c r="H53" s="369">
        <v>0.26500000000000001</v>
      </c>
      <c r="I53" s="369">
        <v>0.26500000000000001</v>
      </c>
      <c r="J53" s="369">
        <v>0.26500000000000001</v>
      </c>
      <c r="K53" s="370">
        <v>0.26</v>
      </c>
    </row>
    <row r="54" spans="2:11" ht="15" customHeight="1" x14ac:dyDescent="0.25">
      <c r="B54" s="124"/>
      <c r="C54" s="138"/>
      <c r="D54" s="138"/>
      <c r="E54" s="135"/>
      <c r="F54" s="135"/>
      <c r="G54" s="135"/>
      <c r="H54" s="135"/>
      <c r="I54" s="135"/>
      <c r="J54" s="135"/>
      <c r="K54" s="134"/>
    </row>
    <row r="55" spans="2:11" ht="15" customHeight="1" x14ac:dyDescent="0.25">
      <c r="B55" s="131" t="s">
        <v>83</v>
      </c>
      <c r="C55" s="130"/>
      <c r="D55" s="130"/>
      <c r="E55" s="130"/>
      <c r="F55" s="130"/>
      <c r="G55" s="129"/>
      <c r="H55" s="129"/>
      <c r="I55" s="129"/>
      <c r="J55" s="129"/>
      <c r="K55" s="128"/>
    </row>
    <row r="56" spans="2:11" ht="15" customHeight="1" x14ac:dyDescent="0.25">
      <c r="B56" s="124" t="s">
        <v>78</v>
      </c>
      <c r="C56" s="123" t="s">
        <v>257</v>
      </c>
      <c r="D56" s="133">
        <f>C58</f>
        <v>207.08</v>
      </c>
      <c r="E56" s="133">
        <f>D58</f>
        <v>226.345</v>
      </c>
      <c r="F56" s="133">
        <f t="shared" ref="F56:K56" si="25">E58</f>
        <v>249.84495999999999</v>
      </c>
      <c r="G56" s="133">
        <f t="shared" si="25"/>
        <v>269.20546826721477</v>
      </c>
      <c r="H56" s="133">
        <f t="shared" si="25"/>
        <v>282.04316143940559</v>
      </c>
      <c r="I56" s="133">
        <f t="shared" si="25"/>
        <v>301.78618274016407</v>
      </c>
      <c r="J56" s="133">
        <f t="shared" si="25"/>
        <v>342.30870904449699</v>
      </c>
      <c r="K56" s="132">
        <f t="shared" si="25"/>
        <v>378.47932930019886</v>
      </c>
    </row>
    <row r="57" spans="2:11" ht="15" customHeight="1" x14ac:dyDescent="0.25">
      <c r="B57" s="127" t="s">
        <v>79</v>
      </c>
      <c r="C57" s="123" t="s">
        <v>257</v>
      </c>
      <c r="D57" s="126">
        <f t="shared" ref="D57:K57" si="26">D58-D56</f>
        <v>19.264999999999986</v>
      </c>
      <c r="E57" s="126">
        <f t="shared" si="26"/>
        <v>23.499959999999987</v>
      </c>
      <c r="F57" s="126">
        <f t="shared" si="26"/>
        <v>19.360508267214783</v>
      </c>
      <c r="G57" s="126">
        <f t="shared" si="26"/>
        <v>12.837693172190825</v>
      </c>
      <c r="H57" s="126">
        <f t="shared" si="26"/>
        <v>19.743021300758471</v>
      </c>
      <c r="I57" s="126">
        <f t="shared" si="26"/>
        <v>40.522526304332928</v>
      </c>
      <c r="J57" s="126">
        <f t="shared" si="26"/>
        <v>36.170620255701863</v>
      </c>
      <c r="K57" s="125">
        <f t="shared" si="26"/>
        <v>34.767192582920416</v>
      </c>
    </row>
    <row r="58" spans="2:11" ht="15" customHeight="1" x14ac:dyDescent="0.25">
      <c r="B58" s="124" t="s">
        <v>80</v>
      </c>
      <c r="C58" s="133">
        <f>'PSN Balance Sheet'!D24</f>
        <v>207.08</v>
      </c>
      <c r="D58" s="133">
        <f>'PSN Balance Sheet'!E24</f>
        <v>226.345</v>
      </c>
      <c r="E58" s="133">
        <f t="shared" ref="E58:K58" si="27">-E60*F6</f>
        <v>249.84495999999999</v>
      </c>
      <c r="F58" s="133">
        <f t="shared" si="27"/>
        <v>269.20546826721477</v>
      </c>
      <c r="G58" s="133">
        <f t="shared" si="27"/>
        <v>282.04316143940559</v>
      </c>
      <c r="H58" s="133">
        <f t="shared" si="27"/>
        <v>301.78618274016407</v>
      </c>
      <c r="I58" s="133">
        <f t="shared" si="27"/>
        <v>342.30870904449699</v>
      </c>
      <c r="J58" s="133">
        <f t="shared" si="27"/>
        <v>378.47932930019886</v>
      </c>
      <c r="K58" s="132">
        <f t="shared" si="27"/>
        <v>413.24652188311927</v>
      </c>
    </row>
    <row r="59" spans="2:11" ht="15" customHeight="1" x14ac:dyDescent="0.25">
      <c r="B59" s="119"/>
      <c r="C59" s="121"/>
      <c r="D59" s="121"/>
      <c r="E59" s="121"/>
      <c r="F59" s="121"/>
      <c r="G59" s="121"/>
      <c r="H59" s="121"/>
      <c r="I59" s="121"/>
      <c r="J59" s="121"/>
      <c r="K59" s="120"/>
    </row>
    <row r="60" spans="2:11" ht="15" customHeight="1" x14ac:dyDescent="0.25">
      <c r="B60" s="124" t="s">
        <v>84</v>
      </c>
      <c r="C60" s="118">
        <f>-C58/D6</f>
        <v>8.627830043247478E-2</v>
      </c>
      <c r="D60" s="118">
        <f>-D58/E6</f>
        <v>8.0981966042994555E-2</v>
      </c>
      <c r="E60" s="118">
        <v>0.08</v>
      </c>
      <c r="F60" s="368">
        <v>8.4900000000000003E-2</v>
      </c>
      <c r="G60" s="369">
        <v>8.4900000000000003E-2</v>
      </c>
      <c r="H60" s="369">
        <v>8.4900000000000003E-2</v>
      </c>
      <c r="I60" s="369">
        <v>0.09</v>
      </c>
      <c r="J60" s="369">
        <v>9.2999999999999999E-2</v>
      </c>
      <c r="K60" s="370">
        <v>9.4899999999999998E-2</v>
      </c>
    </row>
    <row r="61" spans="2:11" ht="15" customHeight="1" x14ac:dyDescent="0.25">
      <c r="B61" s="124" t="s">
        <v>85</v>
      </c>
      <c r="C61" s="353" t="s">
        <v>257</v>
      </c>
      <c r="D61" s="137">
        <f t="shared" ref="D61:K61" si="28">((D58+D56)/2)/-E6*365</f>
        <v>28.300508406961704</v>
      </c>
      <c r="E61" s="137">
        <f t="shared" si="28"/>
        <v>27.826750701715177</v>
      </c>
      <c r="F61" s="137">
        <f t="shared" si="28"/>
        <v>29.87419664966265</v>
      </c>
      <c r="G61" s="137">
        <f t="shared" si="28"/>
        <v>30.283251815934559</v>
      </c>
      <c r="H61" s="137">
        <f t="shared" si="28"/>
        <v>29.974857476635517</v>
      </c>
      <c r="I61" s="137">
        <f t="shared" si="28"/>
        <v>30.905607476635513</v>
      </c>
      <c r="J61" s="137">
        <f t="shared" si="28"/>
        <v>32.322967289719628</v>
      </c>
      <c r="K61" s="136">
        <f t="shared" si="28"/>
        <v>33.18139953271028</v>
      </c>
    </row>
    <row r="62" spans="2:11" ht="15" customHeight="1" x14ac:dyDescent="0.25">
      <c r="B62" s="124"/>
      <c r="C62" s="135"/>
      <c r="D62" s="135"/>
      <c r="E62" s="135"/>
      <c r="F62" s="135"/>
      <c r="G62" s="135"/>
      <c r="H62" s="135"/>
      <c r="I62" s="135"/>
      <c r="J62" s="135"/>
      <c r="K62" s="134"/>
    </row>
    <row r="63" spans="2:11" ht="15" customHeight="1" x14ac:dyDescent="0.25">
      <c r="B63" s="131" t="s">
        <v>132</v>
      </c>
      <c r="C63" s="130"/>
      <c r="D63" s="130"/>
      <c r="E63" s="130"/>
      <c r="F63" s="130"/>
      <c r="G63" s="129"/>
      <c r="H63" s="129"/>
      <c r="I63" s="129"/>
      <c r="J63" s="129"/>
      <c r="K63" s="128"/>
    </row>
    <row r="64" spans="2:11" ht="15" customHeight="1" x14ac:dyDescent="0.25">
      <c r="B64" s="124" t="s">
        <v>78</v>
      </c>
      <c r="C64" s="123" t="s">
        <v>257</v>
      </c>
      <c r="D64" s="126">
        <f>'PSN Balance Sheet'!D25</f>
        <v>504.15</v>
      </c>
      <c r="E64" s="126">
        <f>'PSN Balance Sheet'!E25</f>
        <v>559.70000000000005</v>
      </c>
      <c r="F64" s="126">
        <f t="shared" ref="F64:K64" si="29">E66</f>
        <v>920.53800000000012</v>
      </c>
      <c r="G64" s="126">
        <f t="shared" si="29"/>
        <v>958.88217514331984</v>
      </c>
      <c r="H64" s="126">
        <f t="shared" si="29"/>
        <v>1078.5919318350298</v>
      </c>
      <c r="I64" s="126">
        <f t="shared" si="29"/>
        <v>1200.2571017460214</v>
      </c>
      <c r="J64" s="126">
        <f t="shared" si="29"/>
        <v>1304.0331773123696</v>
      </c>
      <c r="K64" s="125">
        <f t="shared" si="29"/>
        <v>1416.4566436594512</v>
      </c>
    </row>
    <row r="65" spans="2:11" ht="15" customHeight="1" x14ac:dyDescent="0.25">
      <c r="B65" s="127" t="s">
        <v>79</v>
      </c>
      <c r="C65" s="123" t="s">
        <v>257</v>
      </c>
      <c r="D65" s="126">
        <f t="shared" ref="D65:K65" si="30">D66-D64</f>
        <v>264.12600000000009</v>
      </c>
      <c r="E65" s="126">
        <f t="shared" si="30"/>
        <v>360.83800000000008</v>
      </c>
      <c r="F65" s="126">
        <f t="shared" si="30"/>
        <v>38.344175143319717</v>
      </c>
      <c r="G65" s="126">
        <f t="shared" si="30"/>
        <v>119.70975669170991</v>
      </c>
      <c r="H65" s="126">
        <f t="shared" si="30"/>
        <v>121.66516991099161</v>
      </c>
      <c r="I65" s="126">
        <f t="shared" si="30"/>
        <v>103.77607556634825</v>
      </c>
      <c r="J65" s="126">
        <f t="shared" si="30"/>
        <v>112.42346634708156</v>
      </c>
      <c r="K65" s="125">
        <f t="shared" si="30"/>
        <v>99.151965056161544</v>
      </c>
    </row>
    <row r="66" spans="2:11" ht="15" customHeight="1" x14ac:dyDescent="0.25">
      <c r="B66" s="124" t="s">
        <v>80</v>
      </c>
      <c r="C66" s="133">
        <f>'PSN Balance Sheet'!D25+'PSN Balance Sheet'!D26+'PSN Balance Sheet'!D28+'PSN Balance Sheet'!D29+'PSN Balance Sheet'!D30</f>
        <v>792.96699999999987</v>
      </c>
      <c r="D66" s="133">
        <f>'PSN Balance Sheet'!E25+'PSN Balance Sheet'!E26+'PSN Balance Sheet'!E28+'PSN Balance Sheet'!E29+'PSN Balance Sheet'!E30</f>
        <v>768.27600000000007</v>
      </c>
      <c r="E66" s="133">
        <f>'PSN Balance Sheet'!F25+'PSN Balance Sheet'!F26+'PSN Balance Sheet'!F28+'PSN Balance Sheet'!F29+'PSN Balance Sheet'!F30</f>
        <v>920.53800000000012</v>
      </c>
      <c r="F66" s="133">
        <f t="shared" ref="F66:K66" si="31">F68*G4</f>
        <v>958.88217514331984</v>
      </c>
      <c r="G66" s="133">
        <f t="shared" si="31"/>
        <v>1078.5919318350298</v>
      </c>
      <c r="H66" s="133">
        <f t="shared" si="31"/>
        <v>1200.2571017460214</v>
      </c>
      <c r="I66" s="133">
        <f t="shared" si="31"/>
        <v>1304.0331773123696</v>
      </c>
      <c r="J66" s="133">
        <f t="shared" si="31"/>
        <v>1416.4566436594512</v>
      </c>
      <c r="K66" s="132">
        <f t="shared" si="31"/>
        <v>1515.6086087156127</v>
      </c>
    </row>
    <row r="67" spans="2:11" ht="15" customHeight="1" x14ac:dyDescent="0.25">
      <c r="B67" s="119"/>
      <c r="C67" s="121"/>
      <c r="D67" s="121"/>
      <c r="E67" s="121"/>
      <c r="F67" s="121"/>
      <c r="G67" s="121"/>
      <c r="H67" s="121"/>
      <c r="I67" s="121"/>
      <c r="J67" s="121"/>
      <c r="K67" s="120"/>
    </row>
    <row r="68" spans="2:11" ht="15" customHeight="1" x14ac:dyDescent="0.25">
      <c r="B68" s="124" t="s">
        <v>86</v>
      </c>
      <c r="C68" s="118">
        <f>C66/D4</f>
        <v>0.26283198834873317</v>
      </c>
      <c r="D68" s="118">
        <f>D66/E4</f>
        <v>0.21577707450734562</v>
      </c>
      <c r="E68" s="118">
        <f>E66/F4</f>
        <v>0.23276403530686166</v>
      </c>
      <c r="F68" s="368">
        <v>0.2389</v>
      </c>
      <c r="G68" s="369">
        <v>0.25</v>
      </c>
      <c r="H68" s="369">
        <v>0.26</v>
      </c>
      <c r="I68" s="369">
        <v>0.26400000000000001</v>
      </c>
      <c r="J68" s="369">
        <v>0.26800000000000002</v>
      </c>
      <c r="K68" s="370">
        <v>0.26800000000000002</v>
      </c>
    </row>
    <row r="69" spans="2:11" ht="15" customHeight="1" x14ac:dyDescent="0.25">
      <c r="B69" s="124"/>
      <c r="C69" s="121"/>
      <c r="D69" s="121"/>
      <c r="E69" s="121"/>
      <c r="F69" s="121"/>
      <c r="G69" s="121"/>
      <c r="H69" s="121"/>
      <c r="I69" s="121"/>
      <c r="J69" s="121"/>
      <c r="K69" s="120"/>
    </row>
    <row r="70" spans="2:11" ht="15" customHeight="1" x14ac:dyDescent="0.25">
      <c r="B70" s="131" t="s">
        <v>220</v>
      </c>
      <c r="C70" s="130"/>
      <c r="D70" s="130"/>
      <c r="E70" s="130"/>
      <c r="F70" s="130"/>
      <c r="G70" s="129"/>
      <c r="H70" s="129"/>
      <c r="I70" s="129"/>
      <c r="J70" s="129"/>
      <c r="K70" s="128"/>
    </row>
    <row r="71" spans="2:11" ht="15" customHeight="1" x14ac:dyDescent="0.25">
      <c r="B71" s="124" t="s">
        <v>78</v>
      </c>
      <c r="C71" s="123" t="s">
        <v>257</v>
      </c>
      <c r="D71" s="126">
        <f>C73</f>
        <v>7.6710000000000003</v>
      </c>
      <c r="E71" s="126">
        <f>D73</f>
        <v>11.54</v>
      </c>
      <c r="F71" s="126">
        <f>E73</f>
        <v>7.2309999999999999</v>
      </c>
      <c r="G71" s="126">
        <f t="shared" ref="G71:K71" si="32">F73</f>
        <v>0</v>
      </c>
      <c r="H71" s="126">
        <f t="shared" si="32"/>
        <v>10.785919318350297</v>
      </c>
      <c r="I71" s="126">
        <f t="shared" si="32"/>
        <v>11.54093367063482</v>
      </c>
      <c r="J71" s="126">
        <f t="shared" si="32"/>
        <v>12.348799027579258</v>
      </c>
      <c r="K71" s="125">
        <f t="shared" si="32"/>
        <v>13.213214959509806</v>
      </c>
    </row>
    <row r="72" spans="2:11" ht="15" customHeight="1" x14ac:dyDescent="0.25">
      <c r="B72" s="127" t="s">
        <v>79</v>
      </c>
      <c r="C72" s="123" t="s">
        <v>257</v>
      </c>
      <c r="D72" s="126">
        <f t="shared" ref="D72:K72" si="33">D73-D71</f>
        <v>3.8689999999999989</v>
      </c>
      <c r="E72" s="126">
        <f>E73-E71</f>
        <v>-4.3089999999999993</v>
      </c>
      <c r="F72" s="126">
        <f t="shared" si="33"/>
        <v>-7.2309999999999999</v>
      </c>
      <c r="G72" s="126">
        <f t="shared" si="33"/>
        <v>10.785919318350297</v>
      </c>
      <c r="H72" s="126">
        <f t="shared" si="33"/>
        <v>0.75501435228452252</v>
      </c>
      <c r="I72" s="126">
        <f t="shared" si="33"/>
        <v>0.80786535694443806</v>
      </c>
      <c r="J72" s="126">
        <f t="shared" si="33"/>
        <v>0.864415931930548</v>
      </c>
      <c r="K72" s="125">
        <f t="shared" si="33"/>
        <v>0.92492504716568646</v>
      </c>
    </row>
    <row r="73" spans="2:11" ht="15" customHeight="1" x14ac:dyDescent="0.25">
      <c r="B73" s="124" t="s">
        <v>80</v>
      </c>
      <c r="C73" s="123">
        <f>'PSN Balance Sheet'!D27</f>
        <v>7.6710000000000003</v>
      </c>
      <c r="D73" s="123">
        <f>'PSN Balance Sheet'!E27</f>
        <v>11.54</v>
      </c>
      <c r="E73" s="123">
        <f>'PSN Balance Sheet'!F27</f>
        <v>7.2309999999999999</v>
      </c>
      <c r="F73" s="123">
        <f t="shared" ref="F73:K73" si="34">F75*G4</f>
        <v>0</v>
      </c>
      <c r="G73" s="123">
        <f t="shared" si="34"/>
        <v>10.785919318350297</v>
      </c>
      <c r="H73" s="123">
        <f t="shared" si="34"/>
        <v>11.54093367063482</v>
      </c>
      <c r="I73" s="123">
        <f t="shared" si="34"/>
        <v>12.348799027579258</v>
      </c>
      <c r="J73" s="123">
        <f t="shared" si="34"/>
        <v>13.213214959509806</v>
      </c>
      <c r="K73" s="122">
        <f t="shared" si="34"/>
        <v>14.138140006675492</v>
      </c>
    </row>
    <row r="74" spans="2:11" ht="15" customHeight="1" x14ac:dyDescent="0.25">
      <c r="B74" s="119"/>
      <c r="C74" s="121"/>
      <c r="D74" s="121"/>
      <c r="E74" s="121"/>
      <c r="F74" s="121"/>
      <c r="G74" s="121"/>
      <c r="H74" s="121"/>
      <c r="I74" s="121"/>
      <c r="J74" s="121"/>
      <c r="K74" s="120"/>
    </row>
    <row r="75" spans="2:11" ht="15" customHeight="1" x14ac:dyDescent="0.25">
      <c r="B75" s="119" t="s">
        <v>155</v>
      </c>
      <c r="C75" s="118"/>
      <c r="D75" s="118">
        <f>D73/E4</f>
        <v>3.2411105381591615E-3</v>
      </c>
      <c r="E75" s="118">
        <f>E73/F4</f>
        <v>1.828405496898462E-3</v>
      </c>
      <c r="F75" s="368">
        <v>0</v>
      </c>
      <c r="G75" s="369">
        <v>2.5000000000000001E-3</v>
      </c>
      <c r="H75" s="369">
        <v>2.5000000000000001E-3</v>
      </c>
      <c r="I75" s="369">
        <v>2.5000000000000001E-3</v>
      </c>
      <c r="J75" s="369">
        <v>2.5000000000000001E-3</v>
      </c>
      <c r="K75" s="370">
        <v>2.5000000000000001E-3</v>
      </c>
    </row>
    <row r="76" spans="2:11" ht="15" customHeight="1" x14ac:dyDescent="0.2">
      <c r="B76" s="117"/>
      <c r="C76" s="371"/>
      <c r="D76" s="371"/>
      <c r="E76" s="371"/>
      <c r="F76" s="372"/>
      <c r="G76" s="372"/>
      <c r="H76" s="372"/>
      <c r="I76" s="372"/>
      <c r="J76" s="372"/>
      <c r="K76" s="373"/>
    </row>
    <row r="77" spans="2:11" ht="15" customHeight="1" x14ac:dyDescent="0.2">
      <c r="B77" s="117" t="s">
        <v>219</v>
      </c>
      <c r="C77" s="374">
        <f>C43+C51-C58-C66-C73</f>
        <v>563.24600000000009</v>
      </c>
      <c r="D77" s="374">
        <f>D43+D51-D58-D66-D73</f>
        <v>482.6459999999999</v>
      </c>
      <c r="E77" s="374">
        <f t="shared" ref="E77:K77" si="35">E43+E51-E58-E66-E73</f>
        <v>348.79504000000009</v>
      </c>
      <c r="F77" s="374">
        <f t="shared" si="35"/>
        <v>274.45543848524528</v>
      </c>
      <c r="G77" s="374">
        <f t="shared" si="35"/>
        <v>220.79639718208551</v>
      </c>
      <c r="H77" s="374">
        <f t="shared" si="35"/>
        <v>190.08841030229198</v>
      </c>
      <c r="I77" s="374">
        <f t="shared" si="35"/>
        <v>164.2390270668042</v>
      </c>
      <c r="J77" s="374">
        <f t="shared" si="35"/>
        <v>142.38560440367741</v>
      </c>
      <c r="K77" s="375">
        <f t="shared" si="35"/>
        <v>122.30622156974846</v>
      </c>
    </row>
    <row r="78" spans="2:11" ht="15" customHeight="1" x14ac:dyDescent="0.2">
      <c r="B78" s="116" t="s">
        <v>142</v>
      </c>
      <c r="C78" s="376"/>
      <c r="D78" s="377">
        <f>(C77-D77)*-1</f>
        <v>-80.600000000000193</v>
      </c>
      <c r="E78" s="377">
        <f t="shared" ref="E78:K78" si="36">(D77-E77)*-1</f>
        <v>-133.85095999999982</v>
      </c>
      <c r="F78" s="377">
        <f t="shared" si="36"/>
        <v>-74.339601514754804</v>
      </c>
      <c r="G78" s="377">
        <f t="shared" si="36"/>
        <v>-53.659041303159768</v>
      </c>
      <c r="H78" s="377">
        <f t="shared" si="36"/>
        <v>-30.707986879793538</v>
      </c>
      <c r="I78" s="377">
        <f t="shared" si="36"/>
        <v>-25.849383235487778</v>
      </c>
      <c r="J78" s="377">
        <f t="shared" si="36"/>
        <v>-21.853422663126793</v>
      </c>
      <c r="K78" s="378">
        <f t="shared" si="36"/>
        <v>-20.079382833928946</v>
      </c>
    </row>
  </sheetData>
  <pageMargins left="0.2" right="0.2" top="0.5" bottom="0.5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E70-0A00-462F-B810-BF74699CFFC8}">
  <sheetPr>
    <tabColor theme="9" tint="0.39997558519241921"/>
    <outlinePr summaryBelow="0" summaryRight="0"/>
    <pageSetUpPr autoPageBreaks="0" fitToPage="1"/>
  </sheetPr>
  <dimension ref="A1:IC14"/>
  <sheetViews>
    <sheetView showGridLines="0" view="pageBreakPreview" zoomScaleNormal="85" zoomScaleSheetLayoutView="100" workbookViewId="0">
      <pane xSplit="1" topLeftCell="S1" activePane="topRight" state="frozen"/>
      <selection activeCell="O22" sqref="O22"/>
      <selection pane="topRight" activeCell="AA16" sqref="AA16"/>
    </sheetView>
  </sheetViews>
  <sheetFormatPr defaultColWidth="9.140625" defaultRowHeight="11.25" x14ac:dyDescent="0.2"/>
  <cols>
    <col min="1" max="1" width="47.85546875" style="36" customWidth="1"/>
    <col min="2" max="8" width="20.85546875" style="36" customWidth="1"/>
    <col min="9" max="9" width="19.28515625" style="36" bestFit="1" customWidth="1"/>
    <col min="10" max="10" width="13" style="36" bestFit="1" customWidth="1"/>
    <col min="11" max="21" width="20.85546875" style="36" customWidth="1"/>
    <col min="22" max="16384" width="9.140625" style="36"/>
  </cols>
  <sheetData>
    <row r="1" spans="1:237" x14ac:dyDescent="0.2">
      <c r="C1" s="36" t="s">
        <v>200</v>
      </c>
      <c r="D1" s="36" t="s">
        <v>200</v>
      </c>
      <c r="E1" s="36" t="s">
        <v>200</v>
      </c>
      <c r="F1" s="36" t="s">
        <v>200</v>
      </c>
      <c r="G1" s="36" t="s">
        <v>200</v>
      </c>
      <c r="H1" s="36" t="s">
        <v>199</v>
      </c>
      <c r="I1" s="36" t="s">
        <v>199</v>
      </c>
      <c r="J1" s="36" t="s">
        <v>199</v>
      </c>
    </row>
    <row r="2" spans="1:237" s="104" customFormat="1" x14ac:dyDescent="0.2">
      <c r="A2" s="261" t="s">
        <v>198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2"/>
      <c r="T2" s="263"/>
      <c r="U2" s="262"/>
      <c r="V2" s="262"/>
      <c r="W2" s="262"/>
      <c r="X2" s="262"/>
      <c r="Y2" s="263"/>
      <c r="Z2" s="262"/>
      <c r="AA2" s="262"/>
      <c r="AB2" s="262"/>
      <c r="AC2" s="262"/>
      <c r="AD2" s="262"/>
      <c r="AE2" s="26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/>
      <c r="DU2" s="103"/>
      <c r="DV2" s="103"/>
      <c r="DW2" s="103"/>
      <c r="DX2" s="103"/>
      <c r="DY2" s="103"/>
      <c r="DZ2" s="103"/>
      <c r="EA2" s="103"/>
      <c r="EB2" s="103"/>
      <c r="EC2" s="103"/>
      <c r="ED2" s="103"/>
      <c r="EE2" s="103"/>
      <c r="EF2" s="103"/>
      <c r="EG2" s="103"/>
      <c r="EH2" s="103"/>
      <c r="EI2" s="103"/>
      <c r="EJ2" s="103"/>
      <c r="EK2" s="103"/>
      <c r="EL2" s="103"/>
      <c r="EM2" s="103"/>
      <c r="EN2" s="103"/>
      <c r="EO2" s="103"/>
      <c r="EP2" s="103"/>
      <c r="EQ2" s="103"/>
      <c r="ER2" s="103"/>
      <c r="ES2" s="103"/>
      <c r="ET2" s="103"/>
      <c r="EU2" s="103"/>
      <c r="EV2" s="103"/>
      <c r="EW2" s="103"/>
      <c r="EX2" s="103"/>
      <c r="EY2" s="103"/>
      <c r="EZ2" s="103"/>
      <c r="FA2" s="103"/>
      <c r="FB2" s="103"/>
      <c r="FC2" s="103"/>
      <c r="FD2" s="103"/>
      <c r="FE2" s="103"/>
      <c r="FF2" s="103"/>
      <c r="FG2" s="103"/>
      <c r="FH2" s="103"/>
      <c r="FI2" s="103"/>
      <c r="FJ2" s="103"/>
      <c r="FK2" s="103"/>
      <c r="FL2" s="103"/>
      <c r="FM2" s="103"/>
      <c r="FN2" s="103"/>
      <c r="FO2" s="103"/>
      <c r="FP2" s="103"/>
      <c r="FQ2" s="103"/>
      <c r="FR2" s="103"/>
      <c r="FS2" s="103"/>
      <c r="FT2" s="103"/>
      <c r="FU2" s="103"/>
      <c r="FV2" s="103"/>
      <c r="FW2" s="103"/>
      <c r="FX2" s="103"/>
      <c r="FY2" s="103"/>
      <c r="FZ2" s="103"/>
      <c r="GA2" s="103"/>
      <c r="GB2" s="103"/>
      <c r="GC2" s="103"/>
      <c r="GD2" s="103"/>
      <c r="GE2" s="103"/>
      <c r="GF2" s="103"/>
      <c r="GG2" s="103"/>
      <c r="GH2" s="103"/>
      <c r="GI2" s="103"/>
      <c r="GJ2" s="103"/>
      <c r="GK2" s="103"/>
      <c r="GL2" s="103"/>
      <c r="GM2" s="103"/>
      <c r="GN2" s="103"/>
      <c r="GO2" s="103"/>
      <c r="GP2" s="103"/>
      <c r="GQ2" s="103"/>
      <c r="GR2" s="103"/>
      <c r="GS2" s="103"/>
      <c r="GT2" s="103"/>
      <c r="GU2" s="103"/>
      <c r="GV2" s="103"/>
      <c r="GW2" s="103"/>
      <c r="GX2" s="103"/>
      <c r="GY2" s="103"/>
      <c r="GZ2" s="103"/>
      <c r="HA2" s="103"/>
      <c r="HB2" s="103"/>
      <c r="HC2" s="103"/>
      <c r="HD2" s="103"/>
      <c r="HE2" s="103"/>
      <c r="HF2" s="103"/>
      <c r="HG2" s="103"/>
      <c r="HH2" s="103"/>
      <c r="HI2" s="103"/>
      <c r="HJ2" s="103"/>
      <c r="HK2" s="103"/>
      <c r="HL2" s="103"/>
      <c r="HM2" s="103"/>
      <c r="HN2" s="103"/>
      <c r="HO2" s="103"/>
      <c r="HP2" s="103"/>
      <c r="HQ2" s="103"/>
      <c r="HR2" s="103"/>
      <c r="HS2" s="103"/>
      <c r="HT2" s="103"/>
      <c r="HU2" s="103"/>
      <c r="HV2" s="103"/>
      <c r="HW2" s="103"/>
      <c r="HX2" s="103"/>
      <c r="HY2" s="103"/>
      <c r="HZ2" s="103"/>
      <c r="IA2" s="103"/>
      <c r="IB2" s="103"/>
      <c r="IC2" s="103"/>
    </row>
    <row r="3" spans="1:237" s="104" customFormat="1" x14ac:dyDescent="0.2">
      <c r="A3" s="261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3" t="s">
        <v>197</v>
      </c>
      <c r="T3" s="263"/>
      <c r="U3" s="263"/>
      <c r="V3" s="263" t="s">
        <v>196</v>
      </c>
      <c r="W3" s="263"/>
      <c r="X3" s="263"/>
      <c r="Y3" s="263" t="s">
        <v>195</v>
      </c>
      <c r="Z3" s="263"/>
      <c r="AA3" s="263"/>
      <c r="AB3" s="263"/>
      <c r="AC3" s="263"/>
      <c r="AD3" s="263"/>
      <c r="AE3" s="26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3"/>
      <c r="DP3" s="103"/>
      <c r="DQ3" s="103"/>
      <c r="DR3" s="103"/>
      <c r="DS3" s="103"/>
      <c r="DT3" s="103"/>
      <c r="DU3" s="103"/>
      <c r="DV3" s="103"/>
      <c r="DW3" s="103"/>
      <c r="DX3" s="103"/>
      <c r="DY3" s="103"/>
      <c r="DZ3" s="103"/>
      <c r="EA3" s="103"/>
      <c r="EB3" s="103"/>
      <c r="EC3" s="103"/>
      <c r="ED3" s="103"/>
      <c r="EE3" s="103"/>
      <c r="EF3" s="103"/>
      <c r="EG3" s="103"/>
      <c r="EH3" s="103"/>
      <c r="EI3" s="103"/>
      <c r="EJ3" s="103"/>
      <c r="EK3" s="103"/>
      <c r="EL3" s="103"/>
      <c r="EM3" s="103"/>
      <c r="EN3" s="103"/>
      <c r="EO3" s="103"/>
      <c r="EP3" s="103"/>
      <c r="EQ3" s="103"/>
      <c r="ER3" s="103"/>
      <c r="ES3" s="103"/>
      <c r="ET3" s="103"/>
      <c r="EU3" s="103"/>
      <c r="EV3" s="103"/>
      <c r="EW3" s="103"/>
      <c r="EX3" s="103"/>
      <c r="EY3" s="103"/>
      <c r="EZ3" s="103"/>
      <c r="FA3" s="103"/>
      <c r="FB3" s="103"/>
      <c r="FC3" s="103"/>
      <c r="FD3" s="103"/>
      <c r="FE3" s="103"/>
      <c r="FF3" s="103"/>
      <c r="FG3" s="103"/>
      <c r="FH3" s="103"/>
      <c r="FI3" s="103"/>
      <c r="FJ3" s="103"/>
      <c r="FK3" s="103"/>
      <c r="FL3" s="103"/>
      <c r="FM3" s="103"/>
      <c r="FN3" s="103"/>
      <c r="FO3" s="103"/>
      <c r="FP3" s="103"/>
      <c r="FQ3" s="103"/>
      <c r="FR3" s="103"/>
      <c r="FS3" s="103"/>
      <c r="FT3" s="103"/>
      <c r="FU3" s="103"/>
      <c r="FV3" s="103"/>
      <c r="FW3" s="103"/>
      <c r="FX3" s="103"/>
      <c r="FY3" s="103"/>
      <c r="FZ3" s="103"/>
      <c r="GA3" s="103"/>
      <c r="GB3" s="103"/>
      <c r="GC3" s="103"/>
      <c r="GD3" s="103"/>
      <c r="GE3" s="103"/>
      <c r="GF3" s="103"/>
      <c r="GG3" s="103"/>
      <c r="GH3" s="103"/>
      <c r="GI3" s="103"/>
      <c r="GJ3" s="103"/>
      <c r="GK3" s="103"/>
      <c r="GL3" s="103"/>
      <c r="GM3" s="103"/>
      <c r="GN3" s="103"/>
      <c r="GO3" s="103"/>
      <c r="GP3" s="103"/>
      <c r="GQ3" s="103"/>
      <c r="GR3" s="103"/>
      <c r="GS3" s="103"/>
      <c r="GT3" s="103"/>
      <c r="GU3" s="103"/>
      <c r="GV3" s="103"/>
      <c r="GW3" s="103"/>
      <c r="GX3" s="103"/>
      <c r="GY3" s="103"/>
      <c r="GZ3" s="103"/>
      <c r="HA3" s="103"/>
      <c r="HB3" s="103"/>
      <c r="HC3" s="103"/>
      <c r="HD3" s="103"/>
      <c r="HE3" s="103"/>
      <c r="HF3" s="103"/>
      <c r="HG3" s="103"/>
      <c r="HH3" s="103"/>
      <c r="HI3" s="103"/>
      <c r="HJ3" s="103"/>
      <c r="HK3" s="103"/>
      <c r="HL3" s="103"/>
      <c r="HM3" s="103"/>
      <c r="HN3" s="103"/>
      <c r="HO3" s="103"/>
      <c r="HP3" s="103"/>
      <c r="HQ3" s="103"/>
      <c r="HR3" s="103"/>
      <c r="HS3" s="103"/>
      <c r="HT3" s="103"/>
      <c r="HU3" s="103"/>
      <c r="HV3" s="103"/>
      <c r="HW3" s="103"/>
      <c r="HX3" s="103"/>
      <c r="HY3" s="103"/>
      <c r="HZ3" s="103"/>
      <c r="IA3" s="103"/>
      <c r="IB3" s="103"/>
      <c r="IC3" s="103"/>
    </row>
    <row r="4" spans="1:237" ht="30" customHeight="1" x14ac:dyDescent="0.2">
      <c r="A4" s="99" t="s">
        <v>194</v>
      </c>
      <c r="B4" s="385" t="s">
        <v>193</v>
      </c>
      <c r="C4" s="385" t="s">
        <v>192</v>
      </c>
      <c r="D4" s="385" t="s">
        <v>191</v>
      </c>
      <c r="E4" s="385" t="s">
        <v>190</v>
      </c>
      <c r="F4" s="385" t="s">
        <v>189</v>
      </c>
      <c r="G4" s="385" t="s">
        <v>188</v>
      </c>
      <c r="H4" s="385" t="s">
        <v>187</v>
      </c>
      <c r="I4" s="385" t="s">
        <v>186</v>
      </c>
      <c r="J4" s="385" t="s">
        <v>185</v>
      </c>
      <c r="K4" s="385" t="s">
        <v>64</v>
      </c>
      <c r="L4" s="385" t="s">
        <v>184</v>
      </c>
      <c r="M4" s="385" t="s">
        <v>183</v>
      </c>
      <c r="N4" s="385" t="s">
        <v>182</v>
      </c>
      <c r="O4" s="385" t="s">
        <v>181</v>
      </c>
      <c r="P4" s="385" t="s">
        <v>180</v>
      </c>
      <c r="Q4" s="385" t="s">
        <v>179</v>
      </c>
      <c r="R4" s="385"/>
      <c r="S4" s="386" t="s">
        <v>171</v>
      </c>
      <c r="T4" s="386">
        <v>2020</v>
      </c>
      <c r="U4" s="386">
        <v>2021</v>
      </c>
      <c r="V4" s="386" t="s">
        <v>171</v>
      </c>
      <c r="W4" s="386">
        <v>2020</v>
      </c>
      <c r="X4" s="386">
        <v>2021</v>
      </c>
      <c r="Y4" s="386" t="s">
        <v>171</v>
      </c>
      <c r="Z4" s="386"/>
      <c r="AA4" s="386"/>
      <c r="AB4" s="386"/>
      <c r="AC4" s="386"/>
      <c r="AD4" s="386"/>
      <c r="AE4" s="386"/>
    </row>
    <row r="5" spans="1:237" x14ac:dyDescent="0.2">
      <c r="A5" s="99" t="s">
        <v>256</v>
      </c>
      <c r="B5" s="387">
        <v>14794.3</v>
      </c>
      <c r="C5" s="388">
        <v>4239</v>
      </c>
      <c r="D5" s="388">
        <v>401</v>
      </c>
      <c r="E5" s="389" t="s">
        <v>3</v>
      </c>
      <c r="F5" s="388">
        <v>9</v>
      </c>
      <c r="G5" s="389" t="s">
        <v>3</v>
      </c>
      <c r="H5" s="390">
        <v>512</v>
      </c>
      <c r="I5" s="390" t="s">
        <v>3</v>
      </c>
      <c r="J5" s="390" t="s">
        <v>3</v>
      </c>
      <c r="K5" s="388">
        <f t="shared" ref="K5:K11" si="0">SUM(B5:J5)</f>
        <v>19955.3</v>
      </c>
      <c r="L5" s="387">
        <v>1326.68</v>
      </c>
      <c r="M5" s="388">
        <v>1450.8</v>
      </c>
      <c r="N5" s="388">
        <v>612</v>
      </c>
      <c r="O5" s="387">
        <v>612</v>
      </c>
      <c r="P5" s="388">
        <v>768.98</v>
      </c>
      <c r="Q5" s="388">
        <v>1268</v>
      </c>
      <c r="R5" s="387"/>
      <c r="S5" s="391">
        <f t="shared" ref="S5:U11" si="1">IF($K5/L5&lt;0,"NM",$K5/L5)</f>
        <v>15.041532245907074</v>
      </c>
      <c r="T5" s="391">
        <f t="shared" si="1"/>
        <v>13.754687069203198</v>
      </c>
      <c r="U5" s="391">
        <f t="shared" si="1"/>
        <v>32.606699346405229</v>
      </c>
      <c r="V5" s="391">
        <f>IF($B5/O5&gt;0,$B5/O5,"NM")</f>
        <v>24.173692810457514</v>
      </c>
      <c r="W5" s="391">
        <f t="shared" ref="V5:W11" si="2">IF($B5/P5&gt;0,$B5/P5,"NM")</f>
        <v>19.238861868969284</v>
      </c>
      <c r="X5" s="391">
        <f>IF($B5/Q5&gt;0,$B5/Q5,"NA")</f>
        <v>11.667429022082018</v>
      </c>
      <c r="Y5" s="391">
        <f t="shared" ref="Y5:Y11" si="3">IF(SUM(C5:E5)/L5&lt;0,"NM",SUM(C5:E5)/L5)</f>
        <v>3.4974522869116891</v>
      </c>
      <c r="Z5" s="386"/>
      <c r="AA5" s="386"/>
      <c r="AB5" s="386"/>
      <c r="AC5" s="386"/>
      <c r="AD5" s="386"/>
      <c r="AE5" s="386"/>
    </row>
    <row r="6" spans="1:237" x14ac:dyDescent="0.2">
      <c r="A6" s="99" t="s">
        <v>255</v>
      </c>
      <c r="B6" s="387">
        <v>12153.1</v>
      </c>
      <c r="C6" s="388">
        <v>2349.54</v>
      </c>
      <c r="D6" s="388">
        <v>97.67</v>
      </c>
      <c r="E6" s="389" t="s">
        <v>3</v>
      </c>
      <c r="F6" s="388" t="s">
        <v>3</v>
      </c>
      <c r="G6" s="389" t="s">
        <v>3</v>
      </c>
      <c r="H6" s="390">
        <v>-1275.2</v>
      </c>
      <c r="I6" s="390" t="s">
        <v>3</v>
      </c>
      <c r="J6" s="390" t="s">
        <v>3</v>
      </c>
      <c r="K6" s="388">
        <f t="shared" si="0"/>
        <v>13325.109999999999</v>
      </c>
      <c r="L6" s="387">
        <v>795.9</v>
      </c>
      <c r="M6" s="388">
        <v>823.13</v>
      </c>
      <c r="N6" s="388">
        <v>854.14</v>
      </c>
      <c r="O6" s="387">
        <v>516.29999999999995</v>
      </c>
      <c r="P6" s="388">
        <v>533.58000000000004</v>
      </c>
      <c r="Q6" s="388">
        <v>539.23</v>
      </c>
      <c r="R6" s="387"/>
      <c r="S6" s="391">
        <f t="shared" si="1"/>
        <v>16.742191230054026</v>
      </c>
      <c r="T6" s="391">
        <f t="shared" si="1"/>
        <v>16.188342060184901</v>
      </c>
      <c r="U6" s="391">
        <f t="shared" si="1"/>
        <v>15.600615824103775</v>
      </c>
      <c r="V6" s="391">
        <f t="shared" si="2"/>
        <v>23.538834011233781</v>
      </c>
      <c r="W6" s="391">
        <f t="shared" si="2"/>
        <v>22.776528355635516</v>
      </c>
      <c r="X6" s="391">
        <f>IF($B6/Q6&gt;0,$B6/Q6,"NA")</f>
        <v>22.537878085418097</v>
      </c>
      <c r="Y6" s="391">
        <f t="shared" si="3"/>
        <v>3.0747706998366628</v>
      </c>
      <c r="Z6" s="386"/>
      <c r="AA6" s="386"/>
      <c r="AB6" s="386"/>
      <c r="AC6" s="386"/>
      <c r="AD6" s="386"/>
      <c r="AE6" s="386"/>
    </row>
    <row r="7" spans="1:237" x14ac:dyDescent="0.2">
      <c r="A7" s="99" t="s">
        <v>254</v>
      </c>
      <c r="B7" s="387">
        <v>6247.2</v>
      </c>
      <c r="C7" s="388">
        <v>1606.23</v>
      </c>
      <c r="D7" s="388">
        <v>48.17</v>
      </c>
      <c r="E7" s="389" t="s">
        <v>3</v>
      </c>
      <c r="F7" s="389">
        <v>0</v>
      </c>
      <c r="G7" s="389" t="s">
        <v>3</v>
      </c>
      <c r="H7" s="390">
        <v>-124.9</v>
      </c>
      <c r="I7" s="390" t="s">
        <v>3</v>
      </c>
      <c r="J7" s="390" t="s">
        <v>3</v>
      </c>
      <c r="K7" s="388">
        <f t="shared" si="0"/>
        <v>7776.7000000000007</v>
      </c>
      <c r="L7" s="387">
        <v>609</v>
      </c>
      <c r="M7" s="388">
        <v>627.12</v>
      </c>
      <c r="N7" s="388">
        <v>674.49</v>
      </c>
      <c r="O7" s="387">
        <v>347.1</v>
      </c>
      <c r="P7" s="388">
        <v>358.61</v>
      </c>
      <c r="Q7" s="388">
        <v>393.01</v>
      </c>
      <c r="R7" s="387"/>
      <c r="S7" s="391">
        <f t="shared" si="1"/>
        <v>12.769622331691298</v>
      </c>
      <c r="T7" s="391">
        <f t="shared" si="1"/>
        <v>12.400656971552495</v>
      </c>
      <c r="U7" s="391">
        <f t="shared" si="1"/>
        <v>11.529748402496702</v>
      </c>
      <c r="V7" s="391">
        <f t="shared" si="2"/>
        <v>17.998271391529816</v>
      </c>
      <c r="W7" s="391">
        <f t="shared" si="2"/>
        <v>17.420596190847995</v>
      </c>
      <c r="X7" s="391">
        <f>IF($B7/Q7&gt;0,$B7/Q7,"NA")</f>
        <v>15.895778733365564</v>
      </c>
      <c r="Y7" s="391">
        <f t="shared" si="3"/>
        <v>2.716584564860427</v>
      </c>
      <c r="Z7" s="386"/>
      <c r="AA7" s="386"/>
      <c r="AB7" s="386"/>
      <c r="AC7" s="386"/>
      <c r="AD7" s="386"/>
      <c r="AE7" s="386"/>
    </row>
    <row r="8" spans="1:237" x14ac:dyDescent="0.2">
      <c r="A8" s="99" t="s">
        <v>253</v>
      </c>
      <c r="B8" s="387">
        <v>5674.5</v>
      </c>
      <c r="C8" s="388">
        <v>2657</v>
      </c>
      <c r="D8" s="388">
        <v>230</v>
      </c>
      <c r="E8" s="389"/>
      <c r="F8" s="389">
        <v>13</v>
      </c>
      <c r="G8" s="389" t="s">
        <v>3</v>
      </c>
      <c r="H8" s="390">
        <v>-197</v>
      </c>
      <c r="I8" s="390" t="s">
        <v>3</v>
      </c>
      <c r="J8" s="390" t="s">
        <v>3</v>
      </c>
      <c r="K8" s="388">
        <f t="shared" si="0"/>
        <v>8377.5</v>
      </c>
      <c r="L8" s="387">
        <v>579</v>
      </c>
      <c r="M8" s="388">
        <v>628.1</v>
      </c>
      <c r="N8" s="388">
        <v>702.21</v>
      </c>
      <c r="O8" s="387">
        <v>201</v>
      </c>
      <c r="P8" s="388">
        <v>207.3</v>
      </c>
      <c r="Q8" s="388">
        <v>329.92</v>
      </c>
      <c r="R8" s="387"/>
      <c r="S8" s="391">
        <f t="shared" si="1"/>
        <v>14.468911917098445</v>
      </c>
      <c r="T8" s="391">
        <f t="shared" si="1"/>
        <v>13.337844292310141</v>
      </c>
      <c r="U8" s="391">
        <f t="shared" si="1"/>
        <v>11.930191822958943</v>
      </c>
      <c r="V8" s="391">
        <f t="shared" si="2"/>
        <v>28.231343283582088</v>
      </c>
      <c r="W8" s="391">
        <f t="shared" si="2"/>
        <v>27.373371924746742</v>
      </c>
      <c r="X8" s="391">
        <f>IF($B8/Q8&gt;0,$B8/Q8,"NA")</f>
        <v>17.199624151309408</v>
      </c>
      <c r="Y8" s="391">
        <f t="shared" si="3"/>
        <v>4.9861830742659761</v>
      </c>
      <c r="Z8" s="386"/>
      <c r="AA8" s="386"/>
      <c r="AB8" s="386"/>
      <c r="AC8" s="386"/>
      <c r="AD8" s="386"/>
      <c r="AE8" s="386"/>
    </row>
    <row r="9" spans="1:237" x14ac:dyDescent="0.2">
      <c r="A9" s="99" t="s">
        <v>252</v>
      </c>
      <c r="B9" s="387">
        <v>4208.6000000000004</v>
      </c>
      <c r="C9" s="388">
        <v>2531</v>
      </c>
      <c r="D9" s="388">
        <v>307.8</v>
      </c>
      <c r="E9" s="389" t="s">
        <v>3</v>
      </c>
      <c r="F9" s="388">
        <v>0.5</v>
      </c>
      <c r="G9" s="389" t="s">
        <v>3</v>
      </c>
      <c r="H9" s="390">
        <v>-1440.3</v>
      </c>
      <c r="I9" s="390" t="s">
        <v>3</v>
      </c>
      <c r="J9" s="390">
        <v>-3.9</v>
      </c>
      <c r="K9" s="388">
        <f t="shared" si="0"/>
        <v>5603.7000000000007</v>
      </c>
      <c r="L9" s="387">
        <v>-156.1</v>
      </c>
      <c r="M9" s="388">
        <v>-469.78</v>
      </c>
      <c r="N9" s="388">
        <v>205.12</v>
      </c>
      <c r="O9" s="387">
        <v>-506.7</v>
      </c>
      <c r="P9" s="388">
        <v>-669.95</v>
      </c>
      <c r="Q9" s="388">
        <v>-226.05</v>
      </c>
      <c r="R9" s="387"/>
      <c r="S9" s="391" t="str">
        <f t="shared" si="1"/>
        <v>NM</v>
      </c>
      <c r="T9" s="391" t="str">
        <f t="shared" si="1"/>
        <v>NM</v>
      </c>
      <c r="U9" s="391">
        <f t="shared" si="1"/>
        <v>27.31913026521061</v>
      </c>
      <c r="V9" s="391" t="str">
        <f t="shared" si="2"/>
        <v>NM</v>
      </c>
      <c r="W9" s="391" t="str">
        <f t="shared" si="2"/>
        <v>NM</v>
      </c>
      <c r="X9" s="391" t="str">
        <f>IF($B9/Q9&gt;0,$B9/Q9,"NM")</f>
        <v>NM</v>
      </c>
      <c r="Y9" s="391" t="str">
        <f t="shared" si="3"/>
        <v>NM</v>
      </c>
      <c r="Z9" s="386"/>
      <c r="AA9" s="386"/>
      <c r="AB9" s="386"/>
      <c r="AC9" s="386"/>
      <c r="AD9" s="386"/>
      <c r="AE9" s="386"/>
    </row>
    <row r="10" spans="1:237" x14ac:dyDescent="0.2">
      <c r="A10" s="99" t="s">
        <v>251</v>
      </c>
      <c r="B10" s="387">
        <v>879</v>
      </c>
      <c r="C10" s="388">
        <v>584.04</v>
      </c>
      <c r="D10" s="389">
        <v>23.04</v>
      </c>
      <c r="E10" s="388" t="s">
        <v>3</v>
      </c>
      <c r="F10" s="389">
        <v>35.020000000000003</v>
      </c>
      <c r="G10" s="389" t="s">
        <v>3</v>
      </c>
      <c r="H10" s="390">
        <v>145.4</v>
      </c>
      <c r="I10" s="390" t="s">
        <v>3</v>
      </c>
      <c r="J10" s="390">
        <v>18.96</v>
      </c>
      <c r="K10" s="388">
        <f t="shared" si="0"/>
        <v>1685.46</v>
      </c>
      <c r="L10" s="387">
        <v>175.75</v>
      </c>
      <c r="M10" s="388">
        <v>204.68</v>
      </c>
      <c r="N10" s="388">
        <v>6.8</v>
      </c>
      <c r="O10" s="387">
        <v>30.67</v>
      </c>
      <c r="P10" s="388">
        <v>75.569999999999993</v>
      </c>
      <c r="Q10" s="388">
        <v>100.3</v>
      </c>
      <c r="R10" s="387"/>
      <c r="S10" s="391">
        <f t="shared" si="1"/>
        <v>9.5900995732574685</v>
      </c>
      <c r="T10" s="391">
        <f t="shared" si="1"/>
        <v>8.2346101231190154</v>
      </c>
      <c r="U10" s="391">
        <f t="shared" si="1"/>
        <v>247.86176470588236</v>
      </c>
      <c r="V10" s="391">
        <f t="shared" si="2"/>
        <v>28.659928268666448</v>
      </c>
      <c r="W10" s="391">
        <f t="shared" si="2"/>
        <v>11.63159984120683</v>
      </c>
      <c r="X10" s="391">
        <f>IF($B10/Q10&gt;0,$B10/Q10,"NA")</f>
        <v>8.7637088733798603</v>
      </c>
      <c r="Y10" s="391">
        <f t="shared" si="3"/>
        <v>3.4542247510668558</v>
      </c>
      <c r="Z10" s="386"/>
      <c r="AA10" s="386"/>
      <c r="AB10" s="386"/>
      <c r="AC10" s="386"/>
      <c r="AD10" s="386"/>
      <c r="AE10" s="386"/>
    </row>
    <row r="11" spans="1:237" x14ac:dyDescent="0.2">
      <c r="A11" s="99" t="s">
        <v>250</v>
      </c>
      <c r="B11" s="387">
        <v>802</v>
      </c>
      <c r="C11" s="388">
        <v>1999.47</v>
      </c>
      <c r="D11" s="389" t="s">
        <v>3</v>
      </c>
      <c r="E11" s="389" t="s">
        <v>3</v>
      </c>
      <c r="F11" s="389" t="s">
        <v>3</v>
      </c>
      <c r="G11" s="389" t="s">
        <v>3</v>
      </c>
      <c r="H11" s="390">
        <v>440.2</v>
      </c>
      <c r="I11" s="390" t="s">
        <v>3</v>
      </c>
      <c r="J11" s="390" t="s">
        <v>3</v>
      </c>
      <c r="K11" s="388">
        <f t="shared" si="0"/>
        <v>3241.67</v>
      </c>
      <c r="L11" s="387">
        <v>123.5</v>
      </c>
      <c r="M11" s="388">
        <v>208.57</v>
      </c>
      <c r="N11" s="388">
        <v>-396.6</v>
      </c>
      <c r="O11" s="387">
        <v>-395.28</v>
      </c>
      <c r="P11" s="388">
        <v>-72.34</v>
      </c>
      <c r="Q11" s="388">
        <v>165.5</v>
      </c>
      <c r="R11" s="387"/>
      <c r="S11" s="391">
        <f t="shared" si="1"/>
        <v>26.248340080971662</v>
      </c>
      <c r="T11" s="391">
        <f t="shared" si="1"/>
        <v>15.542359879177255</v>
      </c>
      <c r="U11" s="391" t="str">
        <f>IF($K11/N11&lt;0,"NM",$K11/N11)</f>
        <v>NM</v>
      </c>
      <c r="V11" s="391" t="str">
        <f t="shared" si="2"/>
        <v>NM</v>
      </c>
      <c r="W11" s="391" t="str">
        <f t="shared" si="2"/>
        <v>NM</v>
      </c>
      <c r="X11" s="391">
        <f>IF($B11/Q11&gt;0,$B11/Q11,"NA")</f>
        <v>4.8459214501510575</v>
      </c>
      <c r="Y11" s="391">
        <f t="shared" si="3"/>
        <v>16.190040485829961</v>
      </c>
      <c r="Z11" s="386"/>
      <c r="AA11" s="386"/>
      <c r="AB11" s="386"/>
      <c r="AC11" s="386"/>
      <c r="AD11" s="386"/>
      <c r="AE11" s="386"/>
    </row>
    <row r="12" spans="1:237" x14ac:dyDescent="0.2">
      <c r="A12" s="98" t="s">
        <v>5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2"/>
      <c r="N12" s="392"/>
      <c r="O12" s="392"/>
      <c r="P12" s="392"/>
      <c r="Q12" s="392"/>
      <c r="R12" s="392"/>
      <c r="S12" s="393"/>
      <c r="T12" s="393"/>
      <c r="U12" s="393"/>
      <c r="V12" s="391"/>
      <c r="W12" s="391"/>
      <c r="X12" s="391"/>
      <c r="Y12" s="386"/>
      <c r="Z12" s="386"/>
      <c r="AA12" s="386"/>
      <c r="AB12" s="386"/>
      <c r="AC12" s="386"/>
      <c r="AD12" s="386"/>
      <c r="AE12" s="386"/>
    </row>
    <row r="13" spans="1:237" x14ac:dyDescent="0.2">
      <c r="A13" s="99" t="s">
        <v>249</v>
      </c>
      <c r="B13" s="387">
        <v>3322</v>
      </c>
      <c r="C13" s="388">
        <v>537.12</v>
      </c>
      <c r="D13" s="388" t="s">
        <v>3</v>
      </c>
      <c r="E13" s="388">
        <v>50</v>
      </c>
      <c r="F13" s="389">
        <v>41.97</v>
      </c>
      <c r="G13" s="389" t="s">
        <v>3</v>
      </c>
      <c r="H13" s="390">
        <v>-614</v>
      </c>
      <c r="I13" s="390" t="s">
        <v>3</v>
      </c>
      <c r="J13" s="390">
        <v>-71.290000000000006</v>
      </c>
      <c r="K13" s="388">
        <f>SUM(B13:J13)</f>
        <v>3265.7999999999997</v>
      </c>
      <c r="L13" s="387">
        <v>246</v>
      </c>
      <c r="M13" s="388">
        <v>350.59</v>
      </c>
      <c r="N13" s="388">
        <v>392.3</v>
      </c>
      <c r="O13" s="387">
        <v>90.7</v>
      </c>
      <c r="P13" s="388">
        <v>121.97</v>
      </c>
      <c r="Q13" s="388">
        <v>149.49</v>
      </c>
      <c r="R13" s="387"/>
      <c r="S13" s="393">
        <f>$K13/L13</f>
        <v>13.275609756097559</v>
      </c>
      <c r="T13" s="393">
        <f>$K13/M13</f>
        <v>9.3151544539205346</v>
      </c>
      <c r="U13" s="393">
        <f>$K13/N13</f>
        <v>8.3247514657150123</v>
      </c>
      <c r="V13" s="391">
        <f>IF($B13/O13&gt;0,$B13/O13,"NM")</f>
        <v>36.626240352811465</v>
      </c>
      <c r="W13" s="391">
        <f>IF($B13/P13&gt;0,$B13/P13,"NM")</f>
        <v>27.236205624333852</v>
      </c>
      <c r="X13" s="391">
        <f>IF($B13/Q13&gt;0,$B13/Q13,"NM")</f>
        <v>22.222222222222221</v>
      </c>
      <c r="Y13" s="391">
        <f>SUM(C13:E13)/L13</f>
        <v>2.3866666666666667</v>
      </c>
      <c r="Z13" s="386"/>
      <c r="AA13" s="386"/>
      <c r="AB13" s="386"/>
      <c r="AC13" s="386"/>
      <c r="AD13" s="386"/>
      <c r="AE13" s="386"/>
    </row>
    <row r="14" spans="1:237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</sheetData>
  <pageMargins left="0.2" right="0.2" top="0.5" bottom="0.5" header="0.5" footer="0.5"/>
  <pageSetup scale="2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E30B-64B4-40A6-9059-E60B167EFA21}">
  <sheetPr>
    <tabColor theme="9" tint="0.39997558519241921"/>
    <outlinePr summaryBelow="0" summaryRight="0"/>
    <pageSetUpPr autoPageBreaks="0" fitToPage="1"/>
  </sheetPr>
  <dimension ref="A1:IT10"/>
  <sheetViews>
    <sheetView view="pageBreakPreview" zoomScale="110" zoomScaleNormal="100" zoomScaleSheetLayoutView="100" workbookViewId="0">
      <pane xSplit="1" topLeftCell="G1" activePane="topRight" state="frozen"/>
      <selection activeCell="O22" sqref="O22"/>
      <selection pane="topRight" activeCell="H10" sqref="H10"/>
    </sheetView>
  </sheetViews>
  <sheetFormatPr defaultColWidth="9.140625" defaultRowHeight="11.25" x14ac:dyDescent="0.2"/>
  <cols>
    <col min="1" max="1" width="47.85546875" style="104" customWidth="1"/>
    <col min="2" max="2" width="17.7109375" style="36" bestFit="1" customWidth="1"/>
    <col min="3" max="3" width="18.85546875" style="36" bestFit="1" customWidth="1"/>
    <col min="4" max="8" width="20.28515625" style="36" bestFit="1" customWidth="1"/>
    <col min="9" max="10" width="25.140625" style="36" bestFit="1" customWidth="1"/>
    <col min="11" max="16384" width="9.140625" style="36"/>
  </cols>
  <sheetData>
    <row r="1" spans="1:254" s="104" customFormat="1" ht="13.5" thickBot="1" x14ac:dyDescent="0.25">
      <c r="A1" s="261" t="s">
        <v>198</v>
      </c>
      <c r="B1" s="261"/>
      <c r="C1" s="261"/>
      <c r="D1" s="261"/>
      <c r="E1" s="261"/>
      <c r="F1" s="261"/>
      <c r="G1" s="261"/>
      <c r="H1" s="261"/>
      <c r="I1" s="266" t="s">
        <v>216</v>
      </c>
      <c r="J1" s="266" t="s">
        <v>217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3"/>
      <c r="ET1" s="103"/>
      <c r="EU1" s="103"/>
      <c r="EV1" s="103"/>
      <c r="EW1" s="103"/>
      <c r="EX1" s="103"/>
      <c r="EY1" s="103"/>
      <c r="EZ1" s="103"/>
      <c r="FA1" s="103"/>
      <c r="FB1" s="103"/>
      <c r="FC1" s="103"/>
      <c r="FD1" s="103"/>
      <c r="FE1" s="103"/>
      <c r="FF1" s="103"/>
      <c r="FG1" s="103"/>
      <c r="FH1" s="103"/>
      <c r="FI1" s="103"/>
      <c r="FJ1" s="103"/>
      <c r="FK1" s="103"/>
      <c r="FL1" s="103"/>
      <c r="FM1" s="103"/>
      <c r="FN1" s="103"/>
      <c r="FO1" s="103"/>
      <c r="FP1" s="103"/>
      <c r="FQ1" s="103"/>
      <c r="FR1" s="103"/>
      <c r="FS1" s="103"/>
      <c r="FT1" s="103"/>
      <c r="FU1" s="103"/>
      <c r="FV1" s="103"/>
      <c r="FW1" s="103"/>
      <c r="FX1" s="103"/>
      <c r="FY1" s="103"/>
      <c r="FZ1" s="103"/>
      <c r="GA1" s="103"/>
      <c r="GB1" s="103"/>
      <c r="GC1" s="103"/>
      <c r="GD1" s="103"/>
      <c r="GE1" s="103"/>
      <c r="GF1" s="103"/>
      <c r="GG1" s="103"/>
      <c r="GH1" s="103"/>
      <c r="GI1" s="103"/>
      <c r="GJ1" s="103"/>
      <c r="GK1" s="103"/>
      <c r="GL1" s="103"/>
      <c r="GM1" s="103"/>
      <c r="GN1" s="103"/>
      <c r="GO1" s="103"/>
      <c r="GP1" s="103"/>
      <c r="GQ1" s="103"/>
      <c r="GR1" s="103"/>
      <c r="GS1" s="103"/>
      <c r="GT1" s="103"/>
      <c r="GU1" s="103"/>
      <c r="GV1" s="103"/>
      <c r="GW1" s="103"/>
      <c r="GX1" s="103"/>
      <c r="GY1" s="103"/>
      <c r="GZ1" s="103"/>
      <c r="HA1" s="103"/>
      <c r="HB1" s="103"/>
      <c r="HC1" s="103"/>
      <c r="HD1" s="103"/>
      <c r="HE1" s="103"/>
      <c r="HF1" s="103"/>
      <c r="HG1" s="103"/>
      <c r="HH1" s="103"/>
      <c r="HI1" s="103"/>
      <c r="HJ1" s="103"/>
      <c r="HK1" s="103"/>
      <c r="HL1" s="103"/>
      <c r="HM1" s="103"/>
      <c r="HN1" s="103"/>
      <c r="HO1" s="103"/>
      <c r="HP1" s="103"/>
      <c r="HQ1" s="103"/>
      <c r="HR1" s="103"/>
      <c r="HS1" s="103"/>
      <c r="HT1" s="103"/>
      <c r="HU1" s="103"/>
      <c r="HV1" s="103"/>
      <c r="HW1" s="103"/>
      <c r="HX1" s="103"/>
      <c r="HY1" s="103"/>
      <c r="HZ1" s="103"/>
      <c r="IA1" s="103"/>
      <c r="IB1" s="103"/>
      <c r="IC1" s="103"/>
      <c r="ID1" s="103"/>
      <c r="IE1" s="103"/>
      <c r="IF1" s="103"/>
      <c r="IG1" s="103"/>
      <c r="IH1" s="103"/>
      <c r="II1" s="103"/>
      <c r="IJ1" s="103"/>
      <c r="IK1" s="103"/>
      <c r="IL1" s="103"/>
      <c r="IM1" s="103"/>
      <c r="IN1" s="103"/>
      <c r="IO1" s="103"/>
      <c r="IP1" s="103"/>
      <c r="IQ1" s="103"/>
      <c r="IR1" s="103"/>
      <c r="IS1" s="103"/>
      <c r="IT1" s="103"/>
    </row>
    <row r="2" spans="1:254" s="104" customFormat="1" ht="23.25" thickBot="1" x14ac:dyDescent="0.25">
      <c r="A2" s="264" t="s">
        <v>194</v>
      </c>
      <c r="B2" s="267" t="s">
        <v>193</v>
      </c>
      <c r="C2" s="267" t="s">
        <v>215</v>
      </c>
      <c r="D2" s="267" t="s">
        <v>214</v>
      </c>
      <c r="E2" s="267" t="s">
        <v>213</v>
      </c>
      <c r="F2" s="267" t="s">
        <v>212</v>
      </c>
      <c r="G2" s="267" t="s">
        <v>211</v>
      </c>
      <c r="H2" s="267" t="s">
        <v>210</v>
      </c>
      <c r="I2" s="266" t="s">
        <v>69</v>
      </c>
      <c r="J2" s="266" t="s">
        <v>69</v>
      </c>
    </row>
    <row r="3" spans="1:254" ht="12" customHeight="1" x14ac:dyDescent="0.2">
      <c r="A3" s="265" t="str">
        <f>' Comps'!B6</f>
        <v>Leidos Holdings</v>
      </c>
      <c r="B3" s="106">
        <f>' Comps'!C6</f>
        <v>14794.3</v>
      </c>
      <c r="C3" s="105">
        <v>0.23799999999999999</v>
      </c>
      <c r="D3" s="105">
        <v>0.19789999999999999</v>
      </c>
      <c r="E3" s="105">
        <v>0.20530000000000001</v>
      </c>
      <c r="F3" s="105">
        <v>0.2263</v>
      </c>
      <c r="G3" s="105">
        <v>0.14199999999999999</v>
      </c>
      <c r="H3" s="105">
        <v>0.1114</v>
      </c>
      <c r="I3" s="107">
        <f>SUM(D3:H3)</f>
        <v>0.88290000000000002</v>
      </c>
      <c r="J3" s="108">
        <f>I3/5</f>
        <v>0.17658000000000001</v>
      </c>
    </row>
    <row r="4" spans="1:254" ht="12" customHeight="1" x14ac:dyDescent="0.2">
      <c r="A4" s="265" t="str">
        <f>' Comps'!B7</f>
        <v>Booz Allen Hamilton Holdings</v>
      </c>
      <c r="B4" s="106">
        <f>' Comps'!C7</f>
        <v>12153.1</v>
      </c>
      <c r="C4" s="105">
        <v>0.224</v>
      </c>
      <c r="D4" s="105">
        <v>0.16800000000000001</v>
      </c>
      <c r="E4" s="105">
        <v>0.1671</v>
      </c>
      <c r="F4" s="105">
        <v>0.2379</v>
      </c>
      <c r="G4" s="105">
        <v>0.19359999999999999</v>
      </c>
      <c r="H4" s="105">
        <v>0.1913</v>
      </c>
      <c r="I4" s="107">
        <f>SUM(D4:H4)</f>
        <v>0.95789999999999997</v>
      </c>
      <c r="J4" s="108">
        <f>I4/5</f>
        <v>0.19158</v>
      </c>
    </row>
    <row r="5" spans="1:254" ht="12" customHeight="1" x14ac:dyDescent="0.2">
      <c r="A5" s="265" t="str">
        <f>' Comps'!B8</f>
        <v>CACI International</v>
      </c>
      <c r="B5" s="106">
        <f>' Comps'!C8</f>
        <v>6247.2</v>
      </c>
      <c r="C5" s="105">
        <v>0.248</v>
      </c>
      <c r="D5" s="105">
        <v>0.1996</v>
      </c>
      <c r="E5" s="105">
        <v>0.1862</v>
      </c>
      <c r="F5" s="105">
        <v>0.1789</v>
      </c>
      <c r="G5" s="105">
        <v>0.20530000000000001</v>
      </c>
      <c r="H5" s="105">
        <v>0.1799</v>
      </c>
      <c r="I5" s="107">
        <f t="shared" ref="I5:I10" si="0">SUM(D5:H5)</f>
        <v>0.94989999999999997</v>
      </c>
      <c r="J5" s="108">
        <f t="shared" ref="J5:J10" si="1">I5/5</f>
        <v>0.18997999999999998</v>
      </c>
    </row>
    <row r="6" spans="1:254" ht="12" customHeight="1" x14ac:dyDescent="0.2">
      <c r="A6" s="265" t="str">
        <f>' Comps'!B9</f>
        <v>Science Applications Intl.</v>
      </c>
      <c r="B6" s="106">
        <f>' Comps'!C9</f>
        <v>5674.5</v>
      </c>
      <c r="C6" s="105">
        <v>0.224</v>
      </c>
      <c r="D6" s="105">
        <v>0.19839999999999999</v>
      </c>
      <c r="E6" s="105">
        <v>0.19539999999999999</v>
      </c>
      <c r="F6" s="105">
        <v>0.1993</v>
      </c>
      <c r="G6" s="105">
        <v>0.23810000000000001</v>
      </c>
      <c r="H6" s="105">
        <v>0.2205</v>
      </c>
      <c r="I6" s="107">
        <f t="shared" si="0"/>
        <v>1.0516999999999999</v>
      </c>
      <c r="J6" s="108">
        <f t="shared" si="1"/>
        <v>0.21033999999999997</v>
      </c>
    </row>
    <row r="7" spans="1:254" ht="12" customHeight="1" x14ac:dyDescent="0.2">
      <c r="A7" s="265" t="str">
        <f>' Comps'!B10</f>
        <v>Spirit AeroSystems Holdings</v>
      </c>
      <c r="B7" s="106">
        <f>' Comps'!C10</f>
        <v>4208.6000000000004</v>
      </c>
      <c r="C7" s="105">
        <v>0.373</v>
      </c>
      <c r="D7" s="105">
        <v>2.5000000000000001E-2</v>
      </c>
      <c r="E7" s="105">
        <v>0.28999999999999998</v>
      </c>
      <c r="F7" s="105">
        <v>0.33700000000000002</v>
      </c>
      <c r="G7" s="105">
        <v>0.185</v>
      </c>
      <c r="H7" s="105">
        <v>0.2</v>
      </c>
      <c r="I7" s="107">
        <f t="shared" si="0"/>
        <v>1.0369999999999999</v>
      </c>
      <c r="J7" s="108">
        <f t="shared" si="1"/>
        <v>0.20739999999999997</v>
      </c>
    </row>
    <row r="8" spans="1:254" ht="12" customHeight="1" x14ac:dyDescent="0.2">
      <c r="A8" s="265" t="str">
        <f>' Comps'!B11</f>
        <v xml:space="preserve">PAE Incorporated </v>
      </c>
      <c r="B8" s="106">
        <f>' Comps'!C11</f>
        <v>879</v>
      </c>
      <c r="C8" s="105">
        <v>0.183</v>
      </c>
      <c r="D8" s="105">
        <v>6.2199999999999998E-2</v>
      </c>
      <c r="E8" s="105">
        <v>0.33800000000000002</v>
      </c>
      <c r="F8" s="105">
        <v>0.44500000000000001</v>
      </c>
      <c r="G8" s="105">
        <v>7.8E-2</v>
      </c>
      <c r="H8" s="105">
        <v>0.154</v>
      </c>
      <c r="I8" s="107">
        <f t="shared" si="0"/>
        <v>1.0771999999999999</v>
      </c>
      <c r="J8" s="108">
        <f t="shared" si="1"/>
        <v>0.21543999999999999</v>
      </c>
    </row>
    <row r="9" spans="1:254" ht="12" customHeight="1" x14ac:dyDescent="0.2">
      <c r="A9" s="265" t="str">
        <f>' Comps'!B12</f>
        <v>Triumph Group</v>
      </c>
      <c r="B9" s="106">
        <f>' Comps'!C12</f>
        <v>802</v>
      </c>
      <c r="C9" s="105">
        <v>0.21</v>
      </c>
      <c r="D9" s="105">
        <v>9.6000000000000002E-2</v>
      </c>
      <c r="E9" s="105">
        <v>1.7000000000000001E-2</v>
      </c>
      <c r="F9" s="105">
        <v>7.9000000000000001E-2</v>
      </c>
      <c r="G9" s="105">
        <v>1.7000000000000001E-2</v>
      </c>
      <c r="H9" s="105">
        <v>9.6000000000000002E-2</v>
      </c>
      <c r="I9" s="107">
        <f t="shared" si="0"/>
        <v>0.30500000000000005</v>
      </c>
      <c r="J9" s="108">
        <f t="shared" si="1"/>
        <v>6.1000000000000013E-2</v>
      </c>
    </row>
    <row r="10" spans="1:254" ht="12" customHeight="1" x14ac:dyDescent="0.2">
      <c r="A10" s="264" t="s">
        <v>265</v>
      </c>
      <c r="B10" s="106">
        <f>' Comps'!C19</f>
        <v>3322</v>
      </c>
      <c r="C10" s="105">
        <v>0.25609999999999999</v>
      </c>
      <c r="D10" s="105">
        <v>0.20880000000000001</v>
      </c>
      <c r="E10" s="105">
        <v>1.165</v>
      </c>
      <c r="F10" s="105">
        <v>0.161</v>
      </c>
      <c r="G10" s="105">
        <v>7.8E-2</v>
      </c>
      <c r="H10" s="105">
        <v>-1.0589999999999999</v>
      </c>
      <c r="I10" s="107">
        <f t="shared" si="0"/>
        <v>0.55380000000000029</v>
      </c>
      <c r="J10" s="108">
        <f t="shared" si="1"/>
        <v>0.11076000000000005</v>
      </c>
    </row>
  </sheetData>
  <pageMargins left="0.2" right="0.2" top="0.5" bottom="0.5" header="0.5" footer="0.5"/>
  <pageSetup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6103-9C19-4AE9-AB40-D3628BA7119C}">
  <sheetPr>
    <tabColor theme="5" tint="-0.249977111117893"/>
    <pageSetUpPr fitToPage="1"/>
  </sheetPr>
  <dimension ref="A1"/>
  <sheetViews>
    <sheetView view="pageBreakPreview" topLeftCell="A27" zoomScaleNormal="100" zoomScaleSheetLayoutView="100" workbookViewId="0">
      <selection activeCell="O22" sqref="O22"/>
    </sheetView>
  </sheetViews>
  <sheetFormatPr defaultColWidth="9.140625" defaultRowHeight="11.25" x14ac:dyDescent="0.2"/>
  <cols>
    <col min="1" max="16384" width="9.140625" style="36"/>
  </cols>
  <sheetData/>
  <pageMargins left="0.2" right="0.2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50D0-6A99-4475-BC4E-488D244FC75C}">
  <sheetPr>
    <tabColor theme="5" tint="0.39997558519241921"/>
    <pageSetUpPr fitToPage="1"/>
  </sheetPr>
  <dimension ref="A1:W62"/>
  <sheetViews>
    <sheetView showGridLines="0" view="pageBreakPreview" topLeftCell="D24" zoomScale="84" zoomScaleNormal="100" zoomScaleSheetLayoutView="100" workbookViewId="0">
      <selection activeCell="M37" sqref="M37:W48"/>
    </sheetView>
  </sheetViews>
  <sheetFormatPr defaultColWidth="11.42578125" defaultRowHeight="15" x14ac:dyDescent="0.3"/>
  <cols>
    <col min="1" max="1" width="2.5703125" style="1" customWidth="1"/>
    <col min="2" max="2" width="44.85546875" style="1" bestFit="1" customWidth="1"/>
    <col min="3" max="9" width="13.140625" style="1" bestFit="1" customWidth="1"/>
    <col min="10" max="10" width="33.5703125" style="1" bestFit="1" customWidth="1"/>
    <col min="11" max="11" width="13.7109375" style="1" bestFit="1" customWidth="1"/>
    <col min="12" max="12" width="11.42578125" style="1" customWidth="1"/>
    <col min="13" max="13" width="38.140625" style="1" bestFit="1" customWidth="1"/>
    <col min="14" max="14" width="12.42578125" style="1" bestFit="1" customWidth="1"/>
    <col min="15" max="15" width="11.42578125" style="1" customWidth="1"/>
    <col min="16" max="16" width="10.7109375" style="1" bestFit="1" customWidth="1"/>
    <col min="17" max="16384" width="11.42578125" style="1"/>
  </cols>
  <sheetData>
    <row r="1" spans="1:9" x14ac:dyDescent="0.3">
      <c r="B1" s="8"/>
      <c r="C1" s="8"/>
      <c r="D1" s="8"/>
      <c r="E1" s="8"/>
    </row>
    <row r="2" spans="1:9" x14ac:dyDescent="0.3">
      <c r="A2" s="1" t="s">
        <v>72</v>
      </c>
      <c r="B2" s="268" t="s">
        <v>27</v>
      </c>
      <c r="C2" s="269"/>
      <c r="D2" s="269"/>
      <c r="E2" s="269"/>
      <c r="F2" s="269"/>
      <c r="G2" s="269"/>
      <c r="H2" s="269"/>
      <c r="I2" s="270"/>
    </row>
    <row r="3" spans="1:9" x14ac:dyDescent="0.3">
      <c r="B3" s="271" t="s">
        <v>265</v>
      </c>
      <c r="C3" s="272"/>
      <c r="D3" s="272"/>
      <c r="E3" s="272"/>
      <c r="F3" s="272"/>
      <c r="G3" s="272"/>
      <c r="H3" s="272"/>
      <c r="I3" s="273"/>
    </row>
    <row r="4" spans="1:9" x14ac:dyDescent="0.3">
      <c r="B4" s="278" t="s">
        <v>222</v>
      </c>
      <c r="C4" s="279"/>
      <c r="D4" s="469"/>
      <c r="E4" s="469"/>
      <c r="F4" s="469"/>
      <c r="G4" s="469"/>
      <c r="H4" s="469"/>
      <c r="I4" s="470"/>
    </row>
    <row r="5" spans="1:9" ht="18" thickBot="1" x14ac:dyDescent="0.5">
      <c r="B5" s="207" t="s">
        <v>204</v>
      </c>
      <c r="C5" s="208">
        <v>43830</v>
      </c>
      <c r="D5" s="209">
        <v>44196</v>
      </c>
      <c r="E5" s="209">
        <v>44561</v>
      </c>
      <c r="F5" s="209">
        <v>44926</v>
      </c>
      <c r="G5" s="209">
        <v>45291</v>
      </c>
      <c r="H5" s="209">
        <v>45657</v>
      </c>
      <c r="I5" s="210">
        <v>46022</v>
      </c>
    </row>
    <row r="6" spans="1:9" ht="3" customHeight="1" x14ac:dyDescent="0.3">
      <c r="B6" s="211"/>
      <c r="C6" s="48"/>
      <c r="D6" s="49"/>
      <c r="E6" s="49"/>
      <c r="F6" s="49"/>
      <c r="G6" s="49"/>
      <c r="H6" s="49"/>
      <c r="I6" s="212"/>
    </row>
    <row r="7" spans="1:9" x14ac:dyDescent="0.3">
      <c r="B7" s="213" t="s">
        <v>7</v>
      </c>
      <c r="C7" s="394">
        <f>Inputs!F4</f>
        <v>3954.8119999999999</v>
      </c>
      <c r="D7" s="394">
        <f>Inputs!G4</f>
        <v>4013.7386987999994</v>
      </c>
      <c r="E7" s="394">
        <f>Inputs!H4</f>
        <v>4314.367727340119</v>
      </c>
      <c r="F7" s="394">
        <f>Inputs!I4</f>
        <v>4616.373468253928</v>
      </c>
      <c r="G7" s="394">
        <f>Inputs!J4</f>
        <v>4939.5196110317029</v>
      </c>
      <c r="H7" s="394">
        <f>Inputs!K4</f>
        <v>5285.2859838039221</v>
      </c>
      <c r="I7" s="395">
        <f>Inputs!L4</f>
        <v>5655.2560026701967</v>
      </c>
    </row>
    <row r="8" spans="1:9" s="36" customFormat="1" ht="11.25" x14ac:dyDescent="0.2">
      <c r="B8" s="214"/>
      <c r="C8" s="396"/>
      <c r="D8" s="396"/>
      <c r="E8" s="396"/>
      <c r="F8" s="396"/>
      <c r="G8" s="396"/>
      <c r="H8" s="396"/>
      <c r="I8" s="397"/>
    </row>
    <row r="9" spans="1:9" x14ac:dyDescent="0.3">
      <c r="B9" s="216" t="s">
        <v>99</v>
      </c>
      <c r="C9" s="398">
        <f>Inputs!F6</f>
        <v>-3123.0619999999999</v>
      </c>
      <c r="D9" s="398">
        <f>Inputs!G6</f>
        <v>-3170.8535720519994</v>
      </c>
      <c r="E9" s="398">
        <f>Inputs!H6</f>
        <v>-3322.0631500518916</v>
      </c>
      <c r="F9" s="398">
        <f>Inputs!I6</f>
        <v>-3554.6075705555245</v>
      </c>
      <c r="G9" s="398">
        <f>Inputs!J6</f>
        <v>-3803.4301004944114</v>
      </c>
      <c r="H9" s="398">
        <f>Inputs!K6</f>
        <v>-4069.67020752902</v>
      </c>
      <c r="I9" s="399">
        <f>Inputs!L6</f>
        <v>-4354.5471220560512</v>
      </c>
    </row>
    <row r="10" spans="1:9" x14ac:dyDescent="0.3">
      <c r="B10" s="213" t="s">
        <v>2</v>
      </c>
      <c r="C10" s="400">
        <f>Inputs!F8</f>
        <v>831.75</v>
      </c>
      <c r="D10" s="400">
        <f>Inputs!G8</f>
        <v>842.88512674799995</v>
      </c>
      <c r="E10" s="400">
        <f>Inputs!H8</f>
        <v>992.30457728822739</v>
      </c>
      <c r="F10" s="400">
        <f>Inputs!I8</f>
        <v>1061.7658976984035</v>
      </c>
      <c r="G10" s="400">
        <f>Inputs!J8</f>
        <v>1136.0895105372915</v>
      </c>
      <c r="H10" s="400">
        <f>Inputs!K8</f>
        <v>1215.6157762749021</v>
      </c>
      <c r="I10" s="401">
        <f>Inputs!L8</f>
        <v>1300.7088806141455</v>
      </c>
    </row>
    <row r="11" spans="1:9" s="36" customFormat="1" ht="11.25" x14ac:dyDescent="0.2">
      <c r="B11" s="214"/>
      <c r="C11" s="396"/>
      <c r="D11" s="396"/>
      <c r="E11" s="396"/>
      <c r="F11" s="396"/>
      <c r="G11" s="396"/>
      <c r="H11" s="396"/>
      <c r="I11" s="397"/>
    </row>
    <row r="12" spans="1:9" x14ac:dyDescent="0.3">
      <c r="B12" s="216" t="s">
        <v>144</v>
      </c>
      <c r="C12" s="398">
        <f>(Inputs!F9)+(Inputs!F11)</f>
        <v>-742.07900000000006</v>
      </c>
      <c r="D12" s="398">
        <f>(Inputs!G9)+(Inputs!G11)</f>
        <v>-718.45922708519993</v>
      </c>
      <c r="E12" s="398">
        <f>(Inputs!H9)+(Inputs!H11)</f>
        <v>-767.95745546654121</v>
      </c>
      <c r="F12" s="398">
        <f>(Inputs!I9)+(Inputs!I11)</f>
        <v>-821.71447734919911</v>
      </c>
      <c r="G12" s="398">
        <f>(Inputs!J9)+(Inputs!J11)</f>
        <v>-888.61957802460336</v>
      </c>
      <c r="H12" s="398">
        <f>(Inputs!K9)+(Inputs!K11)</f>
        <v>-950.82294848632569</v>
      </c>
      <c r="I12" s="399">
        <f>(Inputs!L9)+(Inputs!L11)</f>
        <v>-995.32505646995457</v>
      </c>
    </row>
    <row r="13" spans="1:9" x14ac:dyDescent="0.3">
      <c r="B13" s="213" t="s">
        <v>224</v>
      </c>
      <c r="C13" s="400">
        <f>Inputs!F13</f>
        <v>89.670999999999978</v>
      </c>
      <c r="D13" s="400">
        <f>Inputs!G13</f>
        <v>124.42589966280008</v>
      </c>
      <c r="E13" s="400">
        <f>Inputs!H13</f>
        <v>224.34712182168619</v>
      </c>
      <c r="F13" s="400">
        <f>Inputs!I13</f>
        <v>240.05142034920431</v>
      </c>
      <c r="G13" s="400">
        <f>Inputs!J13</f>
        <v>247.46993251268813</v>
      </c>
      <c r="H13" s="400">
        <f>Inputs!K13</f>
        <v>264.79282778857646</v>
      </c>
      <c r="I13" s="401">
        <f>Inputs!L13</f>
        <v>305.38382414419095</v>
      </c>
    </row>
    <row r="14" spans="1:9" s="36" customFormat="1" ht="11.25" x14ac:dyDescent="0.2">
      <c r="B14" s="214"/>
      <c r="C14" s="402"/>
      <c r="D14" s="402"/>
      <c r="E14" s="402"/>
      <c r="F14" s="402"/>
      <c r="G14" s="402"/>
      <c r="H14" s="402"/>
      <c r="I14" s="403"/>
    </row>
    <row r="15" spans="1:9" x14ac:dyDescent="0.3">
      <c r="B15" s="216" t="s">
        <v>223</v>
      </c>
      <c r="C15" s="398">
        <f>Inputs!F16</f>
        <v>69.866</v>
      </c>
      <c r="D15" s="398">
        <f>Inputs!G16</f>
        <v>-26.129438929188016</v>
      </c>
      <c r="E15" s="398">
        <f>Inputs!H16</f>
        <v>-48.212196479480362</v>
      </c>
      <c r="F15" s="398">
        <f>Inputs!I16</f>
        <v>-51.58705023304401</v>
      </c>
      <c r="G15" s="398">
        <f>Inputs!J16</f>
        <v>-53.181288496976684</v>
      </c>
      <c r="H15" s="398">
        <f>Inputs!K16</f>
        <v>-56.903978691765083</v>
      </c>
      <c r="I15" s="399">
        <f>Inputs!L16</f>
        <v>-65.626983808586644</v>
      </c>
    </row>
    <row r="16" spans="1:9" x14ac:dyDescent="0.3">
      <c r="B16" s="213" t="s">
        <v>147</v>
      </c>
      <c r="C16" s="400">
        <f>Inputs!F18</f>
        <v>159.53699999999998</v>
      </c>
      <c r="D16" s="400">
        <f>Inputs!G18</f>
        <v>98.296460733612065</v>
      </c>
      <c r="E16" s="400">
        <f>Inputs!H18</f>
        <v>176.13492534220583</v>
      </c>
      <c r="F16" s="400">
        <f>Inputs!I18</f>
        <v>188.4643701161603</v>
      </c>
      <c r="G16" s="400">
        <f>Inputs!J18</f>
        <v>194.28864401571144</v>
      </c>
      <c r="H16" s="400">
        <f>Inputs!K18</f>
        <v>207.88884909681138</v>
      </c>
      <c r="I16" s="401">
        <f>Inputs!L18</f>
        <v>239.75684033560429</v>
      </c>
    </row>
    <row r="17" spans="1:12" s="36" customFormat="1" ht="11.25" x14ac:dyDescent="0.2">
      <c r="B17" s="214"/>
      <c r="C17" s="402"/>
      <c r="D17" s="402"/>
      <c r="E17" s="402"/>
      <c r="F17" s="402"/>
      <c r="G17" s="402"/>
      <c r="H17" s="402"/>
      <c r="I17" s="403"/>
    </row>
    <row r="18" spans="1:12" x14ac:dyDescent="0.3">
      <c r="B18" s="216" t="s">
        <v>143</v>
      </c>
      <c r="C18" s="398">
        <f>Inputs!F20</f>
        <v>125.7</v>
      </c>
      <c r="D18" s="398">
        <f>Inputs!G20</f>
        <v>99.942093600119975</v>
      </c>
      <c r="E18" s="398">
        <f>Inputs!H20</f>
        <v>86.287354546802376</v>
      </c>
      <c r="F18" s="398">
        <f>Inputs!I20</f>
        <v>83.094722428570691</v>
      </c>
      <c r="G18" s="398">
        <f>Inputs!J20</f>
        <v>74.092794165475539</v>
      </c>
      <c r="H18" s="398">
        <f>Inputs!K20</f>
        <v>79.279289757058834</v>
      </c>
      <c r="I18" s="399">
        <f>Inputs!L20</f>
        <v>56.552560026701968</v>
      </c>
    </row>
    <row r="19" spans="1:12" x14ac:dyDescent="0.3">
      <c r="B19" s="216" t="s">
        <v>145</v>
      </c>
      <c r="C19" s="398">
        <f>Inputs!F22</f>
        <v>-67.596999999999994</v>
      </c>
      <c r="D19" s="398">
        <f>Inputs!G22</f>
        <v>-20.068693493999998</v>
      </c>
      <c r="E19" s="398">
        <f>Inputs!H22</f>
        <v>-21.571838636700594</v>
      </c>
      <c r="F19" s="398">
        <f>Inputs!I22</f>
        <v>-46.163734682539278</v>
      </c>
      <c r="G19" s="398">
        <f>Inputs!J22</f>
        <v>-34.57663727722192</v>
      </c>
      <c r="H19" s="398">
        <f>Inputs!K22</f>
        <v>-36.997001886627459</v>
      </c>
      <c r="I19" s="399">
        <f>Inputs!L22</f>
        <v>-28.276280013350984</v>
      </c>
    </row>
    <row r="20" spans="1:12" x14ac:dyDescent="0.3">
      <c r="B20" s="216" t="s">
        <v>142</v>
      </c>
      <c r="C20" s="398">
        <f>Inputs!E78</f>
        <v>-133.85095999999982</v>
      </c>
      <c r="D20" s="398">
        <f>Inputs!F78</f>
        <v>-74.339601514754804</v>
      </c>
      <c r="E20" s="398">
        <f>Inputs!G78</f>
        <v>-53.659041303159768</v>
      </c>
      <c r="F20" s="398">
        <f>Inputs!H78</f>
        <v>-30.707986879793538</v>
      </c>
      <c r="G20" s="398">
        <f>Inputs!I78</f>
        <v>-25.849383235487778</v>
      </c>
      <c r="H20" s="398">
        <f>Inputs!J78</f>
        <v>-21.853422663126793</v>
      </c>
      <c r="I20" s="399">
        <f>Inputs!K78</f>
        <v>-20.079382833928946</v>
      </c>
    </row>
    <row r="21" spans="1:12" x14ac:dyDescent="0.3">
      <c r="B21" s="213" t="s">
        <v>25</v>
      </c>
      <c r="C21" s="400">
        <f>Inputs!F26</f>
        <v>83.78904000000017</v>
      </c>
      <c r="D21" s="400">
        <f>Inputs!G26</f>
        <v>103.83025932497725</v>
      </c>
      <c r="E21" s="400">
        <f>Inputs!H26</f>
        <v>187.19139994914786</v>
      </c>
      <c r="F21" s="400">
        <f>Inputs!I26</f>
        <v>194.68737098239819</v>
      </c>
      <c r="G21" s="400">
        <f>Inputs!J26</f>
        <v>207.95541766847728</v>
      </c>
      <c r="H21" s="400">
        <f>Inputs!K26</f>
        <v>228.31771430411595</v>
      </c>
      <c r="I21" s="401">
        <f>Inputs!L26</f>
        <v>247.95373751502638</v>
      </c>
    </row>
    <row r="22" spans="1:12" s="36" customFormat="1" ht="3" customHeight="1" x14ac:dyDescent="0.2">
      <c r="B22" s="214"/>
      <c r="C22" s="89"/>
      <c r="D22" s="89"/>
      <c r="E22" s="89"/>
      <c r="F22" s="89"/>
      <c r="G22" s="89"/>
      <c r="H22" s="89"/>
      <c r="I22" s="215"/>
    </row>
    <row r="23" spans="1:12" x14ac:dyDescent="0.3">
      <c r="B23" s="274" t="s">
        <v>26</v>
      </c>
      <c r="C23" s="275"/>
      <c r="D23" s="276"/>
      <c r="E23" s="276">
        <f>Inputs!H31</f>
        <v>179.21280688893765</v>
      </c>
      <c r="F23" s="276">
        <f>Inputs!I31</f>
        <v>175.83474636535354</v>
      </c>
      <c r="G23" s="276">
        <f>Inputs!J31</f>
        <v>177.18254153701494</v>
      </c>
      <c r="H23" s="276">
        <f>Inputs!K31</f>
        <v>183.51605512117385</v>
      </c>
      <c r="I23" s="277">
        <f>Inputs!L31</f>
        <v>188.01343543547162</v>
      </c>
    </row>
    <row r="24" spans="1:12" x14ac:dyDescent="0.3">
      <c r="C24" s="7"/>
      <c r="D24" s="7"/>
      <c r="E24" s="7"/>
      <c r="F24" s="7"/>
      <c r="G24" s="7"/>
      <c r="H24" s="7"/>
    </row>
    <row r="25" spans="1:12" x14ac:dyDescent="0.3">
      <c r="C25" s="7"/>
      <c r="D25" s="7"/>
      <c r="E25" s="7"/>
      <c r="F25" s="7"/>
      <c r="G25" s="7"/>
      <c r="H25" s="7"/>
    </row>
    <row r="26" spans="1:12" x14ac:dyDescent="0.3">
      <c r="B26" s="283" t="s">
        <v>39</v>
      </c>
      <c r="C26" s="284"/>
      <c r="D26" s="284"/>
      <c r="E26" s="284"/>
      <c r="F26" s="284"/>
      <c r="G26" s="284"/>
      <c r="H26" s="285"/>
      <c r="I26" s="286"/>
      <c r="J26" s="1" t="s">
        <v>5</v>
      </c>
    </row>
    <row r="27" spans="1:12" x14ac:dyDescent="0.3">
      <c r="B27" s="287" t="s">
        <v>204</v>
      </c>
      <c r="C27" s="280"/>
      <c r="D27" s="280"/>
      <c r="E27" s="280"/>
      <c r="F27" s="280"/>
      <c r="G27" s="280"/>
      <c r="H27" s="281"/>
      <c r="I27" s="282"/>
    </row>
    <row r="28" spans="1:12" ht="17.25" x14ac:dyDescent="0.45">
      <c r="A28" s="1" t="s">
        <v>72</v>
      </c>
      <c r="B28" s="211" t="s">
        <v>222</v>
      </c>
      <c r="C28" s="50">
        <f>C5</f>
        <v>43830</v>
      </c>
      <c r="D28" s="51">
        <f t="shared" ref="D28:I28" si="0">EOMONTH(C28,12)</f>
        <v>44196</v>
      </c>
      <c r="E28" s="51">
        <f t="shared" si="0"/>
        <v>44561</v>
      </c>
      <c r="F28" s="51">
        <f t="shared" si="0"/>
        <v>44926</v>
      </c>
      <c r="G28" s="51">
        <f t="shared" si="0"/>
        <v>45291</v>
      </c>
      <c r="H28" s="51">
        <f t="shared" si="0"/>
        <v>45657</v>
      </c>
      <c r="I28" s="217">
        <f t="shared" si="0"/>
        <v>46022</v>
      </c>
    </row>
    <row r="29" spans="1:12" ht="5.0999999999999996" customHeight="1" x14ac:dyDescent="0.45">
      <c r="B29" s="211"/>
      <c r="C29" s="50"/>
      <c r="D29" s="50"/>
      <c r="E29" s="51"/>
      <c r="F29" s="51"/>
      <c r="G29" s="51"/>
      <c r="H29" s="51"/>
      <c r="I29" s="217"/>
    </row>
    <row r="30" spans="1:12" x14ac:dyDescent="0.3">
      <c r="B30" s="218" t="s">
        <v>20</v>
      </c>
      <c r="C30" s="404">
        <f>Inputs!F5</f>
        <v>0.11074374780227993</v>
      </c>
      <c r="D30" s="404">
        <f>Inputs!G5</f>
        <v>1.49E-2</v>
      </c>
      <c r="E30" s="404">
        <f>Inputs!H5</f>
        <v>7.4899999999999994E-2</v>
      </c>
      <c r="F30" s="404">
        <f>Inputs!I5</f>
        <v>7.0000000000000007E-2</v>
      </c>
      <c r="G30" s="404">
        <f>Inputs!J5</f>
        <v>7.0000000000000007E-2</v>
      </c>
      <c r="H30" s="404">
        <f>Inputs!K5</f>
        <v>7.0000000000000007E-2</v>
      </c>
      <c r="I30" s="405">
        <f>Inputs!L5</f>
        <v>7.0000000000000007E-2</v>
      </c>
    </row>
    <row r="31" spans="1:12" x14ac:dyDescent="0.3">
      <c r="B31" s="218" t="s">
        <v>22</v>
      </c>
      <c r="C31" s="404">
        <f>Inputs!F7</f>
        <v>0.789686589400457</v>
      </c>
      <c r="D31" s="404">
        <f>Inputs!G7</f>
        <v>0.79</v>
      </c>
      <c r="E31" s="404">
        <f>Inputs!H7</f>
        <v>0.77</v>
      </c>
      <c r="F31" s="404">
        <f>Inputs!I7</f>
        <v>0.77</v>
      </c>
      <c r="G31" s="404">
        <f>Inputs!J7</f>
        <v>0.77</v>
      </c>
      <c r="H31" s="404">
        <f>Inputs!K7</f>
        <v>0.77</v>
      </c>
      <c r="I31" s="405">
        <f>Inputs!L7</f>
        <v>0.77</v>
      </c>
      <c r="L31" s="168"/>
    </row>
    <row r="32" spans="1:12" x14ac:dyDescent="0.3">
      <c r="B32" s="218" t="s">
        <v>71</v>
      </c>
      <c r="C32" s="404">
        <f>(Inputs!F9+Inputs!F11)/-(Inputs!F4)</f>
        <v>0.18763951358496941</v>
      </c>
      <c r="D32" s="404">
        <f>(Inputs!G9+Inputs!G11)/-(Inputs!G4)</f>
        <v>0.17900000000000002</v>
      </c>
      <c r="E32" s="404">
        <f>(Inputs!H9+Inputs!H11)/-(Inputs!H4)</f>
        <v>0.17799999999999999</v>
      </c>
      <c r="F32" s="404">
        <f>(Inputs!I9+Inputs!I11)/-(Inputs!I4)</f>
        <v>0.17799999999999999</v>
      </c>
      <c r="G32" s="404">
        <f>(Inputs!J9+Inputs!J11)/-(Inputs!J4)</f>
        <v>0.1799</v>
      </c>
      <c r="H32" s="404">
        <f>(Inputs!K9+Inputs!K11)/-(Inputs!K4)</f>
        <v>0.1799</v>
      </c>
      <c r="I32" s="405">
        <f>(Inputs!L9+Inputs!L11)/-(Inputs!L4)</f>
        <v>0.17599999999999999</v>
      </c>
      <c r="J32" s="55"/>
      <c r="L32" s="55"/>
    </row>
    <row r="33" spans="1:23" x14ac:dyDescent="0.3">
      <c r="B33" s="218" t="s">
        <v>23</v>
      </c>
      <c r="C33" s="404">
        <f>Inputs!F17</f>
        <v>1.0390232295291637</v>
      </c>
      <c r="D33" s="404">
        <f>Inputs!G17</f>
        <v>0.21</v>
      </c>
      <c r="E33" s="404">
        <f>Inputs!H17</f>
        <v>0.21490000000000001</v>
      </c>
      <c r="F33" s="404">
        <f>Inputs!I17</f>
        <v>0.21490000000000001</v>
      </c>
      <c r="G33" s="404">
        <f>Inputs!J17</f>
        <v>0.21490000000000001</v>
      </c>
      <c r="H33" s="404">
        <f>Inputs!K17</f>
        <v>0.21490000000000001</v>
      </c>
      <c r="I33" s="405">
        <f>Inputs!L17</f>
        <v>0.21490000000000001</v>
      </c>
    </row>
    <row r="34" spans="1:23" x14ac:dyDescent="0.3">
      <c r="B34" s="218" t="s">
        <v>44</v>
      </c>
      <c r="C34" s="404">
        <f>Inputs!F21</f>
        <v>3.1784064577532384E-2</v>
      </c>
      <c r="D34" s="404">
        <f>Inputs!G21</f>
        <v>2.4899999999999999E-2</v>
      </c>
      <c r="E34" s="404">
        <f>Inputs!H21</f>
        <v>0.02</v>
      </c>
      <c r="F34" s="404">
        <f>Inputs!I21</f>
        <v>1.7999999999999999E-2</v>
      </c>
      <c r="G34" s="404">
        <f>Inputs!J21</f>
        <v>1.4999999999999999E-2</v>
      </c>
      <c r="H34" s="404">
        <f>Inputs!K21</f>
        <v>1.4999999999999999E-2</v>
      </c>
      <c r="I34" s="405">
        <f>Inputs!L21</f>
        <v>0.01</v>
      </c>
    </row>
    <row r="35" spans="1:23" x14ac:dyDescent="0.3">
      <c r="B35" s="218" t="s">
        <v>46</v>
      </c>
      <c r="C35" s="404">
        <f>Inputs!F23</f>
        <v>1.7092342189717235E-2</v>
      </c>
      <c r="D35" s="404">
        <f>Inputs!G23</f>
        <v>5.0000000000000001E-3</v>
      </c>
      <c r="E35" s="404">
        <f>Inputs!H23</f>
        <v>5.0000000000000001E-3</v>
      </c>
      <c r="F35" s="404">
        <f>Inputs!I23</f>
        <v>0.01</v>
      </c>
      <c r="G35" s="404">
        <f>Inputs!J23</f>
        <v>7.0000000000000001E-3</v>
      </c>
      <c r="H35" s="404">
        <f>Inputs!K23</f>
        <v>7.0000000000000001E-3</v>
      </c>
      <c r="I35" s="405">
        <f>Inputs!L23</f>
        <v>5.0000000000000001E-3</v>
      </c>
    </row>
    <row r="36" spans="1:23" ht="15.75" thickBot="1" x14ac:dyDescent="0.35">
      <c r="A36" s="1" t="s">
        <v>72</v>
      </c>
      <c r="B36" s="219" t="s">
        <v>146</v>
      </c>
      <c r="C36" s="406">
        <f>Inputs!F25</f>
        <v>0.66068188585607313</v>
      </c>
      <c r="D36" s="406">
        <f>Inputs!G25</f>
        <v>-0.44460912708616429</v>
      </c>
      <c r="E36" s="406">
        <f>Inputs!H25</f>
        <v>-0.27819035601758496</v>
      </c>
      <c r="F36" s="406">
        <f>Inputs!I25</f>
        <v>-0.42772017289125019</v>
      </c>
      <c r="G36" s="406">
        <f>Inputs!J25</f>
        <v>-0.15821954279597589</v>
      </c>
      <c r="H36" s="406">
        <f>Inputs!K25</f>
        <v>-0.15458630234840812</v>
      </c>
      <c r="I36" s="407">
        <f>Inputs!L25</f>
        <v>-8.1179038018203808E-2</v>
      </c>
    </row>
    <row r="37" spans="1:23" ht="15.75" thickBot="1" x14ac:dyDescent="0.35">
      <c r="C37" s="7"/>
      <c r="D37" s="7"/>
      <c r="E37" s="167"/>
      <c r="F37" s="7"/>
      <c r="G37" s="7"/>
      <c r="H37" s="7"/>
      <c r="J37" s="288" t="s">
        <v>28</v>
      </c>
      <c r="K37" s="289"/>
      <c r="M37" s="293" t="s">
        <v>48</v>
      </c>
      <c r="N37" s="294"/>
      <c r="O37" s="294"/>
      <c r="P37" s="294"/>
      <c r="Q37" s="294"/>
      <c r="R37" s="294"/>
      <c r="S37" s="294"/>
      <c r="T37" s="294"/>
      <c r="U37" s="294"/>
      <c r="V37" s="294"/>
      <c r="W37" s="295"/>
    </row>
    <row r="38" spans="1:23" x14ac:dyDescent="0.3">
      <c r="C38" s="7"/>
      <c r="D38" s="7"/>
      <c r="E38" s="7"/>
      <c r="F38" s="7"/>
      <c r="G38" s="7"/>
      <c r="H38" s="7"/>
      <c r="I38" s="7"/>
      <c r="J38" s="11" t="s">
        <v>29</v>
      </c>
      <c r="K38" s="408">
        <f>SUM(D23:I23)</f>
        <v>903.75958534795154</v>
      </c>
      <c r="M38" s="14"/>
      <c r="N38" s="15" t="s">
        <v>49</v>
      </c>
      <c r="O38" s="16"/>
      <c r="P38" s="16"/>
      <c r="Q38" s="16"/>
      <c r="R38" s="15"/>
      <c r="S38" s="16"/>
      <c r="T38" s="16"/>
      <c r="U38" s="16"/>
      <c r="V38" s="16"/>
      <c r="W38" s="17"/>
    </row>
    <row r="39" spans="1:23" x14ac:dyDescent="0.3">
      <c r="A39" s="1" t="s">
        <v>72</v>
      </c>
      <c r="I39" s="7"/>
      <c r="J39" s="11" t="s">
        <v>30</v>
      </c>
      <c r="K39" s="409">
        <f>' Comps'!F17</f>
        <v>14.468911917098445</v>
      </c>
      <c r="M39" s="18"/>
      <c r="N39" s="166">
        <f>+N23</f>
        <v>0</v>
      </c>
      <c r="O39" s="165">
        <f>P39-$K$60</f>
        <v>14.068911917098447</v>
      </c>
      <c r="P39" s="165">
        <f>Q39-$K$60</f>
        <v>14.168911917098447</v>
      </c>
      <c r="Q39" s="165">
        <f>R39-$K$60</f>
        <v>14.268911917098446</v>
      </c>
      <c r="R39" s="165">
        <f>S39-$K$60</f>
        <v>14.368911917098446</v>
      </c>
      <c r="S39" s="165">
        <f>K39</f>
        <v>14.468911917098445</v>
      </c>
      <c r="T39" s="165">
        <f>S39+$K$60</f>
        <v>14.568911917098445</v>
      </c>
      <c r="U39" s="165">
        <f>T39+$K$60</f>
        <v>14.668911917098445</v>
      </c>
      <c r="V39" s="165">
        <f>U39+$K$60</f>
        <v>14.768911917098444</v>
      </c>
      <c r="W39" s="59">
        <f>V39+$K$60</f>
        <v>14.868911917098444</v>
      </c>
    </row>
    <row r="40" spans="1:23" x14ac:dyDescent="0.3">
      <c r="J40" s="11" t="s">
        <v>31</v>
      </c>
      <c r="K40" s="410">
        <f>K39*(I13+I18)</f>
        <v>5236.8256621617529</v>
      </c>
      <c r="M40" s="18"/>
      <c r="N40" s="19">
        <f>$K$62-4*$K$61</f>
        <v>2.0025300139924845E-2</v>
      </c>
      <c r="O40" s="164">
        <f t="shared" ref="O40:W48" si="1">(-PV($N40,5,0,O$39*($I$13+$I$18),0)+$K$38-SUM($K$45:$K$46))/$K$50</f>
        <v>52.081338783016349</v>
      </c>
      <c r="P40" s="163">
        <f t="shared" si="1"/>
        <v>52.405869754714018</v>
      </c>
      <c r="Q40" s="163">
        <f t="shared" si="1"/>
        <v>52.730400726411681</v>
      </c>
      <c r="R40" s="163">
        <f t="shared" si="1"/>
        <v>53.05493169810935</v>
      </c>
      <c r="S40" s="163">
        <f t="shared" si="1"/>
        <v>53.379462669807012</v>
      </c>
      <c r="T40" s="163">
        <f t="shared" si="1"/>
        <v>53.703993641504681</v>
      </c>
      <c r="U40" s="163">
        <f t="shared" si="1"/>
        <v>54.028524613202343</v>
      </c>
      <c r="V40" s="163">
        <f t="shared" si="1"/>
        <v>54.353055584900005</v>
      </c>
      <c r="W40" s="162">
        <f t="shared" si="1"/>
        <v>54.677586556597682</v>
      </c>
    </row>
    <row r="41" spans="1:23" x14ac:dyDescent="0.3">
      <c r="J41" s="11"/>
      <c r="K41" s="411"/>
      <c r="M41" s="18"/>
      <c r="N41" s="19">
        <f>$K$62-3*$K$61</f>
        <v>3.0025300139924847E-2</v>
      </c>
      <c r="O41" s="161">
        <f t="shared" si="1"/>
        <v>49.907605722632937</v>
      </c>
      <c r="P41" s="151">
        <f t="shared" si="1"/>
        <v>50.216686081851172</v>
      </c>
      <c r="Q41" s="151">
        <f t="shared" si="1"/>
        <v>50.525766441069408</v>
      </c>
      <c r="R41" s="151">
        <f t="shared" si="1"/>
        <v>50.834846800287643</v>
      </c>
      <c r="S41" s="151">
        <f t="shared" si="1"/>
        <v>51.143927159505871</v>
      </c>
      <c r="T41" s="151">
        <f t="shared" si="1"/>
        <v>51.453007518724114</v>
      </c>
      <c r="U41" s="151">
        <f t="shared" si="1"/>
        <v>51.762087877942349</v>
      </c>
      <c r="V41" s="151">
        <f t="shared" si="1"/>
        <v>52.071168237160578</v>
      </c>
      <c r="W41" s="160">
        <f t="shared" si="1"/>
        <v>52.380248596378813</v>
      </c>
    </row>
    <row r="42" spans="1:23" x14ac:dyDescent="0.3">
      <c r="J42" s="11" t="s">
        <v>32</v>
      </c>
      <c r="K42" s="408">
        <f>+-PV(K62,5,0,K40)</f>
        <v>3912.7937997159088</v>
      </c>
      <c r="M42" s="18"/>
      <c r="N42" s="19">
        <f>$K$62-2*$K$61</f>
        <v>4.0025300139924849E-2</v>
      </c>
      <c r="O42" s="161">
        <f t="shared" si="1"/>
        <v>47.85688493099746</v>
      </c>
      <c r="P42" s="151">
        <f t="shared" si="1"/>
        <v>48.151389032977605</v>
      </c>
      <c r="Q42" s="246">
        <f t="shared" si="1"/>
        <v>48.445893134957764</v>
      </c>
      <c r="R42" s="247">
        <f t="shared" si="1"/>
        <v>48.740397236937909</v>
      </c>
      <c r="S42" s="247">
        <f t="shared" si="1"/>
        <v>49.034901338918068</v>
      </c>
      <c r="T42" s="247">
        <f t="shared" si="1"/>
        <v>49.329405440898213</v>
      </c>
      <c r="U42" s="248">
        <f t="shared" si="1"/>
        <v>49.623909542878373</v>
      </c>
      <c r="V42" s="151">
        <f t="shared" si="1"/>
        <v>49.918413644858518</v>
      </c>
      <c r="W42" s="160">
        <f t="shared" si="1"/>
        <v>50.212917746838677</v>
      </c>
    </row>
    <row r="43" spans="1:23" x14ac:dyDescent="0.3">
      <c r="J43" s="11" t="s">
        <v>33</v>
      </c>
      <c r="K43" s="408">
        <f>K38+K42</f>
        <v>4816.5533850638603</v>
      </c>
      <c r="M43" s="20" t="s">
        <v>50</v>
      </c>
      <c r="N43" s="19">
        <f>$K$62-1*$K$61</f>
        <v>5.0025300139924844E-2</v>
      </c>
      <c r="O43" s="161">
        <f t="shared" si="1"/>
        <v>45.921131004111622</v>
      </c>
      <c r="P43" s="151">
        <f t="shared" si="1"/>
        <v>46.201876018407582</v>
      </c>
      <c r="Q43" s="249">
        <f t="shared" si="1"/>
        <v>46.482621032703541</v>
      </c>
      <c r="R43" s="250">
        <f t="shared" si="1"/>
        <v>46.763366046999494</v>
      </c>
      <c r="S43" s="250">
        <f t="shared" si="1"/>
        <v>47.044111061295453</v>
      </c>
      <c r="T43" s="250">
        <f t="shared" si="1"/>
        <v>47.324856075591413</v>
      </c>
      <c r="U43" s="251">
        <f t="shared" si="1"/>
        <v>47.605601089887365</v>
      </c>
      <c r="V43" s="151">
        <f t="shared" si="1"/>
        <v>47.886346104183318</v>
      </c>
      <c r="W43" s="160">
        <f t="shared" si="1"/>
        <v>48.167091118479284</v>
      </c>
    </row>
    <row r="44" spans="1:23" x14ac:dyDescent="0.3">
      <c r="J44" s="11"/>
      <c r="K44" s="411"/>
      <c r="M44" s="18"/>
      <c r="N44" s="19">
        <f>K62</f>
        <v>6.0025300139924846E-2</v>
      </c>
      <c r="O44" s="161">
        <f t="shared" si="1"/>
        <v>44.092894320723879</v>
      </c>
      <c r="P44" s="151">
        <f t="shared" si="1"/>
        <v>44.360644465948504</v>
      </c>
      <c r="Q44" s="249">
        <f t="shared" si="1"/>
        <v>44.628394611173128</v>
      </c>
      <c r="R44" s="250">
        <f t="shared" si="1"/>
        <v>44.896144756397753</v>
      </c>
      <c r="S44" s="252">
        <f t="shared" si="1"/>
        <v>45.163894901622378</v>
      </c>
      <c r="T44" s="250">
        <f t="shared" si="1"/>
        <v>45.431645046847002</v>
      </c>
      <c r="U44" s="251">
        <f t="shared" si="1"/>
        <v>45.699395192071641</v>
      </c>
      <c r="V44" s="151">
        <f t="shared" si="1"/>
        <v>45.967145337296259</v>
      </c>
      <c r="W44" s="160">
        <f t="shared" si="1"/>
        <v>46.234895482520891</v>
      </c>
    </row>
    <row r="45" spans="1:23" x14ac:dyDescent="0.3">
      <c r="J45" s="54" t="s">
        <v>34</v>
      </c>
      <c r="K45" s="412">
        <f>827-614</f>
        <v>213</v>
      </c>
      <c r="M45" s="18"/>
      <c r="N45" s="19">
        <f>$K$62+1*$K$61</f>
        <v>7.0025300139924848E-2</v>
      </c>
      <c r="O45" s="161">
        <f t="shared" si="1"/>
        <v>42.365271864794096</v>
      </c>
      <c r="P45" s="151">
        <f t="shared" si="1"/>
        <v>42.620742293818132</v>
      </c>
      <c r="Q45" s="249">
        <f t="shared" si="1"/>
        <v>42.876212722842169</v>
      </c>
      <c r="R45" s="250">
        <f t="shared" si="1"/>
        <v>43.131683151866227</v>
      </c>
      <c r="S45" s="250">
        <f t="shared" si="1"/>
        <v>43.387153580890264</v>
      </c>
      <c r="T45" s="250">
        <f t="shared" si="1"/>
        <v>43.6426240099143</v>
      </c>
      <c r="U45" s="251">
        <f t="shared" si="1"/>
        <v>43.898094438938351</v>
      </c>
      <c r="V45" s="151">
        <f t="shared" si="1"/>
        <v>44.153564867962388</v>
      </c>
      <c r="W45" s="160">
        <f t="shared" si="1"/>
        <v>44.409035296986438</v>
      </c>
    </row>
    <row r="46" spans="1:23" x14ac:dyDescent="0.3">
      <c r="J46" s="54" t="s">
        <v>35</v>
      </c>
      <c r="K46" s="413">
        <v>42</v>
      </c>
      <c r="M46" s="18"/>
      <c r="N46" s="19">
        <f>$K$62+2*$K$61</f>
        <v>8.0025300139924843E-2</v>
      </c>
      <c r="O46" s="161">
        <f t="shared" si="1"/>
        <v>40.731862517121606</v>
      </c>
      <c r="P46" s="151">
        <f t="shared" si="1"/>
        <v>40.975722884491283</v>
      </c>
      <c r="Q46" s="253">
        <f t="shared" si="1"/>
        <v>41.219583251860968</v>
      </c>
      <c r="R46" s="254">
        <f t="shared" si="1"/>
        <v>41.463443619230659</v>
      </c>
      <c r="S46" s="254">
        <f t="shared" si="1"/>
        <v>41.707303986600344</v>
      </c>
      <c r="T46" s="254">
        <f t="shared" si="1"/>
        <v>41.951164353970022</v>
      </c>
      <c r="U46" s="255">
        <f t="shared" si="1"/>
        <v>42.195024721339713</v>
      </c>
      <c r="V46" s="151">
        <f t="shared" si="1"/>
        <v>42.438885088709398</v>
      </c>
      <c r="W46" s="160">
        <f t="shared" si="1"/>
        <v>42.682745456079083</v>
      </c>
    </row>
    <row r="47" spans="1:23" x14ac:dyDescent="0.3">
      <c r="J47" s="11"/>
      <c r="K47" s="411"/>
      <c r="M47" s="18"/>
      <c r="N47" s="19">
        <f>$K$62+3*$K$61</f>
        <v>9.0025300139924852E-2</v>
      </c>
      <c r="O47" s="161">
        <f t="shared" si="1"/>
        <v>39.186726373407247</v>
      </c>
      <c r="P47" s="151">
        <f t="shared" si="1"/>
        <v>39.419604113599938</v>
      </c>
      <c r="Q47" s="151">
        <f t="shared" si="1"/>
        <v>39.652481853792636</v>
      </c>
      <c r="R47" s="151">
        <f t="shared" si="1"/>
        <v>39.885359593985321</v>
      </c>
      <c r="S47" s="151">
        <f t="shared" si="1"/>
        <v>40.118237334178012</v>
      </c>
      <c r="T47" s="151">
        <f t="shared" si="1"/>
        <v>40.351115074370711</v>
      </c>
      <c r="U47" s="151">
        <f t="shared" si="1"/>
        <v>40.583992814563409</v>
      </c>
      <c r="V47" s="151">
        <f t="shared" si="1"/>
        <v>40.816870554756093</v>
      </c>
      <c r="W47" s="160">
        <f t="shared" si="1"/>
        <v>41.049748294948785</v>
      </c>
    </row>
    <row r="48" spans="1:23" ht="15.75" thickBot="1" x14ac:dyDescent="0.35">
      <c r="J48" s="11" t="s">
        <v>36</v>
      </c>
      <c r="K48" s="414">
        <f>+K43-K45-K46</f>
        <v>4561.5533850638603</v>
      </c>
      <c r="M48" s="21"/>
      <c r="N48" s="22">
        <f>$K$62+4*$K$61</f>
        <v>0.10002530013992485</v>
      </c>
      <c r="O48" s="159">
        <f t="shared" si="1"/>
        <v>37.724347693438318</v>
      </c>
      <c r="P48" s="158">
        <f t="shared" si="1"/>
        <v>37.946831035765797</v>
      </c>
      <c r="Q48" s="158">
        <f t="shared" si="1"/>
        <v>38.169314378093283</v>
      </c>
      <c r="R48" s="158">
        <f t="shared" si="1"/>
        <v>38.391797720420776</v>
      </c>
      <c r="S48" s="158">
        <f t="shared" si="1"/>
        <v>38.614281062748248</v>
      </c>
      <c r="T48" s="158">
        <f t="shared" si="1"/>
        <v>38.836764405075741</v>
      </c>
      <c r="U48" s="158">
        <f t="shared" si="1"/>
        <v>39.059247747403226</v>
      </c>
      <c r="V48" s="158">
        <f t="shared" si="1"/>
        <v>39.281731089730705</v>
      </c>
      <c r="W48" s="157">
        <f t="shared" si="1"/>
        <v>39.504214432058191</v>
      </c>
    </row>
    <row r="49" spans="1:11" x14ac:dyDescent="0.3">
      <c r="J49" s="11"/>
      <c r="K49" s="411"/>
    </row>
    <row r="50" spans="1:11" ht="15.75" thickBot="1" x14ac:dyDescent="0.35">
      <c r="A50" s="1" t="s">
        <v>72</v>
      </c>
      <c r="J50" s="11" t="s">
        <v>37</v>
      </c>
      <c r="K50" s="412">
        <v>101</v>
      </c>
    </row>
    <row r="51" spans="1:11" ht="15.75" thickBot="1" x14ac:dyDescent="0.35">
      <c r="J51" s="288" t="s">
        <v>28</v>
      </c>
      <c r="K51" s="292">
        <f>+K48/K50</f>
        <v>45.163894901622378</v>
      </c>
    </row>
    <row r="52" spans="1:11" x14ac:dyDescent="0.3">
      <c r="J52" s="27"/>
      <c r="K52" s="28"/>
    </row>
    <row r="53" spans="1:11" ht="15.75" thickBot="1" x14ac:dyDescent="0.35">
      <c r="J53" s="156"/>
      <c r="K53" s="155"/>
    </row>
    <row r="54" spans="1:11" x14ac:dyDescent="0.3">
      <c r="J54" s="25" t="s">
        <v>38</v>
      </c>
      <c r="K54" s="26">
        <v>36.590000000000003</v>
      </c>
    </row>
    <row r="55" spans="1:11" ht="15.75" thickBot="1" x14ac:dyDescent="0.35">
      <c r="J55" s="11" t="s">
        <v>40</v>
      </c>
      <c r="K55" s="24">
        <f>K51-K54</f>
        <v>8.5738949016223742</v>
      </c>
    </row>
    <row r="56" spans="1:11" ht="15.75" thickBot="1" x14ac:dyDescent="0.35">
      <c r="J56" s="288" t="s">
        <v>41</v>
      </c>
      <c r="K56" s="290">
        <f>K55/K54</f>
        <v>0.23432344634114166</v>
      </c>
    </row>
    <row r="57" spans="1:11" x14ac:dyDescent="0.3">
      <c r="J57" s="27"/>
      <c r="K57" s="28"/>
    </row>
    <row r="58" spans="1:11" ht="15.75" thickBot="1" x14ac:dyDescent="0.35">
      <c r="J58" s="27"/>
      <c r="K58" s="28"/>
    </row>
    <row r="59" spans="1:11" ht="15.75" thickBot="1" x14ac:dyDescent="0.35">
      <c r="J59" s="288" t="s">
        <v>42</v>
      </c>
      <c r="K59" s="291"/>
    </row>
    <row r="60" spans="1:11" x14ac:dyDescent="0.3">
      <c r="J60" s="11" t="s">
        <v>43</v>
      </c>
      <c r="K60" s="12">
        <v>0.1</v>
      </c>
    </row>
    <row r="61" spans="1:11" x14ac:dyDescent="0.3">
      <c r="J61" s="11" t="s">
        <v>45</v>
      </c>
      <c r="K61" s="415">
        <v>0.01</v>
      </c>
    </row>
    <row r="62" spans="1:11" ht="15.75" thickBot="1" x14ac:dyDescent="0.35">
      <c r="J62" s="13" t="s">
        <v>47</v>
      </c>
      <c r="K62" s="416">
        <f>WACC!C15</f>
        <v>6.0025300139924846E-2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4:I4"/>
  </mergeCells>
  <pageMargins left="0.2" right="0.2" top="0.5" bottom="0.5" header="0.5" footer="0.5"/>
  <pageSetup scale="89" orientation="landscape" r:id="rId1"/>
  <headerFooter alignWithMargins="0"/>
  <colBreaks count="2" manualBreakCount="2">
    <brk id="3" min="1" max="22" man="1"/>
    <brk id="3" min="25" max="3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8C15-5690-406F-AE63-19249532B6AE}">
  <sheetPr>
    <tabColor theme="5" tint="0.39997558519241921"/>
    <pageSetUpPr fitToPage="1"/>
  </sheetPr>
  <dimension ref="B2:Y49"/>
  <sheetViews>
    <sheetView showGridLines="0" view="pageBreakPreview" topLeftCell="A14" zoomScale="85" zoomScaleNormal="100" zoomScaleSheetLayoutView="100" workbookViewId="0">
      <selection activeCell="W22" sqref="W22:Y29"/>
    </sheetView>
  </sheetViews>
  <sheetFormatPr defaultColWidth="9.140625" defaultRowHeight="15" x14ac:dyDescent="0.25"/>
  <cols>
    <col min="1" max="1" width="9.140625" style="169"/>
    <col min="2" max="2" width="35.85546875" style="169" bestFit="1" customWidth="1"/>
    <col min="3" max="3" width="14.42578125" style="169" bestFit="1" customWidth="1"/>
    <col min="4" max="4" width="26.42578125" style="169" bestFit="1" customWidth="1"/>
    <col min="5" max="5" width="0.85546875" style="169" customWidth="1"/>
    <col min="6" max="8" width="10.7109375" style="169" customWidth="1"/>
    <col min="9" max="9" width="9" style="169" bestFit="1" customWidth="1"/>
    <col min="10" max="10" width="16" style="169" bestFit="1" customWidth="1"/>
    <col min="11" max="11" width="13.85546875" style="169" customWidth="1"/>
    <col min="12" max="12" width="24.85546875" style="169" bestFit="1" customWidth="1"/>
    <col min="13" max="14" width="10.7109375" style="169" customWidth="1"/>
    <col min="15" max="15" width="0.85546875" style="169" customWidth="1"/>
    <col min="16" max="16" width="16" style="169" bestFit="1" customWidth="1"/>
    <col min="17" max="18" width="9.140625" style="169"/>
    <col min="19" max="19" width="10.7109375" style="169" bestFit="1" customWidth="1"/>
    <col min="20" max="24" width="9.140625" style="169"/>
    <col min="25" max="25" width="10.5703125" style="169" bestFit="1" customWidth="1"/>
    <col min="26" max="16384" width="9.140625" style="169"/>
  </cols>
  <sheetData>
    <row r="2" spans="2:20" ht="3" customHeight="1" thickBot="1" x14ac:dyDescent="0.3">
      <c r="B2" s="193" t="s">
        <v>178</v>
      </c>
      <c r="C2" s="193"/>
      <c r="D2" s="193"/>
      <c r="E2" s="193"/>
      <c r="F2" s="194"/>
      <c r="G2" s="194"/>
      <c r="H2" s="194"/>
      <c r="I2" s="194"/>
      <c r="J2" s="193"/>
      <c r="K2" s="193"/>
      <c r="L2" s="194"/>
      <c r="N2" s="179"/>
      <c r="O2" s="179"/>
      <c r="P2" s="179"/>
      <c r="Q2" s="179"/>
      <c r="R2" s="179"/>
      <c r="S2" s="179"/>
      <c r="T2" s="179"/>
    </row>
    <row r="3" spans="2:20" x14ac:dyDescent="0.25">
      <c r="B3" s="296"/>
      <c r="C3" s="297" t="s">
        <v>177</v>
      </c>
      <c r="D3" s="297" t="s">
        <v>168</v>
      </c>
      <c r="E3" s="298"/>
      <c r="F3" s="299" t="s">
        <v>176</v>
      </c>
      <c r="G3" s="299"/>
      <c r="H3" s="299" t="s">
        <v>175</v>
      </c>
      <c r="I3" s="299"/>
      <c r="J3" s="297" t="s">
        <v>174</v>
      </c>
      <c r="K3" s="300" t="s">
        <v>264</v>
      </c>
      <c r="L3" s="179"/>
      <c r="M3" s="179"/>
      <c r="N3" s="179"/>
      <c r="O3" s="179"/>
      <c r="P3" s="179"/>
      <c r="Q3" s="179"/>
      <c r="R3" s="179"/>
      <c r="S3" s="179"/>
    </row>
    <row r="4" spans="2:20" ht="15.75" thickBot="1" x14ac:dyDescent="0.3">
      <c r="B4" s="301" t="s">
        <v>173</v>
      </c>
      <c r="C4" s="302" t="s">
        <v>172</v>
      </c>
      <c r="D4" s="302" t="s">
        <v>172</v>
      </c>
      <c r="E4" s="303"/>
      <c r="F4" s="302" t="s">
        <v>171</v>
      </c>
      <c r="G4" s="304">
        <v>2021</v>
      </c>
      <c r="H4" s="302" t="s">
        <v>171</v>
      </c>
      <c r="I4" s="304">
        <v>2021</v>
      </c>
      <c r="J4" s="302" t="s">
        <v>170</v>
      </c>
      <c r="K4" s="305"/>
      <c r="M4" s="179"/>
      <c r="N4" s="179"/>
      <c r="O4" s="179"/>
      <c r="P4" s="179"/>
      <c r="Q4" s="179"/>
      <c r="R4" s="179"/>
      <c r="S4" s="179"/>
    </row>
    <row r="5" spans="2:20" ht="3" customHeight="1" x14ac:dyDescent="0.25">
      <c r="B5" s="192"/>
      <c r="C5" s="190">
        <f>'Comps Inputs'!B5</f>
        <v>14794.3</v>
      </c>
      <c r="D5" s="190">
        <f>'Comps Inputs'!K5</f>
        <v>19955.3</v>
      </c>
      <c r="E5" s="190"/>
      <c r="F5" s="191">
        <f>'Comps Inputs'!S5</f>
        <v>15.041532245907074</v>
      </c>
      <c r="G5" s="191">
        <f>'Comps Inputs'!U5</f>
        <v>32.606699346405229</v>
      </c>
      <c r="H5" s="191">
        <f>'Comps Inputs'!V5</f>
        <v>24.173692810457514</v>
      </c>
      <c r="I5" s="191">
        <f>'Comps Inputs'!X5</f>
        <v>11.667429022082018</v>
      </c>
      <c r="J5" s="257">
        <f>'Comps Inputs'!Y5</f>
        <v>3.4974522869116891</v>
      </c>
      <c r="K5" s="189"/>
      <c r="M5" s="179"/>
      <c r="N5" s="179"/>
      <c r="O5" s="179"/>
      <c r="P5" s="179"/>
      <c r="Q5" s="179"/>
      <c r="R5" s="179"/>
      <c r="S5" s="179"/>
    </row>
    <row r="6" spans="2:20" ht="23.1" customHeight="1" x14ac:dyDescent="0.25">
      <c r="B6" s="256" t="s">
        <v>260</v>
      </c>
      <c r="C6" s="417">
        <f>'Comps Inputs'!B5</f>
        <v>14794.3</v>
      </c>
      <c r="D6" s="417">
        <f>'Comps Inputs'!K5</f>
        <v>19955.3</v>
      </c>
      <c r="E6" s="180"/>
      <c r="F6" s="418">
        <f>'Comps Inputs'!S5</f>
        <v>15.041532245907074</v>
      </c>
      <c r="G6" s="418">
        <f>'Comps Inputs'!U5</f>
        <v>32.606699346405229</v>
      </c>
      <c r="H6" s="418">
        <f>'Comps Inputs'!V5</f>
        <v>24.173692810457514</v>
      </c>
      <c r="I6" s="418">
        <f>'Comps Inputs'!X5</f>
        <v>11.667429022082018</v>
      </c>
      <c r="J6" s="420">
        <f>'Comps Inputs'!Y5</f>
        <v>3.4974522869116891</v>
      </c>
      <c r="K6" s="419">
        <v>1.1000000000000001</v>
      </c>
      <c r="M6" s="179"/>
      <c r="N6" s="179"/>
      <c r="O6" s="179"/>
      <c r="P6" s="179"/>
      <c r="Q6" s="179"/>
      <c r="R6" s="179"/>
      <c r="S6" s="179"/>
    </row>
    <row r="7" spans="2:20" ht="23.1" customHeight="1" x14ac:dyDescent="0.25">
      <c r="B7" s="256" t="s">
        <v>259</v>
      </c>
      <c r="C7" s="417">
        <f>'Comps Inputs'!B6</f>
        <v>12153.1</v>
      </c>
      <c r="D7" s="417">
        <f>'Comps Inputs'!K6</f>
        <v>13325.109999999999</v>
      </c>
      <c r="E7" s="180"/>
      <c r="F7" s="418">
        <f>'Comps Inputs'!S6</f>
        <v>16.742191230054026</v>
      </c>
      <c r="G7" s="418">
        <f>'Comps Inputs'!U6</f>
        <v>15.600615824103775</v>
      </c>
      <c r="H7" s="418">
        <v>25.3</v>
      </c>
      <c r="I7" s="418">
        <f>'Comps Inputs'!X6</f>
        <v>22.537878085418097</v>
      </c>
      <c r="J7" s="420">
        <f>'Comps Inputs'!Y6</f>
        <v>3.0747706998366628</v>
      </c>
      <c r="K7" s="419">
        <v>1.2</v>
      </c>
      <c r="M7" s="179"/>
      <c r="N7" s="179"/>
      <c r="O7" s="179"/>
      <c r="P7" s="179"/>
      <c r="Q7" s="179"/>
      <c r="R7" s="179"/>
      <c r="S7" s="179"/>
    </row>
    <row r="8" spans="2:20" ht="23.1" customHeight="1" x14ac:dyDescent="0.25">
      <c r="B8" s="256" t="s">
        <v>261</v>
      </c>
      <c r="C8" s="417">
        <f>'Comps Inputs'!B7</f>
        <v>6247.2</v>
      </c>
      <c r="D8" s="417">
        <f>'Comps Inputs'!K7</f>
        <v>7776.7000000000007</v>
      </c>
      <c r="E8" s="180"/>
      <c r="F8" s="418">
        <f>'Comps Inputs'!S7</f>
        <v>12.769622331691298</v>
      </c>
      <c r="G8" s="418">
        <f>'Comps Inputs'!U7</f>
        <v>11.529748402496702</v>
      </c>
      <c r="H8" s="418">
        <f>'Comps Inputs'!V7</f>
        <v>17.998271391529816</v>
      </c>
      <c r="I8" s="418">
        <f>'Comps Inputs'!X7</f>
        <v>15.895778733365564</v>
      </c>
      <c r="J8" s="420">
        <f>'Comps Inputs'!Y7</f>
        <v>2.716584564860427</v>
      </c>
      <c r="K8" s="419">
        <v>1</v>
      </c>
      <c r="L8" s="468"/>
      <c r="M8" s="179"/>
      <c r="N8" s="179"/>
      <c r="O8" s="179"/>
      <c r="P8" s="179"/>
      <c r="Q8" s="179"/>
      <c r="R8" s="179"/>
      <c r="S8" s="179"/>
    </row>
    <row r="9" spans="2:20" ht="23.1" customHeight="1" x14ac:dyDescent="0.25">
      <c r="B9" s="256" t="s">
        <v>268</v>
      </c>
      <c r="C9" s="417">
        <f>'Comps Inputs'!B8</f>
        <v>5674.5</v>
      </c>
      <c r="D9" s="417">
        <f>'Comps Inputs'!K8</f>
        <v>8377.5</v>
      </c>
      <c r="E9" s="180"/>
      <c r="F9" s="418">
        <f>'Comps Inputs'!S8</f>
        <v>14.468911917098445</v>
      </c>
      <c r="G9" s="418">
        <f>'Comps Inputs'!U8</f>
        <v>11.930191822958943</v>
      </c>
      <c r="H9" s="418">
        <f>'Comps Inputs'!V8</f>
        <v>28.231343283582088</v>
      </c>
      <c r="I9" s="418">
        <f>'Comps Inputs'!X8</f>
        <v>17.199624151309408</v>
      </c>
      <c r="J9" s="420">
        <f>'Comps Inputs'!Y8</f>
        <v>4.9861830742659761</v>
      </c>
      <c r="K9" s="419">
        <v>1.7</v>
      </c>
      <c r="M9" s="179"/>
      <c r="N9" s="179"/>
      <c r="O9" s="179"/>
      <c r="P9" s="179"/>
      <c r="Q9" s="179"/>
      <c r="R9" s="179"/>
      <c r="S9" s="179"/>
    </row>
    <row r="10" spans="2:20" ht="23.1" customHeight="1" x14ac:dyDescent="0.25">
      <c r="B10" s="256" t="s">
        <v>262</v>
      </c>
      <c r="C10" s="417">
        <f>'Comps Inputs'!B9</f>
        <v>4208.6000000000004</v>
      </c>
      <c r="D10" s="417">
        <f>'Comps Inputs'!K9</f>
        <v>5603.7000000000007</v>
      </c>
      <c r="E10" s="180"/>
      <c r="F10" s="418">
        <v>12.3</v>
      </c>
      <c r="G10" s="418">
        <f>'Comps Inputs'!U9</f>
        <v>27.31913026521061</v>
      </c>
      <c r="H10" s="418" t="str">
        <f>'Comps Inputs'!V9</f>
        <v>NM</v>
      </c>
      <c r="I10" s="418" t="str">
        <f>'Comps Inputs'!X9</f>
        <v>NM</v>
      </c>
      <c r="J10" s="420" t="str">
        <f>'Comps Inputs'!Y9</f>
        <v>NM</v>
      </c>
      <c r="K10" s="419">
        <v>1</v>
      </c>
      <c r="M10" s="179"/>
      <c r="N10" s="179"/>
      <c r="O10" s="179"/>
      <c r="P10" s="179"/>
      <c r="Q10" s="179"/>
      <c r="R10" s="179"/>
      <c r="S10" s="179"/>
    </row>
    <row r="11" spans="2:20" ht="23.1" customHeight="1" x14ac:dyDescent="0.25">
      <c r="B11" s="256" t="s">
        <v>251</v>
      </c>
      <c r="C11" s="417">
        <f>'Comps Inputs'!B10</f>
        <v>879</v>
      </c>
      <c r="D11" s="417">
        <f>'Comps Inputs'!K10</f>
        <v>1685.46</v>
      </c>
      <c r="E11" s="180"/>
      <c r="F11" s="418">
        <f>'Comps Inputs'!S10</f>
        <v>9.5900995732574685</v>
      </c>
      <c r="G11" s="418">
        <f>'Comps Inputs'!U10</f>
        <v>247.86176470588236</v>
      </c>
      <c r="H11" s="418">
        <f>'Comps Inputs'!V10</f>
        <v>28.659928268666448</v>
      </c>
      <c r="I11" s="418">
        <f>'Comps Inputs'!X10</f>
        <v>8.7637088733798603</v>
      </c>
      <c r="J11" s="420">
        <f>'Comps Inputs'!Y10</f>
        <v>3.4542247510668558</v>
      </c>
      <c r="K11" s="419">
        <v>2</v>
      </c>
      <c r="M11" s="179"/>
      <c r="N11" s="179"/>
      <c r="O11" s="179"/>
      <c r="P11" s="179"/>
      <c r="Q11" s="179"/>
      <c r="R11" s="179"/>
      <c r="S11" s="179"/>
    </row>
    <row r="12" spans="2:20" ht="23.1" customHeight="1" x14ac:dyDescent="0.25">
      <c r="B12" s="256" t="s">
        <v>263</v>
      </c>
      <c r="C12" s="417">
        <f>'Comps Inputs'!B11</f>
        <v>802</v>
      </c>
      <c r="D12" s="417">
        <f>'Comps Inputs'!K11</f>
        <v>3241.67</v>
      </c>
      <c r="E12" s="421"/>
      <c r="F12" s="418">
        <f>'Comps Inputs'!S11</f>
        <v>26.248340080971662</v>
      </c>
      <c r="G12" s="418" t="str">
        <f>'Comps Inputs'!U11</f>
        <v>NM</v>
      </c>
      <c r="H12" s="418" t="str">
        <f>'Comps Inputs'!V11</f>
        <v>NM</v>
      </c>
      <c r="I12" s="418">
        <f>'Comps Inputs'!X11</f>
        <v>4.8459214501510575</v>
      </c>
      <c r="J12" s="420">
        <f>'Comps Inputs'!Y11</f>
        <v>16.190040485829961</v>
      </c>
      <c r="K12" s="419">
        <v>1.1000000000000001</v>
      </c>
      <c r="M12" s="179"/>
      <c r="N12" s="179"/>
      <c r="O12" s="179"/>
      <c r="P12" s="179"/>
      <c r="Q12" s="179"/>
      <c r="R12" s="179"/>
      <c r="S12" s="179"/>
    </row>
    <row r="13" spans="2:20" ht="5.0999999999999996" customHeight="1" x14ac:dyDescent="0.25">
      <c r="B13" s="188" t="s">
        <v>5</v>
      </c>
      <c r="C13" s="187"/>
      <c r="D13" s="187"/>
      <c r="E13" s="186"/>
      <c r="F13" s="185"/>
      <c r="G13" s="185"/>
      <c r="H13" s="185"/>
      <c r="I13" s="185"/>
      <c r="J13" s="258"/>
      <c r="K13" s="184"/>
      <c r="M13" s="179"/>
      <c r="N13" s="179"/>
      <c r="O13" s="179"/>
      <c r="P13" s="179"/>
      <c r="Q13" s="179"/>
      <c r="R13" s="179"/>
      <c r="S13" s="179"/>
    </row>
    <row r="14" spans="2:20" ht="23.1" customHeight="1" x14ac:dyDescent="0.25">
      <c r="B14" s="306" t="s">
        <v>97</v>
      </c>
      <c r="C14" s="307"/>
      <c r="D14" s="307"/>
      <c r="E14" s="308"/>
      <c r="F14" s="309">
        <f t="shared" ref="F14:K14" si="0">_xlfn.PERCENTILE.EXC(F6:F12,0.25)</f>
        <v>12.3</v>
      </c>
      <c r="G14" s="309">
        <f t="shared" si="0"/>
        <v>11.830080967843383</v>
      </c>
      <c r="H14" s="309">
        <f t="shared" si="0"/>
        <v>21.085982100993665</v>
      </c>
      <c r="I14" s="309">
        <f t="shared" si="0"/>
        <v>7.7842620175726598</v>
      </c>
      <c r="J14" s="465">
        <f t="shared" si="0"/>
        <v>2.9852241660926038</v>
      </c>
      <c r="K14" s="310">
        <f t="shared" si="0"/>
        <v>1</v>
      </c>
      <c r="M14" s="179"/>
      <c r="N14" s="179"/>
      <c r="O14" s="179"/>
      <c r="P14" s="179"/>
      <c r="Q14" s="179"/>
      <c r="R14" s="179"/>
      <c r="S14" s="179"/>
    </row>
    <row r="15" spans="2:20" ht="23.1" customHeight="1" x14ac:dyDescent="0.25">
      <c r="B15" s="306" t="s">
        <v>201</v>
      </c>
      <c r="C15" s="307"/>
      <c r="D15" s="307"/>
      <c r="E15" s="308"/>
      <c r="F15" s="309">
        <f t="shared" ref="F15:K15" si="1">_xlfn.PERCENTILE.EXC(F6:F13,0.75)</f>
        <v>16.742191230054026</v>
      </c>
      <c r="G15" s="309">
        <f t="shared" si="1"/>
        <v>86.420465686274511</v>
      </c>
      <c r="H15" s="309">
        <f t="shared" si="1"/>
        <v>28.44563577612427</v>
      </c>
      <c r="I15" s="309">
        <f t="shared" si="1"/>
        <v>18.534187634836581</v>
      </c>
      <c r="J15" s="465">
        <f t="shared" si="1"/>
        <v>7.7871474271569721</v>
      </c>
      <c r="K15" s="310">
        <f t="shared" si="1"/>
        <v>1.7</v>
      </c>
      <c r="N15" s="179"/>
      <c r="O15" s="179"/>
      <c r="P15" s="179"/>
      <c r="Q15" s="179"/>
      <c r="R15" s="179"/>
      <c r="S15" s="179"/>
    </row>
    <row r="16" spans="2:20" ht="23.1" customHeight="1" x14ac:dyDescent="0.25">
      <c r="B16" s="306" t="s">
        <v>16</v>
      </c>
      <c r="C16" s="311"/>
      <c r="D16" s="311"/>
      <c r="E16" s="312"/>
      <c r="F16" s="309">
        <f t="shared" ref="F16:K16" si="2">AVERAGE(F6:F12)</f>
        <v>15.308671054139996</v>
      </c>
      <c r="G16" s="309">
        <f t="shared" si="2"/>
        <v>57.808025061176274</v>
      </c>
      <c r="H16" s="309">
        <f t="shared" si="2"/>
        <v>24.872647150847175</v>
      </c>
      <c r="I16" s="309">
        <f t="shared" si="2"/>
        <v>13.485056719284332</v>
      </c>
      <c r="J16" s="465">
        <f t="shared" si="2"/>
        <v>5.6532093104619294</v>
      </c>
      <c r="K16" s="310">
        <f t="shared" si="2"/>
        <v>1.3</v>
      </c>
      <c r="M16" s="179"/>
      <c r="N16" s="179"/>
      <c r="O16" s="179"/>
      <c r="P16" s="179"/>
      <c r="Q16" s="179"/>
      <c r="R16" s="179"/>
      <c r="S16" s="179"/>
    </row>
    <row r="17" spans="2:25" ht="23.1" customHeight="1" x14ac:dyDescent="0.25">
      <c r="B17" s="306" t="s">
        <v>17</v>
      </c>
      <c r="C17" s="311"/>
      <c r="D17" s="311"/>
      <c r="E17" s="312"/>
      <c r="F17" s="309">
        <f t="shared" ref="F17:K17" si="3">MEDIAN(F6:F12)</f>
        <v>14.468911917098445</v>
      </c>
      <c r="G17" s="309">
        <f t="shared" si="3"/>
        <v>21.459873044657193</v>
      </c>
      <c r="H17" s="309">
        <f t="shared" si="3"/>
        <v>25.3</v>
      </c>
      <c r="I17" s="309">
        <f t="shared" si="3"/>
        <v>13.781603877723791</v>
      </c>
      <c r="J17" s="465">
        <f t="shared" si="3"/>
        <v>3.4758385189892724</v>
      </c>
      <c r="K17" s="310">
        <f t="shared" si="3"/>
        <v>1.1000000000000001</v>
      </c>
      <c r="M17" s="179"/>
      <c r="N17" s="179"/>
      <c r="O17" s="179"/>
      <c r="P17" s="179"/>
      <c r="Q17" s="179"/>
      <c r="R17" s="179"/>
      <c r="S17" s="179"/>
    </row>
    <row r="18" spans="2:25" ht="5.0999999999999996" customHeight="1" x14ac:dyDescent="0.25">
      <c r="B18" s="183"/>
      <c r="C18" s="182"/>
      <c r="D18" s="182"/>
      <c r="E18" s="180"/>
      <c r="F18" s="181"/>
      <c r="G18" s="181"/>
      <c r="H18" s="181"/>
      <c r="I18" s="181"/>
      <c r="J18" s="259"/>
      <c r="K18" s="259"/>
    </row>
    <row r="19" spans="2:25" ht="23.1" customHeight="1" thickBot="1" x14ac:dyDescent="0.3">
      <c r="B19" s="313" t="str">
        <f>'Comps Inputs'!A13</f>
        <v xml:space="preserve">Parsons Corporation </v>
      </c>
      <c r="C19" s="314">
        <f>'Comps Inputs'!B13</f>
        <v>3322</v>
      </c>
      <c r="D19" s="314">
        <f>'Comps Inputs'!K13</f>
        <v>3265.7999999999997</v>
      </c>
      <c r="E19" s="315"/>
      <c r="F19" s="316">
        <f>'Comps Inputs'!S13</f>
        <v>13.275609756097559</v>
      </c>
      <c r="G19" s="316">
        <f>'Comps Inputs'!U13</f>
        <v>8.3247514657150123</v>
      </c>
      <c r="H19" s="316">
        <f>'Comps Inputs'!V13</f>
        <v>36.626240352811465</v>
      </c>
      <c r="I19" s="316">
        <f>'Comps Inputs'!X13</f>
        <v>22.222222222222221</v>
      </c>
      <c r="J19" s="317">
        <f>'Comps Inputs'!Y13</f>
        <v>2.3866666666666667</v>
      </c>
      <c r="K19" s="317">
        <v>1.2</v>
      </c>
      <c r="L19" s="179"/>
      <c r="M19" s="179"/>
      <c r="N19" s="179"/>
      <c r="O19" s="179"/>
    </row>
    <row r="20" spans="2:25" x14ac:dyDescent="0.25">
      <c r="B20" s="179"/>
      <c r="C20" s="179"/>
      <c r="D20" s="179"/>
      <c r="E20" s="179"/>
      <c r="F20" s="179"/>
      <c r="G20" s="179"/>
      <c r="H20" s="179"/>
      <c r="I20" s="179"/>
      <c r="J20" s="466"/>
      <c r="K20" s="179"/>
      <c r="L20" s="179"/>
      <c r="M20" s="179"/>
      <c r="N20" s="179"/>
      <c r="O20" s="179"/>
      <c r="P20" s="179"/>
      <c r="Q20" s="179"/>
      <c r="R20" s="179"/>
      <c r="S20" s="179"/>
      <c r="T20" s="179"/>
    </row>
    <row r="21" spans="2:25" ht="15.75" thickBot="1" x14ac:dyDescent="0.3">
      <c r="B21" s="179"/>
      <c r="C21" s="179"/>
      <c r="D21" s="179"/>
      <c r="E21" s="179"/>
      <c r="F21" s="179" t="s">
        <v>209</v>
      </c>
      <c r="G21" s="179"/>
      <c r="H21" s="179"/>
      <c r="I21" s="179"/>
      <c r="J21" s="467"/>
      <c r="K21" s="179"/>
      <c r="L21" s="179"/>
      <c r="M21" s="179"/>
      <c r="N21" s="179"/>
      <c r="O21" s="179"/>
      <c r="P21" s="179"/>
      <c r="Q21" s="179"/>
      <c r="R21" s="179" t="s">
        <v>175</v>
      </c>
      <c r="S21" s="179"/>
      <c r="T21" s="179"/>
    </row>
    <row r="22" spans="2:25" ht="15.75" x14ac:dyDescent="0.3">
      <c r="D22" s="318"/>
      <c r="E22" s="319"/>
      <c r="F22" s="320" t="s">
        <v>16</v>
      </c>
      <c r="G22" s="1"/>
      <c r="H22" s="56"/>
      <c r="I22" s="318"/>
      <c r="J22" s="319"/>
      <c r="K22" s="319"/>
      <c r="L22" s="319"/>
      <c r="M22" s="320" t="s">
        <v>97</v>
      </c>
      <c r="Q22" s="318"/>
      <c r="R22" s="319"/>
      <c r="S22" s="320" t="s">
        <v>16</v>
      </c>
      <c r="W22" s="318"/>
      <c r="X22" s="319"/>
      <c r="Y22" s="320" t="s">
        <v>97</v>
      </c>
    </row>
    <row r="23" spans="2:25" ht="15.75" x14ac:dyDescent="0.3">
      <c r="D23" s="321" t="s">
        <v>149</v>
      </c>
      <c r="E23" s="322"/>
      <c r="F23" s="323"/>
      <c r="G23" s="1"/>
      <c r="H23" s="56"/>
      <c r="I23" s="324" t="s">
        <v>149</v>
      </c>
      <c r="J23" s="325"/>
      <c r="K23" s="325"/>
      <c r="L23" s="325"/>
      <c r="M23" s="326"/>
      <c r="Q23" s="321" t="s">
        <v>149</v>
      </c>
      <c r="R23" s="322"/>
      <c r="S23" s="323"/>
      <c r="W23" s="321" t="s">
        <v>149</v>
      </c>
      <c r="X23" s="322"/>
      <c r="Y23" s="323"/>
    </row>
    <row r="24" spans="2:25" ht="15.75" x14ac:dyDescent="0.3">
      <c r="D24" s="61" t="s">
        <v>150</v>
      </c>
      <c r="E24" s="62"/>
      <c r="F24" s="64">
        <f>F16</f>
        <v>15.308671054139996</v>
      </c>
      <c r="G24" s="1"/>
      <c r="H24" s="56"/>
      <c r="I24" s="63" t="s">
        <v>150</v>
      </c>
      <c r="J24" s="260"/>
      <c r="K24" s="260"/>
      <c r="L24" s="60"/>
      <c r="M24" s="423">
        <f>F14</f>
        <v>12.3</v>
      </c>
      <c r="Q24" s="61" t="s">
        <v>64</v>
      </c>
      <c r="R24" s="62"/>
      <c r="S24" s="102">
        <f>$D$19</f>
        <v>3265.7999999999997</v>
      </c>
      <c r="W24" s="61" t="s">
        <v>64</v>
      </c>
      <c r="X24" s="62"/>
      <c r="Y24" s="102">
        <f>$D$19</f>
        <v>3265.7999999999997</v>
      </c>
    </row>
    <row r="25" spans="2:25" ht="15.75" x14ac:dyDescent="0.3">
      <c r="D25" s="63" t="s">
        <v>151</v>
      </c>
      <c r="E25" s="60"/>
      <c r="F25" s="66">
        <f>'Model Output'!K38</f>
        <v>903.75958534795154</v>
      </c>
      <c r="G25" s="1"/>
      <c r="H25" s="56"/>
      <c r="I25" s="63" t="s">
        <v>151</v>
      </c>
      <c r="J25" s="260"/>
      <c r="K25" s="260"/>
      <c r="L25" s="60"/>
      <c r="M25" s="66">
        <f>F40</f>
        <v>903.75958534795154</v>
      </c>
      <c r="Q25" s="63" t="s">
        <v>169</v>
      </c>
      <c r="R25" s="60"/>
      <c r="S25" s="66">
        <f>WACC!D25</f>
        <v>1783</v>
      </c>
      <c r="W25" s="63" t="s">
        <v>169</v>
      </c>
      <c r="X25" s="60"/>
      <c r="Y25" s="66">
        <f>S25</f>
        <v>1783</v>
      </c>
    </row>
    <row r="26" spans="2:25" ht="15.75" x14ac:dyDescent="0.3">
      <c r="B26" s="245"/>
      <c r="D26" s="63"/>
      <c r="E26" s="60"/>
      <c r="F26" s="66"/>
      <c r="G26" s="1"/>
      <c r="H26" s="56"/>
      <c r="I26" s="63"/>
      <c r="J26" s="260"/>
      <c r="K26" s="260"/>
      <c r="L26" s="60"/>
      <c r="M26" s="66"/>
      <c r="Q26" s="63" t="s">
        <v>208</v>
      </c>
      <c r="R26" s="60"/>
      <c r="S26" s="425">
        <v>1.3</v>
      </c>
      <c r="W26" s="63" t="s">
        <v>208</v>
      </c>
      <c r="X26" s="60"/>
      <c r="Y26" s="425">
        <f>S26</f>
        <v>1.3</v>
      </c>
    </row>
    <row r="27" spans="2:25" ht="15.75" x14ac:dyDescent="0.3">
      <c r="D27" s="63" t="s">
        <v>31</v>
      </c>
      <c r="E27" s="60"/>
      <c r="F27" s="66">
        <f>F24*('Model Output'!$H$13+'Model Output'!$H$18)</f>
        <v>5267.2868664075213</v>
      </c>
      <c r="G27" s="1"/>
      <c r="H27" s="56"/>
      <c r="I27" s="63" t="s">
        <v>31</v>
      </c>
      <c r="J27" s="260"/>
      <c r="K27" s="260"/>
      <c r="L27" s="60"/>
      <c r="M27" s="66">
        <f>M24*('Model Output'!$H$13+'Model Output'!$H$18)</f>
        <v>4232.087045811315</v>
      </c>
      <c r="Q27" s="63" t="s">
        <v>206</v>
      </c>
      <c r="R27" s="60"/>
      <c r="S27" s="66">
        <f>S26*S28*H16</f>
        <v>3265.7785709062346</v>
      </c>
      <c r="W27" s="63" t="s">
        <v>206</v>
      </c>
      <c r="X27" s="60"/>
      <c r="Y27" s="66">
        <f>Y26*Y28*H14</f>
        <v>2768.5894498604684</v>
      </c>
    </row>
    <row r="28" spans="2:25" ht="15.75" x14ac:dyDescent="0.3">
      <c r="D28" s="63"/>
      <c r="E28" s="60"/>
      <c r="F28" s="66"/>
      <c r="G28" s="1"/>
      <c r="H28" s="56"/>
      <c r="I28" s="63"/>
      <c r="J28" s="260"/>
      <c r="K28" s="260"/>
      <c r="L28" s="60"/>
      <c r="M28" s="66"/>
      <c r="Q28" s="63" t="s">
        <v>207</v>
      </c>
      <c r="R28" s="60"/>
      <c r="S28" s="69">
        <f>F34</f>
        <v>101</v>
      </c>
      <c r="W28" s="63" t="s">
        <v>207</v>
      </c>
      <c r="X28" s="60"/>
      <c r="Y28" s="69">
        <f>F34</f>
        <v>101</v>
      </c>
    </row>
    <row r="29" spans="2:25" ht="16.5" thickBot="1" x14ac:dyDescent="0.35">
      <c r="D29" s="63" t="s">
        <v>152</v>
      </c>
      <c r="E29" s="60"/>
      <c r="F29" s="66">
        <f>+-PV('Model Output'!$K$62,5,0,F27)</f>
        <v>3935.553467269081</v>
      </c>
      <c r="G29" s="1"/>
      <c r="H29" s="56"/>
      <c r="I29" s="63" t="s">
        <v>152</v>
      </c>
      <c r="J29" s="260"/>
      <c r="K29" s="260"/>
      <c r="L29" s="60"/>
      <c r="M29" s="408">
        <f>+-PV('Model Output'!$K$62,5,0,M27)</f>
        <v>3162.0842512204017</v>
      </c>
      <c r="Q29" s="172" t="s">
        <v>28</v>
      </c>
      <c r="R29" s="171"/>
      <c r="S29" s="170">
        <f>S27/S28</f>
        <v>32.334441296101332</v>
      </c>
      <c r="W29" s="172" t="s">
        <v>28</v>
      </c>
      <c r="X29" s="171"/>
      <c r="Y29" s="170">
        <f>Y27/Y28</f>
        <v>27.411776731291766</v>
      </c>
    </row>
    <row r="30" spans="2:25" ht="15.75" x14ac:dyDescent="0.3">
      <c r="D30" s="63" t="s">
        <v>33</v>
      </c>
      <c r="E30" s="60"/>
      <c r="F30" s="67">
        <f>F25+F29</f>
        <v>4839.3130526170326</v>
      </c>
      <c r="G30" s="1"/>
      <c r="H30" s="56"/>
      <c r="I30" s="63" t="s">
        <v>33</v>
      </c>
      <c r="J30" s="260"/>
      <c r="K30" s="260"/>
      <c r="L30" s="60"/>
      <c r="M30" s="67">
        <f>M25+M29</f>
        <v>4065.8438365683533</v>
      </c>
    </row>
    <row r="31" spans="2:25" ht="16.5" thickBot="1" x14ac:dyDescent="0.35">
      <c r="D31" s="175" t="s">
        <v>153</v>
      </c>
      <c r="E31" s="174"/>
      <c r="F31" s="422">
        <f>'Model Output'!I47</f>
        <v>0</v>
      </c>
      <c r="G31" s="1"/>
      <c r="H31" s="56"/>
      <c r="I31" s="175" t="s">
        <v>153</v>
      </c>
      <c r="J31" s="174"/>
      <c r="K31" s="174"/>
      <c r="L31" s="174"/>
      <c r="M31" s="422">
        <f>F45</f>
        <v>0</v>
      </c>
    </row>
    <row r="32" spans="2:25" ht="15.75" x14ac:dyDescent="0.3">
      <c r="D32" s="63"/>
      <c r="E32" s="60"/>
      <c r="F32" s="69"/>
      <c r="G32" s="1"/>
      <c r="H32" s="56"/>
      <c r="I32" s="63"/>
      <c r="J32" s="260"/>
      <c r="K32" s="260"/>
      <c r="L32" s="60"/>
      <c r="M32" s="69"/>
      <c r="Q32" s="318"/>
      <c r="R32" s="319"/>
      <c r="S32" s="320" t="s">
        <v>17</v>
      </c>
      <c r="W32" s="318"/>
      <c r="X32" s="319"/>
      <c r="Y32" s="320" t="s">
        <v>98</v>
      </c>
    </row>
    <row r="33" spans="4:25" ht="16.5" thickBot="1" x14ac:dyDescent="0.35">
      <c r="D33" s="63" t="s">
        <v>36</v>
      </c>
      <c r="E33" s="60"/>
      <c r="F33" s="71">
        <f>F30-F31</f>
        <v>4839.3130526170326</v>
      </c>
      <c r="G33" s="1"/>
      <c r="H33" s="56"/>
      <c r="I33" s="63" t="s">
        <v>36</v>
      </c>
      <c r="J33" s="260"/>
      <c r="K33" s="260"/>
      <c r="L33" s="60"/>
      <c r="M33" s="424">
        <f>M30-M31</f>
        <v>4065.8438365683533</v>
      </c>
      <c r="Q33" s="321" t="s">
        <v>149</v>
      </c>
      <c r="R33" s="322"/>
      <c r="S33" s="323"/>
      <c r="W33" s="321" t="s">
        <v>149</v>
      </c>
      <c r="X33" s="322"/>
      <c r="Y33" s="323"/>
    </row>
    <row r="34" spans="4:25" ht="16.5" thickTop="1" x14ac:dyDescent="0.3">
      <c r="D34" s="63" t="s">
        <v>154</v>
      </c>
      <c r="E34" s="60"/>
      <c r="F34" s="69">
        <f>'Model Output'!K50</f>
        <v>101</v>
      </c>
      <c r="G34" s="1"/>
      <c r="H34" s="56"/>
      <c r="I34" s="63" t="s">
        <v>154</v>
      </c>
      <c r="J34" s="260"/>
      <c r="K34" s="260"/>
      <c r="L34" s="60"/>
      <c r="M34" s="69">
        <f>F34</f>
        <v>101</v>
      </c>
      <c r="Q34" s="61" t="s">
        <v>64</v>
      </c>
      <c r="R34" s="62"/>
      <c r="S34" s="102">
        <f>$D$19</f>
        <v>3265.7999999999997</v>
      </c>
      <c r="W34" s="61" t="s">
        <v>64</v>
      </c>
      <c r="X34" s="62"/>
      <c r="Y34" s="102">
        <f>$D$19</f>
        <v>3265.7999999999997</v>
      </c>
    </row>
    <row r="35" spans="4:25" ht="16.5" thickBot="1" x14ac:dyDescent="0.35">
      <c r="D35" s="172" t="s">
        <v>28</v>
      </c>
      <c r="E35" s="171"/>
      <c r="F35" s="170">
        <f>F33/F34</f>
        <v>47.913990619970619</v>
      </c>
      <c r="G35" s="1"/>
      <c r="H35" s="56"/>
      <c r="I35" s="178" t="s">
        <v>28</v>
      </c>
      <c r="J35" s="177"/>
      <c r="K35" s="177"/>
      <c r="L35" s="177"/>
      <c r="M35" s="176">
        <f>M33/M34</f>
        <v>40.255879569983698</v>
      </c>
      <c r="Q35" s="63" t="s">
        <v>169</v>
      </c>
      <c r="R35" s="60"/>
      <c r="S35" s="66">
        <f>S25</f>
        <v>1783</v>
      </c>
      <c r="W35" s="63" t="s">
        <v>169</v>
      </c>
      <c r="X35" s="60"/>
      <c r="Y35" s="66">
        <f>S25</f>
        <v>1783</v>
      </c>
    </row>
    <row r="36" spans="4:25" ht="16.5" thickBot="1" x14ac:dyDescent="0.35">
      <c r="D36" s="60"/>
      <c r="E36" s="60"/>
      <c r="F36" s="73"/>
      <c r="G36" s="1"/>
      <c r="H36" s="56"/>
      <c r="I36" s="60"/>
      <c r="J36" s="60"/>
      <c r="K36" s="60"/>
      <c r="L36" s="60"/>
      <c r="M36" s="73"/>
      <c r="Q36" s="63" t="s">
        <v>208</v>
      </c>
      <c r="R36" s="60"/>
      <c r="S36" s="425">
        <f>S26</f>
        <v>1.3</v>
      </c>
      <c r="W36" s="63" t="s">
        <v>208</v>
      </c>
      <c r="X36" s="60"/>
      <c r="Y36" s="425">
        <f>S26</f>
        <v>1.3</v>
      </c>
    </row>
    <row r="37" spans="4:25" ht="15.75" x14ac:dyDescent="0.3">
      <c r="D37" s="318"/>
      <c r="E37" s="319"/>
      <c r="F37" s="320" t="s">
        <v>17</v>
      </c>
      <c r="G37" s="1"/>
      <c r="H37" s="56"/>
      <c r="I37" s="318"/>
      <c r="J37" s="319"/>
      <c r="K37" s="319"/>
      <c r="L37" s="319"/>
      <c r="M37" s="320" t="s">
        <v>98</v>
      </c>
      <c r="Q37" s="63" t="s">
        <v>206</v>
      </c>
      <c r="R37" s="60"/>
      <c r="S37" s="66">
        <f>S36*S38*H17</f>
        <v>3321.8900000000003</v>
      </c>
      <c r="W37" s="63" t="s">
        <v>206</v>
      </c>
      <c r="X37" s="60"/>
      <c r="Y37" s="66">
        <f>Y36*Y38*H15</f>
        <v>3734.9119774051169</v>
      </c>
    </row>
    <row r="38" spans="4:25" ht="15.75" x14ac:dyDescent="0.3">
      <c r="D38" s="321" t="s">
        <v>149</v>
      </c>
      <c r="E38" s="322"/>
      <c r="F38" s="323"/>
      <c r="G38" s="1"/>
      <c r="H38" s="56"/>
      <c r="I38" s="324" t="s">
        <v>149</v>
      </c>
      <c r="J38" s="325"/>
      <c r="K38" s="325"/>
      <c r="L38" s="325"/>
      <c r="M38" s="326"/>
      <c r="Q38" s="63" t="s">
        <v>207</v>
      </c>
      <c r="R38" s="60"/>
      <c r="S38" s="69">
        <f>F34</f>
        <v>101</v>
      </c>
      <c r="W38" s="63" t="s">
        <v>207</v>
      </c>
      <c r="X38" s="60"/>
      <c r="Y38" s="69">
        <f>F34</f>
        <v>101</v>
      </c>
    </row>
    <row r="39" spans="4:25" ht="16.5" thickBot="1" x14ac:dyDescent="0.35">
      <c r="D39" s="61" t="s">
        <v>150</v>
      </c>
      <c r="E39" s="62"/>
      <c r="F39" s="64">
        <f>F17</f>
        <v>14.468911917098445</v>
      </c>
      <c r="G39" s="1"/>
      <c r="H39" s="56"/>
      <c r="I39" s="63" t="s">
        <v>150</v>
      </c>
      <c r="J39" s="260"/>
      <c r="K39" s="260"/>
      <c r="L39" s="60"/>
      <c r="M39" s="423">
        <f>F15</f>
        <v>16.742191230054026</v>
      </c>
      <c r="Q39" s="172" t="s">
        <v>28</v>
      </c>
      <c r="R39" s="171"/>
      <c r="S39" s="170">
        <f>S37/S38</f>
        <v>32.89</v>
      </c>
      <c r="W39" s="172" t="s">
        <v>28</v>
      </c>
      <c r="X39" s="171"/>
      <c r="Y39" s="170">
        <f>Y37/Y38</f>
        <v>36.979326508961556</v>
      </c>
    </row>
    <row r="40" spans="4:25" ht="15.75" x14ac:dyDescent="0.3">
      <c r="D40" s="63" t="s">
        <v>151</v>
      </c>
      <c r="E40" s="60"/>
      <c r="F40" s="65">
        <f>F25</f>
        <v>903.75958534795154</v>
      </c>
      <c r="G40" s="1"/>
      <c r="H40" s="56"/>
      <c r="I40" s="63" t="s">
        <v>151</v>
      </c>
      <c r="J40" s="260"/>
      <c r="K40" s="260"/>
      <c r="L40" s="60"/>
      <c r="M40" s="66">
        <f>M25</f>
        <v>903.75958534795154</v>
      </c>
    </row>
    <row r="41" spans="4:25" ht="15.75" x14ac:dyDescent="0.3">
      <c r="D41" s="63" t="s">
        <v>31</v>
      </c>
      <c r="E41" s="60"/>
      <c r="F41" s="66">
        <f>F39*('Model Output'!$H$13+'Model Output'!$H$18)</f>
        <v>4978.3491618973394</v>
      </c>
      <c r="G41" s="1"/>
      <c r="H41" s="56"/>
      <c r="I41" s="63" t="s">
        <v>31</v>
      </c>
      <c r="J41" s="260"/>
      <c r="K41" s="260"/>
      <c r="L41" s="60"/>
      <c r="M41" s="66">
        <f>M39*('Model Output'!$H$13+'Model Output'!$H$18)</f>
        <v>5760.5211888786534</v>
      </c>
    </row>
    <row r="42" spans="4:25" ht="15.75" x14ac:dyDescent="0.3">
      <c r="D42" s="63"/>
      <c r="E42" s="60"/>
      <c r="F42" s="65"/>
      <c r="G42" s="1"/>
      <c r="H42" s="56"/>
      <c r="I42" s="63"/>
      <c r="J42" s="260"/>
      <c r="K42" s="260"/>
      <c r="L42" s="60"/>
      <c r="M42" s="66"/>
    </row>
    <row r="43" spans="4:25" ht="15.75" x14ac:dyDescent="0.3">
      <c r="D43" s="63" t="s">
        <v>152</v>
      </c>
      <c r="E43" s="60"/>
      <c r="F43" s="23">
        <f>+-PV('Model Output'!L67,5,0,F41)</f>
        <v>4978.3491618973394</v>
      </c>
      <c r="G43" s="1"/>
      <c r="H43" s="56"/>
      <c r="I43" s="63" t="s">
        <v>152</v>
      </c>
      <c r="J43" s="260"/>
      <c r="K43" s="260"/>
      <c r="L43" s="60"/>
      <c r="M43" s="408">
        <f>+-PV('Model Output'!$K$62,5,0,M41)</f>
        <v>4304.082863371882</v>
      </c>
    </row>
    <row r="44" spans="4:25" ht="15.75" x14ac:dyDescent="0.3">
      <c r="D44" s="63" t="s">
        <v>33</v>
      </c>
      <c r="E44" s="60"/>
      <c r="F44" s="68">
        <f>F40+F43</f>
        <v>5882.1087472452909</v>
      </c>
      <c r="G44" s="1"/>
      <c r="H44" s="56"/>
      <c r="I44" s="63" t="s">
        <v>33</v>
      </c>
      <c r="J44" s="260"/>
      <c r="K44" s="260"/>
      <c r="L44" s="60"/>
      <c r="M44" s="67">
        <f>M40+M43</f>
        <v>5207.8424487198336</v>
      </c>
    </row>
    <row r="45" spans="4:25" ht="15.75" x14ac:dyDescent="0.3">
      <c r="D45" s="175" t="s">
        <v>153</v>
      </c>
      <c r="E45" s="174"/>
      <c r="F45" s="173">
        <f>F31</f>
        <v>0</v>
      </c>
      <c r="G45" s="1"/>
      <c r="H45" s="56"/>
      <c r="I45" s="175" t="s">
        <v>153</v>
      </c>
      <c r="J45" s="174"/>
      <c r="K45" s="174"/>
      <c r="L45" s="174"/>
      <c r="M45" s="422">
        <f>M31</f>
        <v>0</v>
      </c>
    </row>
    <row r="46" spans="4:25" ht="15.75" x14ac:dyDescent="0.3">
      <c r="D46" s="63"/>
      <c r="E46" s="60"/>
      <c r="F46" s="70"/>
      <c r="G46" s="1"/>
      <c r="H46" s="56"/>
      <c r="I46" s="63"/>
      <c r="J46" s="260"/>
      <c r="K46" s="260"/>
      <c r="L46" s="60"/>
      <c r="M46" s="69"/>
    </row>
    <row r="47" spans="4:25" ht="16.5" thickBot="1" x14ac:dyDescent="0.35">
      <c r="D47" s="63" t="s">
        <v>36</v>
      </c>
      <c r="E47" s="60"/>
      <c r="F47" s="72">
        <f>F44-F45</f>
        <v>5882.1087472452909</v>
      </c>
      <c r="G47" s="1"/>
      <c r="H47" s="56"/>
      <c r="I47" s="63" t="s">
        <v>36</v>
      </c>
      <c r="J47" s="260"/>
      <c r="K47" s="260"/>
      <c r="L47" s="60"/>
      <c r="M47" s="71">
        <f>M44-M45</f>
        <v>5207.8424487198336</v>
      </c>
    </row>
    <row r="48" spans="4:25" ht="16.5" thickTop="1" x14ac:dyDescent="0.3">
      <c r="D48" s="63" t="s">
        <v>154</v>
      </c>
      <c r="E48" s="60"/>
      <c r="F48" s="70">
        <f>F34</f>
        <v>101</v>
      </c>
      <c r="G48" s="1"/>
      <c r="H48" s="56"/>
      <c r="I48" s="63" t="s">
        <v>154</v>
      </c>
      <c r="J48" s="260"/>
      <c r="K48" s="260"/>
      <c r="L48" s="60"/>
      <c r="M48" s="69">
        <f>F34</f>
        <v>101</v>
      </c>
    </row>
    <row r="49" spans="4:13" ht="16.5" thickBot="1" x14ac:dyDescent="0.35">
      <c r="D49" s="172" t="s">
        <v>28</v>
      </c>
      <c r="E49" s="171"/>
      <c r="F49" s="170">
        <f>F47/F48</f>
        <v>58.238700467775161</v>
      </c>
      <c r="G49" s="1"/>
      <c r="H49" s="56"/>
      <c r="I49" s="172" t="s">
        <v>28</v>
      </c>
      <c r="J49" s="171"/>
      <c r="K49" s="171"/>
      <c r="L49" s="171"/>
      <c r="M49" s="170">
        <f>M47/M48</f>
        <v>51.562796521978548</v>
      </c>
    </row>
  </sheetData>
  <sheetProtection formatCells="0" formatColumns="0" formatRows="0" insertColumns="0" insertRows="0" insertHyperlinks="0" deleteColumns="0" deleteRows="0" sort="0" autoFilter="0" pivotTables="0"/>
  <pageMargins left="0.2" right="0.2" top="0.5" bottom="0.5" header="0.5" footer="0.5"/>
  <pageSetup scale="9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8C5-0E07-4690-95C9-1AAD273E3F6E}">
  <sheetPr>
    <tabColor theme="5" tint="0.39997558519241921"/>
    <pageSetUpPr fitToPage="1"/>
  </sheetPr>
  <dimension ref="A2:Q36"/>
  <sheetViews>
    <sheetView showGridLines="0" view="pageBreakPreview" zoomScale="85" zoomScaleNormal="110" zoomScaleSheetLayoutView="100" workbookViewId="0">
      <selection activeCell="E13" sqref="E13"/>
    </sheetView>
  </sheetViews>
  <sheetFormatPr defaultColWidth="8.85546875" defaultRowHeight="13.5" x14ac:dyDescent="0.3"/>
  <cols>
    <col min="1" max="1" width="2.5703125" style="5" customWidth="1"/>
    <col min="2" max="2" width="35" style="5" bestFit="1" customWidth="1"/>
    <col min="3" max="3" width="19.42578125" style="5" bestFit="1" customWidth="1"/>
    <col min="4" max="4" width="11.85546875" style="5" bestFit="1" customWidth="1"/>
    <col min="5" max="5" width="22.5703125" style="5" bestFit="1" customWidth="1"/>
    <col min="6" max="6" width="13.7109375" style="5" bestFit="1" customWidth="1"/>
    <col min="7" max="7" width="20.5703125" style="5" bestFit="1" customWidth="1"/>
    <col min="8" max="8" width="25.140625" style="5" bestFit="1" customWidth="1"/>
    <col min="9" max="9" width="24" style="5" bestFit="1" customWidth="1"/>
    <col min="10" max="10" width="17" style="5" bestFit="1" customWidth="1"/>
    <col min="11" max="11" width="8.85546875" style="5"/>
    <col min="12" max="12" width="18.140625" style="5" bestFit="1" customWidth="1"/>
    <col min="13" max="13" width="10.5703125" style="5" bestFit="1" customWidth="1"/>
    <col min="14" max="14" width="7.140625" style="5" bestFit="1" customWidth="1"/>
    <col min="15" max="15" width="12.42578125" style="5" bestFit="1" customWidth="1"/>
    <col min="16" max="16" width="18.85546875" style="5" bestFit="1" customWidth="1"/>
    <col min="17" max="17" width="23.7109375" style="5" bestFit="1" customWidth="1"/>
    <col min="18" max="18" width="22.42578125" style="5" bestFit="1" customWidth="1"/>
    <col min="19" max="19" width="15.5703125" style="5" bestFit="1" customWidth="1"/>
    <col min="20" max="16384" width="8.85546875" style="5"/>
  </cols>
  <sheetData>
    <row r="2" spans="1:17" ht="14.25" thickBot="1" x14ac:dyDescent="0.35"/>
    <row r="3" spans="1:17" ht="15.75" thickBot="1" x14ac:dyDescent="0.35">
      <c r="A3" s="5" t="s">
        <v>72</v>
      </c>
      <c r="B3" s="288" t="s">
        <v>51</v>
      </c>
      <c r="C3" s="289"/>
      <c r="D3" s="27"/>
      <c r="E3" s="288" t="s">
        <v>12</v>
      </c>
      <c r="F3" s="289"/>
      <c r="G3" s="29"/>
      <c r="H3" s="288" t="s">
        <v>52</v>
      </c>
      <c r="I3" s="295"/>
      <c r="J3" s="29"/>
    </row>
    <row r="4" spans="1:17" ht="15" x14ac:dyDescent="0.3">
      <c r="B4" s="11" t="s">
        <v>53</v>
      </c>
      <c r="C4" s="436">
        <v>9.4000000000000004E-3</v>
      </c>
      <c r="D4" s="27"/>
      <c r="E4" s="11" t="s">
        <v>54</v>
      </c>
      <c r="F4" s="444">
        <v>0.12809999999999999</v>
      </c>
      <c r="G4" s="29"/>
      <c r="H4" s="34" t="s">
        <v>67</v>
      </c>
      <c r="I4" s="446">
        <f>I26</f>
        <v>0.18343000000000004</v>
      </c>
      <c r="J4" s="29"/>
    </row>
    <row r="5" spans="1:17" ht="15" x14ac:dyDescent="0.3">
      <c r="B5" s="11" t="s">
        <v>93</v>
      </c>
      <c r="C5" s="437">
        <f>I8</f>
        <v>0.79542087227151737</v>
      </c>
      <c r="D5" s="27"/>
      <c r="E5" s="11" t="s">
        <v>55</v>
      </c>
      <c r="F5" s="445">
        <f>D26</f>
        <v>827.69</v>
      </c>
      <c r="G5" s="29"/>
      <c r="H5" s="33" t="s">
        <v>70</v>
      </c>
      <c r="I5" s="447">
        <f>AVERAGE(J19:J26)</f>
        <v>0.68415153171380771</v>
      </c>
      <c r="J5" s="29"/>
    </row>
    <row r="6" spans="1:17" ht="15.75" thickBot="1" x14ac:dyDescent="0.35">
      <c r="B6" s="13" t="s">
        <v>58</v>
      </c>
      <c r="C6" s="438">
        <f>F7</f>
        <v>7.6100000000000001E-2</v>
      </c>
      <c r="D6" s="27"/>
      <c r="E6" s="11" t="s">
        <v>56</v>
      </c>
      <c r="F6" s="445">
        <f>E26</f>
        <v>4155.6400000000003</v>
      </c>
      <c r="G6" s="29"/>
      <c r="H6" s="33" t="s">
        <v>267</v>
      </c>
      <c r="I6" s="447">
        <f>J26</f>
        <v>0.99256996531043262</v>
      </c>
      <c r="J6" s="29"/>
    </row>
    <row r="7" spans="1:17" ht="15.75" thickBot="1" x14ac:dyDescent="0.35">
      <c r="B7" s="10" t="s">
        <v>57</v>
      </c>
      <c r="C7" s="439">
        <f>C4+(C5*C6)</f>
        <v>6.9931528379862468E-2</v>
      </c>
      <c r="D7" s="27"/>
      <c r="E7" s="13" t="s">
        <v>58</v>
      </c>
      <c r="F7" s="438">
        <v>7.6100000000000001E-2</v>
      </c>
      <c r="G7" s="29"/>
      <c r="H7" s="33" t="s">
        <v>271</v>
      </c>
      <c r="I7" s="447">
        <f>MEDIAN(J19:J25)</f>
        <v>0.63697792414328858</v>
      </c>
      <c r="J7" s="29"/>
    </row>
    <row r="8" spans="1:17" ht="15.75" thickBot="1" x14ac:dyDescent="0.35">
      <c r="B8" s="11"/>
      <c r="C8" s="411"/>
      <c r="D8" s="27"/>
      <c r="E8" s="27"/>
      <c r="F8" s="27"/>
      <c r="G8" s="29"/>
      <c r="H8" s="35" t="s">
        <v>266</v>
      </c>
      <c r="I8" s="448">
        <f>I5*(1+(1-I4)*F26)</f>
        <v>0.79542087227151737</v>
      </c>
      <c r="J8" s="29"/>
    </row>
    <row r="9" spans="1:17" ht="15" x14ac:dyDescent="0.3">
      <c r="B9" s="11"/>
      <c r="C9" s="411"/>
      <c r="D9" s="27"/>
      <c r="E9" s="27"/>
      <c r="F9" s="27"/>
      <c r="G9" s="29"/>
      <c r="J9" s="29"/>
    </row>
    <row r="10" spans="1:17" ht="15" x14ac:dyDescent="0.3">
      <c r="B10" s="11" t="s">
        <v>59</v>
      </c>
      <c r="C10" s="440">
        <v>1.18E-2</v>
      </c>
      <c r="D10" s="220"/>
      <c r="E10" s="27"/>
      <c r="F10" s="27"/>
      <c r="G10" s="29"/>
      <c r="H10" s="31"/>
      <c r="I10" s="32"/>
      <c r="J10" s="29"/>
      <c r="K10" s="29"/>
      <c r="L10" s="29"/>
      <c r="M10" s="198"/>
      <c r="N10" s="29"/>
      <c r="O10" s="29"/>
      <c r="P10" s="29"/>
      <c r="Q10" s="29"/>
    </row>
    <row r="11" spans="1:17" ht="15" x14ac:dyDescent="0.3">
      <c r="B11" s="10" t="s">
        <v>60</v>
      </c>
      <c r="C11" s="441">
        <f>C10*(1-F4)</f>
        <v>1.028842E-2</v>
      </c>
      <c r="D11" s="27"/>
      <c r="E11" s="53"/>
      <c r="F11" s="27"/>
      <c r="G11" s="29"/>
      <c r="H11" s="29"/>
      <c r="I11" s="29"/>
      <c r="J11" s="29"/>
      <c r="K11" s="29"/>
      <c r="L11" s="29"/>
      <c r="M11" s="199"/>
      <c r="N11" s="29"/>
      <c r="O11" s="29"/>
      <c r="P11" s="29"/>
      <c r="Q11" s="29"/>
    </row>
    <row r="12" spans="1:17" ht="15" x14ac:dyDescent="0.3">
      <c r="B12" s="11"/>
      <c r="C12" s="411"/>
      <c r="D12" s="27"/>
      <c r="E12" s="27"/>
      <c r="F12" s="27"/>
      <c r="G12" s="29"/>
      <c r="H12" s="198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5" x14ac:dyDescent="0.3">
      <c r="B13" s="11" t="s">
        <v>61</v>
      </c>
      <c r="C13" s="442">
        <f>F6/(F6+F5)</f>
        <v>0.83390825010585301</v>
      </c>
      <c r="D13" s="27"/>
      <c r="E13" s="27"/>
      <c r="F13" s="27"/>
      <c r="G13" s="29"/>
      <c r="H13" s="198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5" x14ac:dyDescent="0.3">
      <c r="B14" s="11" t="s">
        <v>62</v>
      </c>
      <c r="C14" s="442">
        <f>F5/(F6+F5)</f>
        <v>0.1660917498941471</v>
      </c>
      <c r="D14" s="27"/>
      <c r="E14" s="27"/>
      <c r="F14" s="27"/>
      <c r="G14" s="29"/>
      <c r="H14" s="198"/>
      <c r="I14" s="29"/>
      <c r="J14" s="29"/>
      <c r="K14" s="29"/>
      <c r="L14" s="29"/>
      <c r="M14" s="29"/>
      <c r="N14" s="29"/>
      <c r="O14" s="29"/>
      <c r="P14" s="29"/>
      <c r="Q14" s="29"/>
    </row>
    <row r="15" spans="1:17" ht="15.75" thickBot="1" x14ac:dyDescent="0.35">
      <c r="A15" s="5" t="s">
        <v>72</v>
      </c>
      <c r="B15" s="30" t="s">
        <v>51</v>
      </c>
      <c r="C15" s="443">
        <f>C7*C13+C11*C14</f>
        <v>6.0025300139924846E-2</v>
      </c>
      <c r="D15" s="27"/>
      <c r="E15" s="27"/>
      <c r="F15" s="27"/>
      <c r="G15" s="29"/>
      <c r="H15" s="197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15" x14ac:dyDescent="0.3">
      <c r="H16" s="196"/>
    </row>
    <row r="17" spans="1:10" x14ac:dyDescent="0.3">
      <c r="H17" s="195"/>
      <c r="I17" s="195"/>
      <c r="J17" s="195"/>
    </row>
    <row r="18" spans="1:10" ht="14.25" x14ac:dyDescent="0.3">
      <c r="A18" s="5" t="s">
        <v>72</v>
      </c>
      <c r="B18" s="283" t="s">
        <v>15</v>
      </c>
      <c r="C18" s="327" t="s">
        <v>87</v>
      </c>
      <c r="D18" s="327" t="s">
        <v>11</v>
      </c>
      <c r="E18" s="328" t="s">
        <v>56</v>
      </c>
      <c r="F18" s="327" t="s">
        <v>65</v>
      </c>
      <c r="G18" s="327" t="s">
        <v>66</v>
      </c>
      <c r="H18" s="327" t="s">
        <v>69</v>
      </c>
      <c r="I18" s="327" t="s">
        <v>67</v>
      </c>
      <c r="J18" s="329" t="s">
        <v>68</v>
      </c>
    </row>
    <row r="19" spans="1:10" ht="15" x14ac:dyDescent="0.3">
      <c r="B19" s="221" t="s">
        <v>256</v>
      </c>
      <c r="C19" s="426">
        <v>1.08</v>
      </c>
      <c r="D19" s="427">
        <v>2998</v>
      </c>
      <c r="E19" s="427">
        <v>3417</v>
      </c>
      <c r="F19" s="428">
        <f t="shared" ref="F19:F23" si="0">D19/E19</f>
        <v>0.87737781679836113</v>
      </c>
      <c r="G19" s="428">
        <f>'WACC Comps'!C3</f>
        <v>0.23799999999999999</v>
      </c>
      <c r="H19" s="428">
        <f>'WACC Comps'!J3</f>
        <v>0.17658000000000001</v>
      </c>
      <c r="I19" s="428">
        <f>AVERAGE(G19:H19)</f>
        <v>0.20729</v>
      </c>
      <c r="J19" s="429">
        <f t="shared" ref="J19:J26" si="1">C19/(1+(1-I19)*F19)</f>
        <v>0.63697792414328858</v>
      </c>
    </row>
    <row r="20" spans="1:10" ht="15" x14ac:dyDescent="0.3">
      <c r="B20" s="221" t="s">
        <v>255</v>
      </c>
      <c r="C20" s="426">
        <v>0.81</v>
      </c>
      <c r="D20" s="364">
        <v>2045.8</v>
      </c>
      <c r="E20" s="364">
        <v>856.4</v>
      </c>
      <c r="F20" s="428">
        <f t="shared" si="0"/>
        <v>2.3888369920597849</v>
      </c>
      <c r="G20" s="428">
        <f>'WACC Comps'!C4</f>
        <v>0.224</v>
      </c>
      <c r="H20" s="428">
        <f>'WACC Comps'!J4</f>
        <v>0.19158</v>
      </c>
      <c r="I20" s="428">
        <f>AVERAGE(G20:H20)</f>
        <v>0.20779</v>
      </c>
      <c r="J20" s="429">
        <f t="shared" si="1"/>
        <v>0.28003839119795615</v>
      </c>
    </row>
    <row r="21" spans="1:10" ht="15" x14ac:dyDescent="0.3">
      <c r="B21" s="221" t="s">
        <v>254</v>
      </c>
      <c r="C21" s="426">
        <v>1.1000000000000001</v>
      </c>
      <c r="D21" s="364">
        <v>1400</v>
      </c>
      <c r="E21" s="364">
        <v>2661.3</v>
      </c>
      <c r="F21" s="428">
        <f t="shared" si="0"/>
        <v>0.52605869311990372</v>
      </c>
      <c r="G21" s="428">
        <f>'WACC Comps'!C5</f>
        <v>0.248</v>
      </c>
      <c r="H21" s="428">
        <f>'WACC Comps'!J5</f>
        <v>0.18997999999999998</v>
      </c>
      <c r="I21" s="428">
        <f t="shared" ref="I21:I26" si="2">AVERAGE(G21:H21)</f>
        <v>0.21898999999999999</v>
      </c>
      <c r="J21" s="429">
        <f t="shared" si="1"/>
        <v>0.77966790546497022</v>
      </c>
    </row>
    <row r="22" spans="1:10" ht="15" x14ac:dyDescent="0.3">
      <c r="B22" s="221" t="s">
        <v>253</v>
      </c>
      <c r="C22" s="426">
        <v>1.02</v>
      </c>
      <c r="D22" s="364">
        <v>1851</v>
      </c>
      <c r="E22" s="364">
        <v>1427</v>
      </c>
      <c r="F22" s="428">
        <f t="shared" si="0"/>
        <v>1.2971268395234758</v>
      </c>
      <c r="G22" s="428">
        <f>'WACC Comps'!C6</f>
        <v>0.224</v>
      </c>
      <c r="H22" s="428">
        <f>'WACC Comps'!J6</f>
        <v>0.21033999999999997</v>
      </c>
      <c r="I22" s="428">
        <f t="shared" si="2"/>
        <v>0.21716999999999997</v>
      </c>
      <c r="J22" s="429">
        <f t="shared" si="1"/>
        <v>0.50609552269439106</v>
      </c>
    </row>
    <row r="23" spans="1:10" ht="15" x14ac:dyDescent="0.3">
      <c r="B23" s="221" t="s">
        <v>252</v>
      </c>
      <c r="C23" s="426">
        <v>2.0099999999999998</v>
      </c>
      <c r="D23" s="364">
        <v>2862</v>
      </c>
      <c r="E23" s="364">
        <v>1761</v>
      </c>
      <c r="F23" s="428">
        <f t="shared" si="0"/>
        <v>1.625212947189097</v>
      </c>
      <c r="G23" s="428">
        <f>'WACC Comps'!C7</f>
        <v>0.373</v>
      </c>
      <c r="H23" s="428">
        <f>'WACC Comps'!J7</f>
        <v>0.20739999999999997</v>
      </c>
      <c r="I23" s="428">
        <f t="shared" si="2"/>
        <v>0.29020000000000001</v>
      </c>
      <c r="J23" s="429">
        <f t="shared" si="1"/>
        <v>0.93333128716135716</v>
      </c>
    </row>
    <row r="24" spans="1:10" ht="15" x14ac:dyDescent="0.3">
      <c r="A24" s="5" t="s">
        <v>72</v>
      </c>
      <c r="B24" s="221" t="s">
        <v>251</v>
      </c>
      <c r="C24" s="426">
        <v>0.91600000000000004</v>
      </c>
      <c r="D24" s="364">
        <v>584</v>
      </c>
      <c r="E24" s="364">
        <v>162.01</v>
      </c>
      <c r="F24" s="428">
        <f>D24/E24</f>
        <v>3.6047157582865257</v>
      </c>
      <c r="G24" s="428">
        <f>'WACC Comps'!C8</f>
        <v>0.183</v>
      </c>
      <c r="H24" s="428">
        <f>'WACC Comps'!J8</f>
        <v>0.21543999999999999</v>
      </c>
      <c r="I24" s="428">
        <f t="shared" si="2"/>
        <v>0.19922000000000001</v>
      </c>
      <c r="J24" s="429">
        <f>C24/(1+(1-I24)*F24)</f>
        <v>0.23568252554149699</v>
      </c>
    </row>
    <row r="25" spans="1:10" ht="15" x14ac:dyDescent="0.3">
      <c r="B25" s="221" t="s">
        <v>250</v>
      </c>
      <c r="C25" s="426">
        <v>3.24</v>
      </c>
      <c r="D25" s="364">
        <v>1783</v>
      </c>
      <c r="E25" s="364">
        <v>802</v>
      </c>
      <c r="F25" s="428">
        <f>D25/E25</f>
        <v>2.2231920199501247</v>
      </c>
      <c r="G25" s="428">
        <f>'WACC Comps'!C9</f>
        <v>0.21</v>
      </c>
      <c r="H25" s="428">
        <f>'WACC Comps'!J9</f>
        <v>6.1000000000000013E-2</v>
      </c>
      <c r="I25" s="428">
        <f t="shared" si="2"/>
        <v>0.13550000000000001</v>
      </c>
      <c r="J25" s="429">
        <f>C25/(1+(1-I25)*F25)</f>
        <v>1.1088487321965681</v>
      </c>
    </row>
    <row r="26" spans="1:10" ht="15" x14ac:dyDescent="0.3">
      <c r="B26" s="430" t="s">
        <v>249</v>
      </c>
      <c r="C26" s="431">
        <v>1.1539999999999999</v>
      </c>
      <c r="D26" s="432">
        <v>827.69</v>
      </c>
      <c r="E26" s="432">
        <v>4155.6400000000003</v>
      </c>
      <c r="F26" s="433">
        <f>D26/E26</f>
        <v>0.19917269060842613</v>
      </c>
      <c r="G26" s="434">
        <f>'WACC Comps'!C10</f>
        <v>0.25609999999999999</v>
      </c>
      <c r="H26" s="434">
        <f>'WACC Comps'!J10</f>
        <v>0.11076000000000005</v>
      </c>
      <c r="I26" s="434">
        <f t="shared" si="2"/>
        <v>0.18343000000000004</v>
      </c>
      <c r="J26" s="435">
        <f t="shared" si="1"/>
        <v>0.99256996531043262</v>
      </c>
    </row>
    <row r="28" spans="1:10" x14ac:dyDescent="0.3">
      <c r="J28" s="52"/>
    </row>
    <row r="30" spans="1:10" x14ac:dyDescent="0.3">
      <c r="B30" s="36"/>
    </row>
    <row r="31" spans="1:10" x14ac:dyDescent="0.3">
      <c r="B31" s="36"/>
    </row>
    <row r="32" spans="1:10" x14ac:dyDescent="0.3">
      <c r="B32" s="36"/>
    </row>
    <row r="33" spans="2:2" x14ac:dyDescent="0.3">
      <c r="B33" s="36"/>
    </row>
    <row r="34" spans="2:2" x14ac:dyDescent="0.3">
      <c r="B34" s="36"/>
    </row>
    <row r="35" spans="2:2" x14ac:dyDescent="0.3">
      <c r="B35" s="36"/>
    </row>
    <row r="36" spans="2:2" x14ac:dyDescent="0.3">
      <c r="B36" s="36"/>
    </row>
  </sheetData>
  <pageMargins left="0.2" right="0.2" top="0.5" bottom="0.5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Cover</vt:lpstr>
      <vt:lpstr>Calculations &gt;&gt;</vt:lpstr>
      <vt:lpstr>Inputs</vt:lpstr>
      <vt:lpstr>Comps Inputs</vt:lpstr>
      <vt:lpstr>WACC Comps</vt:lpstr>
      <vt:lpstr>Outputs &gt;&gt;</vt:lpstr>
      <vt:lpstr>Model Output</vt:lpstr>
      <vt:lpstr> Comps</vt:lpstr>
      <vt:lpstr>WACC</vt:lpstr>
      <vt:lpstr>Valuation Summary</vt:lpstr>
      <vt:lpstr>Raw Data &gt;&gt;</vt:lpstr>
      <vt:lpstr>PSN Income Statement</vt:lpstr>
      <vt:lpstr>PSN Balance Sheet</vt:lpstr>
      <vt:lpstr>PSN Cash Flow</vt:lpstr>
      <vt:lpstr>' Comps'!Print_Area</vt:lpstr>
      <vt:lpstr>'Comps Inputs'!Print_Area</vt:lpstr>
      <vt:lpstr>Cover!Print_Area</vt:lpstr>
      <vt:lpstr>Inputs!Print_Area</vt:lpstr>
      <vt:lpstr>'Model Output'!Print_Area</vt:lpstr>
      <vt:lpstr>'PSN Balance Sheet'!Print_Area</vt:lpstr>
      <vt:lpstr>'PSN Cash Flow'!Print_Area</vt:lpstr>
      <vt:lpstr>'PSN Income Statement'!Print_Area</vt:lpstr>
      <vt:lpstr>'Valuation Summary'!Print_Area</vt:lpstr>
      <vt:lpstr>WACC!Print_Area</vt:lpstr>
      <vt:lpstr>'WACC Comps'!Print_Area</vt:lpstr>
      <vt:lpstr>'PSN Balance Sheet'!Print_Titles</vt:lpstr>
      <vt:lpstr>'PSN Cash Flow'!Print_Titles</vt:lpstr>
      <vt:lpstr>'PSN Income Statement'!Print_Titles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Vertiv_DCF</dc:title>
  <dc:creator/>
  <cp:lastModifiedBy/>
  <dcterms:created xsi:type="dcterms:W3CDTF">2020-10-19T23:42:56Z</dcterms:created>
  <dcterms:modified xsi:type="dcterms:W3CDTF">2020-12-10T08:58:26Z</dcterms:modified>
</cp:coreProperties>
</file>