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20642DD2-158C-429E-B1E7-C5F565959974}" xr6:coauthVersionLast="45" xr6:coauthVersionMax="45" xr10:uidLastSave="{00000000-0000-0000-0000-000000000000}"/>
  <bookViews>
    <workbookView xWindow="28680" yWindow="-120" windowWidth="29040" windowHeight="15840" tabRatio="895" activeTab="5" xr2:uid="{00000000-000D-0000-FFFF-FFFF00000000}"/>
  </bookViews>
  <sheets>
    <sheet name="Cover" sheetId="41" r:id="rId1"/>
    <sheet name="Calculations &gt;&gt;" sheetId="40" r:id="rId2"/>
    <sheet name="Inputs" sheetId="19" r:id="rId3"/>
    <sheet name="Outputs &gt;&gt;" sheetId="39" r:id="rId4"/>
    <sheet name="Model Output" sheetId="20" r:id="rId5"/>
    <sheet name="Comps" sheetId="18" r:id="rId6"/>
    <sheet name="WACC" sheetId="21" r:id="rId7"/>
    <sheet name="Valuation Summary" sheetId="35" r:id="rId8"/>
    <sheet name="Precedent Transactions" sheetId="42" r:id="rId9"/>
    <sheet name="Raw Data &gt;&gt;" sheetId="37" r:id="rId10"/>
    <sheet name="Income Statement" sheetId="31" r:id="rId11"/>
    <sheet name="Balance Sheet" sheetId="32" r:id="rId12"/>
    <sheet name="Cash Flow" sheetId="33" r:id="rId13"/>
  </sheets>
  <externalReferences>
    <externalReference r:id="rId14"/>
  </externalReferences>
  <definedNames>
    <definedName name="__FDS_HYPERLINK_TOGGLE_STATE__" hidden="1">"ON"</definedName>
    <definedName name="__FDS_UNIQUE_RANGE_ID_GENERATOR_COUNTER" hidden="1">13</definedName>
    <definedName name="_10__FDSAUDITLINK__" hidden="1">{"fdsup://directions/FAT Viewer?action=UPDATE&amp;creator=factset&amp;DYN_ARGS=TRUE&amp;DOC_NAME=FAT:FQL_AUDITING_CLIENT_TEMPLATE.FAT&amp;display_string=Audit&amp;VAR:KEY=MNGZABETCD&amp;VAR:QUERY=RkZfRUJJVERBX09QRVIoQU5OLDBZKQ==&amp;WINDOW=FIRST_POPUP&amp;HEIGHT=450&amp;WIDTH=450&amp;START_MAXIMI","ZED=FALSE&amp;VAR:CALENDAR=US&amp;VAR:SYMBOL=331952&amp;VAR:INDEX=0"}</definedName>
    <definedName name="_11__FDSAUDITLINK__" hidden="1">{"fdsup://directions/FAT Viewer?action=UPDATE&amp;creator=factset&amp;DYN_ARGS=TRUE&amp;DOC_NAME=FAT:FQL_AUDITING_CLIENT_TEMPLATE.FAT&amp;display_string=Audit&amp;VAR:KEY=TUNETORCBC&amp;VAR:QUERY=RkZfRUJJVERBX09QRVIoQU5OLDBZKQ==&amp;WINDOW=FIRST_POPUP&amp;HEIGHT=450&amp;WIDTH=450&amp;START_MAXIMI","ZED=FALSE&amp;VAR:CALENDAR=US&amp;VAR:SYMBOL=54866110&amp;VAR:INDEX=0"}</definedName>
    <definedName name="_12__FDSAUDITLINK__" hidden="1">{"fdsup://directions/FAT Viewer?action=UPDATE&amp;creator=factset&amp;DYN_ARGS=TRUE&amp;DOC_NAME=FAT:FQL_AUDITING_CLIENT_TEMPLATE.FAT&amp;display_string=Audit&amp;VAR:KEY=HEXWNWXALU&amp;VAR:QUERY=RkZfRUJJVERBX09QRVIoQU5OLDBZKQ==&amp;WINDOW=FIRST_POPUP&amp;HEIGHT=450&amp;WIDTH=450&amp;START_MAXIMI","ZED=FALSE&amp;VAR:CALENDAR=US&amp;VAR:SYMBOL=43707610&amp;VAR:INDEX=0"}</definedName>
    <definedName name="_bdm.11CDA39B209F47F3A5FA0C7E16A4C422.edm" hidden="1">#REF!</definedName>
    <definedName name="_bdm.1C616A64763E4AC593EEC7FD4BD37202.edm" hidden="1">#REF!</definedName>
    <definedName name="_bdm.28FE2206B1204195BCA58A5EB206D558.edm" hidden="1">#REF!</definedName>
    <definedName name="_bdm.39DB517BB14341309DB6B4B6B5770ADA.edm" hidden="1">#REF!</definedName>
    <definedName name="_bdm.4DF7AEEE3EB34521B3F52E2E555FD414.edm" hidden="1">#REF!</definedName>
    <definedName name="_bdm.5C43047BED58493FBFFF76F7DE4F7437.edm" hidden="1">#REF!</definedName>
    <definedName name="_bdm.6B86276AC80F4D1E84F989BB2301FFE6.edm" hidden="1">#REF!</definedName>
    <definedName name="_bdm.6FC09D8738AB445EBEDA56E8A921B9C5.edm" hidden="1">#REF!</definedName>
    <definedName name="_bdm.7FBBF664137740ABBF36FFB0875F8FA3.edm" hidden="1">#REF!</definedName>
    <definedName name="_bdm.82AF3043AEB14B1F9AA64CBFFD57D636.edm" hidden="1">#REF!</definedName>
    <definedName name="_bdm.B627D969EFE941888EEDB6429B7393D1.edm" hidden="1">#REF!</definedName>
    <definedName name="_bdm.DF83F1CBCE2949C597136D8172B2A82E.edm" hidden="1">#REF!</definedName>
    <definedName name="_bdm.EA65F90B23AA424FA4C3AC1D2234059D.edm" hidden="1">#REF!</definedName>
    <definedName name="_bdm.F6F324487B31418FAFD68E91FE7E3464.edm" hidden="1">#REF!</definedName>
    <definedName name="Data">'[1]Horizontal Summary'!$E$10:$BR$43</definedName>
    <definedName name="IQ_ADDIN" hidden="1">"AUTO"</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110000</definedName>
    <definedName name="IQ_CHANGE_AP_BR" hidden="1">"c135"</definedName>
    <definedName name="IQ_CHANGE_AR_BR" hidden="1">"c142"</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ONV_RATE" hidden="1">"c2192"</definedName>
    <definedName name="IQ_CQ">5000</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NTM" hidden="1">700000</definedName>
    <definedName name="IQ_EBT_BR" hidden="1">"c378"</definedName>
    <definedName name="IQ_EBT_EXCL_BR" hidden="1">"c381"</definedName>
    <definedName name="IQ_EXTRA_ACC_ITEMS_BR" hidden="1">"c412"</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W_AMORT_BR" hidden="1">"c532"</definedName>
    <definedName name="IQ_GW_INTAN_AMORT_BR" hidden="1">"c1470"</definedName>
    <definedName name="IQ_GW_INTAN_AMORT_CF_BR" hidden="1">"c1473"</definedName>
    <definedName name="IQ_INC_EQUITY_BR" hidden="1">"c550"</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ERGER_BR" hidden="1">"c715"</definedName>
    <definedName name="IQ_MERGER_RESTRUCTURE_BR" hidden="1">"c721"</definedName>
    <definedName name="IQ_MINORITY_INTEREST_BR" hidden="1">"c729"</definedName>
    <definedName name="IQ_MONTH">15000</definedName>
    <definedName name="IQ_MTD" hidden="1">800000</definedName>
    <definedName name="IQ_NAMES_REVISION_DATE_" localSheetId="8" hidden="1">43888.8894675926</definedName>
    <definedName name="IQ_NAMES_REVISION_DATE_" localSheetId="7" hidden="1">43787.1190162037</definedName>
    <definedName name="IQ_NAMES_REVISION_DATE_" hidden="1">43571.6777430556</definedName>
    <definedName name="IQ_NAV_ACT_OR_EST" hidden="1">"c2225"</definedName>
    <definedName name="IQ_NET_DEBT_ISSUED_BR" hidden="1">"c753"</definedName>
    <definedName name="IQ_NET_INT_INC_BR" hidden="1">"c765"</definedName>
    <definedName name="IQ_NTM">6000</definedName>
    <definedName name="IQ_OG_TOTAL_OIL_PRODUCTON" hidden="1">"c2059"</definedName>
    <definedName name="IQ_OPER_INC_BR" hidden="1">"c850"</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REF_ISSUED_BR" hidden="1">"c1047"</definedName>
    <definedName name="IQ_PREF_OTHER_BR" hidden="1">"c1055"</definedName>
    <definedName name="IQ_PREF_REP_BR" hidden="1">"c1062"</definedName>
    <definedName name="IQ_QTD" hidden="1">750000</definedName>
    <definedName name="IQ_RESIDENTIAL_LOANS" hidden="1">"c1102"</definedName>
    <definedName name="IQ_RESTRUCTURE_BR" hidden="1">"c1106"</definedName>
    <definedName name="IQ_RETURN_ASSETS_BROK" hidden="1">"c1115"</definedName>
    <definedName name="IQ_RETURN_EQUITY_BROK" hidden="1">"c1120"</definedName>
    <definedName name="IQ_SALE_INTAN_CF_BR" hidden="1">"c1133"</definedName>
    <definedName name="IQ_SALE_PPE_CF_BR" hidden="1">"c1139"</definedName>
    <definedName name="IQ_SALE_REAL_ESTATE_CF_BR" hidden="1">"c1145"</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REASURY_OTHER_EQUITY_BR" hidden="1">"c1314"</definedName>
    <definedName name="IQ_UNEARN_REV_CURRENT_BR" hidden="1">"c1324"</definedName>
    <definedName name="IQ_WEEK">50000</definedName>
    <definedName name="IQ_YTD">3000</definedName>
    <definedName name="IQ_YTDMONTH" hidden="1">130000</definedName>
    <definedName name="Lease">[1]xyz!$M$204</definedName>
    <definedName name="Method">[1]xyz!$Q$204</definedName>
    <definedName name="Methods">#REF!</definedName>
    <definedName name="_xlnm.Print_Area" localSheetId="11">'Balance Sheet'!$B$2:$E$36</definedName>
    <definedName name="_xlnm.Print_Area" localSheetId="12">'Cash Flow'!$B$2:$F$44</definedName>
    <definedName name="_xlnm.Print_Area" localSheetId="5">Comps!$B$3:$M$16,Comps!$E$19:$G$31,Comps!$E$33:$G$45,Comps!$J$19:$L$31,Comps!$J$33:$L$45</definedName>
    <definedName name="_xlnm.Print_Area" localSheetId="0">Cover!$B$3:$J$9</definedName>
    <definedName name="_xlnm.Print_Area" localSheetId="10">'Income Statement'!$B$2:$F$23</definedName>
    <definedName name="_xlnm.Print_Area" localSheetId="2">Inputs!$B$2:$K$39,Inputs!$O$26:$P$32,Inputs!$E$43:$K$44,Inputs!$B$46:$I$90</definedName>
    <definedName name="_xlnm.Print_Area" localSheetId="4">'Model Output'!$B$2:$J$18,'Model Output'!$B$21:$J$29,'Model Output'!$L$31:$M$45,'Model Output'!$L$48:$M$50,'Model Output'!$L$53:$M$56,'Model Output'!$O$31:$Y$42</definedName>
    <definedName name="_xlnm.Print_Area" localSheetId="8">'Precedent Transactions'!$B$2:$L$12,'Precedent Transactions'!$B$15:$D$27,'Precedent Transactions'!$F$15:$G$27,'Precedent Transactions'!$B$29:$D$41,'Precedent Transactions'!$F$29:$G$41,'Precedent Transactions'!$B$43:$D$55,'Precedent Transactions'!$F$43:$G$55,'Precedent Transactions'!$B$57:$D$69,'Precedent Transactions'!$F$57:$G$69</definedName>
    <definedName name="_xlnm.Print_Area" localSheetId="7">'Valuation Summary'!$D$2:$J$35</definedName>
    <definedName name="_xlnm.Print_Area" localSheetId="6">WACC!$H$3:$I$8,WACC!$B$18:$J$25,WACC!$B$3:$C$15,WACC!$E$3:$F$7</definedName>
    <definedName name="_xlnm.Print_Titles" localSheetId="11">'Balance Sheet'!$1:$3</definedName>
    <definedName name="_xlnm.Print_Titles" localSheetId="12">'Cash Flow'!$1:$3</definedName>
    <definedName name="_xlnm.Print_Titles" localSheetId="10">'Income Statement'!$1:$3</definedName>
    <definedName name="s">#REF!</definedName>
    <definedName name="solver_adj" localSheetId="4" hidden="1">'Model Output'!$M$32</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'Model Output'!$M$50</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0.36</definedName>
    <definedName name="solver_ver" localSheetId="4" hidden="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 i="18" l="1"/>
  <c r="G44" i="18" s="1"/>
  <c r="L30" i="18" s="1"/>
  <c r="L44" i="18" s="1"/>
  <c r="G27" i="18"/>
  <c r="G41" i="18" s="1"/>
  <c r="L27" i="18" s="1"/>
  <c r="L41" i="18" s="1"/>
  <c r="D37" i="42" l="1"/>
  <c r="D31" i="42"/>
  <c r="D26" i="42"/>
  <c r="D23" i="42"/>
  <c r="D51" i="42" s="1"/>
  <c r="D65" i="42" s="1"/>
  <c r="J3" i="35"/>
  <c r="G59" i="42"/>
  <c r="L12" i="42"/>
  <c r="J12" i="42"/>
  <c r="D59" i="42" s="1"/>
  <c r="H12" i="42"/>
  <c r="L11" i="42"/>
  <c r="J11" i="42"/>
  <c r="D45" i="42" s="1"/>
  <c r="H11" i="42"/>
  <c r="G45" i="42" s="1"/>
  <c r="L10" i="42"/>
  <c r="J10" i="42"/>
  <c r="H10" i="42"/>
  <c r="G31" i="42" s="1"/>
  <c r="L9" i="42"/>
  <c r="J9" i="42"/>
  <c r="D17" i="42" s="1"/>
  <c r="H9" i="42"/>
  <c r="G17" i="42" s="1"/>
  <c r="F33" i="19"/>
  <c r="M39" i="20"/>
  <c r="D40" i="42" l="1"/>
  <c r="D54" i="42" s="1"/>
  <c r="D68" i="42" s="1"/>
  <c r="G26" i="42"/>
  <c r="G40" i="42" s="1"/>
  <c r="G54" i="42" s="1"/>
  <c r="G68" i="42" s="1"/>
  <c r="G23" i="42"/>
  <c r="G37" i="42" s="1"/>
  <c r="G51" i="42" s="1"/>
  <c r="H21" i="21"/>
  <c r="H20" i="21"/>
  <c r="C6" i="21"/>
  <c r="D4" i="20"/>
  <c r="E4" i="20" s="1"/>
  <c r="F4" i="20" s="1"/>
  <c r="G4" i="20" s="1"/>
  <c r="H4" i="20" s="1"/>
  <c r="I4" i="20" s="1"/>
  <c r="J4" i="20" s="1"/>
  <c r="D53" i="19"/>
  <c r="G65" i="42" l="1"/>
  <c r="H25" i="21"/>
  <c r="F28" i="19"/>
  <c r="E28" i="19"/>
  <c r="D28" i="19"/>
  <c r="C28" i="19"/>
  <c r="F27" i="19"/>
  <c r="E27" i="19"/>
  <c r="D27" i="19"/>
  <c r="C27" i="19"/>
  <c r="I4" i="35"/>
  <c r="I5" i="35" s="1"/>
  <c r="I6" i="35" s="1"/>
  <c r="H4" i="35"/>
  <c r="H5" i="35" s="1"/>
  <c r="H6" i="35" s="1"/>
  <c r="J4" i="35"/>
  <c r="J5" i="35" s="1"/>
  <c r="J6" i="35" s="1"/>
  <c r="H22" i="21" l="1"/>
  <c r="I22" i="21" s="1"/>
  <c r="I21" i="21"/>
  <c r="I20" i="21"/>
  <c r="J20" i="21" s="1"/>
  <c r="F20" i="21"/>
  <c r="F21" i="21"/>
  <c r="F22" i="21"/>
  <c r="C86" i="19"/>
  <c r="D86" i="19"/>
  <c r="D88" i="19"/>
  <c r="E86" i="19" s="1"/>
  <c r="C79" i="19"/>
  <c r="D79" i="19"/>
  <c r="D81" i="19"/>
  <c r="C71" i="19"/>
  <c r="D71" i="19"/>
  <c r="D73" i="19"/>
  <c r="E71" i="19" s="1"/>
  <c r="C64" i="19"/>
  <c r="D64" i="19"/>
  <c r="D66" i="19"/>
  <c r="C57" i="19"/>
  <c r="D57" i="19"/>
  <c r="D59" i="19"/>
  <c r="C49" i="19"/>
  <c r="D49" i="19"/>
  <c r="D51" i="19"/>
  <c r="C59" i="19"/>
  <c r="C32" i="19"/>
  <c r="D32" i="19"/>
  <c r="F32" i="19"/>
  <c r="E32" i="19"/>
  <c r="D29" i="19"/>
  <c r="E29" i="19"/>
  <c r="F29" i="19"/>
  <c r="C29" i="19"/>
  <c r="D9" i="33"/>
  <c r="E9" i="33"/>
  <c r="F9" i="33"/>
  <c r="C9" i="33"/>
  <c r="F23" i="19"/>
  <c r="E23" i="19"/>
  <c r="D23" i="19"/>
  <c r="C23" i="19"/>
  <c r="D21" i="19"/>
  <c r="E21" i="19"/>
  <c r="F21" i="19"/>
  <c r="C21" i="19"/>
  <c r="D16" i="19"/>
  <c r="E16" i="19"/>
  <c r="F16" i="19"/>
  <c r="C16" i="19"/>
  <c r="D14" i="19"/>
  <c r="E14" i="19"/>
  <c r="F14" i="19"/>
  <c r="C14" i="19"/>
  <c r="D11" i="19"/>
  <c r="E11" i="19"/>
  <c r="F11" i="19"/>
  <c r="D61" i="19" s="1"/>
  <c r="C11" i="19"/>
  <c r="D13" i="31"/>
  <c r="E13" i="31"/>
  <c r="F13" i="31"/>
  <c r="C13" i="31"/>
  <c r="J21" i="21" l="1"/>
  <c r="J22" i="21"/>
  <c r="C61" i="19"/>
  <c r="F44" i="19"/>
  <c r="D76" i="19"/>
  <c r="D68" i="19"/>
  <c r="D75" i="19"/>
  <c r="C18" i="19"/>
  <c r="F18" i="19"/>
  <c r="E18" i="19"/>
  <c r="D18" i="19"/>
  <c r="D7" i="19" l="1"/>
  <c r="E7" i="19"/>
  <c r="F7" i="19"/>
  <c r="D5" i="19"/>
  <c r="E5" i="19"/>
  <c r="F5" i="19"/>
  <c r="C7" i="19"/>
  <c r="C5" i="19"/>
  <c r="F9" i="19"/>
  <c r="E9" i="19"/>
  <c r="E19" i="19" s="1"/>
  <c r="D9" i="19"/>
  <c r="D19" i="19" s="1"/>
  <c r="C9" i="19"/>
  <c r="C19" i="19" s="1"/>
  <c r="M15" i="18"/>
  <c r="M14" i="18"/>
  <c r="M13" i="18"/>
  <c r="M12" i="18"/>
  <c r="L15" i="18"/>
  <c r="L14" i="18"/>
  <c r="L13" i="18"/>
  <c r="L12" i="18"/>
  <c r="K15" i="18"/>
  <c r="K14" i="18"/>
  <c r="K13" i="18"/>
  <c r="K12" i="18"/>
  <c r="J15" i="18"/>
  <c r="J14" i="18"/>
  <c r="J13" i="18"/>
  <c r="J12" i="18"/>
  <c r="I15" i="18"/>
  <c r="I14" i="18"/>
  <c r="I13" i="18"/>
  <c r="I12" i="18"/>
  <c r="H15" i="18"/>
  <c r="H14" i="18"/>
  <c r="H13" i="18"/>
  <c r="H12" i="18"/>
  <c r="G15" i="18"/>
  <c r="G14" i="18"/>
  <c r="G13" i="18"/>
  <c r="G12" i="18"/>
  <c r="F15" i="18"/>
  <c r="G35" i="18" s="1"/>
  <c r="F14" i="18"/>
  <c r="F13" i="18"/>
  <c r="F12" i="18"/>
  <c r="E15" i="18"/>
  <c r="E14" i="18"/>
  <c r="E13" i="18"/>
  <c r="E12" i="18"/>
  <c r="F28" i="20"/>
  <c r="G28" i="20"/>
  <c r="H28" i="20"/>
  <c r="I28" i="20"/>
  <c r="J28" i="20"/>
  <c r="F27" i="20"/>
  <c r="G27" i="20"/>
  <c r="H27" i="20"/>
  <c r="I27" i="20"/>
  <c r="J27" i="20"/>
  <c r="F26" i="20"/>
  <c r="G26" i="20"/>
  <c r="H26" i="20"/>
  <c r="I26" i="20"/>
  <c r="J26" i="20"/>
  <c r="F24" i="20"/>
  <c r="G24" i="20"/>
  <c r="H24" i="20"/>
  <c r="I24" i="20"/>
  <c r="J24" i="20"/>
  <c r="F23" i="20"/>
  <c r="G23" i="20"/>
  <c r="H23" i="20"/>
  <c r="I23" i="20"/>
  <c r="J23" i="20"/>
  <c r="B4" i="18"/>
  <c r="L21" i="18" l="1"/>
  <c r="L35" i="18"/>
  <c r="G21" i="18"/>
  <c r="D6" i="19"/>
  <c r="F19" i="19"/>
  <c r="D83" i="19"/>
  <c r="D90" i="19"/>
  <c r="D17" i="19"/>
  <c r="D30" i="19"/>
  <c r="F30" i="19"/>
  <c r="F17" i="19"/>
  <c r="C17" i="19"/>
  <c r="C30" i="19"/>
  <c r="E30" i="19"/>
  <c r="E17" i="19"/>
  <c r="D12" i="19"/>
  <c r="D15" i="19"/>
  <c r="E12" i="19"/>
  <c r="E15" i="19"/>
  <c r="F10" i="19"/>
  <c r="F12" i="19"/>
  <c r="F15" i="19"/>
  <c r="C15" i="19"/>
  <c r="C12" i="19"/>
  <c r="D8" i="19"/>
  <c r="E6" i="19"/>
  <c r="D10" i="19"/>
  <c r="F8" i="19"/>
  <c r="G7" i="19"/>
  <c r="H7" i="19" s="1"/>
  <c r="I7" i="19" s="1"/>
  <c r="J7" i="19" s="1"/>
  <c r="K7" i="19" s="1"/>
  <c r="E10" i="19"/>
  <c r="E8" i="19"/>
  <c r="G5" i="19"/>
  <c r="F6" i="19"/>
  <c r="I25" i="21"/>
  <c r="F4" i="21" s="1"/>
  <c r="H24" i="21"/>
  <c r="H23" i="21"/>
  <c r="H19" i="21"/>
  <c r="C11" i="20"/>
  <c r="C9" i="20"/>
  <c r="C7" i="20"/>
  <c r="D13" i="20"/>
  <c r="D11" i="20"/>
  <c r="D9" i="20"/>
  <c r="D7" i="20"/>
  <c r="E13" i="20"/>
  <c r="E11" i="20"/>
  <c r="E9" i="20"/>
  <c r="E7" i="20"/>
  <c r="C13" i="20"/>
  <c r="C15" i="20"/>
  <c r="I54" i="19"/>
  <c r="I47" i="19"/>
  <c r="E15" i="20"/>
  <c r="D15" i="20"/>
  <c r="E14" i="20"/>
  <c r="D14" i="20"/>
  <c r="C14" i="20"/>
  <c r="F13" i="19"/>
  <c r="F20" i="19" s="1"/>
  <c r="E13" i="19"/>
  <c r="E20" i="19" s="1"/>
  <c r="E25" i="19" s="1"/>
  <c r="D13" i="19"/>
  <c r="D20" i="19" s="1"/>
  <c r="D25" i="19" s="1"/>
  <c r="C13" i="19"/>
  <c r="G36" i="19"/>
  <c r="G9" i="19" l="1"/>
  <c r="H5" i="19"/>
  <c r="F22" i="19"/>
  <c r="C23" i="20"/>
  <c r="E6" i="20"/>
  <c r="E28" i="20"/>
  <c r="C6" i="20"/>
  <c r="E27" i="20"/>
  <c r="F25" i="19"/>
  <c r="D6" i="20"/>
  <c r="E24" i="20"/>
  <c r="E23" i="20"/>
  <c r="G16" i="19" l="1"/>
  <c r="G27" i="19"/>
  <c r="G29" i="19"/>
  <c r="G10" i="19"/>
  <c r="G14" i="19"/>
  <c r="G11" i="19"/>
  <c r="E66" i="19" s="1"/>
  <c r="I5" i="19"/>
  <c r="H9" i="19"/>
  <c r="H27" i="19" s="1"/>
  <c r="H36" i="19"/>
  <c r="I36" i="19"/>
  <c r="J36" i="19"/>
  <c r="K36" i="19"/>
  <c r="C33" i="19"/>
  <c r="E73" i="19" l="1"/>
  <c r="E59" i="19"/>
  <c r="G13" i="19"/>
  <c r="G20" i="19" s="1"/>
  <c r="H29" i="19"/>
  <c r="H16" i="19"/>
  <c r="H10" i="19"/>
  <c r="H11" i="19"/>
  <c r="F66" i="19" s="1"/>
  <c r="H14" i="19"/>
  <c r="J5" i="19"/>
  <c r="I9" i="19"/>
  <c r="I27" i="19" s="1"/>
  <c r="C66" i="19"/>
  <c r="C65" i="19" l="1"/>
  <c r="C68" i="19"/>
  <c r="F71" i="19"/>
  <c r="E76" i="19"/>
  <c r="H13" i="19"/>
  <c r="H20" i="19" s="1"/>
  <c r="F73" i="19"/>
  <c r="G71" i="19" s="1"/>
  <c r="F59" i="19"/>
  <c r="I29" i="19"/>
  <c r="I16" i="19"/>
  <c r="I10" i="19"/>
  <c r="I11" i="19"/>
  <c r="G66" i="19" s="1"/>
  <c r="I14" i="19"/>
  <c r="K5" i="19"/>
  <c r="K9" i="19" s="1"/>
  <c r="K27" i="19" s="1"/>
  <c r="J9" i="19"/>
  <c r="J27" i="19" s="1"/>
  <c r="F76" i="19" l="1"/>
  <c r="I13" i="19"/>
  <c r="I20" i="19" s="1"/>
  <c r="G73" i="19"/>
  <c r="H71" i="19" s="1"/>
  <c r="G59" i="19"/>
  <c r="J16" i="19"/>
  <c r="J29" i="19"/>
  <c r="K29" i="19"/>
  <c r="K16" i="19"/>
  <c r="J10" i="19"/>
  <c r="J14" i="19"/>
  <c r="J11" i="19"/>
  <c r="H66" i="19" s="1"/>
  <c r="K11" i="19"/>
  <c r="I66" i="19" s="1"/>
  <c r="K14" i="19"/>
  <c r="K10" i="19"/>
  <c r="G21" i="19"/>
  <c r="K13" i="19" l="1"/>
  <c r="K20" i="19" s="1"/>
  <c r="G76" i="19"/>
  <c r="I73" i="19"/>
  <c r="I59" i="19"/>
  <c r="J13" i="19"/>
  <c r="J20" i="19" s="1"/>
  <c r="H73" i="19"/>
  <c r="I71" i="19" s="1"/>
  <c r="H59" i="19"/>
  <c r="H21" i="19"/>
  <c r="I21" i="19" s="1"/>
  <c r="H76" i="19" l="1"/>
  <c r="I76" i="19"/>
  <c r="J21" i="19"/>
  <c r="K21" i="19" s="1"/>
  <c r="E25" i="20"/>
  <c r="D87" i="19" l="1"/>
  <c r="C88" i="19"/>
  <c r="C81" i="19"/>
  <c r="C73" i="19"/>
  <c r="C51" i="19"/>
  <c r="C75" i="19" l="1"/>
  <c r="C76" i="19"/>
  <c r="D80" i="19"/>
  <c r="E79" i="19"/>
  <c r="M33" i="20" l="1"/>
  <c r="H47" i="19"/>
  <c r="C47" i="19"/>
  <c r="D47" i="19"/>
  <c r="E47" i="19"/>
  <c r="F47" i="19"/>
  <c r="G47" i="19"/>
  <c r="C72" i="19" l="1"/>
  <c r="C80" i="19"/>
  <c r="C87" i="19"/>
  <c r="F6" i="21" l="1"/>
  <c r="F5" i="21"/>
  <c r="U33" i="20"/>
  <c r="D22" i="20"/>
  <c r="E22" i="20" s="1"/>
  <c r="F22" i="20" s="1"/>
  <c r="G22" i="20" s="1"/>
  <c r="H22" i="20" s="1"/>
  <c r="I22" i="20" s="1"/>
  <c r="J22" i="20" s="1"/>
  <c r="C13" i="21" l="1"/>
  <c r="C14" i="21"/>
  <c r="F25" i="21"/>
  <c r="I23" i="21"/>
  <c r="I19" i="21"/>
  <c r="I24" i="21"/>
  <c r="F23" i="21" l="1"/>
  <c r="J23" i="21" s="1"/>
  <c r="F24" i="21"/>
  <c r="J24" i="21" s="1"/>
  <c r="F19" i="21"/>
  <c r="J19" i="21" s="1"/>
  <c r="I7" i="21" l="1"/>
  <c r="I5" i="21"/>
  <c r="D8" i="20"/>
  <c r="C90" i="19"/>
  <c r="C83" i="19"/>
  <c r="C8" i="20"/>
  <c r="D27" i="20"/>
  <c r="D25" i="20"/>
  <c r="C27" i="20"/>
  <c r="C25" i="20"/>
  <c r="D24" i="20"/>
  <c r="D23" i="20"/>
  <c r="C24" i="20"/>
  <c r="D28" i="20"/>
  <c r="C28" i="20"/>
  <c r="E22" i="19" l="1"/>
  <c r="E24" i="19" s="1"/>
  <c r="D26" i="20" s="1"/>
  <c r="D10" i="20"/>
  <c r="C10" i="20"/>
  <c r="D22" i="19"/>
  <c r="D24" i="19" s="1"/>
  <c r="C26" i="20" s="1"/>
  <c r="P33" i="20"/>
  <c r="D12" i="20" l="1"/>
  <c r="E34" i="19"/>
  <c r="C12" i="20"/>
  <c r="D34" i="19"/>
  <c r="F3" i="19"/>
  <c r="G3" i="19" s="1"/>
  <c r="H3" i="19" s="1"/>
  <c r="I3" i="19" s="1"/>
  <c r="V33" i="20"/>
  <c r="W33" i="20" s="1"/>
  <c r="T33" i="20" l="1"/>
  <c r="S33" i="20" s="1"/>
  <c r="X33" i="20"/>
  <c r="R33" i="20" l="1"/>
  <c r="Y33" i="20"/>
  <c r="D33" i="19" l="1"/>
  <c r="C29" i="20" s="1"/>
  <c r="C16" i="20"/>
  <c r="Q33" i="20"/>
  <c r="E33" i="19" l="1"/>
  <c r="D29" i="20" s="1"/>
  <c r="D16" i="20"/>
  <c r="I4" i="21" l="1"/>
  <c r="I8" i="21" s="1"/>
  <c r="I6" i="21" l="1"/>
  <c r="C50" i="19" l="1"/>
  <c r="C53" i="19" l="1"/>
  <c r="C54" i="19" l="1"/>
  <c r="E54" i="19" l="1"/>
  <c r="G54" i="19" l="1"/>
  <c r="F54" i="19"/>
  <c r="H54" i="19" l="1"/>
  <c r="C58" i="19" l="1"/>
  <c r="E8" i="20" l="1"/>
  <c r="E10" i="20" l="1"/>
  <c r="D72" i="19"/>
  <c r="F34" i="19" l="1"/>
  <c r="E16" i="20" l="1"/>
  <c r="E12" i="20"/>
  <c r="E29" i="20"/>
  <c r="F24" i="19" l="1"/>
  <c r="E26" i="20" s="1"/>
  <c r="C11" i="21" l="1"/>
  <c r="C5" i="21"/>
  <c r="C7" i="21" s="1"/>
  <c r="C15" i="21" l="1"/>
  <c r="M56" i="20" s="1"/>
  <c r="F13" i="20"/>
  <c r="P40" i="20" l="1"/>
  <c r="P39" i="20"/>
  <c r="P41" i="20"/>
  <c r="P38" i="20"/>
  <c r="P42" i="20"/>
  <c r="P35" i="20"/>
  <c r="P34" i="20"/>
  <c r="P37" i="20"/>
  <c r="P36" i="20"/>
  <c r="E51" i="19"/>
  <c r="G18" i="19"/>
  <c r="G19" i="19" s="1"/>
  <c r="F6" i="20"/>
  <c r="F14" i="20"/>
  <c r="E81" i="19"/>
  <c r="E88" i="19"/>
  <c r="F8" i="20" l="1"/>
  <c r="E80" i="19"/>
  <c r="F79" i="19"/>
  <c r="F25" i="20"/>
  <c r="F9" i="20"/>
  <c r="F7" i="20"/>
  <c r="F49" i="19"/>
  <c r="E87" i="19"/>
  <c r="F86" i="19"/>
  <c r="F81" i="19"/>
  <c r="G14" i="20"/>
  <c r="F88" i="19"/>
  <c r="F51" i="19"/>
  <c r="G13" i="20"/>
  <c r="G6" i="20"/>
  <c r="H18" i="19"/>
  <c r="H19" i="19" s="1"/>
  <c r="G9" i="20" l="1"/>
  <c r="G25" i="20"/>
  <c r="F57" i="19"/>
  <c r="E72" i="19"/>
  <c r="F50" i="19"/>
  <c r="G49" i="19"/>
  <c r="G8" i="20"/>
  <c r="G23" i="19"/>
  <c r="F11" i="20" s="1"/>
  <c r="G22" i="19"/>
  <c r="F10" i="20"/>
  <c r="G44" i="19"/>
  <c r="G79" i="19"/>
  <c r="F80" i="19"/>
  <c r="G86" i="19"/>
  <c r="F87" i="19"/>
  <c r="G88" i="19"/>
  <c r="G51" i="19"/>
  <c r="I18" i="19"/>
  <c r="I19" i="19" s="1"/>
  <c r="H13" i="20"/>
  <c r="G81" i="19"/>
  <c r="H14" i="20"/>
  <c r="H6" i="20"/>
  <c r="G7" i="20"/>
  <c r="G25" i="19" l="1"/>
  <c r="F12" i="20" s="1"/>
  <c r="H81" i="19"/>
  <c r="I13" i="20"/>
  <c r="H88" i="19"/>
  <c r="H51" i="19"/>
  <c r="J18" i="19"/>
  <c r="J19" i="19" s="1"/>
  <c r="I14" i="20"/>
  <c r="I6" i="20"/>
  <c r="G87" i="19"/>
  <c r="H86" i="19"/>
  <c r="H79" i="19"/>
  <c r="G80" i="19"/>
  <c r="H44" i="19"/>
  <c r="H22" i="19"/>
  <c r="H23" i="19"/>
  <c r="G11" i="20" s="1"/>
  <c r="G10" i="20"/>
  <c r="H7" i="20"/>
  <c r="F72" i="19"/>
  <c r="H25" i="20"/>
  <c r="H9" i="20"/>
  <c r="G57" i="19"/>
  <c r="F58" i="19"/>
  <c r="G50" i="19"/>
  <c r="H49" i="19"/>
  <c r="F64" i="19"/>
  <c r="I9" i="20" l="1"/>
  <c r="I25" i="20"/>
  <c r="H57" i="19"/>
  <c r="G58" i="19"/>
  <c r="H50" i="19"/>
  <c r="I49" i="19"/>
  <c r="G72" i="19"/>
  <c r="H25" i="19"/>
  <c r="I8" i="20"/>
  <c r="I7" i="20"/>
  <c r="I79" i="19"/>
  <c r="H80" i="19"/>
  <c r="H8" i="20"/>
  <c r="G64" i="19"/>
  <c r="F65" i="19"/>
  <c r="I81" i="19"/>
  <c r="J6" i="20"/>
  <c r="I88" i="19"/>
  <c r="J14" i="20"/>
  <c r="I51" i="19"/>
  <c r="K18" i="19"/>
  <c r="K19" i="19" s="1"/>
  <c r="J13" i="20"/>
  <c r="H87" i="19"/>
  <c r="I86" i="19"/>
  <c r="I87" i="19" l="1"/>
  <c r="J7" i="20"/>
  <c r="J22" i="19"/>
  <c r="J44" i="19"/>
  <c r="I10" i="20"/>
  <c r="J23" i="19"/>
  <c r="I11" i="20" s="1"/>
  <c r="H10" i="20"/>
  <c r="I23" i="19"/>
  <c r="H11" i="20" s="1"/>
  <c r="I44" i="19"/>
  <c r="I22" i="19"/>
  <c r="G12" i="20"/>
  <c r="I80" i="19"/>
  <c r="J25" i="20"/>
  <c r="J9" i="20"/>
  <c r="H43" i="19"/>
  <c r="H32" i="19" s="1"/>
  <c r="H34" i="19" s="1"/>
  <c r="I57" i="19"/>
  <c r="H58" i="19"/>
  <c r="H72" i="19"/>
  <c r="I50" i="19"/>
  <c r="I25" i="19" l="1"/>
  <c r="H12" i="20" s="1"/>
  <c r="J25" i="19"/>
  <c r="G16" i="20"/>
  <c r="H39" i="19"/>
  <c r="G18" i="20" s="1"/>
  <c r="I64" i="19"/>
  <c r="G15" i="20"/>
  <c r="H33" i="19"/>
  <c r="G29" i="20" s="1"/>
  <c r="I72" i="19"/>
  <c r="H64" i="19"/>
  <c r="H65" i="19" s="1"/>
  <c r="G65" i="19"/>
  <c r="I58" i="19"/>
  <c r="J8" i="20"/>
  <c r="I12" i="20" l="1"/>
  <c r="K44" i="19"/>
  <c r="K23" i="19"/>
  <c r="J11" i="20" s="1"/>
  <c r="J10" i="20"/>
  <c r="K22" i="19"/>
  <c r="J43" i="19"/>
  <c r="J32" i="19" s="1"/>
  <c r="J34" i="19" s="1"/>
  <c r="I43" i="19"/>
  <c r="I32" i="19" s="1"/>
  <c r="I34" i="19" s="1"/>
  <c r="G33" i="42" l="1"/>
  <c r="G19" i="42"/>
  <c r="G21" i="42" s="1"/>
  <c r="G37" i="18"/>
  <c r="G39" i="18" s="1"/>
  <c r="L23" i="18"/>
  <c r="L25" i="18" s="1"/>
  <c r="G23" i="18"/>
  <c r="G25" i="18" s="1"/>
  <c r="L37" i="18"/>
  <c r="L39" i="18" s="1"/>
  <c r="G61" i="42"/>
  <c r="G63" i="42" s="1"/>
  <c r="D61" i="42"/>
  <c r="D63" i="42" s="1"/>
  <c r="G47" i="42"/>
  <c r="G49" i="42" s="1"/>
  <c r="D19" i="42"/>
  <c r="D21" i="42" s="1"/>
  <c r="D47" i="42"/>
  <c r="D49" i="42" s="1"/>
  <c r="D33" i="42"/>
  <c r="D35" i="42" s="1"/>
  <c r="I33" i="19"/>
  <c r="H29" i="20" s="1"/>
  <c r="H15" i="20"/>
  <c r="J33" i="19"/>
  <c r="I29" i="20" s="1"/>
  <c r="I15" i="20"/>
  <c r="M34" i="20"/>
  <c r="M36" i="20" s="1"/>
  <c r="K25" i="19"/>
  <c r="I65" i="19"/>
  <c r="K43" i="19"/>
  <c r="K32" i="19" s="1"/>
  <c r="G35" i="42" l="1"/>
  <c r="K34" i="19"/>
  <c r="J39" i="19"/>
  <c r="I18" i="20" s="1"/>
  <c r="I16" i="20"/>
  <c r="I39" i="19"/>
  <c r="H18" i="20" s="1"/>
  <c r="H16" i="20"/>
  <c r="K33" i="19"/>
  <c r="J29" i="20" s="1"/>
  <c r="J15" i="20"/>
  <c r="J12" i="20"/>
  <c r="J16" i="20" l="1"/>
  <c r="K39" i="19"/>
  <c r="J18" i="20" s="1"/>
  <c r="C20" i="19"/>
  <c r="C25" i="19" l="1"/>
  <c r="C34" i="19" s="1"/>
  <c r="C22" i="19"/>
  <c r="C24" i="19" s="1"/>
  <c r="E49" i="19" l="1"/>
  <c r="E50" i="19" s="1"/>
  <c r="D54" i="19"/>
  <c r="D50" i="19" l="1"/>
  <c r="D65" i="19"/>
  <c r="E64" i="19"/>
  <c r="E65" i="19" s="1"/>
  <c r="D58" i="19"/>
  <c r="G43" i="19" l="1"/>
  <c r="G32" i="19" s="1"/>
  <c r="E57" i="19"/>
  <c r="E58" i="19" s="1"/>
  <c r="G34" i="19" l="1"/>
  <c r="G33" i="19"/>
  <c r="F29" i="20" s="1"/>
  <c r="F15" i="20"/>
  <c r="F16" i="20" l="1"/>
  <c r="G39" i="19"/>
  <c r="F18" i="20" s="1"/>
  <c r="M32" i="20" s="1"/>
  <c r="G22" i="18" s="1"/>
  <c r="G36" i="18" l="1"/>
  <c r="G26" i="18"/>
  <c r="G29" i="18" s="1"/>
  <c r="G31" i="18" s="1"/>
  <c r="D18" i="42"/>
  <c r="S41" i="20"/>
  <c r="Y41" i="20"/>
  <c r="R40" i="20"/>
  <c r="Q42" i="20"/>
  <c r="V39" i="20"/>
  <c r="T36" i="20"/>
  <c r="Q37" i="20"/>
  <c r="S34" i="20"/>
  <c r="S38" i="20"/>
  <c r="W38" i="20"/>
  <c r="Q35" i="20"/>
  <c r="Y39" i="20"/>
  <c r="X38" i="20"/>
  <c r="V38" i="20"/>
  <c r="U39" i="20"/>
  <c r="T41" i="20"/>
  <c r="S40" i="20"/>
  <c r="E5" i="35" s="1"/>
  <c r="X40" i="20"/>
  <c r="R42" i="20"/>
  <c r="Q39" i="20"/>
  <c r="Y36" i="20"/>
  <c r="U37" i="20"/>
  <c r="Q34" i="20"/>
  <c r="T38" i="20"/>
  <c r="S35" i="20"/>
  <c r="R35" i="20"/>
  <c r="R37" i="20"/>
  <c r="W35" i="20"/>
  <c r="X35" i="20"/>
  <c r="V42" i="20"/>
  <c r="Y38" i="20"/>
  <c r="X41" i="20"/>
  <c r="T40" i="20"/>
  <c r="S42" i="20"/>
  <c r="W42" i="20"/>
  <c r="W39" i="20"/>
  <c r="U36" i="20"/>
  <c r="V37" i="20"/>
  <c r="T34" i="20"/>
  <c r="R38" i="20"/>
  <c r="T35" i="20"/>
  <c r="V36" i="20"/>
  <c r="V35" i="20"/>
  <c r="Y37" i="20"/>
  <c r="R34" i="20"/>
  <c r="U41" i="20"/>
  <c r="U40" i="20"/>
  <c r="X42" i="20"/>
  <c r="X39" i="20"/>
  <c r="R36" i="20"/>
  <c r="X37" i="20"/>
  <c r="W34" i="20"/>
  <c r="U38" i="20"/>
  <c r="U35" i="20"/>
  <c r="U34" i="20"/>
  <c r="Q36" i="20"/>
  <c r="X36" i="20"/>
  <c r="Y35" i="20"/>
  <c r="V41" i="20"/>
  <c r="V40" i="20"/>
  <c r="T42" i="20"/>
  <c r="S39" i="20"/>
  <c r="Q38" i="20"/>
  <c r="Q40" i="20"/>
  <c r="R41" i="20"/>
  <c r="Y40" i="20"/>
  <c r="Y42" i="20"/>
  <c r="R39" i="20"/>
  <c r="S36" i="20"/>
  <c r="W36" i="20"/>
  <c r="G5" i="35" s="1"/>
  <c r="W37" i="20"/>
  <c r="Y34" i="20"/>
  <c r="V34" i="20"/>
  <c r="T37" i="20"/>
  <c r="W41" i="20"/>
  <c r="W40" i="20"/>
  <c r="U42" i="20"/>
  <c r="T39" i="20"/>
  <c r="S37" i="20"/>
  <c r="Q41" i="20"/>
  <c r="X34" i="20"/>
  <c r="M37" i="20"/>
  <c r="M42" i="20" s="1"/>
  <c r="M45" i="20" s="1"/>
  <c r="M49" i="20" s="1"/>
  <c r="M50" i="20" s="1"/>
  <c r="F5" i="35" l="1"/>
  <c r="L22" i="18"/>
  <c r="G40" i="18"/>
  <c r="G43" i="18" s="1"/>
  <c r="G45" i="18" s="1"/>
  <c r="D22" i="42"/>
  <c r="D25" i="42" s="1"/>
  <c r="D27" i="42" s="1"/>
  <c r="D32" i="42"/>
  <c r="D36" i="42" s="1"/>
  <c r="D39" i="42" s="1"/>
  <c r="D41" i="42" s="1"/>
  <c r="G18" i="42"/>
  <c r="L36" i="18" l="1"/>
  <c r="L40" i="18" s="1"/>
  <c r="L43" i="18" s="1"/>
  <c r="L45" i="18" s="1"/>
  <c r="G3" i="35" s="1"/>
  <c r="L26" i="18"/>
  <c r="L29" i="18" s="1"/>
  <c r="L31" i="18" s="1"/>
  <c r="E3" i="35" s="1"/>
  <c r="G32" i="42"/>
  <c r="G22" i="42"/>
  <c r="G25" i="42" s="1"/>
  <c r="G27" i="42" s="1"/>
  <c r="D46" i="42"/>
  <c r="F3" i="35" l="1"/>
  <c r="D60" i="42"/>
  <c r="D64" i="42" s="1"/>
  <c r="D67" i="42" s="1"/>
  <c r="D69" i="42" s="1"/>
  <c r="G4" i="35" s="1"/>
  <c r="G6" i="35" s="1"/>
  <c r="D50" i="42"/>
  <c r="D53" i="42" s="1"/>
  <c r="D55" i="42" s="1"/>
  <c r="E4" i="35" s="1"/>
  <c r="E6" i="35" s="1"/>
  <c r="G46" i="42"/>
  <c r="G36" i="42"/>
  <c r="G39" i="42" s="1"/>
  <c r="G41" i="42" s="1"/>
  <c r="F6" i="35" l="1"/>
  <c r="F4" i="35"/>
  <c r="G50" i="42"/>
  <c r="G53" i="42" s="1"/>
  <c r="G55" i="42" s="1"/>
  <c r="G60" i="42"/>
  <c r="G64" i="42" s="1"/>
  <c r="G67" i="42" s="1"/>
  <c r="G69" i="4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44" authorId="0" shapeId="0" xr:uid="{3E8EAD29-EC33-4408-B6D0-ACDAF2D75739}">
      <text>
        <r>
          <rPr>
            <b/>
            <sz val="9"/>
            <color indexed="81"/>
            <rFont val="Tahoma"/>
            <family val="2"/>
          </rPr>
          <t>Author:
(1)
GAAP EPS based on 313.7 million weighted average diluted shares and adjusted EPS based on pro forma share count of 335.9 million diluted shares (includes 328.4 million shares outstanding and 7.5 million potential dilutive shares).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7" authorId="0" shapeId="0" xr:uid="{D889290E-DFD2-40F9-8BEA-CA49BE394100}">
      <text>
        <r>
          <rPr>
            <b/>
            <sz val="9"/>
            <color indexed="81"/>
            <rFont val="Tahoma"/>
            <family val="2"/>
          </rPr>
          <t>Author:
Damodaran</t>
        </r>
      </text>
    </comment>
    <comment ref="C10" authorId="0" shapeId="0" xr:uid="{16567D4E-0AB3-4D90-8616-AC77843939E3}">
      <text>
        <r>
          <rPr>
            <b/>
            <sz val="9"/>
            <color indexed="81"/>
            <rFont val="Tahoma"/>
            <family val="2"/>
          </rPr>
          <t>Author:</t>
        </r>
        <r>
          <rPr>
            <sz val="9"/>
            <color indexed="81"/>
            <rFont val="Tahoma"/>
            <family val="2"/>
          </rPr>
          <t xml:space="preserve">
S&amp;P Global Market Intelligence</t>
        </r>
      </text>
    </comment>
    <comment ref="J25" authorId="0" shapeId="0" xr:uid="{57BA9D22-8959-41B0-841A-DFA74E852EFC}">
      <text>
        <r>
          <rPr>
            <b/>
            <sz val="9"/>
            <color indexed="81"/>
            <rFont val="Tahoma"/>
            <family val="2"/>
          </rPr>
          <t>Author:</t>
        </r>
        <r>
          <rPr>
            <sz val="9"/>
            <color indexed="81"/>
            <rFont val="Tahoma"/>
            <family val="2"/>
          </rPr>
          <t xml:space="preserve">
S&amp;P Global Market Intelligence</t>
        </r>
      </text>
    </comment>
  </commentList>
</comments>
</file>

<file path=xl/sharedStrings.xml><?xml version="1.0" encoding="utf-8"?>
<sst xmlns="http://schemas.openxmlformats.org/spreadsheetml/2006/main" count="533" uniqueCount="270">
  <si>
    <t xml:space="preserve">For the Fiscal Period Ending
</t>
  </si>
  <si>
    <t>Total Revenue</t>
  </si>
  <si>
    <t>Gross Profit</t>
  </si>
  <si>
    <t>-</t>
  </si>
  <si>
    <t>EBIT</t>
  </si>
  <si>
    <t xml:space="preserve"> </t>
  </si>
  <si>
    <t>NM</t>
  </si>
  <si>
    <t>Income Statement</t>
  </si>
  <si>
    <t>Revenue</t>
  </si>
  <si>
    <t xml:space="preserve">Balance Sheet as of:
</t>
  </si>
  <si>
    <t xml:space="preserve">  Total Current Assets</t>
  </si>
  <si>
    <t xml:space="preserve">  Total Current Liabilities</t>
  </si>
  <si>
    <t>Total Debt</t>
  </si>
  <si>
    <t>Data</t>
  </si>
  <si>
    <t>High</t>
  </si>
  <si>
    <t>Low</t>
  </si>
  <si>
    <t>Company</t>
  </si>
  <si>
    <t>Mean</t>
  </si>
  <si>
    <t>Median</t>
  </si>
  <si>
    <t>In Millions</t>
  </si>
  <si>
    <t>From Income Statement</t>
  </si>
  <si>
    <t>Revenue (Growth Rate)</t>
  </si>
  <si>
    <t>COGS</t>
  </si>
  <si>
    <t>COGS (% of Sales)</t>
  </si>
  <si>
    <t>Change in Working Cap</t>
  </si>
  <si>
    <t>Income Tax Rate</t>
  </si>
  <si>
    <t>CapEx (% of Sales)</t>
  </si>
  <si>
    <t>Free Cash Flow</t>
  </si>
  <si>
    <t>PV of Cash Flow</t>
  </si>
  <si>
    <t>Discounted Cash Flow Analysis</t>
  </si>
  <si>
    <t>Implied Share Price</t>
  </si>
  <si>
    <t>Sum of Free Cash Flow</t>
  </si>
  <si>
    <t>Exit Multiple (TEV/EBITDA LTM)</t>
  </si>
  <si>
    <t>Terminal Value</t>
  </si>
  <si>
    <t>Discounted Terminal Value</t>
  </si>
  <si>
    <t>Implied Enterprise Value</t>
  </si>
  <si>
    <t>Less: Net Debt</t>
  </si>
  <si>
    <t>Less: Noncontrolling Interest</t>
  </si>
  <si>
    <t>Implied Equity Value</t>
  </si>
  <si>
    <t>Diluted Shares Outstanding</t>
  </si>
  <si>
    <t>Current Price</t>
  </si>
  <si>
    <t>Assumptions</t>
  </si>
  <si>
    <t>$ Increase</t>
  </si>
  <si>
    <t>Return</t>
  </si>
  <si>
    <t>Sensitivity Assumptions</t>
  </si>
  <si>
    <t>Exit Multiple Step</t>
  </si>
  <si>
    <t>D&amp;A (% of Sales)</t>
  </si>
  <si>
    <t>WACC Step</t>
  </si>
  <si>
    <t xml:space="preserve">Cap Ex. </t>
  </si>
  <si>
    <t xml:space="preserve">WACC </t>
  </si>
  <si>
    <t>Sensitivity Analysis</t>
  </si>
  <si>
    <t>Exit Multiple</t>
  </si>
  <si>
    <t>Weighted Average Cost of Capital</t>
  </si>
  <si>
    <t>WACC</t>
  </si>
  <si>
    <t>Beta Calculation</t>
  </si>
  <si>
    <t>Risk Free Rate</t>
  </si>
  <si>
    <t>Tax Rate</t>
  </si>
  <si>
    <t>Debt</t>
  </si>
  <si>
    <t>Equity</t>
  </si>
  <si>
    <t>Cost of Equity</t>
  </si>
  <si>
    <t>Market Risk Premium</t>
  </si>
  <si>
    <t>Pre-Tax Cost of Debt</t>
  </si>
  <si>
    <t>After-Tax Cost of Debt</t>
  </si>
  <si>
    <t>% Equity</t>
  </si>
  <si>
    <t>% Debt</t>
  </si>
  <si>
    <t>SG&amp;A(% of Sales)</t>
  </si>
  <si>
    <t>Enterprise Value</t>
  </si>
  <si>
    <t>LTM Gross Margin</t>
  </si>
  <si>
    <t>LTM EBITDA Margin</t>
  </si>
  <si>
    <t>Change in Working Cap(%of Sales)</t>
  </si>
  <si>
    <t>Operating Expense (%of Sales)</t>
  </si>
  <si>
    <t>Debt/Equity</t>
  </si>
  <si>
    <t xml:space="preserve">LTM EFF Tax Rate </t>
  </si>
  <si>
    <t xml:space="preserve">Average EFF Tax Rate </t>
  </si>
  <si>
    <t xml:space="preserve">Unlevered Beta </t>
  </si>
  <si>
    <t xml:space="preserve">Years 1-5 EFF Tax Rate </t>
  </si>
  <si>
    <t xml:space="preserve">Average Unlevered Beta </t>
  </si>
  <si>
    <t>Operating Expense (% of Sales)</t>
  </si>
  <si>
    <t>x</t>
  </si>
  <si>
    <t>EBT</t>
  </si>
  <si>
    <t>Discount Factor</t>
  </si>
  <si>
    <t>Stub</t>
  </si>
  <si>
    <t>WORKING CAPITAL SCHEDULE</t>
  </si>
  <si>
    <t>Accounts receivable</t>
  </si>
  <si>
    <t>Beginning of period</t>
  </si>
  <si>
    <t>Increases / (decreases)</t>
  </si>
  <si>
    <t>End of period</t>
  </si>
  <si>
    <t>AR as % of sales</t>
  </si>
  <si>
    <t>Days sales outstanding (DSO)</t>
  </si>
  <si>
    <t>Accounts payable</t>
  </si>
  <si>
    <t>AP as % of COGS</t>
  </si>
  <si>
    <t>Days payables outstanding (DPO)</t>
  </si>
  <si>
    <t>Accrued expenses as % of sales</t>
  </si>
  <si>
    <t>LTM EBIT Margin</t>
  </si>
  <si>
    <t xml:space="preserve">5 Yr Levered Beta </t>
  </si>
  <si>
    <t>Industry Median Beta</t>
  </si>
  <si>
    <t xml:space="preserve">Year Frac Inputs </t>
  </si>
  <si>
    <t xml:space="preserve">Future Fiscal Years </t>
  </si>
  <si>
    <t xml:space="preserve">
               </t>
  </si>
  <si>
    <t xml:space="preserve">  Net Income</t>
  </si>
  <si>
    <t>Other Current Assets</t>
  </si>
  <si>
    <t>Inventory</t>
  </si>
  <si>
    <t>Cash Flow</t>
  </si>
  <si>
    <t>Inventory as % of COGS</t>
  </si>
  <si>
    <t>Levered Beta</t>
  </si>
  <si>
    <t>Change in WC</t>
  </si>
  <si>
    <t>WC</t>
  </si>
  <si>
    <t>Q2 2020</t>
  </si>
  <si>
    <t>Balance Sheet</t>
  </si>
  <si>
    <t>Vertiv Holdings Co. (NYSE:VRT)</t>
  </si>
  <si>
    <t>Quick Ratio</t>
  </si>
  <si>
    <t>Lumen Technologies</t>
  </si>
  <si>
    <t>Sensata Technologies</t>
  </si>
  <si>
    <t>CoreSite Realty Corp</t>
  </si>
  <si>
    <t>Vertiv Holdings</t>
  </si>
  <si>
    <t xml:space="preserve">VRT Unlevered Beta </t>
  </si>
  <si>
    <t xml:space="preserve">VRT Levered Beta </t>
  </si>
  <si>
    <t>25th Percentile</t>
  </si>
  <si>
    <t>75th Percentile</t>
  </si>
  <si>
    <t>(-) COGS</t>
  </si>
  <si>
    <t>(-) Operating Expense</t>
  </si>
  <si>
    <t>(-) Income Tax Expense</t>
  </si>
  <si>
    <t>(-) CapEX</t>
  </si>
  <si>
    <t>(-) Selling, General, &amp; Admin Exp.</t>
  </si>
  <si>
    <t xml:space="preserve">  Earnings of Discontinued Operations</t>
  </si>
  <si>
    <t xml:space="preserve">  Provision for Income Tax</t>
  </si>
  <si>
    <t>Taxes and Other Expenses</t>
  </si>
  <si>
    <t xml:space="preserve">  Interest Expense, Net</t>
  </si>
  <si>
    <t xml:space="preserve">  Goodwill Impairments</t>
  </si>
  <si>
    <t xml:space="preserve">  Other Deductions, Net</t>
  </si>
  <si>
    <t xml:space="preserve">  Selling, General and Administrative Expenses</t>
  </si>
  <si>
    <t xml:space="preserve">  Cost of Sales-product</t>
  </si>
  <si>
    <t xml:space="preserve">  Cost of Sales and Service</t>
  </si>
  <si>
    <t>Expenses</t>
  </si>
  <si>
    <t xml:space="preserve">  Total Revenues</t>
  </si>
  <si>
    <t xml:space="preserve">  Net Sale service</t>
  </si>
  <si>
    <t xml:space="preserve">  Net Sales Product</t>
  </si>
  <si>
    <t>Revenues</t>
  </si>
  <si>
    <t>Millions</t>
  </si>
  <si>
    <t>Units</t>
  </si>
  <si>
    <t xml:space="preserve">  Total Liabilities &amp; Shareholders Equity</t>
  </si>
  <si>
    <t xml:space="preserve">  Total Shareholders Equity</t>
  </si>
  <si>
    <t xml:space="preserve">  Accumulated Other Comprehensive Income</t>
  </si>
  <si>
    <t xml:space="preserve">  Accumulated Deficit</t>
  </si>
  <si>
    <t xml:space="preserve">  Additional Paid in Capital</t>
  </si>
  <si>
    <t>Shareholders' Equity</t>
  </si>
  <si>
    <t xml:space="preserve">  Other Long-term Liabilities</t>
  </si>
  <si>
    <t xml:space="preserve">  Deferred Income Taxes</t>
  </si>
  <si>
    <t xml:space="preserve">  Long-term Debt Net</t>
  </si>
  <si>
    <t>Non Current Liabilities</t>
  </si>
  <si>
    <t xml:space="preserve">  Income Taxes</t>
  </si>
  <si>
    <t xml:space="preserve">  Accrued Expenses and Other Liabilities</t>
  </si>
  <si>
    <t xml:space="preserve">  Accounts Payable</t>
  </si>
  <si>
    <t>Current Liabilities</t>
  </si>
  <si>
    <t xml:space="preserve">  Total Assets</t>
  </si>
  <si>
    <t xml:space="preserve">  Others</t>
  </si>
  <si>
    <t xml:space="preserve">  Other Intangible Asset, Net</t>
  </si>
  <si>
    <t xml:space="preserve">  Goodwill</t>
  </si>
  <si>
    <t xml:space="preserve">  Property, Plant and Equipment, Net</t>
  </si>
  <si>
    <t>Non Current Assets</t>
  </si>
  <si>
    <t xml:space="preserve">  Other Current Assets</t>
  </si>
  <si>
    <t xml:space="preserve">  Inventories</t>
  </si>
  <si>
    <t xml:space="preserve">  Accounts Receivables</t>
  </si>
  <si>
    <t xml:space="preserve">  Cash and Cash Equivalents</t>
  </si>
  <si>
    <t>Current Assets</t>
  </si>
  <si>
    <t xml:space="preserve">  Cash Flow Net Changes in Cash</t>
  </si>
  <si>
    <t xml:space="preserve">  Foreign Exchange Rate Effect on Cash and Cash Equivalents</t>
  </si>
  <si>
    <t>Other Adjustments</t>
  </si>
  <si>
    <t xml:space="preserve">  Cash Flow from Financing Activities</t>
  </si>
  <si>
    <t xml:space="preserve">  Net Transfer to Emerson</t>
  </si>
  <si>
    <t xml:space="preserve">  Settlement of Contingent Consideration</t>
  </si>
  <si>
    <t xml:space="preserve">  Debt Issuance and Related Costs</t>
  </si>
  <si>
    <t xml:space="preserve">  Dividends to JV Holdings</t>
  </si>
  <si>
    <t xml:space="preserve">  Repayments of ABL Revolving Credit Facility</t>
  </si>
  <si>
    <t xml:space="preserve">  Borrowings from ABL Revolving Credit Facility</t>
  </si>
  <si>
    <t xml:space="preserve">  Proceeds from Term Loan, Net of Discount</t>
  </si>
  <si>
    <t xml:space="preserve">  Proceeds from the Issuance of Pik Notes</t>
  </si>
  <si>
    <t xml:space="preserve">  Proceeds from Issuance of Notes, Net of Discount</t>
  </si>
  <si>
    <t xml:space="preserve">  Repayments of Term Loans</t>
  </si>
  <si>
    <t>Financing Activities</t>
  </si>
  <si>
    <t xml:space="preserve">  Cash Flow from Investing Activities</t>
  </si>
  <si>
    <t xml:space="preserve">  Collection of Notes Receivable</t>
  </si>
  <si>
    <t xml:space="preserve">  Investment in Capitalized Software</t>
  </si>
  <si>
    <t xml:space="preserve">  Proceeds from Sale of Business</t>
  </si>
  <si>
    <t xml:space="preserve">  Acquisition of Business-net of Cash Acquired</t>
  </si>
  <si>
    <t xml:space="preserve">  Proceeds from Disposition of Property Plant and Equipment</t>
  </si>
  <si>
    <t xml:space="preserve">  Capital Expenditures</t>
  </si>
  <si>
    <t>Investing Activities</t>
  </si>
  <si>
    <t xml:space="preserve">  Cash Flow from Operating Activities</t>
  </si>
  <si>
    <t xml:space="preserve">  Changes in Operating Working Capital</t>
  </si>
  <si>
    <t xml:space="preserve">  Gain on Sale of Business</t>
  </si>
  <si>
    <t xml:space="preserve">  Amortization of Debt Discount and Issuance Costs</t>
  </si>
  <si>
    <t xml:space="preserve">  Amortization</t>
  </si>
  <si>
    <t xml:space="preserve">  Depreciation</t>
  </si>
  <si>
    <t>Operating Activities</t>
  </si>
  <si>
    <t>(-) Other Deductions</t>
  </si>
  <si>
    <t>Product Revenue</t>
  </si>
  <si>
    <t>Service Revenue</t>
  </si>
  <si>
    <t>Segment Revenues</t>
  </si>
  <si>
    <t xml:space="preserve">(-) Interest Expense </t>
  </si>
  <si>
    <t>D&amp;A</t>
  </si>
  <si>
    <t>Accrued expenses &amp; Other</t>
  </si>
  <si>
    <t>Schneider Electric</t>
  </si>
  <si>
    <t>Rockwell Automation</t>
  </si>
  <si>
    <t>Eaton Corporation</t>
  </si>
  <si>
    <t>Difference</t>
  </si>
  <si>
    <t>Valuation Summary</t>
  </si>
  <si>
    <t>52-Week Low</t>
  </si>
  <si>
    <t>52-Week High</t>
  </si>
  <si>
    <t>Current Trading Price</t>
  </si>
  <si>
    <t>Comparable Company Analysis (LTM EV/EBITDA)</t>
  </si>
  <si>
    <t>Discounted Cash Flows Analysis (LTM EV/EBITDA)</t>
  </si>
  <si>
    <t xml:space="preserve">Target Range </t>
  </si>
  <si>
    <t>Service Revenue Growth (%)</t>
  </si>
  <si>
    <t>Product Revenue Growth (%)</t>
  </si>
  <si>
    <t>LTM 
P/E</t>
  </si>
  <si>
    <t>EV/LTM EBIT</t>
  </si>
  <si>
    <t>EV/LTM EBITDA</t>
  </si>
  <si>
    <t>Price/Book</t>
  </si>
  <si>
    <t>LTM Net Margin</t>
  </si>
  <si>
    <t xml:space="preserve">Schneider Electric S.E. </t>
  </si>
  <si>
    <t xml:space="preserve">Rockwell Automation, Inc. </t>
  </si>
  <si>
    <t xml:space="preserve">Eaton Corporation plc </t>
  </si>
  <si>
    <t xml:space="preserve">Lumen Technologies, Inc. </t>
  </si>
  <si>
    <t xml:space="preserve">Sensata Technologies Holding plc </t>
  </si>
  <si>
    <t xml:space="preserve">CoreSite Realty Corporation </t>
  </si>
  <si>
    <t xml:space="preserve">Vertiv Holdings Co. </t>
  </si>
  <si>
    <r>
      <t xml:space="preserve">Public Company Comparables </t>
    </r>
    <r>
      <rPr>
        <b/>
        <i/>
        <sz val="10"/>
        <color theme="0"/>
        <rFont val="Gill Sans MT"/>
        <family val="2"/>
      </rPr>
      <t>(in $ millions, except multiple data and share price)</t>
    </r>
  </si>
  <si>
    <t>Fiscal Year Ending December 31,</t>
  </si>
  <si>
    <t>(Inc) / Dec in NWC</t>
  </si>
  <si>
    <t>(+) D&amp;A</t>
  </si>
  <si>
    <t>(-) Op. Ex</t>
  </si>
  <si>
    <t>(-) CapEx</t>
  </si>
  <si>
    <t>Change in OWC. (% of Sales)</t>
  </si>
  <si>
    <t>NOPAT</t>
  </si>
  <si>
    <t>Fiscal Year Ending Dec 31,</t>
  </si>
  <si>
    <t>(-) Tax Affect</t>
  </si>
  <si>
    <t>Market 
Cap</t>
  </si>
  <si>
    <t>Investor Model</t>
  </si>
  <si>
    <t>Vertiv</t>
  </si>
  <si>
    <t>Earnings before Taxes</t>
  </si>
  <si>
    <t>Net Income (Loss)</t>
  </si>
  <si>
    <t>Precedent Transactions</t>
  </si>
  <si>
    <t>Date</t>
  </si>
  <si>
    <t>Target</t>
  </si>
  <si>
    <t>Buyer</t>
  </si>
  <si>
    <t>TTM EV/Sales</t>
  </si>
  <si>
    <t>TTM EV/EBITDA</t>
  </si>
  <si>
    <t>Transaction Value</t>
  </si>
  <si>
    <t>Temasek Holdings</t>
  </si>
  <si>
    <t>AMETEK, Inc</t>
  </si>
  <si>
    <t>CommScope</t>
  </si>
  <si>
    <t xml:space="preserve">Carlyle Group </t>
  </si>
  <si>
    <t>Corsair Inc</t>
  </si>
  <si>
    <t>Hauser PE</t>
  </si>
  <si>
    <t xml:space="preserve">Low </t>
  </si>
  <si>
    <t>Implied Target Price</t>
  </si>
  <si>
    <t>Exit Multiple (EV/EBITDA)</t>
  </si>
  <si>
    <t>Exit Multiple (EV/Sales)</t>
  </si>
  <si>
    <t>Sum of FCF</t>
  </si>
  <si>
    <t>Discounted TV</t>
  </si>
  <si>
    <t>Less Net Debt</t>
  </si>
  <si>
    <t xml:space="preserve">Diluted Shares Outstanding </t>
  </si>
  <si>
    <t>Minimum</t>
  </si>
  <si>
    <t>Maximum</t>
  </si>
  <si>
    <t>Taxe effect as a % of sales</t>
  </si>
  <si>
    <t>Tax effect</t>
  </si>
  <si>
    <t>Precedents Transaction Analysis (LTM EV/EBITDA)</t>
  </si>
  <si>
    <t>Other Deductions (% of Sales)</t>
  </si>
  <si>
    <t>(+) Depreciation and Amortization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</si>
</sst>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0">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 #,##0.0_);_(* \(#,##0.0\)_)\ ;_(* 0_)"/>
    <numFmt numFmtId="165" formatCode="#,##0.0\x"/>
    <numFmt numFmtId="166" formatCode=";;"/>
    <numFmt numFmtId="167" formatCode="_(* #,##0_);_(* \(#,##0\);_(* &quot;-&quot;??_);_(@_)"/>
    <numFmt numFmtId="168" formatCode="&quot;$&quot;#,##0.00"/>
    <numFmt numFmtId="169" formatCode="0.0\x"/>
    <numFmt numFmtId="170" formatCode="0.0%"/>
    <numFmt numFmtId="171" formatCode="#.#\x"/>
    <numFmt numFmtId="172" formatCode="###.0\x"/>
    <numFmt numFmtId="173" formatCode="#.0\x"/>
    <numFmt numFmtId="174" formatCode="\ _(&quot;$&quot;* #,###_);_(&quot;$&quot;* \(#,##0.00\);_(&quot;$&quot;* &quot;&quot;\-&quot;&quot;??_);_(@_)"/>
    <numFmt numFmtId="175" formatCode="_(&quot;$&quot;* #,##0_);_(&quot;$&quot;* \(#,##0\);_(&quot;$&quot;* &quot;-&quot;??_);_(@_)"/>
    <numFmt numFmtId="176" formatCode="_([$$-409]* #,##0_);_([$$-409]* \(#,##0\);_([$$-409]* &quot;-&quot;??_);_(@_)"/>
    <numFmt numFmtId="177" formatCode="_([$$-409]* #,##0.00_);_([$$-409]* \(#,##0.00\);_([$$-409]* &quot;-&quot;??_);_(@_)"/>
    <numFmt numFmtId="178" formatCode="0.0"/>
    <numFmt numFmtId="179" formatCode="&quot;$&quot;#,##0.00;\(&quot;$&quot;#,##0.00\);&quot;--&quot;"/>
    <numFmt numFmtId="180" formatCode="#,##0;\(#,##0\);&quot;--&quot;"/>
    <numFmt numFmtId="181" formatCode="0\ &quot;days&quot;"/>
    <numFmt numFmtId="182" formatCode="0&quot;E&quot;"/>
    <numFmt numFmtId="183" formatCode="0&quot;A&quot;"/>
    <numFmt numFmtId="184" formatCode="yyyy&quot;A&quot;"/>
    <numFmt numFmtId="185" formatCode="yyyy&quot;E&quot;"/>
    <numFmt numFmtId="186" formatCode="0%;\(0%\)"/>
    <numFmt numFmtId="187" formatCode="mmm\-dd\-yyyy"/>
    <numFmt numFmtId="188" formatCode="m/d/yy;@"/>
  </numFmts>
  <fonts count="8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sz val="10"/>
      <name val="Arial"/>
      <family val="2"/>
    </font>
    <font>
      <sz val="10"/>
      <color indexed="8"/>
      <name val="Gill Sans MT"/>
      <family val="2"/>
    </font>
    <font>
      <sz val="10"/>
      <name val="Gill Sans MT"/>
      <family val="2"/>
    </font>
    <font>
      <b/>
      <sz val="10"/>
      <color theme="0"/>
      <name val="Gill Sans MT"/>
      <family val="2"/>
    </font>
    <font>
      <b/>
      <sz val="10"/>
      <name val="Gill Sans MT"/>
      <family val="2"/>
    </font>
    <font>
      <sz val="10"/>
      <color theme="1"/>
      <name val="Gill Sans MT"/>
      <family val="2"/>
    </font>
    <font>
      <sz val="10"/>
      <color theme="0"/>
      <name val="Gill Sans MT"/>
      <family val="2"/>
    </font>
    <font>
      <sz val="10"/>
      <name val="Calibri"/>
      <family val="2"/>
      <scheme val="minor"/>
    </font>
    <font>
      <sz val="10"/>
      <name val="Calibri Light"/>
      <family val="2"/>
      <scheme val="major"/>
    </font>
    <font>
      <sz val="8"/>
      <name val="Gill Sans MT"/>
      <family val="2"/>
    </font>
    <font>
      <sz val="12"/>
      <color theme="0"/>
      <name val="Bookman Old Style"/>
      <family val="1"/>
    </font>
    <font>
      <sz val="11"/>
      <color theme="1"/>
      <name val="Bookman Old Style"/>
      <family val="1"/>
    </font>
    <font>
      <b/>
      <sz val="11"/>
      <color theme="1"/>
      <name val="Bookman Old Style"/>
      <family val="1"/>
    </font>
    <font>
      <sz val="11"/>
      <color rgb="FF00B0F0"/>
      <name val="Bookman Old Style"/>
      <family val="1"/>
    </font>
    <font>
      <b/>
      <sz val="10"/>
      <color theme="0"/>
      <name val="Bookman Old Style"/>
      <family val="1"/>
    </font>
    <font>
      <i/>
      <sz val="10"/>
      <name val="Bookman Old Style"/>
      <family val="1"/>
    </font>
    <font>
      <sz val="10"/>
      <name val="Bookman Old Style"/>
      <family val="1"/>
    </font>
    <font>
      <b/>
      <sz val="10"/>
      <name val="Bookman Old Style"/>
      <family val="1"/>
    </font>
    <font>
      <sz val="10"/>
      <color theme="0"/>
      <name val="Bookman Old Style"/>
      <family val="1"/>
    </font>
    <font>
      <sz val="8"/>
      <name val="Bookman Old Style"/>
      <family val="1"/>
    </font>
    <font>
      <sz val="10"/>
      <color indexed="8"/>
      <name val="Bookman Old Style"/>
      <family val="1"/>
    </font>
    <font>
      <b/>
      <sz val="10"/>
      <color rgb="FF000000"/>
      <name val="Bookman Old Style"/>
      <family val="1"/>
    </font>
    <font>
      <sz val="10"/>
      <name val="Arial"/>
      <family val="2"/>
    </font>
    <font>
      <sz val="1"/>
      <color indexed="9"/>
      <name val="Symbol"/>
      <family val="1"/>
      <charset val="2"/>
    </font>
    <font>
      <b/>
      <sz val="10"/>
      <name val="Calibri Light"/>
      <family val="2"/>
      <scheme val="major"/>
    </font>
    <font>
      <b/>
      <sz val="10"/>
      <name val="Calibri"/>
      <family val="2"/>
      <scheme val="minor"/>
    </font>
    <font>
      <b/>
      <sz val="10"/>
      <color indexed="9"/>
      <name val="Bookman Old Style"/>
      <family val="1"/>
    </font>
    <font>
      <b/>
      <sz val="10"/>
      <color indexed="8"/>
      <name val="Bookman Old Style"/>
      <family val="1"/>
    </font>
    <font>
      <sz val="10"/>
      <color rgb="FF0000FF"/>
      <name val="Bookman Old Style"/>
      <family val="1"/>
    </font>
    <font>
      <b/>
      <sz val="10"/>
      <color theme="0"/>
      <name val="Arial"/>
      <family val="2"/>
    </font>
    <font>
      <sz val="10"/>
      <color rgb="FF009900"/>
      <name val="Arial"/>
      <family val="2"/>
    </font>
    <font>
      <b/>
      <u/>
      <sz val="10"/>
      <name val="Arial"/>
      <family val="2"/>
    </font>
    <font>
      <b/>
      <sz val="9"/>
      <color indexed="81"/>
      <name val="Tahoma"/>
      <family val="2"/>
    </font>
    <font>
      <i/>
      <sz val="10"/>
      <color rgb="FF0000FF"/>
      <name val="Bookman Old Style"/>
      <family val="1"/>
    </font>
    <font>
      <sz val="11"/>
      <color rgb="FF0000FF"/>
      <name val="Bookman Old Style"/>
      <family val="1"/>
    </font>
    <font>
      <u/>
      <sz val="10"/>
      <color theme="10"/>
      <name val="Arial"/>
      <family val="2"/>
    </font>
    <font>
      <b/>
      <i/>
      <sz val="10"/>
      <color theme="0"/>
      <name val="Gill Sans MT"/>
      <family val="2"/>
    </font>
    <font>
      <sz val="10"/>
      <color rgb="FF008000"/>
      <name val="Bookman Old Style"/>
      <family val="1"/>
    </font>
    <font>
      <b/>
      <sz val="10"/>
      <color rgb="FF008000"/>
      <name val="Bookman Old Style"/>
      <family val="1"/>
    </font>
    <font>
      <sz val="11"/>
      <color rgb="FF008000"/>
      <name val="Bookman Old Style"/>
      <family val="1"/>
    </font>
    <font>
      <b/>
      <sz val="10"/>
      <color rgb="FF0000FF"/>
      <name val="Calibri Light"/>
      <family val="2"/>
      <scheme val="major"/>
    </font>
    <font>
      <i/>
      <sz val="11"/>
      <color theme="1"/>
      <name val="Bookman Old Style"/>
      <family val="1"/>
    </font>
    <font>
      <u val="singleAccounting"/>
      <sz val="10"/>
      <name val="Bookman Old Style"/>
      <family val="1"/>
    </font>
    <font>
      <b/>
      <i/>
      <sz val="10"/>
      <color theme="0"/>
      <name val="Bookman Old Style"/>
      <family val="1"/>
    </font>
    <font>
      <sz val="8"/>
      <color rgb="FF0000FF"/>
      <name val="Gill Sans MT"/>
      <family val="2"/>
    </font>
    <font>
      <b/>
      <sz val="10"/>
      <color rgb="FFFF0000"/>
      <name val="Bookman Old Style"/>
      <family val="1"/>
    </font>
    <font>
      <b/>
      <sz val="10"/>
      <color theme="1"/>
      <name val="Bookman Old Style"/>
      <family val="1"/>
    </font>
    <font>
      <sz val="10"/>
      <color theme="1"/>
      <name val="Bookman Old Style"/>
      <family val="1"/>
    </font>
    <font>
      <sz val="9"/>
      <color indexed="81"/>
      <name val="Tahoma"/>
      <family val="2"/>
    </font>
    <font>
      <b/>
      <u val="singleAccounting"/>
      <sz val="8"/>
      <color indexed="8"/>
      <name val="Bookman Old Style"/>
      <family val="1"/>
    </font>
    <font>
      <sz val="8"/>
      <color indexed="8"/>
      <name val="Bookman Old Style"/>
      <family val="1"/>
    </font>
    <font>
      <b/>
      <sz val="55"/>
      <color theme="1"/>
      <name val="Bookman Old Style"/>
      <family val="1"/>
    </font>
    <font>
      <b/>
      <sz val="48"/>
      <color theme="1"/>
      <name val="Bookman Old Style"/>
      <family val="1"/>
    </font>
    <font>
      <b/>
      <sz val="36"/>
      <color theme="1"/>
      <name val="Bookman Old Style"/>
      <family val="1"/>
    </font>
    <font>
      <sz val="36"/>
      <color theme="1"/>
      <name val="Bookman Old Style"/>
      <family val="1"/>
    </font>
    <font>
      <b/>
      <sz val="10"/>
      <color theme="1"/>
      <name val="Gill Sans MT"/>
      <family val="2"/>
    </font>
    <font>
      <sz val="12"/>
      <name val="Bookman Old Style"/>
      <family val="1"/>
    </font>
    <font>
      <sz val="12"/>
      <color rgb="FF008000"/>
      <name val="Gill Sans MT"/>
      <family val="2"/>
    </font>
    <font>
      <sz val="12"/>
      <color indexed="8"/>
      <name val="Gill Sans MT"/>
      <family val="2"/>
    </font>
    <font>
      <sz val="12"/>
      <color rgb="FF0000FF"/>
      <name val="Bookman Old Style"/>
      <family val="1"/>
    </font>
    <font>
      <sz val="12"/>
      <color rgb="FF008000"/>
      <name val="Bookman Old Style"/>
      <family val="1"/>
    </font>
    <font>
      <sz val="12"/>
      <name val="Gill Sans MT"/>
      <family val="2"/>
    </font>
  </fonts>
  <fills count="14">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theme="5" tint="0.59999389629810485"/>
        <bgColor indexed="65"/>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5"/>
      </patternFill>
    </fill>
    <fill>
      <patternFill patternType="solid">
        <fgColor theme="2"/>
        <bgColor indexed="64"/>
      </patternFill>
    </fill>
    <fill>
      <patternFill patternType="solid">
        <fgColor rgb="FF9A9B9F"/>
        <bgColor indexed="64"/>
      </patternFill>
    </fill>
    <fill>
      <patternFill patternType="solid">
        <fgColor rgb="FF00368E"/>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theme="4"/>
      </top>
      <bottom style="double">
        <color theme="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4">
    <xf numFmtId="0" fontId="0" fillId="0" borderId="0"/>
    <xf numFmtId="0" fontId="5" fillId="0" borderId="0" applyAlignment="0"/>
    <xf numFmtId="0" fontId="6" fillId="0" borderId="0" applyAlignment="0"/>
    <xf numFmtId="0" fontId="7" fillId="2" borderId="0" applyAlignment="0"/>
    <xf numFmtId="0" fontId="8" fillId="3" borderId="0" applyAlignment="0"/>
    <xf numFmtId="0" fontId="9" fillId="4" borderId="0" applyAlignment="0"/>
    <xf numFmtId="0" fontId="10" fillId="5" borderId="0" applyAlignment="0"/>
    <xf numFmtId="0" fontId="11" fillId="0" borderId="0" applyAlignment="0"/>
    <xf numFmtId="0" fontId="12" fillId="0" borderId="0" applyAlignment="0"/>
    <xf numFmtId="0" fontId="13" fillId="0" borderId="0" applyAlignment="0"/>
    <xf numFmtId="0" fontId="14" fillId="0" borderId="0" applyAlignment="0"/>
    <xf numFmtId="0" fontId="15" fillId="0" borderId="0" applyAlignment="0"/>
    <xf numFmtId="0" fontId="14" fillId="0" borderId="0" applyAlignment="0">
      <alignment wrapText="1"/>
    </xf>
    <xf numFmtId="0" fontId="16" fillId="0" borderId="0" applyAlignment="0"/>
    <xf numFmtId="0" fontId="17" fillId="0" borderId="0" applyAlignment="0"/>
    <xf numFmtId="0" fontId="18" fillId="0" borderId="0" applyAlignment="0"/>
    <xf numFmtId="43" fontId="19" fillId="0" borderId="0" applyFont="0" applyFill="0" applyBorder="0" applyAlignment="0" applyProtection="0"/>
    <xf numFmtId="44" fontId="19" fillId="0" borderId="0" applyFont="0" applyFill="0" applyBorder="0" applyAlignment="0" applyProtection="0"/>
    <xf numFmtId="9" fontId="19" fillId="0" borderId="0" applyFont="0" applyFill="0" applyBorder="0" applyAlignment="0" applyProtection="0"/>
    <xf numFmtId="0" fontId="3" fillId="6" borderId="0" applyNumberFormat="0" applyBorder="0" applyAlignment="0" applyProtection="0"/>
    <xf numFmtId="0" fontId="19" fillId="0" borderId="0"/>
    <xf numFmtId="0" fontId="3" fillId="0" borderId="0"/>
    <xf numFmtId="43" fontId="3" fillId="0" borderId="0" applyFont="0" applyFill="0" applyBorder="0" applyAlignment="0" applyProtection="0"/>
    <xf numFmtId="0" fontId="41" fillId="0" borderId="0"/>
    <xf numFmtId="0" fontId="42" fillId="0" borderId="0" applyAlignment="0"/>
    <xf numFmtId="0" fontId="19" fillId="0" borderId="0"/>
    <xf numFmtId="0" fontId="2" fillId="6" borderId="0" applyNumberFormat="0" applyBorder="0" applyAlignment="0" applyProtection="0"/>
    <xf numFmtId="0" fontId="14" fillId="0" borderId="0" applyAlignment="0">
      <alignment wrapText="1"/>
    </xf>
    <xf numFmtId="0" fontId="2" fillId="10" borderId="0" applyNumberFormat="0" applyBorder="0" applyAlignment="0" applyProtection="0"/>
    <xf numFmtId="0" fontId="2" fillId="0" borderId="0"/>
    <xf numFmtId="0" fontId="54" fillId="0" borderId="0" applyNumberFormat="0" applyFill="0" applyBorder="0" applyAlignment="0" applyProtection="0"/>
    <xf numFmtId="0" fontId="1" fillId="0" borderId="0"/>
    <xf numFmtId="0" fontId="1" fillId="10" borderId="0" applyNumberFormat="0" applyBorder="0" applyAlignment="0" applyProtection="0"/>
    <xf numFmtId="0" fontId="1" fillId="6" borderId="0" applyNumberFormat="0" applyBorder="0" applyAlignment="0" applyProtection="0"/>
  </cellStyleXfs>
  <cellXfs count="451">
    <xf numFmtId="0" fontId="4" fillId="0" borderId="0" xfId="0" applyFont="1"/>
    <xf numFmtId="0" fontId="20" fillId="0" borderId="0" xfId="20" applyNumberFormat="1" applyFont="1" applyAlignment="1">
      <alignment horizontal="left" vertical="top"/>
    </xf>
    <xf numFmtId="0" fontId="21" fillId="0" borderId="0" xfId="20" applyFont="1"/>
    <xf numFmtId="0" fontId="21" fillId="0" borderId="0" xfId="20" applyFont="1" applyAlignment="1">
      <alignment vertical="top" wrapText="1"/>
    </xf>
    <xf numFmtId="166" fontId="21" fillId="0" borderId="0" xfId="20" applyNumberFormat="1" applyFont="1"/>
    <xf numFmtId="166" fontId="21" fillId="0" borderId="0" xfId="20" applyNumberFormat="1" applyFont="1" applyAlignment="1">
      <alignment horizontal="right"/>
    </xf>
    <xf numFmtId="0" fontId="26" fillId="0" borderId="0" xfId="20" applyFont="1"/>
    <xf numFmtId="0" fontId="27" fillId="0" borderId="0" xfId="20" applyFont="1"/>
    <xf numFmtId="174" fontId="27" fillId="0" borderId="0" xfId="20" applyNumberFormat="1" applyFont="1"/>
    <xf numFmtId="174" fontId="26" fillId="0" borderId="0" xfId="20" applyNumberFormat="1" applyFont="1" applyBorder="1"/>
    <xf numFmtId="0" fontId="28" fillId="0" borderId="0" xfId="20" applyFont="1"/>
    <xf numFmtId="174" fontId="26" fillId="8" borderId="0" xfId="20" applyNumberFormat="1" applyFont="1" applyFill="1" applyBorder="1"/>
    <xf numFmtId="0" fontId="27" fillId="8" borderId="0" xfId="20" applyFont="1" applyFill="1"/>
    <xf numFmtId="0" fontId="21" fillId="8" borderId="0" xfId="20" applyFont="1" applyFill="1"/>
    <xf numFmtId="43" fontId="20" fillId="8" borderId="0" xfId="16" applyNumberFormat="1" applyFont="1" applyFill="1" applyBorder="1" applyAlignment="1">
      <alignment horizontal="right" vertical="top" wrapText="1"/>
    </xf>
    <xf numFmtId="43" fontId="28" fillId="0" borderId="0" xfId="20" applyNumberFormat="1" applyFont="1" applyBorder="1"/>
    <xf numFmtId="14" fontId="21" fillId="0" borderId="0" xfId="20" applyNumberFormat="1" applyFont="1"/>
    <xf numFmtId="14" fontId="27" fillId="0" borderId="0" xfId="20" applyNumberFormat="1" applyFont="1"/>
    <xf numFmtId="3" fontId="21" fillId="0" borderId="0" xfId="20" applyNumberFormat="1" applyFont="1"/>
    <xf numFmtId="0" fontId="30" fillId="0" borderId="0" xfId="0" applyFont="1"/>
    <xf numFmtId="0" fontId="30" fillId="0" borderId="5" xfId="0" applyFont="1" applyBorder="1"/>
    <xf numFmtId="0" fontId="30" fillId="8" borderId="4" xfId="0" applyFont="1" applyFill="1" applyBorder="1" applyAlignment="1">
      <alignment horizontal="left" indent="1"/>
    </xf>
    <xf numFmtId="0" fontId="30" fillId="8" borderId="4" xfId="0" quotePrefix="1" applyFont="1" applyFill="1" applyBorder="1" applyAlignment="1">
      <alignment horizontal="left" indent="1"/>
    </xf>
    <xf numFmtId="0" fontId="30" fillId="8" borderId="4" xfId="0" applyFont="1" applyFill="1" applyBorder="1"/>
    <xf numFmtId="170" fontId="30" fillId="0" borderId="0" xfId="18" applyNumberFormat="1" applyFont="1" applyBorder="1" applyAlignment="1">
      <alignment horizontal="right"/>
    </xf>
    <xf numFmtId="170" fontId="32" fillId="0" borderId="0" xfId="18" applyNumberFormat="1" applyFont="1" applyBorder="1"/>
    <xf numFmtId="170" fontId="32" fillId="0" borderId="5" xfId="18" applyNumberFormat="1" applyFont="1" applyBorder="1"/>
    <xf numFmtId="178" fontId="30" fillId="0" borderId="0" xfId="0" applyNumberFormat="1" applyFont="1"/>
    <xf numFmtId="178" fontId="30" fillId="0" borderId="5" xfId="0" applyNumberFormat="1" applyFont="1" applyBorder="1"/>
    <xf numFmtId="0" fontId="30" fillId="8" borderId="8" xfId="0" applyFont="1" applyFill="1" applyBorder="1"/>
    <xf numFmtId="170" fontId="30" fillId="0" borderId="9" xfId="18" applyNumberFormat="1" applyFont="1" applyBorder="1" applyAlignment="1">
      <alignment horizontal="right"/>
    </xf>
    <xf numFmtId="0" fontId="30" fillId="0" borderId="0" xfId="0" applyFont="1" applyBorder="1"/>
    <xf numFmtId="178" fontId="30" fillId="0" borderId="0" xfId="0" applyNumberFormat="1" applyFont="1" applyBorder="1"/>
    <xf numFmtId="37" fontId="30" fillId="0" borderId="0" xfId="0" applyNumberFormat="1" applyFont="1" applyAlignment="1">
      <alignment horizontal="right"/>
    </xf>
    <xf numFmtId="1" fontId="30" fillId="0" borderId="0" xfId="0" applyNumberFormat="1" applyFont="1" applyAlignment="1">
      <alignment horizontal="right"/>
    </xf>
    <xf numFmtId="37" fontId="30" fillId="0" borderId="0" xfId="0" applyNumberFormat="1" applyFont="1"/>
    <xf numFmtId="37" fontId="30" fillId="0" borderId="0" xfId="0" applyNumberFormat="1" applyFont="1" applyBorder="1"/>
    <xf numFmtId="1" fontId="30" fillId="0" borderId="0" xfId="0" applyNumberFormat="1" applyFont="1" applyBorder="1" applyAlignment="1">
      <alignment horizontal="right"/>
    </xf>
    <xf numFmtId="37" fontId="30" fillId="0" borderId="0" xfId="0" applyNumberFormat="1" applyFont="1" applyBorder="1" applyAlignment="1">
      <alignment horizontal="right"/>
    </xf>
    <xf numFmtId="37" fontId="30" fillId="0" borderId="5" xfId="0" applyNumberFormat="1" applyFont="1" applyBorder="1"/>
    <xf numFmtId="1" fontId="30" fillId="0" borderId="5" xfId="0" applyNumberFormat="1" applyFont="1" applyBorder="1" applyAlignment="1">
      <alignment horizontal="right"/>
    </xf>
    <xf numFmtId="37" fontId="30" fillId="0" borderId="5" xfId="0" applyNumberFormat="1" applyFont="1" applyBorder="1" applyAlignment="1">
      <alignment horizontal="right"/>
    </xf>
    <xf numFmtId="0" fontId="36" fillId="0" borderId="4" xfId="20" applyFont="1" applyBorder="1"/>
    <xf numFmtId="0" fontId="35" fillId="8" borderId="0" xfId="20" applyFont="1" applyFill="1" applyBorder="1"/>
    <xf numFmtId="166" fontId="35" fillId="8" borderId="0" xfId="20" applyNumberFormat="1" applyFont="1" applyFill="1" applyBorder="1"/>
    <xf numFmtId="0" fontId="35" fillId="0" borderId="4" xfId="20" applyFont="1" applyBorder="1"/>
    <xf numFmtId="174" fontId="35" fillId="8" borderId="0" xfId="20" applyNumberFormat="1" applyFont="1" applyFill="1" applyBorder="1"/>
    <xf numFmtId="9" fontId="34" fillId="8" borderId="0" xfId="18" applyFont="1" applyFill="1" applyBorder="1"/>
    <xf numFmtId="0" fontId="35" fillId="8" borderId="5" xfId="20" applyFont="1" applyFill="1" applyBorder="1"/>
    <xf numFmtId="9" fontId="35" fillId="8" borderId="0" xfId="18" applyNumberFormat="1" applyFont="1" applyFill="1" applyBorder="1"/>
    <xf numFmtId="0" fontId="35" fillId="0" borderId="8" xfId="20" applyFont="1" applyBorder="1"/>
    <xf numFmtId="0" fontId="35" fillId="7" borderId="1" xfId="20" applyFont="1" applyFill="1" applyBorder="1"/>
    <xf numFmtId="0" fontId="36" fillId="8" borderId="2" xfId="20" applyFont="1" applyFill="1" applyBorder="1" applyAlignment="1">
      <alignment horizontal="centerContinuous"/>
    </xf>
    <xf numFmtId="0" fontId="35" fillId="8" borderId="2" xfId="20" applyFont="1" applyFill="1" applyBorder="1" applyAlignment="1">
      <alignment horizontal="centerContinuous"/>
    </xf>
    <xf numFmtId="173" fontId="35" fillId="8" borderId="3" xfId="20" applyNumberFormat="1" applyFont="1" applyFill="1" applyBorder="1"/>
    <xf numFmtId="0" fontId="35" fillId="7" borderId="4" xfId="20" applyFont="1" applyFill="1" applyBorder="1"/>
    <xf numFmtId="170" fontId="35" fillId="8" borderId="0" xfId="18" applyNumberFormat="1" applyFont="1" applyFill="1" applyBorder="1"/>
    <xf numFmtId="0" fontId="36" fillId="7" borderId="4" xfId="20" applyFont="1" applyFill="1" applyBorder="1" applyAlignment="1">
      <alignment horizontal="center"/>
    </xf>
    <xf numFmtId="0" fontId="35" fillId="7" borderId="8" xfId="20" applyFont="1" applyFill="1" applyBorder="1"/>
    <xf numFmtId="170" fontId="35" fillId="8" borderId="9" xfId="18" applyNumberFormat="1" applyFont="1" applyFill="1" applyBorder="1"/>
    <xf numFmtId="176" fontId="35" fillId="8" borderId="5" xfId="20" applyNumberFormat="1" applyFont="1" applyFill="1" applyBorder="1"/>
    <xf numFmtId="177" fontId="35" fillId="8" borderId="13" xfId="20" applyNumberFormat="1" applyFont="1" applyFill="1" applyBorder="1"/>
    <xf numFmtId="1" fontId="35" fillId="8" borderId="13" xfId="20" applyNumberFormat="1" applyFont="1" applyFill="1" applyBorder="1"/>
    <xf numFmtId="177" fontId="35" fillId="8" borderId="5" xfId="20" applyNumberFormat="1" applyFont="1" applyFill="1" applyBorder="1"/>
    <xf numFmtId="0" fontId="35" fillId="0" borderId="0" xfId="20" applyFont="1" applyFill="1" applyBorder="1"/>
    <xf numFmtId="0" fontId="37" fillId="0" borderId="0" xfId="20" applyFont="1" applyFill="1" applyBorder="1"/>
    <xf numFmtId="0" fontId="37" fillId="8" borderId="0" xfId="20" applyFont="1" applyFill="1" applyBorder="1"/>
    <xf numFmtId="0" fontId="35" fillId="0" borderId="1" xfId="20" applyFont="1" applyBorder="1"/>
    <xf numFmtId="177" fontId="35" fillId="8" borderId="3" xfId="20" applyNumberFormat="1" applyFont="1" applyFill="1" applyBorder="1"/>
    <xf numFmtId="0" fontId="35" fillId="0" borderId="0" xfId="20" applyFont="1"/>
    <xf numFmtId="0" fontId="35" fillId="8" borderId="0" xfId="20" applyFont="1" applyFill="1"/>
    <xf numFmtId="9" fontId="35" fillId="8" borderId="5" xfId="18" applyFont="1" applyFill="1" applyBorder="1"/>
    <xf numFmtId="170" fontId="35" fillId="8" borderId="10" xfId="20" applyNumberFormat="1" applyFont="1" applyFill="1" applyBorder="1"/>
    <xf numFmtId="0" fontId="38" fillId="0" borderId="0" xfId="20" applyFont="1"/>
    <xf numFmtId="9" fontId="36" fillId="8" borderId="5" xfId="20" applyNumberFormat="1" applyFont="1" applyFill="1" applyBorder="1"/>
    <xf numFmtId="43" fontId="39" fillId="8" borderId="0" xfId="16" applyNumberFormat="1" applyFont="1" applyFill="1" applyBorder="1" applyAlignment="1">
      <alignment horizontal="right" vertical="top" wrapText="1"/>
    </xf>
    <xf numFmtId="43" fontId="38" fillId="0" borderId="0" xfId="20" applyNumberFormat="1" applyFont="1" applyBorder="1"/>
    <xf numFmtId="0" fontId="36" fillId="0" borderId="8" xfId="20" applyFont="1" applyBorder="1"/>
    <xf numFmtId="0" fontId="38" fillId="8" borderId="0" xfId="20" applyFont="1" applyFill="1"/>
    <xf numFmtId="2" fontId="38" fillId="8" borderId="0" xfId="20" applyNumberFormat="1" applyFont="1" applyFill="1"/>
    <xf numFmtId="0" fontId="35" fillId="8" borderId="4" xfId="20" applyFont="1" applyFill="1" applyBorder="1"/>
    <xf numFmtId="0" fontId="35" fillId="8" borderId="1" xfId="20" applyFont="1" applyFill="1" applyBorder="1"/>
    <xf numFmtId="0" fontId="35" fillId="8" borderId="8" xfId="20" applyFont="1" applyFill="1" applyBorder="1"/>
    <xf numFmtId="2" fontId="35" fillId="8" borderId="5" xfId="20" applyNumberFormat="1" applyFont="1" applyFill="1" applyBorder="1" applyAlignment="1">
      <alignment horizontal="right"/>
    </xf>
    <xf numFmtId="2" fontId="35" fillId="8" borderId="10" xfId="20" applyNumberFormat="1" applyFont="1" applyFill="1" applyBorder="1" applyAlignment="1">
      <alignment horizontal="right"/>
    </xf>
    <xf numFmtId="9" fontId="35" fillId="0" borderId="0" xfId="20" applyNumberFormat="1" applyFont="1" applyBorder="1"/>
    <xf numFmtId="2" fontId="35" fillId="0" borderId="5" xfId="20" applyNumberFormat="1" applyFont="1" applyBorder="1"/>
    <xf numFmtId="0" fontId="35" fillId="9" borderId="8" xfId="20" applyFont="1" applyFill="1" applyBorder="1"/>
    <xf numFmtId="9" fontId="35" fillId="9" borderId="9" xfId="20" applyNumberFormat="1" applyFont="1" applyFill="1" applyBorder="1"/>
    <xf numFmtId="9" fontId="35" fillId="8" borderId="0" xfId="18" applyFont="1" applyFill="1" applyBorder="1"/>
    <xf numFmtId="0" fontId="35" fillId="8" borderId="0" xfId="20" applyNumberFormat="1" applyFont="1" applyFill="1" applyBorder="1"/>
    <xf numFmtId="0" fontId="27" fillId="0" borderId="2" xfId="20" applyFont="1" applyBorder="1"/>
    <xf numFmtId="37" fontId="27" fillId="0" borderId="9" xfId="20" applyNumberFormat="1" applyFont="1" applyBorder="1"/>
    <xf numFmtId="1" fontId="27" fillId="0" borderId="9" xfId="20" applyNumberFormat="1" applyFont="1" applyBorder="1"/>
    <xf numFmtId="1" fontId="27" fillId="0" borderId="10" xfId="20" applyNumberFormat="1" applyFont="1" applyBorder="1"/>
    <xf numFmtId="9" fontId="35" fillId="8" borderId="3" xfId="18" applyFont="1" applyFill="1" applyBorder="1" applyAlignment="1">
      <alignment horizontal="right"/>
    </xf>
    <xf numFmtId="0" fontId="4" fillId="0" borderId="0" xfId="20" applyFont="1"/>
    <xf numFmtId="0" fontId="11" fillId="0" borderId="0" xfId="20" applyFont="1" applyAlignment="1">
      <alignment horizontal="center" vertical="center"/>
    </xf>
    <xf numFmtId="0" fontId="4" fillId="0" borderId="0" xfId="20" applyFont="1" applyAlignment="1">
      <alignment vertical="top" wrapText="1"/>
    </xf>
    <xf numFmtId="0" fontId="11" fillId="0" borderId="0" xfId="20" applyFont="1" applyAlignment="1">
      <alignment horizontal="left" vertical="top"/>
    </xf>
    <xf numFmtId="0" fontId="14" fillId="0" borderId="0" xfId="20" applyFont="1" applyAlignment="1">
      <alignment horizontal="left" vertical="top"/>
    </xf>
    <xf numFmtId="164" fontId="11" fillId="0" borderId="0" xfId="20" applyNumberFormat="1" applyFont="1" applyAlignment="1">
      <alignment horizontal="right" vertical="top" wrapText="1"/>
    </xf>
    <xf numFmtId="0" fontId="16" fillId="0" borderId="0" xfId="13" applyAlignment="1"/>
    <xf numFmtId="178" fontId="30" fillId="0" borderId="0" xfId="0" applyNumberFormat="1" applyFont="1" applyBorder="1" applyAlignment="1">
      <alignment horizontal="right"/>
    </xf>
    <xf numFmtId="0" fontId="30" fillId="0" borderId="0" xfId="0" applyFont="1" applyBorder="1" applyAlignment="1">
      <alignment horizontal="right"/>
    </xf>
    <xf numFmtId="170" fontId="35" fillId="0" borderId="0" xfId="20" applyNumberFormat="1" applyFont="1" applyBorder="1"/>
    <xf numFmtId="174" fontId="44" fillId="8" borderId="0" xfId="20" applyNumberFormat="1" applyFont="1" applyFill="1" applyBorder="1"/>
    <xf numFmtId="9" fontId="34" fillId="8" borderId="0" xfId="18" applyNumberFormat="1" applyFont="1" applyFill="1" applyBorder="1"/>
    <xf numFmtId="9" fontId="35" fillId="0" borderId="0" xfId="20" applyNumberFormat="1" applyFont="1" applyFill="1" applyBorder="1"/>
    <xf numFmtId="0" fontId="4" fillId="0" borderId="0" xfId="20" applyNumberFormat="1" applyFont="1"/>
    <xf numFmtId="0" fontId="35" fillId="0" borderId="4" xfId="20" applyFont="1" applyFill="1" applyBorder="1"/>
    <xf numFmtId="1" fontId="27" fillId="0" borderId="2" xfId="20" applyNumberFormat="1" applyFont="1" applyBorder="1"/>
    <xf numFmtId="1" fontId="27" fillId="0" borderId="3" xfId="20" applyNumberFormat="1" applyFont="1" applyBorder="1"/>
    <xf numFmtId="1" fontId="30" fillId="0" borderId="0" xfId="0" applyNumberFormat="1" applyFont="1" applyFill="1" applyAlignment="1">
      <alignment horizontal="right"/>
    </xf>
    <xf numFmtId="37" fontId="30" fillId="0" borderId="0" xfId="0" applyNumberFormat="1" applyFont="1" applyFill="1" applyBorder="1"/>
    <xf numFmtId="37" fontId="30" fillId="0" borderId="0" xfId="0" applyNumberFormat="1" applyFont="1" applyFill="1" applyBorder="1" applyAlignment="1">
      <alignment horizontal="right"/>
    </xf>
    <xf numFmtId="0" fontId="30" fillId="0" borderId="0" xfId="0" applyFont="1" applyFill="1" applyBorder="1"/>
    <xf numFmtId="170" fontId="30" fillId="0" borderId="0" xfId="18" applyNumberFormat="1" applyFont="1" applyFill="1" applyBorder="1" applyAlignment="1">
      <alignment horizontal="right"/>
    </xf>
    <xf numFmtId="1" fontId="30" fillId="0" borderId="0" xfId="0" applyNumberFormat="1" applyFont="1" applyFill="1" applyBorder="1" applyAlignment="1">
      <alignment horizontal="right"/>
    </xf>
    <xf numFmtId="1" fontId="30" fillId="0" borderId="5" xfId="0" applyNumberFormat="1" applyFont="1" applyFill="1" applyBorder="1" applyAlignment="1">
      <alignment horizontal="right"/>
    </xf>
    <xf numFmtId="167" fontId="35" fillId="0" borderId="5" xfId="16" applyNumberFormat="1" applyFont="1" applyFill="1" applyBorder="1"/>
    <xf numFmtId="9" fontId="26" fillId="0" borderId="0" xfId="18" applyFont="1" applyFill="1" applyBorder="1"/>
    <xf numFmtId="2" fontId="35" fillId="0" borderId="5" xfId="20" applyNumberFormat="1" applyFont="1" applyFill="1" applyBorder="1"/>
    <xf numFmtId="170" fontId="36" fillId="0" borderId="5" xfId="18" applyNumberFormat="1" applyFont="1" applyFill="1" applyBorder="1"/>
    <xf numFmtId="43" fontId="35" fillId="8" borderId="0" xfId="20" applyNumberFormat="1" applyFont="1" applyFill="1"/>
    <xf numFmtId="0" fontId="19" fillId="0" borderId="0" xfId="20"/>
    <xf numFmtId="0" fontId="48" fillId="8" borderId="0" xfId="20" applyFont="1" applyFill="1"/>
    <xf numFmtId="0" fontId="19" fillId="0" borderId="0" xfId="20" applyAlignment="1">
      <alignment horizontal="left" vertical="center" indent="1"/>
    </xf>
    <xf numFmtId="0" fontId="46" fillId="9" borderId="4" xfId="20" applyFont="1" applyFill="1" applyBorder="1" applyAlignment="1">
      <alignment wrapText="1"/>
    </xf>
    <xf numFmtId="0" fontId="46" fillId="9" borderId="0" xfId="20" applyFont="1" applyFill="1" applyBorder="1" applyAlignment="1">
      <alignment horizontal="right" wrapText="1"/>
    </xf>
    <xf numFmtId="0" fontId="46" fillId="9" borderId="5" xfId="20" applyFont="1" applyFill="1" applyBorder="1" applyAlignment="1">
      <alignment horizontal="right" wrapText="1"/>
    </xf>
    <xf numFmtId="0" fontId="46" fillId="0" borderId="4" xfId="20" applyFont="1" applyBorder="1" applyAlignment="1">
      <alignment horizontal="left" vertical="top"/>
    </xf>
    <xf numFmtId="0" fontId="39" fillId="0" borderId="0" xfId="20" applyFont="1" applyBorder="1" applyAlignment="1">
      <alignment horizontal="left" vertical="top"/>
    </xf>
    <xf numFmtId="0" fontId="39" fillId="0" borderId="5" xfId="20" applyFont="1" applyBorder="1" applyAlignment="1">
      <alignment horizontal="left" vertical="top"/>
    </xf>
    <xf numFmtId="0" fontId="39" fillId="0" borderId="4" xfId="20" applyFont="1" applyBorder="1" applyAlignment="1">
      <alignment horizontal="left" vertical="top"/>
    </xf>
    <xf numFmtId="164" fontId="39" fillId="0" borderId="0" xfId="20" applyNumberFormat="1" applyFont="1" applyBorder="1" applyAlignment="1">
      <alignment horizontal="right" vertical="top" wrapText="1"/>
    </xf>
    <xf numFmtId="164" fontId="39" fillId="0" borderId="5" xfId="20" applyNumberFormat="1" applyFont="1" applyBorder="1" applyAlignment="1">
      <alignment horizontal="right" vertical="top" wrapText="1"/>
    </xf>
    <xf numFmtId="164" fontId="46" fillId="0" borderId="0" xfId="20" applyNumberFormat="1" applyFont="1" applyBorder="1" applyAlignment="1">
      <alignment horizontal="right" vertical="top" wrapText="1"/>
    </xf>
    <xf numFmtId="164" fontId="46" fillId="0" borderId="5" xfId="20" applyNumberFormat="1" applyFont="1" applyBorder="1" applyAlignment="1">
      <alignment horizontal="right" vertical="top" wrapText="1"/>
    </xf>
    <xf numFmtId="0" fontId="39" fillId="0" borderId="8" xfId="20" applyFont="1" applyBorder="1" applyAlignment="1">
      <alignment horizontal="left" vertical="top"/>
    </xf>
    <xf numFmtId="164" fontId="39" fillId="0" borderId="9" xfId="20" applyNumberFormat="1" applyFont="1" applyBorder="1" applyAlignment="1">
      <alignment horizontal="right" vertical="top" wrapText="1"/>
    </xf>
    <xf numFmtId="164" fontId="39" fillId="0" borderId="10" xfId="20" applyNumberFormat="1" applyFont="1" applyBorder="1" applyAlignment="1">
      <alignment horizontal="right" vertical="top" wrapText="1"/>
    </xf>
    <xf numFmtId="0" fontId="46" fillId="9" borderId="0" xfId="20" applyNumberFormat="1" applyFont="1" applyFill="1" applyBorder="1" applyAlignment="1">
      <alignment horizontal="right" wrapText="1"/>
    </xf>
    <xf numFmtId="0" fontId="46" fillId="9" borderId="5" xfId="20" applyNumberFormat="1" applyFont="1" applyFill="1" applyBorder="1" applyAlignment="1">
      <alignment horizontal="right" wrapText="1"/>
    </xf>
    <xf numFmtId="0" fontId="46" fillId="0" borderId="8" xfId="20" applyFont="1" applyBorder="1" applyAlignment="1">
      <alignment horizontal="left" vertical="top"/>
    </xf>
    <xf numFmtId="164" fontId="46" fillId="0" borderId="9" xfId="20" applyNumberFormat="1" applyFont="1" applyBorder="1" applyAlignment="1">
      <alignment horizontal="right" vertical="top" wrapText="1"/>
    </xf>
    <xf numFmtId="164" fontId="46" fillId="0" borderId="10" xfId="20" applyNumberFormat="1" applyFont="1" applyBorder="1" applyAlignment="1">
      <alignment horizontal="right" vertical="top" wrapText="1"/>
    </xf>
    <xf numFmtId="170" fontId="36" fillId="0" borderId="10" xfId="18" applyNumberFormat="1" applyFont="1" applyFill="1" applyBorder="1"/>
    <xf numFmtId="9" fontId="52" fillId="8" borderId="0" xfId="18" applyFont="1" applyFill="1" applyBorder="1"/>
    <xf numFmtId="9" fontId="52" fillId="0" borderId="0" xfId="18" applyFont="1" applyFill="1" applyBorder="1"/>
    <xf numFmtId="170" fontId="53" fillId="0" borderId="0" xfId="18" applyNumberFormat="1" applyFont="1" applyBorder="1"/>
    <xf numFmtId="170" fontId="53" fillId="0" borderId="5" xfId="18" applyNumberFormat="1" applyFont="1" applyBorder="1"/>
    <xf numFmtId="170" fontId="53" fillId="0" borderId="9" xfId="18" applyNumberFormat="1" applyFont="1" applyBorder="1"/>
    <xf numFmtId="170" fontId="53" fillId="0" borderId="10" xfId="18" applyNumberFormat="1" applyFont="1" applyBorder="1"/>
    <xf numFmtId="14" fontId="47" fillId="0" borderId="5" xfId="20" applyNumberFormat="1" applyFont="1" applyBorder="1"/>
    <xf numFmtId="14" fontId="47" fillId="0" borderId="10" xfId="20" applyNumberFormat="1" applyFont="1" applyBorder="1"/>
    <xf numFmtId="0" fontId="47" fillId="0" borderId="0" xfId="20" applyNumberFormat="1" applyFont="1" applyFill="1" applyBorder="1"/>
    <xf numFmtId="0" fontId="47" fillId="8" borderId="0" xfId="20" applyNumberFormat="1" applyFont="1" applyFill="1" applyBorder="1"/>
    <xf numFmtId="6" fontId="35" fillId="8" borderId="0" xfId="20" applyNumberFormat="1" applyFont="1" applyFill="1" applyBorder="1"/>
    <xf numFmtId="0" fontId="27" fillId="0" borderId="0" xfId="20" applyFont="1" applyBorder="1"/>
    <xf numFmtId="0" fontId="27" fillId="8" borderId="0" xfId="20" applyFont="1" applyFill="1" applyBorder="1"/>
    <xf numFmtId="0" fontId="26" fillId="0" borderId="0" xfId="20" applyFont="1" applyBorder="1"/>
    <xf numFmtId="0" fontId="4" fillId="0" borderId="0" xfId="0" applyFont="1" applyBorder="1"/>
    <xf numFmtId="170" fontId="34" fillId="8" borderId="0" xfId="18" applyNumberFormat="1" applyFont="1" applyFill="1" applyBorder="1"/>
    <xf numFmtId="6" fontId="36" fillId="11" borderId="0" xfId="20" applyNumberFormat="1" applyFont="1" applyFill="1" applyBorder="1"/>
    <xf numFmtId="5" fontId="35" fillId="8" borderId="0" xfId="20" applyNumberFormat="1" applyFont="1" applyFill="1" applyBorder="1"/>
    <xf numFmtId="170" fontId="24" fillId="8" borderId="0" xfId="18" applyNumberFormat="1" applyFont="1" applyFill="1" applyBorder="1" applyAlignment="1">
      <alignment horizontal="center"/>
    </xf>
    <xf numFmtId="181" fontId="30" fillId="0" borderId="0" xfId="0" applyNumberFormat="1" applyFont="1" applyBorder="1"/>
    <xf numFmtId="181" fontId="30" fillId="0" borderId="5" xfId="0" applyNumberFormat="1" applyFont="1" applyBorder="1"/>
    <xf numFmtId="6" fontId="56" fillId="8" borderId="0" xfId="20" applyNumberFormat="1" applyFont="1" applyFill="1" applyBorder="1"/>
    <xf numFmtId="6" fontId="57" fillId="11" borderId="0" xfId="20" applyNumberFormat="1" applyFont="1" applyFill="1" applyBorder="1"/>
    <xf numFmtId="5" fontId="56" fillId="8" borderId="0" xfId="20" applyNumberFormat="1" applyFont="1" applyFill="1" applyBorder="1"/>
    <xf numFmtId="3" fontId="58" fillId="0" borderId="0" xfId="0" applyNumberFormat="1" applyFont="1" applyAlignment="1">
      <alignment horizontal="right"/>
    </xf>
    <xf numFmtId="1" fontId="58" fillId="0" borderId="0" xfId="0" applyNumberFormat="1" applyFont="1" applyFill="1" applyAlignment="1">
      <alignment horizontal="right"/>
    </xf>
    <xf numFmtId="1" fontId="58" fillId="0" borderId="0" xfId="0" applyNumberFormat="1" applyFont="1" applyFill="1" applyBorder="1" applyAlignment="1">
      <alignment horizontal="right"/>
    </xf>
    <xf numFmtId="1" fontId="58" fillId="0" borderId="0" xfId="0" applyNumberFormat="1" applyFont="1" applyAlignment="1">
      <alignment horizontal="right"/>
    </xf>
    <xf numFmtId="37" fontId="58" fillId="0" borderId="0" xfId="0" applyNumberFormat="1" applyFont="1" applyBorder="1"/>
    <xf numFmtId="0" fontId="59" fillId="0" borderId="0" xfId="20" applyFont="1"/>
    <xf numFmtId="14" fontId="60" fillId="8" borderId="17" xfId="0" applyNumberFormat="1" applyFont="1" applyFill="1" applyBorder="1"/>
    <xf numFmtId="182" fontId="40" fillId="8" borderId="14" xfId="0" applyNumberFormat="1" applyFont="1" applyFill="1" applyBorder="1" applyAlignment="1">
      <alignment horizontal="center"/>
    </xf>
    <xf numFmtId="182" fontId="40" fillId="8" borderId="15" xfId="0" applyNumberFormat="1" applyFont="1" applyFill="1" applyBorder="1" applyAlignment="1">
      <alignment horizontal="center"/>
    </xf>
    <xf numFmtId="183" fontId="40" fillId="8" borderId="14" xfId="0" applyNumberFormat="1" applyFont="1" applyFill="1" applyBorder="1" applyAlignment="1">
      <alignment horizontal="center"/>
    </xf>
    <xf numFmtId="184" fontId="35" fillId="0" borderId="0" xfId="20" applyNumberFormat="1" applyFont="1" applyBorder="1" applyAlignment="1">
      <alignment horizontal="right"/>
    </xf>
    <xf numFmtId="185" fontId="35" fillId="0" borderId="0" xfId="20" applyNumberFormat="1" applyFont="1" applyBorder="1" applyAlignment="1">
      <alignment horizontal="right"/>
    </xf>
    <xf numFmtId="184" fontId="61" fillId="0" borderId="0" xfId="20" applyNumberFormat="1" applyFont="1" applyBorder="1" applyAlignment="1">
      <alignment horizontal="center"/>
    </xf>
    <xf numFmtId="185" fontId="61" fillId="0" borderId="0" xfId="20" applyNumberFormat="1" applyFont="1" applyBorder="1" applyAlignment="1">
      <alignment horizontal="center"/>
    </xf>
    <xf numFmtId="5" fontId="57" fillId="11" borderId="0" xfId="17" applyNumberFormat="1" applyFont="1" applyFill="1" applyBorder="1" applyAlignment="1">
      <alignment horizontal="center"/>
    </xf>
    <xf numFmtId="37" fontId="56" fillId="8" borderId="0" xfId="17" applyNumberFormat="1" applyFont="1" applyFill="1" applyBorder="1" applyAlignment="1">
      <alignment horizontal="center"/>
    </xf>
    <xf numFmtId="37" fontId="56" fillId="8" borderId="5" xfId="17" applyNumberFormat="1" applyFont="1" applyFill="1" applyBorder="1" applyAlignment="1">
      <alignment horizontal="center"/>
    </xf>
    <xf numFmtId="5" fontId="57" fillId="11" borderId="5" xfId="17" applyNumberFormat="1" applyFont="1" applyFill="1" applyBorder="1" applyAlignment="1">
      <alignment horizontal="center"/>
    </xf>
    <xf numFmtId="9" fontId="56" fillId="0" borderId="0" xfId="20" applyNumberFormat="1" applyFont="1" applyFill="1" applyBorder="1"/>
    <xf numFmtId="9" fontId="56" fillId="0" borderId="5" xfId="20" applyNumberFormat="1" applyFont="1" applyFill="1" applyBorder="1"/>
    <xf numFmtId="9" fontId="56" fillId="8" borderId="0" xfId="20" applyNumberFormat="1" applyFont="1" applyFill="1" applyBorder="1"/>
    <xf numFmtId="9" fontId="56" fillId="8" borderId="5" xfId="20" applyNumberFormat="1" applyFont="1" applyFill="1" applyBorder="1"/>
    <xf numFmtId="172" fontId="56" fillId="8" borderId="5" xfId="20" applyNumberFormat="1" applyFont="1" applyFill="1" applyBorder="1"/>
    <xf numFmtId="167" fontId="56" fillId="8" borderId="5" xfId="16" applyNumberFormat="1" applyFont="1" applyFill="1" applyBorder="1"/>
    <xf numFmtId="170" fontId="56" fillId="8" borderId="10" xfId="20" applyNumberFormat="1" applyFont="1" applyFill="1" applyBorder="1"/>
    <xf numFmtId="186" fontId="56" fillId="8" borderId="9" xfId="18" applyNumberFormat="1" applyFont="1" applyFill="1" applyBorder="1"/>
    <xf numFmtId="186" fontId="56" fillId="8" borderId="10" xfId="18" applyNumberFormat="1" applyFont="1" applyFill="1" applyBorder="1"/>
    <xf numFmtId="186" fontId="56" fillId="8" borderId="0" xfId="20" applyNumberFormat="1" applyFont="1" applyFill="1" applyBorder="1"/>
    <xf numFmtId="186" fontId="56" fillId="8" borderId="5" xfId="20" applyNumberFormat="1" applyFont="1" applyFill="1" applyBorder="1"/>
    <xf numFmtId="10" fontId="47" fillId="8" borderId="5" xfId="18" applyNumberFormat="1" applyFont="1" applyFill="1" applyBorder="1"/>
    <xf numFmtId="170" fontId="47" fillId="0" borderId="5" xfId="18" applyNumberFormat="1" applyFont="1" applyFill="1" applyBorder="1"/>
    <xf numFmtId="0" fontId="47" fillId="0" borderId="0" xfId="20" applyFont="1" applyBorder="1"/>
    <xf numFmtId="0" fontId="47" fillId="0" borderId="0" xfId="20" applyFont="1" applyFill="1" applyBorder="1"/>
    <xf numFmtId="9" fontId="47" fillId="0" borderId="0" xfId="20" applyNumberFormat="1" applyFont="1" applyBorder="1"/>
    <xf numFmtId="9" fontId="47" fillId="0" borderId="0" xfId="20" applyNumberFormat="1" applyFont="1" applyFill="1" applyBorder="1"/>
    <xf numFmtId="170" fontId="47" fillId="0" borderId="0" xfId="20" applyNumberFormat="1" applyFont="1" applyBorder="1"/>
    <xf numFmtId="9" fontId="47" fillId="9" borderId="9" xfId="20" applyNumberFormat="1" applyFont="1" applyFill="1" applyBorder="1"/>
    <xf numFmtId="2" fontId="47" fillId="9" borderId="10" xfId="20" applyNumberFormat="1" applyFont="1" applyFill="1" applyBorder="1"/>
    <xf numFmtId="6" fontId="47" fillId="0" borderId="0" xfId="20" applyNumberFormat="1" applyFont="1" applyFill="1" applyBorder="1"/>
    <xf numFmtId="6" fontId="47" fillId="9" borderId="9" xfId="20" applyNumberFormat="1" applyFont="1" applyFill="1" applyBorder="1"/>
    <xf numFmtId="6" fontId="47" fillId="0" borderId="0" xfId="20" applyNumberFormat="1" applyFont="1" applyBorder="1"/>
    <xf numFmtId="2" fontId="47" fillId="9" borderId="9" xfId="20" applyNumberFormat="1" applyFont="1" applyFill="1" applyBorder="1"/>
    <xf numFmtId="0" fontId="63" fillId="0" borderId="0" xfId="20" applyFont="1"/>
    <xf numFmtId="170" fontId="35" fillId="8" borderId="5" xfId="20" applyNumberFormat="1" applyFont="1" applyFill="1" applyBorder="1"/>
    <xf numFmtId="170" fontId="35" fillId="8" borderId="5" xfId="18" applyNumberFormat="1" applyFont="1" applyFill="1" applyBorder="1"/>
    <xf numFmtId="6" fontId="35" fillId="8" borderId="5" xfId="16" applyNumberFormat="1" applyFont="1" applyFill="1" applyBorder="1"/>
    <xf numFmtId="170" fontId="47" fillId="8" borderId="10" xfId="20" applyNumberFormat="1" applyFont="1" applyFill="1" applyBorder="1"/>
    <xf numFmtId="0" fontId="54" fillId="0" borderId="0" xfId="30"/>
    <xf numFmtId="43" fontId="64" fillId="8" borderId="0" xfId="16" applyNumberFormat="1" applyFont="1" applyFill="1" applyBorder="1" applyAlignment="1">
      <alignment horizontal="right" vertical="top"/>
    </xf>
    <xf numFmtId="0" fontId="0" fillId="0" borderId="0" xfId="0"/>
    <xf numFmtId="170" fontId="24" fillId="8" borderId="2" xfId="18" applyNumberFormat="1" applyFont="1" applyFill="1" applyBorder="1" applyAlignment="1">
      <alignment horizontal="center"/>
    </xf>
    <xf numFmtId="171" fontId="24" fillId="8" borderId="3" xfId="21" applyNumberFormat="1" applyFont="1" applyFill="1" applyBorder="1" applyAlignment="1">
      <alignment horizontal="center"/>
    </xf>
    <xf numFmtId="171" fontId="24" fillId="8" borderId="5" xfId="21" applyNumberFormat="1" applyFont="1" applyFill="1" applyBorder="1" applyAlignment="1">
      <alignment horizontal="center"/>
    </xf>
    <xf numFmtId="169" fontId="24" fillId="8" borderId="5" xfId="21" applyNumberFormat="1" applyFont="1" applyFill="1" applyBorder="1" applyAlignment="1">
      <alignment horizontal="center"/>
    </xf>
    <xf numFmtId="0" fontId="34" fillId="0" borderId="4" xfId="20" applyFont="1" applyBorder="1"/>
    <xf numFmtId="185" fontId="61" fillId="0" borderId="5" xfId="20" applyNumberFormat="1" applyFont="1" applyBorder="1" applyAlignment="1">
      <alignment horizontal="center"/>
    </xf>
    <xf numFmtId="185" fontId="35" fillId="0" borderId="5" xfId="20" applyNumberFormat="1" applyFont="1" applyBorder="1" applyAlignment="1">
      <alignment horizontal="right"/>
    </xf>
    <xf numFmtId="0" fontId="36" fillId="11" borderId="4" xfId="20" applyFont="1" applyFill="1" applyBorder="1"/>
    <xf numFmtId="0" fontId="35" fillId="0" borderId="4" xfId="20" applyFont="1" applyBorder="1" applyAlignment="1">
      <alignment horizontal="left" indent="1"/>
    </xf>
    <xf numFmtId="0" fontId="4" fillId="0" borderId="4" xfId="0" applyFont="1" applyBorder="1"/>
    <xf numFmtId="0" fontId="4" fillId="0" borderId="5" xfId="0" applyFont="1" applyBorder="1"/>
    <xf numFmtId="5" fontId="66" fillId="8" borderId="0" xfId="20" applyNumberFormat="1" applyFont="1" applyFill="1" applyBorder="1"/>
    <xf numFmtId="5" fontId="65" fillId="11" borderId="0" xfId="20" applyNumberFormat="1" applyFont="1" applyFill="1" applyBorder="1"/>
    <xf numFmtId="0" fontId="23" fillId="0" borderId="0" xfId="20" applyFont="1"/>
    <xf numFmtId="186" fontId="35" fillId="8" borderId="0" xfId="20" applyNumberFormat="1" applyFont="1" applyFill="1" applyBorder="1"/>
    <xf numFmtId="186" fontId="47" fillId="8" borderId="0" xfId="20" applyNumberFormat="1" applyFont="1" applyFill="1" applyBorder="1"/>
    <xf numFmtId="166" fontId="35" fillId="8" borderId="5" xfId="20" applyNumberFormat="1" applyFont="1" applyFill="1" applyBorder="1"/>
    <xf numFmtId="0" fontId="27" fillId="0" borderId="5" xfId="20" applyFont="1" applyBorder="1"/>
    <xf numFmtId="6" fontId="35" fillId="8" borderId="5" xfId="20" applyNumberFormat="1" applyFont="1" applyFill="1" applyBorder="1"/>
    <xf numFmtId="0" fontId="34" fillId="0" borderId="4" xfId="20" applyFont="1" applyBorder="1" applyAlignment="1">
      <alignment horizontal="left" indent="1"/>
    </xf>
    <xf numFmtId="9" fontId="52" fillId="8" borderId="5" xfId="18" applyFont="1" applyFill="1" applyBorder="1"/>
    <xf numFmtId="6" fontId="36" fillId="11" borderId="5" xfId="20" applyNumberFormat="1" applyFont="1" applyFill="1" applyBorder="1"/>
    <xf numFmtId="9" fontId="34" fillId="8" borderId="5" xfId="18" applyNumberFormat="1" applyFont="1" applyFill="1" applyBorder="1"/>
    <xf numFmtId="5" fontId="35" fillId="8" borderId="5" xfId="20" applyNumberFormat="1" applyFont="1" applyFill="1" applyBorder="1"/>
    <xf numFmtId="5" fontId="66" fillId="8" borderId="5" xfId="20" applyNumberFormat="1" applyFont="1" applyFill="1" applyBorder="1"/>
    <xf numFmtId="9" fontId="34" fillId="8" borderId="5" xfId="18" applyFont="1" applyFill="1" applyBorder="1"/>
    <xf numFmtId="5" fontId="65" fillId="11" borderId="5" xfId="20" applyNumberFormat="1" applyFont="1" applyFill="1" applyBorder="1"/>
    <xf numFmtId="9" fontId="52" fillId="0" borderId="5" xfId="18" applyFont="1" applyFill="1" applyBorder="1"/>
    <xf numFmtId="174" fontId="35" fillId="8" borderId="5" xfId="20" applyNumberFormat="1" applyFont="1" applyFill="1" applyBorder="1"/>
    <xf numFmtId="0" fontId="47" fillId="8" borderId="5" xfId="20" applyNumberFormat="1" applyFont="1" applyFill="1" applyBorder="1"/>
    <xf numFmtId="0" fontId="35" fillId="8" borderId="5" xfId="20" applyNumberFormat="1" applyFont="1" applyFill="1" applyBorder="1"/>
    <xf numFmtId="0" fontId="24" fillId="0" borderId="0" xfId="25" applyFont="1" applyAlignment="1">
      <alignment horizontal="right"/>
    </xf>
    <xf numFmtId="0" fontId="24" fillId="0" borderId="0" xfId="25" applyFont="1"/>
    <xf numFmtId="0" fontId="10" fillId="0" borderId="0" xfId="31" applyFont="1" applyAlignment="1">
      <alignment horizontal="left" vertical="top" wrapText="1"/>
    </xf>
    <xf numFmtId="0" fontId="10" fillId="0" borderId="0" xfId="31" applyFont="1" applyAlignment="1">
      <alignment horizontal="right" vertical="top" wrapText="1"/>
    </xf>
    <xf numFmtId="0" fontId="11" fillId="0" borderId="0" xfId="31" applyFont="1" applyAlignment="1">
      <alignment horizontal="left" vertical="top" wrapText="1"/>
    </xf>
    <xf numFmtId="0" fontId="11" fillId="0" borderId="0" xfId="31" applyFont="1" applyAlignment="1">
      <alignment horizontal="right" vertical="top" wrapText="1"/>
    </xf>
    <xf numFmtId="9" fontId="56" fillId="0" borderId="2" xfId="20" applyNumberFormat="1" applyFont="1" applyFill="1" applyBorder="1"/>
    <xf numFmtId="3" fontId="58" fillId="0" borderId="0" xfId="0" applyNumberFormat="1" applyFont="1" applyBorder="1" applyAlignment="1">
      <alignment horizontal="right"/>
    </xf>
    <xf numFmtId="37" fontId="58" fillId="0" borderId="0" xfId="0" applyNumberFormat="1" applyFont="1" applyFill="1" applyBorder="1" applyAlignment="1">
      <alignment horizontal="right"/>
    </xf>
    <xf numFmtId="170" fontId="32" fillId="0" borderId="0" xfId="18" applyNumberFormat="1" applyFont="1" applyFill="1" applyBorder="1"/>
    <xf numFmtId="1" fontId="58" fillId="0" borderId="0" xfId="0" applyNumberFormat="1" applyFont="1" applyBorder="1" applyAlignment="1">
      <alignment horizontal="right"/>
    </xf>
    <xf numFmtId="37" fontId="58" fillId="0" borderId="0" xfId="0" applyNumberFormat="1" applyFont="1" applyBorder="1" applyAlignment="1">
      <alignment horizontal="right"/>
    </xf>
    <xf numFmtId="9" fontId="43" fillId="0" borderId="1" xfId="18" applyFont="1" applyBorder="1"/>
    <xf numFmtId="9" fontId="43" fillId="0" borderId="8" xfId="18" applyFont="1" applyBorder="1"/>
    <xf numFmtId="0" fontId="31" fillId="11" borderId="4" xfId="0" applyFont="1" applyFill="1" applyBorder="1"/>
    <xf numFmtId="0" fontId="30" fillId="11" borderId="0" xfId="0" applyFont="1" applyFill="1" applyBorder="1"/>
    <xf numFmtId="0" fontId="30" fillId="11" borderId="22" xfId="0" applyFont="1" applyFill="1" applyBorder="1"/>
    <xf numFmtId="0" fontId="30" fillId="11" borderId="0" xfId="0" applyFont="1" applyFill="1"/>
    <xf numFmtId="0" fontId="30" fillId="11" borderId="5" xfId="0" applyFont="1" applyFill="1" applyBorder="1"/>
    <xf numFmtId="0" fontId="30" fillId="11" borderId="0" xfId="0" applyFont="1" applyFill="1" applyBorder="1" applyAlignment="1">
      <alignment horizontal="right"/>
    </xf>
    <xf numFmtId="168" fontId="35" fillId="8" borderId="0" xfId="20" applyNumberFormat="1" applyFont="1" applyFill="1" applyBorder="1" applyAlignment="1">
      <alignment horizontal="center"/>
    </xf>
    <xf numFmtId="168" fontId="35" fillId="8" borderId="5" xfId="20" applyNumberFormat="1" applyFont="1" applyFill="1" applyBorder="1" applyAlignment="1">
      <alignment horizontal="center"/>
    </xf>
    <xf numFmtId="168" fontId="35" fillId="11" borderId="0" xfId="20" applyNumberFormat="1" applyFont="1" applyFill="1" applyBorder="1" applyAlignment="1">
      <alignment horizontal="center"/>
    </xf>
    <xf numFmtId="168" fontId="35" fillId="7" borderId="0" xfId="20" applyNumberFormat="1" applyFont="1" applyFill="1" applyBorder="1" applyAlignment="1">
      <alignment horizontal="center"/>
    </xf>
    <xf numFmtId="168" fontId="35" fillId="8" borderId="9" xfId="20" applyNumberFormat="1" applyFont="1" applyFill="1" applyBorder="1" applyAlignment="1">
      <alignment horizontal="center"/>
    </xf>
    <xf numFmtId="168" fontId="35" fillId="8" borderId="10" xfId="20" applyNumberFormat="1" applyFont="1" applyFill="1" applyBorder="1" applyAlignment="1">
      <alignment horizontal="center"/>
    </xf>
    <xf numFmtId="173" fontId="35" fillId="8" borderId="0" xfId="20" applyNumberFormat="1" applyFont="1" applyFill="1" applyBorder="1" applyAlignment="1">
      <alignment horizontal="center"/>
    </xf>
    <xf numFmtId="173" fontId="35" fillId="8" borderId="5" xfId="20" applyNumberFormat="1" applyFont="1" applyFill="1" applyBorder="1" applyAlignment="1">
      <alignment horizontal="center"/>
    </xf>
    <xf numFmtId="0" fontId="66" fillId="0" borderId="0" xfId="25" applyFont="1"/>
    <xf numFmtId="0" fontId="68" fillId="0" borderId="0" xfId="31" applyFont="1" applyAlignment="1">
      <alignment horizontal="left" vertical="top" wrapText="1"/>
    </xf>
    <xf numFmtId="187" fontId="69" fillId="0" borderId="0" xfId="31" applyNumberFormat="1" applyFont="1" applyAlignment="1">
      <alignment horizontal="left" vertical="top" wrapText="1"/>
    </xf>
    <xf numFmtId="0" fontId="37" fillId="12" borderId="4" xfId="25" applyFont="1" applyFill="1" applyBorder="1" applyAlignment="1">
      <alignment horizontal="centerContinuous"/>
    </xf>
    <xf numFmtId="0" fontId="37" fillId="12" borderId="0" xfId="25" applyFont="1" applyFill="1" applyAlignment="1">
      <alignment horizontal="centerContinuous"/>
    </xf>
    <xf numFmtId="0" fontId="37" fillId="12" borderId="0" xfId="25" applyFont="1" applyFill="1" applyAlignment="1">
      <alignment horizontal="center"/>
    </xf>
    <xf numFmtId="0" fontId="37" fillId="12" borderId="0" xfId="25" applyFont="1" applyFill="1" applyAlignment="1">
      <alignment horizontal="right"/>
    </xf>
    <xf numFmtId="0" fontId="37" fillId="12" borderId="5" xfId="25" applyFont="1" applyFill="1" applyBorder="1" applyAlignment="1">
      <alignment horizontal="left"/>
    </xf>
    <xf numFmtId="188" fontId="66" fillId="0" borderId="4" xfId="25" applyNumberFormat="1" applyFont="1" applyBorder="1" applyAlignment="1">
      <alignment horizontal="center"/>
    </xf>
    <xf numFmtId="0" fontId="66" fillId="0" borderId="0" xfId="25" applyFont="1" applyAlignment="1">
      <alignment horizontal="centerContinuous"/>
    </xf>
    <xf numFmtId="0" fontId="66" fillId="0" borderId="0" xfId="25" applyFont="1" applyAlignment="1">
      <alignment horizontal="center"/>
    </xf>
    <xf numFmtId="169" fontId="66" fillId="0" borderId="0" xfId="25" applyNumberFormat="1" applyFont="1" applyAlignment="1">
      <alignment horizontal="center"/>
    </xf>
    <xf numFmtId="37" fontId="66" fillId="0" borderId="5" xfId="25" applyNumberFormat="1" applyFont="1" applyBorder="1" applyAlignment="1">
      <alignment horizontal="center"/>
    </xf>
    <xf numFmtId="0" fontId="66" fillId="0" borderId="21" xfId="25" applyFont="1" applyBorder="1"/>
    <xf numFmtId="0" fontId="66" fillId="0" borderId="22" xfId="25" applyFont="1" applyBorder="1"/>
    <xf numFmtId="169" fontId="66" fillId="0" borderId="22" xfId="25" applyNumberFormat="1" applyFont="1" applyBorder="1" applyAlignment="1">
      <alignment horizontal="center"/>
    </xf>
    <xf numFmtId="37" fontId="66" fillId="0" borderId="23" xfId="25" applyNumberFormat="1" applyFont="1" applyBorder="1" applyAlignment="1">
      <alignment horizontal="center"/>
    </xf>
    <xf numFmtId="0" fontId="66" fillId="0" borderId="4" xfId="25" applyFont="1" applyBorder="1"/>
    <xf numFmtId="0" fontId="66" fillId="0" borderId="8" xfId="25" applyFont="1" applyBorder="1"/>
    <xf numFmtId="0" fontId="66" fillId="0" borderId="9" xfId="25" applyFont="1" applyBorder="1"/>
    <xf numFmtId="169" fontId="66" fillId="0" borderId="9" xfId="25" applyNumberFormat="1" applyFont="1" applyBorder="1" applyAlignment="1">
      <alignment horizontal="center"/>
    </xf>
    <xf numFmtId="169" fontId="66" fillId="0" borderId="9" xfId="25" applyNumberFormat="1" applyFont="1" applyBorder="1" applyAlignment="1">
      <alignment horizontal="center" vertical="top"/>
    </xf>
    <xf numFmtId="37" fontId="66" fillId="0" borderId="10" xfId="25" applyNumberFormat="1" applyFont="1" applyBorder="1" applyAlignment="1">
      <alignment horizontal="center"/>
    </xf>
    <xf numFmtId="0" fontId="66" fillId="0" borderId="0" xfId="25" applyFont="1" applyAlignment="1">
      <alignment horizontal="right"/>
    </xf>
    <xf numFmtId="169" fontId="66" fillId="0" borderId="23" xfId="25" applyNumberFormat="1" applyFont="1" applyBorder="1" applyAlignment="1">
      <alignment horizontal="right"/>
    </xf>
    <xf numFmtId="5" fontId="56" fillId="0" borderId="5" xfId="25" applyNumberFormat="1" applyFont="1" applyBorder="1" applyAlignment="1">
      <alignment horizontal="right"/>
    </xf>
    <xf numFmtId="5" fontId="35" fillId="0" borderId="5" xfId="25" applyNumberFormat="1" applyFont="1" applyBorder="1" applyAlignment="1">
      <alignment horizontal="right"/>
    </xf>
    <xf numFmtId="5" fontId="66" fillId="0" borderId="5" xfId="25" applyNumberFormat="1" applyFont="1" applyBorder="1" applyAlignment="1">
      <alignment horizontal="right"/>
    </xf>
    <xf numFmtId="3" fontId="66" fillId="0" borderId="13" xfId="25" applyNumberFormat="1" applyFont="1" applyBorder="1" applyAlignment="1">
      <alignment horizontal="right"/>
    </xf>
    <xf numFmtId="3" fontId="35" fillId="0" borderId="13" xfId="25" applyNumberFormat="1" applyFont="1" applyBorder="1" applyAlignment="1">
      <alignment horizontal="right"/>
    </xf>
    <xf numFmtId="0" fontId="66" fillId="0" borderId="4" xfId="32" applyFont="1" applyFill="1" applyBorder="1"/>
    <xf numFmtId="0" fontId="66" fillId="0" borderId="0" xfId="32" applyFont="1" applyFill="1" applyBorder="1"/>
    <xf numFmtId="37" fontId="56" fillId="0" borderId="5" xfId="32" applyNumberFormat="1" applyFont="1" applyFill="1" applyBorder="1" applyAlignment="1">
      <alignment horizontal="right"/>
    </xf>
    <xf numFmtId="37" fontId="35" fillId="0" borderId="5" xfId="32" applyNumberFormat="1" applyFont="1" applyFill="1" applyBorder="1" applyAlignment="1">
      <alignment horizontal="right"/>
    </xf>
    <xf numFmtId="37" fontId="66" fillId="0" borderId="5" xfId="25" applyNumberFormat="1" applyFont="1" applyBorder="1" applyAlignment="1">
      <alignment horizontal="right"/>
    </xf>
    <xf numFmtId="37" fontId="35" fillId="0" borderId="5" xfId="25" applyNumberFormat="1" applyFont="1" applyBorder="1" applyAlignment="1">
      <alignment horizontal="right"/>
    </xf>
    <xf numFmtId="37" fontId="65" fillId="0" borderId="24" xfId="27" applyNumberFormat="1" applyFont="1" applyBorder="1" applyAlignment="1">
      <alignment horizontal="right"/>
    </xf>
    <xf numFmtId="37" fontId="36" fillId="0" borderId="24" xfId="27" applyNumberFormat="1" applyFont="1" applyBorder="1" applyAlignment="1">
      <alignment horizontal="right"/>
    </xf>
    <xf numFmtId="37" fontId="56" fillId="0" borderId="5" xfId="25" applyNumberFormat="1" applyFont="1" applyBorder="1" applyAlignment="1">
      <alignment horizontal="right"/>
    </xf>
    <xf numFmtId="0" fontId="33" fillId="12" borderId="25" xfId="33" applyFont="1" applyFill="1" applyBorder="1"/>
    <xf numFmtId="0" fontId="33" fillId="12" borderId="26" xfId="33" applyFont="1" applyFill="1" applyBorder="1"/>
    <xf numFmtId="44" fontId="36" fillId="12" borderId="27" xfId="33" applyNumberFormat="1" applyFont="1" applyFill="1" applyBorder="1" applyAlignment="1">
      <alignment horizontal="right"/>
    </xf>
    <xf numFmtId="37" fontId="66" fillId="0" borderId="0" xfId="25" applyNumberFormat="1" applyFont="1" applyAlignment="1">
      <alignment horizontal="right"/>
    </xf>
    <xf numFmtId="169" fontId="35" fillId="0" borderId="5" xfId="25" applyNumberFormat="1" applyFont="1" applyBorder="1" applyAlignment="1">
      <alignment horizontal="right"/>
    </xf>
    <xf numFmtId="0" fontId="33" fillId="12" borderId="8" xfId="33" applyFont="1" applyFill="1" applyBorder="1"/>
    <xf numFmtId="0" fontId="33" fillId="12" borderId="9" xfId="33" applyFont="1" applyFill="1" applyBorder="1"/>
    <xf numFmtId="44" fontId="36" fillId="12" borderId="10" xfId="33" applyNumberFormat="1" applyFont="1" applyFill="1" applyBorder="1" applyAlignment="1">
      <alignment horizontal="right"/>
    </xf>
    <xf numFmtId="169" fontId="35" fillId="0" borderId="23" xfId="25" applyNumberFormat="1" applyFont="1" applyBorder="1" applyAlignment="1">
      <alignment horizontal="right"/>
    </xf>
    <xf numFmtId="0" fontId="70" fillId="0" borderId="0" xfId="0" applyFont="1" applyAlignment="1">
      <alignment horizontal="left"/>
    </xf>
    <xf numFmtId="0" fontId="71" fillId="0" borderId="0" xfId="0" applyFont="1" applyAlignment="1">
      <alignment horizontal="left"/>
    </xf>
    <xf numFmtId="0" fontId="72" fillId="0" borderId="0" xfId="0" applyFont="1" applyAlignment="1">
      <alignment horizontal="left"/>
    </xf>
    <xf numFmtId="8" fontId="74" fillId="7" borderId="6" xfId="21" applyNumberFormat="1" applyFont="1" applyFill="1" applyBorder="1" applyAlignment="1">
      <alignment horizontal="center" wrapText="1"/>
    </xf>
    <xf numFmtId="0" fontId="74" fillId="7" borderId="6" xfId="21" applyFont="1" applyFill="1" applyBorder="1" applyAlignment="1">
      <alignment horizontal="center" wrapText="1"/>
    </xf>
    <xf numFmtId="0" fontId="24" fillId="8" borderId="1" xfId="21" applyFont="1" applyFill="1" applyBorder="1" applyAlignment="1">
      <alignment horizontal="left" vertical="top" wrapText="1"/>
    </xf>
    <xf numFmtId="167" fontId="24" fillId="8" borderId="2" xfId="16" applyNumberFormat="1" applyFont="1" applyFill="1" applyBorder="1" applyAlignment="1">
      <alignment horizontal="center" vertical="top" wrapText="1"/>
    </xf>
    <xf numFmtId="169" fontId="24" fillId="8" borderId="2" xfId="17" applyNumberFormat="1" applyFont="1" applyFill="1" applyBorder="1" applyAlignment="1">
      <alignment horizontal="center" vertical="top" wrapText="1"/>
    </xf>
    <xf numFmtId="165" fontId="24" fillId="8" borderId="2" xfId="21" applyNumberFormat="1" applyFont="1" applyFill="1" applyBorder="1" applyAlignment="1">
      <alignment horizontal="center" vertical="top" wrapText="1"/>
    </xf>
    <xf numFmtId="169" fontId="24" fillId="8" borderId="2" xfId="16" applyNumberFormat="1" applyFont="1" applyFill="1" applyBorder="1" applyAlignment="1">
      <alignment horizontal="center" vertical="top" wrapText="1"/>
    </xf>
    <xf numFmtId="170" fontId="24" fillId="8" borderId="2" xfId="21" applyNumberFormat="1" applyFont="1" applyFill="1" applyBorder="1" applyAlignment="1">
      <alignment horizontal="center" vertical="top" wrapText="1"/>
    </xf>
    <xf numFmtId="0" fontId="24" fillId="8" borderId="4" xfId="21" applyFont="1" applyFill="1" applyBorder="1" applyAlignment="1">
      <alignment horizontal="left" vertical="top" wrapText="1"/>
    </xf>
    <xf numFmtId="167" fontId="24" fillId="8" borderId="0" xfId="16" applyNumberFormat="1" applyFont="1" applyFill="1" applyBorder="1" applyAlignment="1">
      <alignment horizontal="center" vertical="top" wrapText="1"/>
    </xf>
    <xf numFmtId="169" fontId="24" fillId="8" borderId="0" xfId="17" applyNumberFormat="1" applyFont="1" applyFill="1" applyBorder="1" applyAlignment="1">
      <alignment horizontal="center" vertical="top" wrapText="1"/>
    </xf>
    <xf numFmtId="165" fontId="24" fillId="8" borderId="0" xfId="21" applyNumberFormat="1" applyFont="1" applyFill="1" applyBorder="1" applyAlignment="1">
      <alignment horizontal="center" vertical="top" wrapText="1"/>
    </xf>
    <xf numFmtId="169" fontId="24" fillId="8" borderId="0" xfId="16" applyNumberFormat="1" applyFont="1" applyFill="1" applyBorder="1" applyAlignment="1">
      <alignment horizontal="center" vertical="top" wrapText="1"/>
    </xf>
    <xf numFmtId="170" fontId="24" fillId="8" borderId="0" xfId="21" applyNumberFormat="1" applyFont="1" applyFill="1" applyBorder="1" applyAlignment="1">
      <alignment horizontal="center" vertical="top" wrapText="1"/>
    </xf>
    <xf numFmtId="0" fontId="24" fillId="7" borderId="4" xfId="21" applyFont="1" applyFill="1" applyBorder="1"/>
    <xf numFmtId="167" fontId="24" fillId="7" borderId="0" xfId="16" applyNumberFormat="1" applyFont="1" applyFill="1" applyBorder="1" applyAlignment="1">
      <alignment horizontal="center"/>
    </xf>
    <xf numFmtId="169" fontId="24" fillId="7" borderId="0" xfId="17" applyNumberFormat="1" applyFont="1" applyFill="1" applyBorder="1" applyAlignment="1">
      <alignment horizontal="center"/>
    </xf>
    <xf numFmtId="170" fontId="24" fillId="7" borderId="0" xfId="16" applyNumberFormat="1" applyFont="1" applyFill="1" applyBorder="1" applyAlignment="1">
      <alignment horizontal="center"/>
    </xf>
    <xf numFmtId="173" fontId="24" fillId="7" borderId="5" xfId="16" applyNumberFormat="1" applyFont="1" applyFill="1" applyBorder="1" applyAlignment="1">
      <alignment horizontal="center"/>
    </xf>
    <xf numFmtId="172" fontId="24" fillId="7" borderId="0" xfId="16" applyNumberFormat="1" applyFont="1" applyFill="1" applyBorder="1" applyAlignment="1">
      <alignment horizontal="center"/>
    </xf>
    <xf numFmtId="169" fontId="24" fillId="7" borderId="0" xfId="16" applyNumberFormat="1" applyFont="1" applyFill="1" applyBorder="1" applyAlignment="1">
      <alignment horizontal="center"/>
    </xf>
    <xf numFmtId="170" fontId="24" fillId="7" borderId="0" xfId="18" applyNumberFormat="1" applyFont="1" applyFill="1" applyBorder="1" applyAlignment="1">
      <alignment horizontal="center"/>
    </xf>
    <xf numFmtId="0" fontId="24" fillId="7" borderId="8" xfId="21" applyFont="1" applyFill="1" applyBorder="1"/>
    <xf numFmtId="167" fontId="24" fillId="7" borderId="9" xfId="16" applyNumberFormat="1" applyFont="1" applyFill="1" applyBorder="1" applyAlignment="1">
      <alignment horizontal="center"/>
    </xf>
    <xf numFmtId="169" fontId="24" fillId="7" borderId="9" xfId="17" applyNumberFormat="1" applyFont="1" applyFill="1" applyBorder="1" applyAlignment="1">
      <alignment horizontal="center"/>
    </xf>
    <xf numFmtId="172" fontId="24" fillId="7" borderId="9" xfId="16" applyNumberFormat="1" applyFont="1" applyFill="1" applyBorder="1" applyAlignment="1">
      <alignment horizontal="center"/>
    </xf>
    <xf numFmtId="169" fontId="24" fillId="7" borderId="9" xfId="16" applyNumberFormat="1" applyFont="1" applyFill="1" applyBorder="1" applyAlignment="1">
      <alignment horizontal="center"/>
    </xf>
    <xf numFmtId="170" fontId="24" fillId="7" borderId="9" xfId="16" applyNumberFormat="1" applyFont="1" applyFill="1" applyBorder="1" applyAlignment="1">
      <alignment horizontal="center"/>
    </xf>
    <xf numFmtId="170" fontId="24" fillId="7" borderId="9" xfId="18" applyNumberFormat="1" applyFont="1" applyFill="1" applyBorder="1" applyAlignment="1">
      <alignment horizontal="center"/>
    </xf>
    <xf numFmtId="173" fontId="24" fillId="7" borderId="10" xfId="16" applyNumberFormat="1" applyFont="1" applyFill="1" applyBorder="1" applyAlignment="1">
      <alignment horizontal="center"/>
    </xf>
    <xf numFmtId="8" fontId="74" fillId="7" borderId="11" xfId="21" applyNumberFormat="1" applyFont="1" applyFill="1" applyBorder="1" applyAlignment="1">
      <alignment horizontal="left" wrapText="1"/>
    </xf>
    <xf numFmtId="0" fontId="74" fillId="7" borderId="7" xfId="21" applyFont="1" applyFill="1" applyBorder="1" applyAlignment="1">
      <alignment horizontal="center" wrapText="1"/>
    </xf>
    <xf numFmtId="0" fontId="19" fillId="0" borderId="4" xfId="20" applyBorder="1" applyAlignment="1">
      <alignment horizontal="left" vertical="center" wrapText="1" indent="1"/>
    </xf>
    <xf numFmtId="179" fontId="49" fillId="0" borderId="0" xfId="20" applyNumberFormat="1" applyFont="1" applyBorder="1" applyAlignment="1">
      <alignment horizontal="right" vertical="center" indent="2"/>
    </xf>
    <xf numFmtId="179" fontId="19" fillId="0" borderId="0" xfId="20" applyNumberFormat="1" applyBorder="1" applyAlignment="1">
      <alignment horizontal="right" vertical="center" indent="2"/>
    </xf>
    <xf numFmtId="179" fontId="19" fillId="0" borderId="5" xfId="20" applyNumberFormat="1" applyBorder="1" applyAlignment="1">
      <alignment horizontal="right" vertical="center" indent="2"/>
    </xf>
    <xf numFmtId="0" fontId="19" fillId="0" borderId="4" xfId="20" applyBorder="1"/>
    <xf numFmtId="180" fontId="19" fillId="0" borderId="0" xfId="20" applyNumberFormat="1" applyBorder="1"/>
    <xf numFmtId="0" fontId="19" fillId="0" borderId="0" xfId="20" applyBorder="1"/>
    <xf numFmtId="0" fontId="19" fillId="0" borderId="5" xfId="20" applyBorder="1"/>
    <xf numFmtId="0" fontId="19" fillId="0" borderId="8" xfId="20" applyBorder="1"/>
    <xf numFmtId="0" fontId="19" fillId="0" borderId="9" xfId="20" applyBorder="1"/>
    <xf numFmtId="0" fontId="19" fillId="0" borderId="10" xfId="20" applyBorder="1"/>
    <xf numFmtId="0" fontId="75" fillId="8" borderId="1" xfId="20" applyFont="1" applyFill="1" applyBorder="1" applyAlignment="1">
      <alignment horizontal="left" vertical="center" indent="1"/>
    </xf>
    <xf numFmtId="8" fontId="76" fillId="8" borderId="0" xfId="17" applyNumberFormat="1" applyFont="1" applyFill="1" applyBorder="1" applyAlignment="1">
      <alignment horizontal="center" vertical="top" wrapText="1"/>
    </xf>
    <xf numFmtId="8" fontId="77" fillId="8" borderId="0" xfId="17" applyNumberFormat="1" applyFont="1" applyFill="1" applyBorder="1" applyAlignment="1">
      <alignment horizontal="center" vertical="top" wrapText="1"/>
    </xf>
    <xf numFmtId="179" fontId="78" fillId="8" borderId="2" xfId="20" applyNumberFormat="1" applyFont="1" applyFill="1" applyBorder="1" applyAlignment="1">
      <alignment horizontal="right" vertical="center" indent="2"/>
    </xf>
    <xf numFmtId="179" fontId="79" fillId="8" borderId="3" xfId="20" applyNumberFormat="1" applyFont="1" applyFill="1" applyBorder="1" applyAlignment="1">
      <alignment horizontal="right" vertical="center" indent="2"/>
    </xf>
    <xf numFmtId="0" fontId="75" fillId="8" borderId="4" xfId="20" applyFont="1" applyFill="1" applyBorder="1" applyAlignment="1">
      <alignment horizontal="left" vertical="center" wrapText="1" indent="1"/>
    </xf>
    <xf numFmtId="179" fontId="78" fillId="8" borderId="0" xfId="20" applyNumberFormat="1" applyFont="1" applyFill="1" applyBorder="1" applyAlignment="1">
      <alignment horizontal="right" vertical="center" indent="2"/>
    </xf>
    <xf numFmtId="179" fontId="79" fillId="8" borderId="5" xfId="20" applyNumberFormat="1" applyFont="1" applyFill="1" applyBorder="1" applyAlignment="1">
      <alignment horizontal="right" vertical="center" indent="2"/>
    </xf>
    <xf numFmtId="0" fontId="75" fillId="8" borderId="8" xfId="20" applyFont="1" applyFill="1" applyBorder="1" applyAlignment="1">
      <alignment horizontal="left" vertical="center" wrapText="1" indent="1"/>
    </xf>
    <xf numFmtId="8" fontId="77" fillId="8" borderId="9" xfId="17" applyNumberFormat="1" applyFont="1" applyFill="1" applyBorder="1" applyAlignment="1">
      <alignment horizontal="center" vertical="top" wrapText="1"/>
    </xf>
    <xf numFmtId="8" fontId="80" fillId="8" borderId="9" xfId="17" applyNumberFormat="1" applyFont="1" applyFill="1" applyBorder="1" applyAlignment="1">
      <alignment horizontal="center" vertical="top" wrapText="1"/>
    </xf>
    <xf numFmtId="179" fontId="78" fillId="8" borderId="9" xfId="20" applyNumberFormat="1" applyFont="1" applyFill="1" applyBorder="1" applyAlignment="1">
      <alignment horizontal="right" vertical="center" indent="2"/>
    </xf>
    <xf numFmtId="179" fontId="79" fillId="8" borderId="10" xfId="20" applyNumberFormat="1" applyFont="1" applyFill="1" applyBorder="1" applyAlignment="1">
      <alignment horizontal="right" vertical="center" indent="2"/>
    </xf>
    <xf numFmtId="0" fontId="33" fillId="13" borderId="11" xfId="20" applyFont="1" applyFill="1" applyBorder="1"/>
    <xf numFmtId="183" fontId="33" fillId="13" borderId="6" xfId="20" applyNumberFormat="1" applyFont="1" applyFill="1" applyBorder="1"/>
    <xf numFmtId="182" fontId="33" fillId="13" borderId="6" xfId="20" applyNumberFormat="1" applyFont="1" applyFill="1" applyBorder="1"/>
    <xf numFmtId="182" fontId="33" fillId="13" borderId="7" xfId="20" applyNumberFormat="1" applyFont="1" applyFill="1" applyBorder="1"/>
    <xf numFmtId="0" fontId="33" fillId="13" borderId="8" xfId="20" applyFont="1" applyFill="1" applyBorder="1"/>
    <xf numFmtId="0" fontId="33" fillId="13" borderId="9" xfId="20" applyFont="1" applyFill="1" applyBorder="1"/>
    <xf numFmtId="175" fontId="33" fillId="13" borderId="9" xfId="17" applyNumberFormat="1" applyFont="1" applyFill="1" applyBorder="1"/>
    <xf numFmtId="175" fontId="33" fillId="13" borderId="10" xfId="17" applyNumberFormat="1" applyFont="1" applyFill="1" applyBorder="1"/>
    <xf numFmtId="9" fontId="37" fillId="13" borderId="11" xfId="20" applyNumberFormat="1" applyFont="1" applyFill="1" applyBorder="1"/>
    <xf numFmtId="0" fontId="35" fillId="13" borderId="7" xfId="20" applyFont="1" applyFill="1" applyBorder="1"/>
    <xf numFmtId="0" fontId="29" fillId="13" borderId="6" xfId="0" applyFont="1" applyFill="1" applyBorder="1"/>
    <xf numFmtId="0" fontId="29" fillId="13" borderId="7" xfId="0" applyFont="1" applyFill="1" applyBorder="1"/>
    <xf numFmtId="0" fontId="33" fillId="13" borderId="12" xfId="20" applyFont="1" applyFill="1" applyBorder="1"/>
    <xf numFmtId="0" fontId="33" fillId="13" borderId="2" xfId="20" applyFont="1" applyFill="1" applyBorder="1"/>
    <xf numFmtId="0" fontId="33" fillId="13" borderId="3" xfId="20" applyFont="1" applyFill="1" applyBorder="1"/>
    <xf numFmtId="0" fontId="22" fillId="13" borderId="16" xfId="21" applyFont="1" applyFill="1" applyBorder="1"/>
    <xf numFmtId="0" fontId="33" fillId="13" borderId="10" xfId="20" applyFont="1" applyFill="1" applyBorder="1"/>
    <xf numFmtId="0" fontId="33" fillId="13" borderId="11" xfId="20" applyFont="1" applyFill="1" applyBorder="1" applyAlignment="1">
      <alignment horizontal="left"/>
    </xf>
    <xf numFmtId="175" fontId="33" fillId="13" borderId="6" xfId="17" applyNumberFormat="1" applyFont="1" applyFill="1" applyBorder="1" applyAlignment="1">
      <alignment horizontal="center"/>
    </xf>
    <xf numFmtId="6" fontId="62" fillId="13" borderId="6" xfId="17" applyNumberFormat="1" applyFont="1" applyFill="1" applyBorder="1" applyAlignment="1">
      <alignment horizontal="center"/>
    </xf>
    <xf numFmtId="6" fontId="62" fillId="13" borderId="7" xfId="17" applyNumberFormat="1" applyFont="1" applyFill="1" applyBorder="1" applyAlignment="1">
      <alignment horizontal="center"/>
    </xf>
    <xf numFmtId="183" fontId="33" fillId="13" borderId="9" xfId="20" applyNumberFormat="1" applyFont="1" applyFill="1" applyBorder="1"/>
    <xf numFmtId="182" fontId="33" fillId="13" borderId="9" xfId="20" applyNumberFormat="1" applyFont="1" applyFill="1" applyBorder="1"/>
    <xf numFmtId="182" fontId="33" fillId="13" borderId="10" xfId="20" applyNumberFormat="1" applyFont="1" applyFill="1" applyBorder="1"/>
    <xf numFmtId="0" fontId="33" fillId="13" borderId="7" xfId="20" applyFont="1" applyFill="1" applyBorder="1"/>
    <xf numFmtId="177" fontId="33" fillId="13" borderId="7" xfId="20" applyNumberFormat="1" applyFont="1" applyFill="1" applyBorder="1"/>
    <xf numFmtId="9" fontId="33" fillId="13" borderId="7" xfId="18" applyFont="1" applyFill="1" applyBorder="1"/>
    <xf numFmtId="0" fontId="33" fillId="13" borderId="6" xfId="20" applyFont="1" applyFill="1" applyBorder="1"/>
    <xf numFmtId="0" fontId="33" fillId="13" borderId="1" xfId="20" applyFont="1" applyFill="1" applyBorder="1"/>
    <xf numFmtId="0" fontId="22" fillId="13" borderId="1" xfId="21" applyFont="1" applyFill="1" applyBorder="1"/>
    <xf numFmtId="0" fontId="22" fillId="13" borderId="2" xfId="21" applyFont="1" applyFill="1" applyBorder="1"/>
    <xf numFmtId="0" fontId="22" fillId="13" borderId="3" xfId="21" applyFont="1" applyFill="1" applyBorder="1"/>
    <xf numFmtId="0" fontId="22" fillId="13" borderId="4" xfId="21" applyFont="1" applyFill="1" applyBorder="1"/>
    <xf numFmtId="0" fontId="22" fillId="13" borderId="0" xfId="21" applyFont="1" applyFill="1" applyBorder="1"/>
    <xf numFmtId="0" fontId="22" fillId="13" borderId="5" xfId="21" applyFont="1" applyFill="1" applyBorder="1"/>
    <xf numFmtId="0" fontId="22" fillId="13" borderId="8" xfId="21" applyFont="1" applyFill="1" applyBorder="1"/>
    <xf numFmtId="167" fontId="25" fillId="13" borderId="9" xfId="16" applyNumberFormat="1" applyFont="1" applyFill="1" applyBorder="1" applyAlignment="1">
      <alignment horizontal="center"/>
    </xf>
    <xf numFmtId="169" fontId="25" fillId="13" borderId="9" xfId="17" applyNumberFormat="1" applyFont="1" applyFill="1" applyBorder="1" applyAlignment="1">
      <alignment horizontal="center"/>
    </xf>
    <xf numFmtId="169" fontId="25" fillId="13" borderId="9" xfId="19" applyNumberFormat="1" applyFont="1" applyFill="1" applyBorder="1" applyAlignment="1">
      <alignment horizontal="center"/>
    </xf>
    <xf numFmtId="169" fontId="25" fillId="13" borderId="9" xfId="16" applyNumberFormat="1" applyFont="1" applyFill="1" applyBorder="1" applyAlignment="1">
      <alignment horizontal="center"/>
    </xf>
    <xf numFmtId="170" fontId="25" fillId="13" borderId="9" xfId="19" applyNumberFormat="1" applyFont="1" applyFill="1" applyBorder="1" applyAlignment="1">
      <alignment horizontal="center"/>
    </xf>
    <xf numFmtId="170" fontId="25" fillId="13" borderId="9" xfId="18" applyNumberFormat="1" applyFont="1" applyFill="1" applyBorder="1" applyAlignment="1">
      <alignment horizontal="center"/>
    </xf>
    <xf numFmtId="169" fontId="25" fillId="13" borderId="10" xfId="19" applyNumberFormat="1" applyFont="1" applyFill="1" applyBorder="1" applyAlignment="1">
      <alignment horizontal="center"/>
    </xf>
    <xf numFmtId="0" fontId="33" fillId="13" borderId="1" xfId="25" applyFont="1" applyFill="1" applyBorder="1"/>
    <xf numFmtId="0" fontId="33" fillId="13" borderId="2" xfId="25" applyFont="1" applyFill="1" applyBorder="1"/>
    <xf numFmtId="0" fontId="33" fillId="13" borderId="3" xfId="25" applyFont="1" applyFill="1" applyBorder="1" applyAlignment="1">
      <alignment horizontal="right"/>
    </xf>
    <xf numFmtId="0" fontId="33" fillId="13" borderId="4" xfId="25" applyFont="1" applyFill="1" applyBorder="1"/>
    <xf numFmtId="0" fontId="33" fillId="13" borderId="0" xfId="25" applyFont="1" applyFill="1"/>
    <xf numFmtId="0" fontId="33" fillId="13" borderId="5" xfId="25" applyFont="1" applyFill="1" applyBorder="1"/>
    <xf numFmtId="0" fontId="33" fillId="13" borderId="19" xfId="25" applyFont="1" applyFill="1" applyBorder="1"/>
    <xf numFmtId="0" fontId="33" fillId="13" borderId="20" xfId="25" applyFont="1" applyFill="1" applyBorder="1"/>
    <xf numFmtId="0" fontId="33" fillId="13" borderId="13" xfId="25" applyFont="1" applyFill="1" applyBorder="1"/>
    <xf numFmtId="0" fontId="33" fillId="13" borderId="6" xfId="20" applyFont="1" applyFill="1" applyBorder="1" applyAlignment="1">
      <alignment horizontal="right"/>
    </xf>
    <xf numFmtId="0" fontId="33" fillId="13" borderId="7" xfId="20" applyFont="1" applyFill="1" applyBorder="1" applyAlignment="1">
      <alignment horizontal="right"/>
    </xf>
    <xf numFmtId="0" fontId="33" fillId="13" borderId="18" xfId="20" applyFont="1" applyFill="1" applyBorder="1" applyAlignment="1">
      <alignment horizontal="center"/>
    </xf>
    <xf numFmtId="0" fontId="33" fillId="13" borderId="6" xfId="20" applyFont="1" applyFill="1" applyBorder="1" applyAlignment="1">
      <alignment horizontal="center"/>
    </xf>
    <xf numFmtId="0" fontId="33" fillId="13" borderId="28" xfId="20" applyFont="1" applyFill="1" applyBorder="1" applyAlignment="1">
      <alignment horizontal="center"/>
    </xf>
    <xf numFmtId="0" fontId="45" fillId="13" borderId="1" xfId="20" applyFont="1" applyFill="1" applyBorder="1"/>
    <xf numFmtId="0" fontId="45" fillId="13" borderId="2" xfId="20" applyFont="1" applyFill="1" applyBorder="1"/>
    <xf numFmtId="0" fontId="45" fillId="13" borderId="3" xfId="20" applyFont="1" applyFill="1" applyBorder="1"/>
    <xf numFmtId="0" fontId="33" fillId="13" borderId="3" xfId="25" applyFont="1" applyFill="1" applyBorder="1"/>
    <xf numFmtId="14" fontId="73" fillId="0" borderId="0" xfId="0" applyNumberFormat="1" applyFont="1" applyAlignment="1">
      <alignment horizontal="left"/>
    </xf>
    <xf numFmtId="0" fontId="50" fillId="0" borderId="0" xfId="20" applyFont="1" applyAlignment="1">
      <alignment horizontal="center"/>
    </xf>
  </cellXfs>
  <cellStyles count="37">
    <cellStyle name="40% - Accent2" xfId="19" builtinId="35"/>
    <cellStyle name="40% - Accent2 2" xfId="26" xr:uid="{4C50AE76-723B-497A-BA58-03CE730F00CB}"/>
    <cellStyle name="40% - Accent2 3" xfId="33" xr:uid="{C3190FF3-DC80-4126-A725-D27184047FB5}"/>
    <cellStyle name="40% - Accent4 2" xfId="28" xr:uid="{D3343909-23DC-4F93-AA92-20972535D1BA}"/>
    <cellStyle name="40% - Accent4 2 2" xfId="32" xr:uid="{B72E3993-F5AA-40B0-9A58-803B3BBD62C2}"/>
    <cellStyle name="ChartingText" xfId="14" xr:uid="{00000000-0005-0000-0000-000001000000}"/>
    <cellStyle name="CHPAboveAverage" xfId="15" xr:uid="{00000000-0005-0000-0000-000002000000}"/>
    <cellStyle name="CHPBelowAverage" xfId="15" xr:uid="{00000000-0005-0000-0000-000003000000}"/>
    <cellStyle name="CHPBottom" xfId="15" xr:uid="{00000000-0005-0000-0000-000004000000}"/>
    <cellStyle name="CHPTop" xfId="15" xr:uid="{00000000-0005-0000-0000-000005000000}"/>
    <cellStyle name="ColumnHeaderNormal" xfId="6" xr:uid="{00000000-0005-0000-0000-000006000000}"/>
    <cellStyle name="Comma" xfId="16" builtinId="3"/>
    <cellStyle name="Comma 3" xfId="22" xr:uid="{00000000-0005-0000-0000-000008000000}"/>
    <cellStyle name="Currency" xfId="17" builtinId="4"/>
    <cellStyle name="Hyperlink" xfId="30" builtinId="8"/>
    <cellStyle name="Invisible" xfId="13" xr:uid="{00000000-0005-0000-0000-00000A000000}"/>
    <cellStyle name="Invisible 2" xfId="24" xr:uid="{00000000-0005-0000-0000-000044000000}"/>
    <cellStyle name="NewColumnHeaderNormal" xfId="4" xr:uid="{00000000-0005-0000-0000-00000B000000}"/>
    <cellStyle name="NewSectionHeaderNormal" xfId="3" xr:uid="{00000000-0005-0000-0000-00000C000000}"/>
    <cellStyle name="NewTitleNormal" xfId="2" xr:uid="{00000000-0005-0000-0000-00000D000000}"/>
    <cellStyle name="Normal" xfId="0" builtinId="0"/>
    <cellStyle name="Normal 2" xfId="20" xr:uid="{00000000-0005-0000-0000-00000F000000}"/>
    <cellStyle name="Normal 2 2" xfId="23" xr:uid="{00000000-0005-0000-0000-000043000000}"/>
    <cellStyle name="Normal 3" xfId="25" xr:uid="{03488904-55C2-4359-9C3C-B1884D491B3D}"/>
    <cellStyle name="Normal 4" xfId="21" xr:uid="{00000000-0005-0000-0000-000010000000}"/>
    <cellStyle name="Normal 5" xfId="29" xr:uid="{DC439C3F-2813-4C10-9F88-48AB539FCFFA}"/>
    <cellStyle name="Normal 6" xfId="31" xr:uid="{D441A5F3-9C55-4AA1-AD36-5E9AEF73B153}"/>
    <cellStyle name="Percent" xfId="18" builtinId="5"/>
    <cellStyle name="SectionHeaderNormal" xfId="5" xr:uid="{00000000-0005-0000-0000-000012000000}"/>
    <cellStyle name="SubScript" xfId="9" xr:uid="{00000000-0005-0000-0000-000013000000}"/>
    <cellStyle name="SuperScript" xfId="8" xr:uid="{00000000-0005-0000-0000-000014000000}"/>
    <cellStyle name="TextBold" xfId="10" xr:uid="{00000000-0005-0000-0000-000015000000}"/>
    <cellStyle name="TextItalic" xfId="11" xr:uid="{00000000-0005-0000-0000-000016000000}"/>
    <cellStyle name="TextNormal" xfId="7" xr:uid="{00000000-0005-0000-0000-000017000000}"/>
    <cellStyle name="TitleNormal" xfId="1" xr:uid="{00000000-0005-0000-0000-000018000000}"/>
    <cellStyle name="Total" xfId="12" builtinId="25" customBuiltin="1"/>
    <cellStyle name="Total 2" xfId="27" xr:uid="{C924E7F1-5406-46C0-8984-8BC89DB2ED3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00368E"/>
      <color rgb="FF0000FF"/>
      <color rgb="FF008000"/>
      <color rgb="FFF771AE"/>
      <color rgb="FFFF0000"/>
      <color rgb="FF0000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1756133367483232E-2"/>
          <c:w val="1"/>
          <c:h val="0.85958877399221112"/>
        </c:manualLayout>
      </c:layout>
      <c:barChart>
        <c:barDir val="col"/>
        <c:grouping val="stacked"/>
        <c:varyColors val="0"/>
        <c:ser>
          <c:idx val="0"/>
          <c:order val="0"/>
          <c:spPr>
            <a:noFill/>
            <a:ln>
              <a:noFill/>
            </a:ln>
            <a:effectLst/>
          </c:spPr>
          <c:invertIfNegative val="0"/>
          <c:dLbls>
            <c:dLbl>
              <c:idx val="6"/>
              <c:layout>
                <c:manualLayout>
                  <c:x val="0"/>
                  <c:y val="-0.216919541967857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22-47DC-9C9E-89E78EFEC87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Bookman Old Style" panose="02050604050505020204" pitchFamily="18"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Summary'!$E$3:$E$6</c:f>
              <c:numCache>
                <c:formatCode>"$"#,##0.00_);[Red]\("$"#,##0.00\)</c:formatCode>
                <c:ptCount val="4"/>
                <c:pt idx="0">
                  <c:v>18.481485760014905</c:v>
                </c:pt>
                <c:pt idx="1">
                  <c:v>14.980147940388903</c:v>
                </c:pt>
                <c:pt idx="2">
                  <c:v>19.435233030726369</c:v>
                </c:pt>
                <c:pt idx="3">
                  <c:v>19.435233030726369</c:v>
                </c:pt>
              </c:numCache>
            </c:numRef>
          </c:val>
          <c:extLst>
            <c:ext xmlns:c16="http://schemas.microsoft.com/office/drawing/2014/chart" uri="{C3380CC4-5D6E-409C-BE32-E72D297353CC}">
              <c16:uniqueId val="{00000001-F922-47DC-9C9E-89E78EFEC87B}"/>
            </c:ext>
          </c:extLst>
        </c:ser>
        <c:ser>
          <c:idx val="1"/>
          <c:order val="1"/>
          <c:spPr>
            <a:solidFill>
              <a:srgbClr val="002060"/>
            </a:solidFill>
            <a:ln>
              <a:noFill/>
            </a:ln>
            <a:effectLst/>
          </c:spPr>
          <c:invertIfNegative val="0"/>
          <c:dPt>
            <c:idx val="0"/>
            <c:invertIfNegative val="0"/>
            <c:bubble3D val="0"/>
            <c:spPr>
              <a:solidFill>
                <a:srgbClr val="00368E"/>
              </a:solidFill>
              <a:ln>
                <a:noFill/>
              </a:ln>
              <a:effectLst/>
            </c:spPr>
            <c:extLst>
              <c:ext xmlns:c16="http://schemas.microsoft.com/office/drawing/2014/chart" uri="{C3380CC4-5D6E-409C-BE32-E72D297353CC}">
                <c16:uniqueId val="{00000003-F922-47DC-9C9E-89E78EFEC87B}"/>
              </c:ext>
            </c:extLst>
          </c:dPt>
          <c:dPt>
            <c:idx val="1"/>
            <c:invertIfNegative val="0"/>
            <c:bubble3D val="0"/>
            <c:spPr>
              <a:solidFill>
                <a:srgbClr val="00368E"/>
              </a:solidFill>
              <a:ln>
                <a:noFill/>
              </a:ln>
              <a:effectLst/>
            </c:spPr>
            <c:extLst>
              <c:ext xmlns:c16="http://schemas.microsoft.com/office/drawing/2014/chart" uri="{C3380CC4-5D6E-409C-BE32-E72D297353CC}">
                <c16:uniqueId val="{00000005-F922-47DC-9C9E-89E78EFEC87B}"/>
              </c:ext>
            </c:extLst>
          </c:dPt>
          <c:dPt>
            <c:idx val="2"/>
            <c:invertIfNegative val="0"/>
            <c:bubble3D val="0"/>
            <c:spPr>
              <a:solidFill>
                <a:srgbClr val="00368E"/>
              </a:solidFill>
              <a:ln>
                <a:noFill/>
              </a:ln>
              <a:effectLst/>
            </c:spPr>
            <c:extLst>
              <c:ext xmlns:c16="http://schemas.microsoft.com/office/drawing/2014/chart" uri="{C3380CC4-5D6E-409C-BE32-E72D297353CC}">
                <c16:uniqueId val="{00000007-4182-44FE-B38B-D2995EF010E7}"/>
              </c:ext>
            </c:extLst>
          </c:dPt>
          <c:dPt>
            <c:idx val="3"/>
            <c:invertIfNegative val="0"/>
            <c:bubble3D val="0"/>
            <c:spPr>
              <a:solidFill>
                <a:srgbClr val="00B050"/>
              </a:solidFill>
              <a:ln>
                <a:noFill/>
              </a:ln>
              <a:effectLst/>
            </c:spPr>
            <c:extLst>
              <c:ext xmlns:c16="http://schemas.microsoft.com/office/drawing/2014/chart" uri="{C3380CC4-5D6E-409C-BE32-E72D297353CC}">
                <c16:uniqueId val="{00000005-22E1-4622-93BB-56958CB88A4F}"/>
              </c:ext>
            </c:extLst>
          </c:dPt>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Summary'!$F$3:$F$6</c:f>
              <c:numCache>
                <c:formatCode>"$"#,##0.00_);[Red]\("$"#,##0.00\)</c:formatCode>
                <c:ptCount val="4"/>
                <c:pt idx="0">
                  <c:v>13.515916959631571</c:v>
                </c:pt>
                <c:pt idx="1">
                  <c:v>11.821721240457702</c:v>
                </c:pt>
                <c:pt idx="2">
                  <c:v>4.9347047163174658</c:v>
                </c:pt>
                <c:pt idx="3">
                  <c:v>4.9347047163174658</c:v>
                </c:pt>
              </c:numCache>
            </c:numRef>
          </c:val>
          <c:extLst>
            <c:ext xmlns:c16="http://schemas.microsoft.com/office/drawing/2014/chart" uri="{C3380CC4-5D6E-409C-BE32-E72D297353CC}">
              <c16:uniqueId val="{00000006-F922-47DC-9C9E-89E78EFEC87B}"/>
            </c:ext>
          </c:extLst>
        </c:ser>
        <c:ser>
          <c:idx val="2"/>
          <c:order val="2"/>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Bookman Old Style" panose="02050604050505020204" pitchFamily="18"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Summary'!$G$3:$G$6</c:f>
              <c:numCache>
                <c:formatCode>"$"#,##0.00_);[Red]\("$"#,##0.00\)</c:formatCode>
                <c:ptCount val="4"/>
                <c:pt idx="0">
                  <c:v>31.997402719646477</c:v>
                </c:pt>
                <c:pt idx="1">
                  <c:v>26.801869180846605</c:v>
                </c:pt>
                <c:pt idx="2">
                  <c:v>24.369937747043835</c:v>
                </c:pt>
                <c:pt idx="3">
                  <c:v>24.369937747043835</c:v>
                </c:pt>
              </c:numCache>
            </c:numRef>
          </c:val>
          <c:extLst>
            <c:ext xmlns:c16="http://schemas.microsoft.com/office/drawing/2014/chart" uri="{C3380CC4-5D6E-409C-BE32-E72D297353CC}">
              <c16:uniqueId val="{00000007-F922-47DC-9C9E-89E78EFEC87B}"/>
            </c:ext>
          </c:extLst>
        </c:ser>
        <c:dLbls>
          <c:showLegendKey val="0"/>
          <c:showVal val="0"/>
          <c:showCatName val="0"/>
          <c:showSerName val="0"/>
          <c:showPercent val="0"/>
          <c:showBubbleSize val="0"/>
        </c:dLbls>
        <c:gapWidth val="100"/>
        <c:overlap val="100"/>
        <c:axId val="776562376"/>
        <c:axId val="776557784"/>
      </c:barChart>
      <c:lineChart>
        <c:grouping val="standard"/>
        <c:varyColors val="0"/>
        <c:ser>
          <c:idx val="3"/>
          <c:order val="3"/>
          <c:spPr>
            <a:ln w="12700" cap="rnd">
              <a:solidFill>
                <a:schemeClr val="accent1"/>
              </a:solidFill>
              <a:round/>
            </a:ln>
            <a:effectLst/>
          </c:spPr>
          <c:marker>
            <c:symbol val="none"/>
          </c:marker>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8-F922-47DC-9C9E-89E78EFEC87B}"/>
            </c:ext>
          </c:extLst>
        </c:ser>
        <c:ser>
          <c:idx val="4"/>
          <c:order val="4"/>
          <c:spPr>
            <a:ln w="12700" cap="rnd">
              <a:solidFill>
                <a:schemeClr val="accent1"/>
              </a:solidFill>
              <a:round/>
            </a:ln>
            <a:effectLst/>
          </c:spPr>
          <c:marker>
            <c:symbol val="none"/>
          </c:marker>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9-F922-47DC-9C9E-89E78EFEC87B}"/>
            </c:ext>
          </c:extLst>
        </c:ser>
        <c:ser>
          <c:idx val="5"/>
          <c:order val="5"/>
          <c:spPr>
            <a:ln w="28575" cap="rnd">
              <a:solidFill>
                <a:schemeClr val="accent4"/>
              </a:solidFill>
              <a:round/>
            </a:ln>
            <a:effectLst/>
          </c:spPr>
          <c:marker>
            <c:symbol val="none"/>
          </c:marker>
          <c:dLbls>
            <c:dLbl>
              <c:idx val="7"/>
              <c:layout>
                <c:manualLayout>
                  <c:x val="-5.7261440400132556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B-F922-47DC-9C9E-89E78EFEC87B}"/>
            </c:ext>
          </c:extLst>
        </c:ser>
        <c:ser>
          <c:idx val="6"/>
          <c:order val="6"/>
          <c:spPr>
            <a:ln w="19050" cap="rnd">
              <a:solidFill>
                <a:srgbClr val="00B0F0"/>
              </a:solidFill>
              <a:prstDash val="dash"/>
              <a:round/>
            </a:ln>
            <a:effectLst/>
          </c:spPr>
          <c:marker>
            <c:symbol val="none"/>
          </c:marker>
          <c:dLbls>
            <c:dLbl>
              <c:idx val="7"/>
              <c:layout>
                <c:manualLayout>
                  <c:x val="-4.5092058132020166E-3"/>
                  <c:y val="-1.38888919267052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121262150162604E-2"/>
                      <c:h val="3.7500008202101531E-2"/>
                    </c:manualLayout>
                  </c15:layout>
                </c:ext>
                <c:ext xmlns:c16="http://schemas.microsoft.com/office/drawing/2014/chart" uri="{C3380CC4-5D6E-409C-BE32-E72D297353CC}">
                  <c16:uniqueId val="{0000000C-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Summary'!$H$3:$H$6</c:f>
              <c:numCache>
                <c:formatCode>"$"#,##0.00;\("$"#,##0.00\);"--"</c:formatCode>
                <c:ptCount val="4"/>
                <c:pt idx="0">
                  <c:v>4.75</c:v>
                </c:pt>
                <c:pt idx="1">
                  <c:v>4.75</c:v>
                </c:pt>
                <c:pt idx="2">
                  <c:v>4.75</c:v>
                </c:pt>
                <c:pt idx="3">
                  <c:v>4.75</c:v>
                </c:pt>
              </c:numCache>
            </c:numRef>
          </c:val>
          <c:smooth val="0"/>
          <c:extLst>
            <c:ext xmlns:c16="http://schemas.microsoft.com/office/drawing/2014/chart" uri="{C3380CC4-5D6E-409C-BE32-E72D297353CC}">
              <c16:uniqueId val="{0000000D-F922-47DC-9C9E-89E78EFEC87B}"/>
            </c:ext>
          </c:extLst>
        </c:ser>
        <c:ser>
          <c:idx val="7"/>
          <c:order val="7"/>
          <c:spPr>
            <a:ln w="19050" cap="rnd">
              <a:solidFill>
                <a:srgbClr val="00B0F0"/>
              </a:solidFill>
              <a:prstDash val="dash"/>
              <a:round/>
            </a:ln>
            <a:effectLst/>
          </c:spPr>
          <c:marker>
            <c:symbol val="none"/>
          </c:marker>
          <c:dLbls>
            <c:dLbl>
              <c:idx val="7"/>
              <c:layout>
                <c:manualLayout>
                  <c:x val="-5.52076301489804E-3"/>
                  <c:y val="-2.777778385340905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Summary'!$I$3:$I$6</c:f>
              <c:numCache>
                <c:formatCode>"$"#,##0.00;\("$"#,##0.00\);"--"</c:formatCode>
                <c:ptCount val="4"/>
                <c:pt idx="0">
                  <c:v>18.93</c:v>
                </c:pt>
                <c:pt idx="1">
                  <c:v>18.93</c:v>
                </c:pt>
                <c:pt idx="2">
                  <c:v>18.93</c:v>
                </c:pt>
                <c:pt idx="3">
                  <c:v>18.93</c:v>
                </c:pt>
              </c:numCache>
            </c:numRef>
          </c:val>
          <c:smooth val="0"/>
          <c:extLst>
            <c:ext xmlns:c16="http://schemas.microsoft.com/office/drawing/2014/chart" uri="{C3380CC4-5D6E-409C-BE32-E72D297353CC}">
              <c16:uniqueId val="{0000000F-F922-47DC-9C9E-89E78EFEC87B}"/>
            </c:ext>
          </c:extLst>
        </c:ser>
        <c:ser>
          <c:idx val="8"/>
          <c:order val="8"/>
          <c:spPr>
            <a:ln w="28575" cap="rnd">
              <a:solidFill>
                <a:srgbClr val="FF0000"/>
              </a:solidFill>
              <a:round/>
            </a:ln>
            <a:effectLst/>
          </c:spPr>
          <c:marker>
            <c:symbol val="none"/>
          </c:marker>
          <c:dLbls>
            <c:dLbl>
              <c:idx val="7"/>
              <c:layout>
                <c:manualLayout>
                  <c:x val="-5.5225257575257907E-3"/>
                  <c:y val="-2.777778385340854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Summary'!$J$3:$J$6</c:f>
              <c:numCache>
                <c:formatCode>"$"#,##0.00;\("$"#,##0.00\);"--"</c:formatCode>
                <c:ptCount val="4"/>
                <c:pt idx="0">
                  <c:v>18.5</c:v>
                </c:pt>
                <c:pt idx="1">
                  <c:v>18.5</c:v>
                </c:pt>
                <c:pt idx="2">
                  <c:v>18.5</c:v>
                </c:pt>
                <c:pt idx="3">
                  <c:v>18.5</c:v>
                </c:pt>
              </c:numCache>
            </c:numRef>
          </c:val>
          <c:smooth val="0"/>
          <c:extLst>
            <c:ext xmlns:c16="http://schemas.microsoft.com/office/drawing/2014/chart" uri="{C3380CC4-5D6E-409C-BE32-E72D297353CC}">
              <c16:uniqueId val="{00000011-F922-47DC-9C9E-89E78EFEC87B}"/>
            </c:ext>
          </c:extLst>
        </c:ser>
        <c:ser>
          <c:idx val="9"/>
          <c:order val="9"/>
          <c:spPr>
            <a:ln w="12700" cap="rnd">
              <a:solidFill>
                <a:schemeClr val="accent2">
                  <a:lumMod val="75000"/>
                </a:schemeClr>
              </a:solidFill>
              <a:prstDash val="dash"/>
              <a:round/>
            </a:ln>
            <a:effectLst/>
          </c:spPr>
          <c:marker>
            <c:symbol val="none"/>
          </c:marker>
          <c:cat>
            <c:strRef>
              <c:f>'Valuation Summary'!$D$3:$D$6</c:f>
              <c:strCache>
                <c:ptCount val="4"/>
                <c:pt idx="0">
                  <c:v>Comparable Company Analysis (LTM EV/EBITDA)</c:v>
                </c:pt>
                <c:pt idx="1">
                  <c:v>Precedents Transaction Analysis (LTM EV/EBITDA)</c:v>
                </c:pt>
                <c:pt idx="2">
                  <c:v>Discounted Cash Flows Analysis (LTM EV/EBITDA)</c:v>
                </c:pt>
                <c:pt idx="3">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12-F922-47DC-9C9E-89E78EFEC87B}"/>
            </c:ext>
          </c:extLst>
        </c:ser>
        <c:dLbls>
          <c:showLegendKey val="0"/>
          <c:showVal val="0"/>
          <c:showCatName val="0"/>
          <c:showSerName val="0"/>
          <c:showPercent val="0"/>
          <c:showBubbleSize val="0"/>
        </c:dLbls>
        <c:marker val="1"/>
        <c:smooth val="0"/>
        <c:axId val="776562376"/>
        <c:axId val="776557784"/>
      </c:lineChart>
      <c:catAx>
        <c:axId val="77656237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Bookman Old Style" panose="02050604050505020204" pitchFamily="18" charset="0"/>
                <a:ea typeface="+mn-ea"/>
                <a:cs typeface="Arial" panose="020B0604020202020204" pitchFamily="34" charset="0"/>
              </a:defRPr>
            </a:pPr>
            <a:endParaRPr lang="en-US"/>
          </a:p>
        </c:txPr>
        <c:crossAx val="776557784"/>
        <c:crosses val="autoZero"/>
        <c:auto val="1"/>
        <c:lblAlgn val="ctr"/>
        <c:lblOffset val="100"/>
        <c:noMultiLvlLbl val="0"/>
      </c:catAx>
      <c:valAx>
        <c:axId val="776557784"/>
        <c:scaling>
          <c:orientation val="minMax"/>
          <c:max val="35"/>
          <c:min val="0"/>
        </c:scaling>
        <c:delete val="0"/>
        <c:axPos val="l"/>
        <c:numFmt formatCode="&quot;$&quot;#,##0.00_);[Red]\(&quot;$&quot;#,##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562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145677</xdr:colOff>
      <xdr:row>10</xdr:row>
      <xdr:rowOff>100853</xdr:rowOff>
    </xdr:from>
    <xdr:to>
      <xdr:col>10</xdr:col>
      <xdr:colOff>0</xdr:colOff>
      <xdr:row>34</xdr:row>
      <xdr:rowOff>100852</xdr:rowOff>
    </xdr:to>
    <xdr:graphicFrame macro="">
      <xdr:nvGraphicFramePr>
        <xdr:cNvPr id="2" name="Chart 1">
          <a:extLst>
            <a:ext uri="{FF2B5EF4-FFF2-40B4-BE49-F238E27FC236}">
              <a16:creationId xmlns:a16="http://schemas.microsoft.com/office/drawing/2014/main" id="{CE5817D5-B779-4006-959F-128B254BE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amp;A\CLIENTS\Rona\2012\Comps\M&amp;A%20Trading%20Co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rizontal Summary"/>
      <sheetName val="Vertical Summary"/>
      <sheetName val="Capitalization Table"/>
      <sheetName val="blank"/>
      <sheetName val="xyz"/>
      <sheetName val="abc"/>
      <sheetName val="WJX.UN"/>
    </sheetNames>
    <sheetDataSet>
      <sheetData sheetId="0">
        <row r="10">
          <cell r="F10" t="str">
            <v xml:space="preserve">Share </v>
          </cell>
          <cell r="H10" t="str">
            <v xml:space="preserve">Equity </v>
          </cell>
          <cell r="J10" t="str">
            <v>Enterprise</v>
          </cell>
          <cell r="L10" t="str">
            <v>EV/Sales</v>
          </cell>
          <cell r="S10" t="str">
            <v>EV/EBITDA</v>
          </cell>
          <cell r="Z10" t="str">
            <v>EV/EBIT</v>
          </cell>
          <cell r="AG10" t="str">
            <v>P/E</v>
          </cell>
          <cell r="AN10" t="str">
            <v>Fwd Growth</v>
          </cell>
          <cell r="AQ10" t="str">
            <v xml:space="preserve"> </v>
          </cell>
          <cell r="AR10" t="str">
            <v>Hist Growth</v>
          </cell>
          <cell r="AW10" t="str">
            <v>Net Debt</v>
          </cell>
          <cell r="BD10" t="str">
            <v>LTM Margin</v>
          </cell>
          <cell r="BI10" t="str">
            <v xml:space="preserve"> </v>
          </cell>
          <cell r="BK10" t="str">
            <v>FY+1 Margin</v>
          </cell>
          <cell r="BP10" t="str">
            <v xml:space="preserve"> </v>
          </cell>
          <cell r="BR10" t="str">
            <v>Capex/</v>
          </cell>
        </row>
        <row r="11">
          <cell r="F11" t="str">
            <v>Price</v>
          </cell>
          <cell r="H11" t="str">
            <v>Value</v>
          </cell>
          <cell r="J11" t="str">
            <v>Value</v>
          </cell>
          <cell r="L11" t="str">
            <v>LTM</v>
          </cell>
          <cell r="N11" t="str">
            <v>FY+1</v>
          </cell>
          <cell r="P11" t="str">
            <v>FY+2</v>
          </cell>
          <cell r="S11" t="str">
            <v>LTM</v>
          </cell>
          <cell r="U11" t="str">
            <v>FY+1</v>
          </cell>
          <cell r="W11" t="str">
            <v>FY+2</v>
          </cell>
          <cell r="Z11" t="str">
            <v>LTM</v>
          </cell>
          <cell r="AB11" t="str">
            <v>FY+1</v>
          </cell>
          <cell r="AD11" t="str">
            <v>FY+2</v>
          </cell>
          <cell r="AG11" t="str">
            <v>LTM</v>
          </cell>
          <cell r="AI11" t="str">
            <v>FY+1</v>
          </cell>
          <cell r="AK11" t="str">
            <v>FY+2</v>
          </cell>
          <cell r="AN11" t="str">
            <v>EPS</v>
          </cell>
          <cell r="AP11" t="str">
            <v>EBITDA</v>
          </cell>
          <cell r="AR11" t="str">
            <v>EPS</v>
          </cell>
          <cell r="AT11" t="str">
            <v>EBITDA</v>
          </cell>
          <cell r="AW11" t="str">
            <v>EBITDA</v>
          </cell>
          <cell r="AY11" t="str">
            <v>EV</v>
          </cell>
          <cell r="BA11" t="str">
            <v>Book Cap</v>
          </cell>
          <cell r="BD11" t="str">
            <v>EBITDA</v>
          </cell>
          <cell r="BF11" t="str">
            <v>EBIT</v>
          </cell>
          <cell r="BH11" t="str">
            <v>Net Income</v>
          </cell>
          <cell r="BK11" t="str">
            <v>EBITDA</v>
          </cell>
          <cell r="BM11" t="str">
            <v>EBIT</v>
          </cell>
          <cell r="BO11" t="str">
            <v>Net Income</v>
          </cell>
          <cell r="BR11" t="str">
            <v>LTM Sales</v>
          </cell>
        </row>
        <row r="12">
          <cell r="E12" t="str">
            <v>C$ Million unless otherwise noted</v>
          </cell>
          <cell r="F12" t="str">
            <v>C$</v>
          </cell>
        </row>
        <row r="14">
          <cell r="E14" t="str">
            <v>Group A</v>
          </cell>
        </row>
        <row r="15">
          <cell r="E15" t="str">
            <v xml:space="preserve">Company </v>
          </cell>
          <cell r="F15">
            <v>52.5</v>
          </cell>
          <cell r="H15">
            <v>8119.7339170999994</v>
          </cell>
          <cell r="J15">
            <v>9058.7159170999985</v>
          </cell>
          <cell r="L15">
            <v>2.172536805160338</v>
          </cell>
          <cell r="N15" t="str">
            <v xml:space="preserve">           na</v>
          </cell>
          <cell r="P15" t="str">
            <v xml:space="preserve">           na</v>
          </cell>
          <cell r="S15">
            <v>14.045500720360332</v>
          </cell>
          <cell r="U15" t="str">
            <v xml:space="preserve">           na</v>
          </cell>
          <cell r="W15" t="str">
            <v xml:space="preserve">           na</v>
          </cell>
          <cell r="Z15">
            <v>18.084806842655844</v>
          </cell>
          <cell r="AB15" t="str">
            <v xml:space="preserve">           na</v>
          </cell>
          <cell r="AD15" t="str">
            <v xml:space="preserve">           na</v>
          </cell>
          <cell r="AG15">
            <v>37.439948994896</v>
          </cell>
          <cell r="AI15" t="str">
            <v xml:space="preserve">           na</v>
          </cell>
          <cell r="AK15" t="str">
            <v xml:space="preserve">           na</v>
          </cell>
          <cell r="AN15">
            <v>-1</v>
          </cell>
          <cell r="AP15">
            <v>-1</v>
          </cell>
          <cell r="AR15" t="str">
            <v xml:space="preserve">          na</v>
          </cell>
          <cell r="AT15" t="str">
            <v xml:space="preserve">          na</v>
          </cell>
          <cell r="AW15">
            <v>1.4558876200665161</v>
          </cell>
          <cell r="AY15">
            <v>0.10365508849079792</v>
          </cell>
          <cell r="BA15">
            <v>0.43808511611111056</v>
          </cell>
          <cell r="BD15">
            <v>0.15467848732591161</v>
          </cell>
          <cell r="BF15">
            <v>0.12013049539661493</v>
          </cell>
          <cell r="BH15">
            <v>5.1649623265651382E-2</v>
          </cell>
          <cell r="BK15" t="str">
            <v xml:space="preserve">        na</v>
          </cell>
          <cell r="BM15" t="str">
            <v xml:space="preserve">        na</v>
          </cell>
          <cell r="BO15" t="str">
            <v xml:space="preserve">        na</v>
          </cell>
          <cell r="BR15">
            <v>4.1863955455243351E-2</v>
          </cell>
        </row>
        <row r="16">
          <cell r="E16" t="str">
            <v>ABC</v>
          </cell>
          <cell r="F16">
            <v>25</v>
          </cell>
          <cell r="H16">
            <v>4130.5779545999994</v>
          </cell>
          <cell r="J16">
            <v>5069.5599545999994</v>
          </cell>
          <cell r="L16">
            <v>1.2158241508098162</v>
          </cell>
          <cell r="N16" t="str">
            <v xml:space="preserve">           na</v>
          </cell>
          <cell r="P16" t="str">
            <v xml:space="preserve">           na</v>
          </cell>
          <cell r="S16">
            <v>7.8603312705537585</v>
          </cell>
          <cell r="U16" t="str">
            <v xml:space="preserve">           na</v>
          </cell>
          <cell r="W16" t="str">
            <v xml:space="preserve">           na</v>
          </cell>
          <cell r="Z16">
            <v>10.120861874378619</v>
          </cell>
          <cell r="AB16" t="str">
            <v xml:space="preserve">           na</v>
          </cell>
          <cell r="AD16" t="str">
            <v xml:space="preserve">           na</v>
          </cell>
          <cell r="AG16">
            <v>17.828547140426668</v>
          </cell>
          <cell r="AI16" t="str">
            <v xml:space="preserve">           na</v>
          </cell>
          <cell r="AK16" t="str">
            <v xml:space="preserve">           na</v>
          </cell>
          <cell r="AN16">
            <v>-1</v>
          </cell>
          <cell r="AP16">
            <v>-1</v>
          </cell>
          <cell r="AR16" t="str">
            <v xml:space="preserve">          na</v>
          </cell>
          <cell r="AT16" t="str">
            <v xml:space="preserve">          na</v>
          </cell>
          <cell r="AW16">
            <v>1.4558876200665161</v>
          </cell>
          <cell r="AY16">
            <v>0.18521962624152216</v>
          </cell>
          <cell r="BA16">
            <v>0.43808511611111056</v>
          </cell>
          <cell r="BD16">
            <v>0.15467848732591161</v>
          </cell>
          <cell r="BF16">
            <v>0.12013049539661493</v>
          </cell>
          <cell r="BH16">
            <v>5.1649623265651382E-2</v>
          </cell>
          <cell r="BK16" t="str">
            <v xml:space="preserve">        na</v>
          </cell>
          <cell r="BM16" t="str">
            <v xml:space="preserve">        na</v>
          </cell>
          <cell r="BO16" t="str">
            <v xml:space="preserve">        na</v>
          </cell>
          <cell r="BR16">
            <v>4.1863955455243351E-2</v>
          </cell>
        </row>
        <row r="17">
          <cell r="E17" t="str">
            <v xml:space="preserve">Company </v>
          </cell>
          <cell r="F17">
            <v>52.5</v>
          </cell>
          <cell r="H17">
            <v>8119.7339170999994</v>
          </cell>
          <cell r="J17">
            <v>9058.7159170999985</v>
          </cell>
          <cell r="L17">
            <v>2.172536805160338</v>
          </cell>
          <cell r="N17" t="str">
            <v xml:space="preserve">           na</v>
          </cell>
          <cell r="P17" t="str">
            <v xml:space="preserve">           na</v>
          </cell>
          <cell r="S17">
            <v>14.045500720360332</v>
          </cell>
          <cell r="U17" t="str">
            <v xml:space="preserve">           na</v>
          </cell>
          <cell r="W17" t="str">
            <v xml:space="preserve">           na</v>
          </cell>
          <cell r="Z17">
            <v>18.084806842655844</v>
          </cell>
          <cell r="AB17" t="str">
            <v xml:space="preserve">           na</v>
          </cell>
          <cell r="AD17" t="str">
            <v xml:space="preserve">           na</v>
          </cell>
          <cell r="AG17">
            <v>37.439948994896</v>
          </cell>
          <cell r="AI17" t="str">
            <v xml:space="preserve">           na</v>
          </cell>
          <cell r="AK17" t="str">
            <v xml:space="preserve">           na</v>
          </cell>
          <cell r="AN17">
            <v>-1</v>
          </cell>
          <cell r="AP17">
            <v>-1</v>
          </cell>
          <cell r="AR17" t="str">
            <v xml:space="preserve">          na</v>
          </cell>
          <cell r="AT17" t="str">
            <v xml:space="preserve">          na</v>
          </cell>
          <cell r="AW17">
            <v>1.4558876200665161</v>
          </cell>
          <cell r="AY17">
            <v>0.10365508849079792</v>
          </cell>
          <cell r="BA17">
            <v>0.43808511611111056</v>
          </cell>
          <cell r="BD17">
            <v>0.15467848732591161</v>
          </cell>
          <cell r="BF17">
            <v>0.12013049539661493</v>
          </cell>
          <cell r="BH17">
            <v>5.1649623265651382E-2</v>
          </cell>
          <cell r="BK17" t="str">
            <v xml:space="preserve">        na</v>
          </cell>
          <cell r="BM17" t="str">
            <v xml:space="preserve">        na</v>
          </cell>
          <cell r="BO17" t="str">
            <v xml:space="preserve">        na</v>
          </cell>
          <cell r="BR17">
            <v>4.1863955455243351E-2</v>
          </cell>
        </row>
        <row r="18">
          <cell r="E18" t="str">
            <v xml:space="preserve">Company </v>
          </cell>
          <cell r="F18">
            <v>52.5</v>
          </cell>
          <cell r="H18">
            <v>8119.7339170999994</v>
          </cell>
          <cell r="J18">
            <v>9058.7159170999985</v>
          </cell>
          <cell r="L18">
            <v>2.172536805160338</v>
          </cell>
          <cell r="N18" t="str">
            <v xml:space="preserve">           na</v>
          </cell>
          <cell r="P18" t="str">
            <v xml:space="preserve">           na</v>
          </cell>
          <cell r="S18">
            <v>14.045500720360332</v>
          </cell>
          <cell r="U18" t="str">
            <v xml:space="preserve">           na</v>
          </cell>
          <cell r="W18" t="str">
            <v xml:space="preserve">           na</v>
          </cell>
          <cell r="Z18">
            <v>18.084806842655844</v>
          </cell>
          <cell r="AB18" t="str">
            <v xml:space="preserve">           na</v>
          </cell>
          <cell r="AD18" t="str">
            <v xml:space="preserve">           na</v>
          </cell>
          <cell r="AG18">
            <v>37.439948994896</v>
          </cell>
          <cell r="AI18" t="str">
            <v xml:space="preserve">           na</v>
          </cell>
          <cell r="AK18" t="str">
            <v xml:space="preserve">           na</v>
          </cell>
          <cell r="AN18">
            <v>-1</v>
          </cell>
          <cell r="AP18">
            <v>-1</v>
          </cell>
          <cell r="AR18" t="str">
            <v xml:space="preserve">          na</v>
          </cell>
          <cell r="AT18" t="str">
            <v xml:space="preserve">          na</v>
          </cell>
          <cell r="AW18">
            <v>1.4558876200665161</v>
          </cell>
          <cell r="AY18">
            <v>0.10365508849079792</v>
          </cell>
          <cell r="BA18">
            <v>0.43808511611111056</v>
          </cell>
          <cell r="BD18">
            <v>0.15467848732591161</v>
          </cell>
          <cell r="BF18">
            <v>0.12013049539661493</v>
          </cell>
          <cell r="BH18">
            <v>5.1649623265651382E-2</v>
          </cell>
          <cell r="BK18" t="str">
            <v xml:space="preserve">        na</v>
          </cell>
          <cell r="BM18" t="str">
            <v xml:space="preserve">        na</v>
          </cell>
          <cell r="BO18" t="str">
            <v xml:space="preserve">        na</v>
          </cell>
          <cell r="BR18">
            <v>4.1863955455243351E-2</v>
          </cell>
        </row>
        <row r="19">
          <cell r="E19" t="str">
            <v xml:space="preserve">Company </v>
          </cell>
          <cell r="F19">
            <v>52.5</v>
          </cell>
          <cell r="H19">
            <v>8119.7339170999994</v>
          </cell>
          <cell r="J19">
            <v>9058.7159170999985</v>
          </cell>
          <cell r="L19">
            <v>2.172536805160338</v>
          </cell>
          <cell r="N19" t="str">
            <v xml:space="preserve">           na</v>
          </cell>
          <cell r="P19" t="str">
            <v xml:space="preserve">           na</v>
          </cell>
          <cell r="S19">
            <v>14.045500720360332</v>
          </cell>
          <cell r="U19" t="str">
            <v xml:space="preserve">           na</v>
          </cell>
          <cell r="W19" t="str">
            <v xml:space="preserve">           na</v>
          </cell>
          <cell r="Z19">
            <v>18.084806842655844</v>
          </cell>
          <cell r="AB19" t="str">
            <v xml:space="preserve">           na</v>
          </cell>
          <cell r="AD19" t="str">
            <v xml:space="preserve">           na</v>
          </cell>
          <cell r="AG19">
            <v>37.439948994896</v>
          </cell>
          <cell r="AI19" t="str">
            <v xml:space="preserve">           na</v>
          </cell>
          <cell r="AK19" t="str">
            <v xml:space="preserve">           na</v>
          </cell>
          <cell r="AN19">
            <v>-1</v>
          </cell>
          <cell r="AP19">
            <v>-1</v>
          </cell>
          <cell r="AR19" t="str">
            <v xml:space="preserve">          na</v>
          </cell>
          <cell r="AT19" t="str">
            <v xml:space="preserve">          na</v>
          </cell>
          <cell r="AW19">
            <v>1.4558876200665161</v>
          </cell>
          <cell r="AY19">
            <v>0.10365508849079792</v>
          </cell>
          <cell r="BA19">
            <v>0.43808511611111056</v>
          </cell>
          <cell r="BD19">
            <v>0.15467848732591161</v>
          </cell>
          <cell r="BF19">
            <v>0.12013049539661493</v>
          </cell>
          <cell r="BH19">
            <v>5.1649623265651382E-2</v>
          </cell>
          <cell r="BK19" t="str">
            <v xml:space="preserve">        na</v>
          </cell>
          <cell r="BM19" t="str">
            <v xml:space="preserve">        na</v>
          </cell>
          <cell r="BO19" t="str">
            <v xml:space="preserve">        na</v>
          </cell>
          <cell r="BR19">
            <v>4.1863955455243351E-2</v>
          </cell>
        </row>
        <row r="20">
          <cell r="E20" t="str">
            <v xml:space="preserve">Company </v>
          </cell>
          <cell r="F20">
            <v>52.5</v>
          </cell>
          <cell r="H20">
            <v>8119.7339170999994</v>
          </cell>
          <cell r="J20">
            <v>9058.7159170999985</v>
          </cell>
          <cell r="L20">
            <v>2.172536805160338</v>
          </cell>
          <cell r="N20" t="str">
            <v xml:space="preserve">           na</v>
          </cell>
          <cell r="P20" t="str">
            <v xml:space="preserve">           na</v>
          </cell>
          <cell r="S20">
            <v>14.045500720360332</v>
          </cell>
          <cell r="U20" t="str">
            <v xml:space="preserve">           na</v>
          </cell>
          <cell r="W20" t="str">
            <v xml:space="preserve">           na</v>
          </cell>
          <cell r="Z20">
            <v>18.084806842655844</v>
          </cell>
          <cell r="AB20" t="str">
            <v xml:space="preserve">           na</v>
          </cell>
          <cell r="AD20" t="str">
            <v xml:space="preserve">           na</v>
          </cell>
          <cell r="AG20">
            <v>37.439948994896</v>
          </cell>
          <cell r="AI20" t="str">
            <v xml:space="preserve">           na</v>
          </cell>
          <cell r="AK20" t="str">
            <v xml:space="preserve">           na</v>
          </cell>
          <cell r="AN20">
            <v>-1</v>
          </cell>
          <cell r="AP20">
            <v>-1</v>
          </cell>
          <cell r="AR20" t="str">
            <v xml:space="preserve">          na</v>
          </cell>
          <cell r="AT20" t="str">
            <v xml:space="preserve">          na</v>
          </cell>
          <cell r="AW20">
            <v>1.4558876200665161</v>
          </cell>
          <cell r="AY20">
            <v>0.10365508849079792</v>
          </cell>
          <cell r="BA20">
            <v>0.43808511611111056</v>
          </cell>
          <cell r="BD20">
            <v>0.15467848732591161</v>
          </cell>
          <cell r="BF20">
            <v>0.12013049539661493</v>
          </cell>
          <cell r="BH20">
            <v>5.1649623265651382E-2</v>
          </cell>
          <cell r="BK20" t="str">
            <v xml:space="preserve">        na</v>
          </cell>
          <cell r="BM20" t="str">
            <v xml:space="preserve">        na</v>
          </cell>
          <cell r="BO20" t="str">
            <v xml:space="preserve">        na</v>
          </cell>
          <cell r="BR20">
            <v>4.1863955455243351E-2</v>
          </cell>
        </row>
        <row r="21">
          <cell r="E21" t="str">
            <v xml:space="preserve">Company </v>
          </cell>
          <cell r="F21">
            <v>52.5</v>
          </cell>
          <cell r="H21">
            <v>8119.7339170999994</v>
          </cell>
          <cell r="J21">
            <v>9058.7159170999985</v>
          </cell>
          <cell r="L21">
            <v>2.172536805160338</v>
          </cell>
          <cell r="N21" t="str">
            <v xml:space="preserve">           na</v>
          </cell>
          <cell r="P21" t="str">
            <v xml:space="preserve">           na</v>
          </cell>
          <cell r="S21">
            <v>14.045500720360332</v>
          </cell>
          <cell r="U21" t="str">
            <v xml:space="preserve">           na</v>
          </cell>
          <cell r="W21" t="str">
            <v xml:space="preserve">           na</v>
          </cell>
          <cell r="Z21">
            <v>18.084806842655844</v>
          </cell>
          <cell r="AB21" t="str">
            <v xml:space="preserve">           na</v>
          </cell>
          <cell r="AD21" t="str">
            <v xml:space="preserve">           na</v>
          </cell>
          <cell r="AG21">
            <v>37.439948994896</v>
          </cell>
          <cell r="AI21" t="str">
            <v xml:space="preserve">           na</v>
          </cell>
          <cell r="AK21" t="str">
            <v xml:space="preserve">           na</v>
          </cell>
          <cell r="AN21">
            <v>-1</v>
          </cell>
          <cell r="AP21">
            <v>-1</v>
          </cell>
          <cell r="AR21" t="str">
            <v xml:space="preserve">          na</v>
          </cell>
          <cell r="AT21" t="str">
            <v xml:space="preserve">          na</v>
          </cell>
          <cell r="AW21">
            <v>1.4558876200665161</v>
          </cell>
          <cell r="AY21">
            <v>0.10365508849079792</v>
          </cell>
          <cell r="BA21">
            <v>0.43808511611111056</v>
          </cell>
          <cell r="BD21">
            <v>0.15467848732591161</v>
          </cell>
          <cell r="BF21">
            <v>0.12013049539661493</v>
          </cell>
          <cell r="BH21">
            <v>5.1649623265651382E-2</v>
          </cell>
          <cell r="BK21" t="str">
            <v xml:space="preserve">        na</v>
          </cell>
          <cell r="BM21" t="str">
            <v xml:space="preserve">        na</v>
          </cell>
          <cell r="BO21" t="str">
            <v xml:space="preserve">        na</v>
          </cell>
          <cell r="BR21">
            <v>4.1863955455243351E-2</v>
          </cell>
        </row>
        <row r="23">
          <cell r="E23" t="str">
            <v>Average</v>
          </cell>
          <cell r="L23">
            <v>2.0358635688245488</v>
          </cell>
          <cell r="N23" t="str">
            <v xml:space="preserve">           na</v>
          </cell>
          <cell r="P23" t="str">
            <v xml:space="preserve">           na</v>
          </cell>
          <cell r="S23">
            <v>13.16190508467368</v>
          </cell>
          <cell r="U23" t="str">
            <v xml:space="preserve">           na</v>
          </cell>
          <cell r="W23" t="str">
            <v xml:space="preserve">           na</v>
          </cell>
          <cell r="Z23">
            <v>16.947100418616238</v>
          </cell>
          <cell r="AB23" t="str">
            <v xml:space="preserve">           na</v>
          </cell>
          <cell r="AD23" t="str">
            <v xml:space="preserve">           na</v>
          </cell>
          <cell r="AG23">
            <v>34.638320158543237</v>
          </cell>
          <cell r="AI23" t="str">
            <v xml:space="preserve">           na</v>
          </cell>
          <cell r="AK23" t="str">
            <v xml:space="preserve">           na</v>
          </cell>
          <cell r="AN23">
            <v>-1</v>
          </cell>
          <cell r="AP23">
            <v>-1</v>
          </cell>
          <cell r="AR23" t="str">
            <v xml:space="preserve">           na</v>
          </cell>
          <cell r="AT23" t="str">
            <v xml:space="preserve">           na</v>
          </cell>
          <cell r="AW23">
            <v>1.4558876200665161</v>
          </cell>
          <cell r="AY23">
            <v>0.11530716531232997</v>
          </cell>
          <cell r="BA23">
            <v>0.43808511611111056</v>
          </cell>
          <cell r="BD23">
            <v>0.15467848732591158</v>
          </cell>
          <cell r="BF23">
            <v>0.12013049539661493</v>
          </cell>
          <cell r="BH23">
            <v>5.1649623265651375E-2</v>
          </cell>
          <cell r="BK23" t="str">
            <v xml:space="preserve">         na</v>
          </cell>
          <cell r="BM23" t="str">
            <v xml:space="preserve">         na</v>
          </cell>
          <cell r="BO23" t="str">
            <v xml:space="preserve">         na</v>
          </cell>
          <cell r="BR23">
            <v>4.1863955455243351E-2</v>
          </cell>
        </row>
        <row r="24">
          <cell r="E24" t="str">
            <v>Median</v>
          </cell>
          <cell r="L24">
            <v>2.172536805160338</v>
          </cell>
          <cell r="N24" t="str">
            <v xml:space="preserve">           na</v>
          </cell>
          <cell r="P24" t="str">
            <v xml:space="preserve">           na</v>
          </cell>
          <cell r="S24">
            <v>14.045500720360332</v>
          </cell>
          <cell r="U24" t="str">
            <v xml:space="preserve">           na</v>
          </cell>
          <cell r="W24" t="str">
            <v xml:space="preserve">           na</v>
          </cell>
          <cell r="Z24">
            <v>18.084806842655844</v>
          </cell>
          <cell r="AB24" t="str">
            <v xml:space="preserve">           na</v>
          </cell>
          <cell r="AD24" t="str">
            <v xml:space="preserve">           na</v>
          </cell>
          <cell r="AG24">
            <v>37.439948994896</v>
          </cell>
          <cell r="AI24" t="str">
            <v xml:space="preserve">           na</v>
          </cell>
          <cell r="AK24" t="str">
            <v xml:space="preserve">           na</v>
          </cell>
          <cell r="AN24">
            <v>-1</v>
          </cell>
          <cell r="AP24">
            <v>-1</v>
          </cell>
          <cell r="AR24" t="str">
            <v xml:space="preserve">           na</v>
          </cell>
          <cell r="AT24" t="str">
            <v xml:space="preserve">           na</v>
          </cell>
          <cell r="AW24">
            <v>1.4558876200665161</v>
          </cell>
          <cell r="AY24">
            <v>0.10365508849079792</v>
          </cell>
          <cell r="BA24">
            <v>0.43808511611111056</v>
          </cell>
          <cell r="BD24">
            <v>0.15467848732591161</v>
          </cell>
          <cell r="BF24">
            <v>0.12013049539661493</v>
          </cell>
          <cell r="BH24">
            <v>5.1649623265651382E-2</v>
          </cell>
          <cell r="BK24" t="str">
            <v xml:space="preserve">         na</v>
          </cell>
          <cell r="BM24" t="str">
            <v xml:space="preserve">         na</v>
          </cell>
          <cell r="BO24" t="str">
            <v xml:space="preserve">         na</v>
          </cell>
          <cell r="BR24">
            <v>4.1863955455243351E-2</v>
          </cell>
        </row>
        <row r="26">
          <cell r="E26" t="str">
            <v>Group B</v>
          </cell>
        </row>
        <row r="27">
          <cell r="E27" t="str">
            <v xml:space="preserve">Company </v>
          </cell>
          <cell r="F27">
            <v>52.5</v>
          </cell>
          <cell r="H27">
            <v>8119.7339170999994</v>
          </cell>
          <cell r="J27">
            <v>9058.7159170999985</v>
          </cell>
          <cell r="L27">
            <v>2.172536805160338</v>
          </cell>
          <cell r="N27" t="str">
            <v xml:space="preserve">           na</v>
          </cell>
          <cell r="P27" t="str">
            <v xml:space="preserve">           na</v>
          </cell>
          <cell r="S27">
            <v>14.045500720360332</v>
          </cell>
          <cell r="U27" t="str">
            <v xml:space="preserve">           na</v>
          </cell>
          <cell r="W27" t="str">
            <v xml:space="preserve">           na</v>
          </cell>
          <cell r="Z27">
            <v>18.084806842655844</v>
          </cell>
          <cell r="AB27" t="str">
            <v xml:space="preserve">           na</v>
          </cell>
          <cell r="AD27" t="str">
            <v xml:space="preserve">           na</v>
          </cell>
          <cell r="AG27">
            <v>37.439948994896</v>
          </cell>
          <cell r="AI27" t="str">
            <v xml:space="preserve">           na</v>
          </cell>
          <cell r="AK27" t="str">
            <v xml:space="preserve">           na</v>
          </cell>
          <cell r="AN27">
            <v>-1</v>
          </cell>
          <cell r="AP27">
            <v>-1</v>
          </cell>
          <cell r="AR27" t="str">
            <v xml:space="preserve">          na</v>
          </cell>
          <cell r="AT27" t="str">
            <v xml:space="preserve">          na</v>
          </cell>
          <cell r="AW27">
            <v>1.4558876200665161</v>
          </cell>
          <cell r="AY27">
            <v>0.10365508849079792</v>
          </cell>
          <cell r="BA27">
            <v>0.43808511611111056</v>
          </cell>
          <cell r="BD27">
            <v>0.15467848732591161</v>
          </cell>
          <cell r="BF27">
            <v>0.12013049539661493</v>
          </cell>
          <cell r="BH27">
            <v>5.1649623265651382E-2</v>
          </cell>
          <cell r="BK27" t="str">
            <v xml:space="preserve">        na</v>
          </cell>
          <cell r="BM27" t="str">
            <v xml:space="preserve">        na</v>
          </cell>
          <cell r="BO27" t="str">
            <v xml:space="preserve">        na</v>
          </cell>
          <cell r="BR27">
            <v>4.1863955455243351E-2</v>
          </cell>
        </row>
        <row r="28">
          <cell r="E28" t="str">
            <v xml:space="preserve">Company </v>
          </cell>
          <cell r="F28">
            <v>52.5</v>
          </cell>
          <cell r="H28">
            <v>8119.7339170999994</v>
          </cell>
          <cell r="J28">
            <v>9058.7159170999985</v>
          </cell>
          <cell r="L28">
            <v>2.172536805160338</v>
          </cell>
          <cell r="N28" t="str">
            <v xml:space="preserve">           na</v>
          </cell>
          <cell r="P28" t="str">
            <v xml:space="preserve">           na</v>
          </cell>
          <cell r="S28">
            <v>14.045500720360332</v>
          </cell>
          <cell r="U28" t="str">
            <v xml:space="preserve">           na</v>
          </cell>
          <cell r="W28" t="str">
            <v xml:space="preserve">           na</v>
          </cell>
          <cell r="Z28">
            <v>18.084806842655844</v>
          </cell>
          <cell r="AB28" t="str">
            <v xml:space="preserve">           na</v>
          </cell>
          <cell r="AD28" t="str">
            <v xml:space="preserve">           na</v>
          </cell>
          <cell r="AG28">
            <v>37.439948994896</v>
          </cell>
          <cell r="AI28" t="str">
            <v xml:space="preserve">           na</v>
          </cell>
          <cell r="AK28" t="str">
            <v xml:space="preserve">           na</v>
          </cell>
          <cell r="AN28">
            <v>-1</v>
          </cell>
          <cell r="AP28">
            <v>-1</v>
          </cell>
          <cell r="AR28" t="str">
            <v xml:space="preserve">          na</v>
          </cell>
          <cell r="AT28" t="str">
            <v xml:space="preserve">          na</v>
          </cell>
          <cell r="AW28">
            <v>1.4558876200665161</v>
          </cell>
          <cell r="AY28">
            <v>0.10365508849079792</v>
          </cell>
          <cell r="BA28">
            <v>0.43808511611111056</v>
          </cell>
          <cell r="BD28">
            <v>0.15467848732591161</v>
          </cell>
          <cell r="BF28">
            <v>0.12013049539661493</v>
          </cell>
          <cell r="BH28">
            <v>5.1649623265651382E-2</v>
          </cell>
          <cell r="BK28" t="str">
            <v xml:space="preserve">        na</v>
          </cell>
          <cell r="BM28" t="str">
            <v xml:space="preserve">        na</v>
          </cell>
          <cell r="BO28" t="str">
            <v xml:space="preserve">        na</v>
          </cell>
          <cell r="BR28">
            <v>4.1863955455243351E-2</v>
          </cell>
        </row>
        <row r="29">
          <cell r="E29" t="str">
            <v xml:space="preserve">Company </v>
          </cell>
          <cell r="F29">
            <v>52.5</v>
          </cell>
          <cell r="H29">
            <v>8119.7339170999994</v>
          </cell>
          <cell r="J29">
            <v>9058.7159170999985</v>
          </cell>
          <cell r="L29">
            <v>2.172536805160338</v>
          </cell>
          <cell r="N29" t="str">
            <v xml:space="preserve">           na</v>
          </cell>
          <cell r="P29" t="str">
            <v xml:space="preserve">           na</v>
          </cell>
          <cell r="S29">
            <v>14.045500720360332</v>
          </cell>
          <cell r="U29" t="str">
            <v xml:space="preserve">           na</v>
          </cell>
          <cell r="W29" t="str">
            <v xml:space="preserve">           na</v>
          </cell>
          <cell r="Z29">
            <v>18.084806842655844</v>
          </cell>
          <cell r="AB29" t="str">
            <v xml:space="preserve">           na</v>
          </cell>
          <cell r="AD29" t="str">
            <v xml:space="preserve">           na</v>
          </cell>
          <cell r="AG29">
            <v>37.439948994896</v>
          </cell>
          <cell r="AI29" t="str">
            <v xml:space="preserve">           na</v>
          </cell>
          <cell r="AK29" t="str">
            <v xml:space="preserve">           na</v>
          </cell>
          <cell r="AN29">
            <v>-1</v>
          </cell>
          <cell r="AP29">
            <v>-1</v>
          </cell>
          <cell r="AR29" t="str">
            <v xml:space="preserve">          na</v>
          </cell>
          <cell r="AT29" t="str">
            <v xml:space="preserve">          na</v>
          </cell>
          <cell r="AW29">
            <v>1.4558876200665161</v>
          </cell>
          <cell r="AY29">
            <v>0.10365508849079792</v>
          </cell>
          <cell r="BA29">
            <v>0.43808511611111056</v>
          </cell>
          <cell r="BD29">
            <v>0.15467848732591161</v>
          </cell>
          <cell r="BF29">
            <v>0.12013049539661493</v>
          </cell>
          <cell r="BH29">
            <v>5.1649623265651382E-2</v>
          </cell>
          <cell r="BK29" t="str">
            <v xml:space="preserve">        na</v>
          </cell>
          <cell r="BM29" t="str">
            <v xml:space="preserve">        na</v>
          </cell>
          <cell r="BO29" t="str">
            <v xml:space="preserve">        na</v>
          </cell>
          <cell r="BR29">
            <v>4.1863955455243351E-2</v>
          </cell>
        </row>
        <row r="30">
          <cell r="E30" t="str">
            <v xml:space="preserve">Company </v>
          </cell>
          <cell r="F30">
            <v>52.5</v>
          </cell>
          <cell r="H30">
            <v>8119.7339170999994</v>
          </cell>
          <cell r="J30">
            <v>9058.7159170999985</v>
          </cell>
          <cell r="L30">
            <v>2.172536805160338</v>
          </cell>
          <cell r="N30" t="str">
            <v xml:space="preserve">           na</v>
          </cell>
          <cell r="P30" t="str">
            <v xml:space="preserve">           na</v>
          </cell>
          <cell r="S30">
            <v>14.045500720360332</v>
          </cell>
          <cell r="U30" t="str">
            <v xml:space="preserve">           na</v>
          </cell>
          <cell r="W30" t="str">
            <v xml:space="preserve">           na</v>
          </cell>
          <cell r="Z30">
            <v>18.084806842655844</v>
          </cell>
          <cell r="AB30" t="str">
            <v xml:space="preserve">           na</v>
          </cell>
          <cell r="AD30" t="str">
            <v xml:space="preserve">           na</v>
          </cell>
          <cell r="AG30">
            <v>37.439948994896</v>
          </cell>
          <cell r="AI30" t="str">
            <v xml:space="preserve">           na</v>
          </cell>
          <cell r="AK30" t="str">
            <v xml:space="preserve">           na</v>
          </cell>
          <cell r="AN30">
            <v>-1</v>
          </cell>
          <cell r="AP30">
            <v>-1</v>
          </cell>
          <cell r="AR30" t="str">
            <v xml:space="preserve">          na</v>
          </cell>
          <cell r="AT30" t="str">
            <v xml:space="preserve">          na</v>
          </cell>
          <cell r="AW30">
            <v>1.4558876200665161</v>
          </cell>
          <cell r="AY30">
            <v>0.10365508849079792</v>
          </cell>
          <cell r="BA30">
            <v>0.43808511611111056</v>
          </cell>
          <cell r="BD30">
            <v>0.15467848732591161</v>
          </cell>
          <cell r="BF30">
            <v>0.12013049539661493</v>
          </cell>
          <cell r="BH30">
            <v>5.1649623265651382E-2</v>
          </cell>
          <cell r="BK30" t="str">
            <v xml:space="preserve">        na</v>
          </cell>
          <cell r="BM30" t="str">
            <v xml:space="preserve">        na</v>
          </cell>
          <cell r="BO30" t="str">
            <v xml:space="preserve">        na</v>
          </cell>
          <cell r="BR30">
            <v>4.1863955455243351E-2</v>
          </cell>
        </row>
        <row r="31">
          <cell r="E31" t="str">
            <v xml:space="preserve">Company </v>
          </cell>
          <cell r="F31">
            <v>52.5</v>
          </cell>
          <cell r="H31">
            <v>8119.7339170999994</v>
          </cell>
          <cell r="J31">
            <v>9058.7159170999985</v>
          </cell>
          <cell r="L31">
            <v>2.172536805160338</v>
          </cell>
          <cell r="N31" t="str">
            <v xml:space="preserve">           na</v>
          </cell>
          <cell r="P31" t="str">
            <v xml:space="preserve">           na</v>
          </cell>
          <cell r="S31">
            <v>14.045500720360332</v>
          </cell>
          <cell r="U31" t="str">
            <v xml:space="preserve">           na</v>
          </cell>
          <cell r="W31" t="str">
            <v xml:space="preserve">           na</v>
          </cell>
          <cell r="Z31">
            <v>18.084806842655844</v>
          </cell>
          <cell r="AB31" t="str">
            <v xml:space="preserve">           na</v>
          </cell>
          <cell r="AD31" t="str">
            <v xml:space="preserve">           na</v>
          </cell>
          <cell r="AG31">
            <v>37.439948994896</v>
          </cell>
          <cell r="AI31" t="str">
            <v xml:space="preserve">           na</v>
          </cell>
          <cell r="AK31" t="str">
            <v xml:space="preserve">           na</v>
          </cell>
          <cell r="AN31">
            <v>-1</v>
          </cell>
          <cell r="AP31">
            <v>-1</v>
          </cell>
          <cell r="AR31" t="str">
            <v xml:space="preserve">          na</v>
          </cell>
          <cell r="AT31" t="str">
            <v xml:space="preserve">          na</v>
          </cell>
          <cell r="AW31">
            <v>1.4558876200665161</v>
          </cell>
          <cell r="AY31">
            <v>0.10365508849079792</v>
          </cell>
          <cell r="BA31">
            <v>0.43808511611111056</v>
          </cell>
          <cell r="BD31">
            <v>0.15467848732591161</v>
          </cell>
          <cell r="BF31">
            <v>0.12013049539661493</v>
          </cell>
          <cell r="BH31">
            <v>5.1649623265651382E-2</v>
          </cell>
          <cell r="BK31" t="str">
            <v xml:space="preserve">        na</v>
          </cell>
          <cell r="BM31" t="str">
            <v xml:space="preserve">        na</v>
          </cell>
          <cell r="BO31" t="str">
            <v xml:space="preserve">        na</v>
          </cell>
          <cell r="BR31">
            <v>4.1863955455243351E-2</v>
          </cell>
        </row>
        <row r="32">
          <cell r="E32" t="str">
            <v xml:space="preserve">Company </v>
          </cell>
          <cell r="F32">
            <v>52.5</v>
          </cell>
          <cell r="H32">
            <v>8119.7339170999994</v>
          </cell>
          <cell r="J32">
            <v>9058.7159170999985</v>
          </cell>
          <cell r="L32">
            <v>2.172536805160338</v>
          </cell>
          <cell r="N32" t="str">
            <v xml:space="preserve">           na</v>
          </cell>
          <cell r="P32" t="str">
            <v xml:space="preserve">           na</v>
          </cell>
          <cell r="S32">
            <v>14.045500720360332</v>
          </cell>
          <cell r="U32" t="str">
            <v xml:space="preserve">           na</v>
          </cell>
          <cell r="W32" t="str">
            <v xml:space="preserve">           na</v>
          </cell>
          <cell r="Z32">
            <v>18.084806842655844</v>
          </cell>
          <cell r="AB32" t="str">
            <v xml:space="preserve">           na</v>
          </cell>
          <cell r="AD32" t="str">
            <v xml:space="preserve">           na</v>
          </cell>
          <cell r="AG32">
            <v>37.439948994896</v>
          </cell>
          <cell r="AI32" t="str">
            <v xml:space="preserve">           na</v>
          </cell>
          <cell r="AK32" t="str">
            <v xml:space="preserve">           na</v>
          </cell>
          <cell r="AN32">
            <v>-1</v>
          </cell>
          <cell r="AP32">
            <v>-1</v>
          </cell>
          <cell r="AR32" t="str">
            <v xml:space="preserve">          na</v>
          </cell>
          <cell r="AT32" t="str">
            <v xml:space="preserve">          na</v>
          </cell>
          <cell r="AW32">
            <v>1.4558876200665161</v>
          </cell>
          <cell r="AY32">
            <v>0.10365508849079792</v>
          </cell>
          <cell r="BA32">
            <v>0.43808511611111056</v>
          </cell>
          <cell r="BD32">
            <v>0.15467848732591161</v>
          </cell>
          <cell r="BF32">
            <v>0.12013049539661493</v>
          </cell>
          <cell r="BH32">
            <v>5.1649623265651382E-2</v>
          </cell>
          <cell r="BK32" t="str">
            <v xml:space="preserve">        na</v>
          </cell>
          <cell r="BM32" t="str">
            <v xml:space="preserve">        na</v>
          </cell>
          <cell r="BO32" t="str">
            <v xml:space="preserve">        na</v>
          </cell>
          <cell r="BR32">
            <v>4.1863955455243351E-2</v>
          </cell>
        </row>
        <row r="33">
          <cell r="E33" t="str">
            <v xml:space="preserve">Company </v>
          </cell>
          <cell r="F33">
            <v>52.5</v>
          </cell>
          <cell r="H33">
            <v>8119.7339170999994</v>
          </cell>
          <cell r="J33">
            <v>9058.7159170999985</v>
          </cell>
          <cell r="L33">
            <v>2.172536805160338</v>
          </cell>
          <cell r="N33" t="str">
            <v xml:space="preserve">           na</v>
          </cell>
          <cell r="P33" t="str">
            <v xml:space="preserve">           na</v>
          </cell>
          <cell r="S33">
            <v>14.045500720360332</v>
          </cell>
          <cell r="U33" t="str">
            <v xml:space="preserve">           na</v>
          </cell>
          <cell r="W33" t="str">
            <v xml:space="preserve">           na</v>
          </cell>
          <cell r="Z33">
            <v>18.084806842655844</v>
          </cell>
          <cell r="AB33" t="str">
            <v xml:space="preserve">           na</v>
          </cell>
          <cell r="AD33" t="str">
            <v xml:space="preserve">           na</v>
          </cell>
          <cell r="AG33">
            <v>37.439948994896</v>
          </cell>
          <cell r="AI33" t="str">
            <v xml:space="preserve">           na</v>
          </cell>
          <cell r="AK33" t="str">
            <v xml:space="preserve">           na</v>
          </cell>
          <cell r="AN33">
            <v>-1</v>
          </cell>
          <cell r="AP33">
            <v>-1</v>
          </cell>
          <cell r="AR33" t="str">
            <v xml:space="preserve">          na</v>
          </cell>
          <cell r="AT33" t="str">
            <v xml:space="preserve">          na</v>
          </cell>
          <cell r="AW33">
            <v>1.4558876200665161</v>
          </cell>
          <cell r="AY33">
            <v>0.10365508849079792</v>
          </cell>
          <cell r="BA33">
            <v>0.43808511611111056</v>
          </cell>
          <cell r="BD33">
            <v>0.15467848732591161</v>
          </cell>
          <cell r="BF33">
            <v>0.12013049539661493</v>
          </cell>
          <cell r="BH33">
            <v>5.1649623265651382E-2</v>
          </cell>
          <cell r="BK33" t="str">
            <v xml:space="preserve">        na</v>
          </cell>
          <cell r="BM33" t="str">
            <v xml:space="preserve">        na</v>
          </cell>
          <cell r="BO33" t="str">
            <v xml:space="preserve">        na</v>
          </cell>
          <cell r="BR33">
            <v>4.1863955455243351E-2</v>
          </cell>
        </row>
        <row r="35">
          <cell r="E35" t="str">
            <v>Average</v>
          </cell>
          <cell r="L35">
            <v>2.172536805160338</v>
          </cell>
          <cell r="N35" t="str">
            <v xml:space="preserve">           na</v>
          </cell>
          <cell r="P35" t="str">
            <v xml:space="preserve">           na</v>
          </cell>
          <cell r="S35">
            <v>14.045500720360334</v>
          </cell>
          <cell r="U35" t="str">
            <v xml:space="preserve">           na</v>
          </cell>
          <cell r="W35" t="str">
            <v xml:space="preserve">           na</v>
          </cell>
          <cell r="Z35">
            <v>18.084806842655841</v>
          </cell>
          <cell r="AB35" t="str">
            <v xml:space="preserve">           na</v>
          </cell>
          <cell r="AD35" t="str">
            <v xml:space="preserve">           na</v>
          </cell>
          <cell r="AG35">
            <v>37.439948994895992</v>
          </cell>
          <cell r="AI35" t="str">
            <v xml:space="preserve">           na</v>
          </cell>
          <cell r="AK35" t="str">
            <v xml:space="preserve">           na</v>
          </cell>
          <cell r="AN35">
            <v>-1</v>
          </cell>
          <cell r="AP35">
            <v>-1</v>
          </cell>
          <cell r="AR35" t="str">
            <v xml:space="preserve">           na</v>
          </cell>
          <cell r="AT35" t="str">
            <v xml:space="preserve">           na</v>
          </cell>
          <cell r="AW35">
            <v>1.4558876200665161</v>
          </cell>
          <cell r="AY35">
            <v>0.10365508849079794</v>
          </cell>
          <cell r="BA35">
            <v>0.43808511611111056</v>
          </cell>
          <cell r="BD35">
            <v>0.15467848732591158</v>
          </cell>
          <cell r="BF35">
            <v>0.12013049539661493</v>
          </cell>
          <cell r="BH35">
            <v>5.1649623265651375E-2</v>
          </cell>
          <cell r="BK35" t="str">
            <v xml:space="preserve">         na</v>
          </cell>
          <cell r="BM35" t="str">
            <v xml:space="preserve">         na</v>
          </cell>
          <cell r="BO35" t="str">
            <v xml:space="preserve">         na</v>
          </cell>
          <cell r="BR35">
            <v>4.1863955455243351E-2</v>
          </cell>
        </row>
        <row r="36">
          <cell r="E36" t="str">
            <v>Median</v>
          </cell>
          <cell r="L36">
            <v>2.172536805160338</v>
          </cell>
          <cell r="N36" t="str">
            <v xml:space="preserve">           na</v>
          </cell>
          <cell r="P36" t="str">
            <v xml:space="preserve">           na</v>
          </cell>
          <cell r="S36">
            <v>14.045500720360332</v>
          </cell>
          <cell r="U36" t="str">
            <v xml:space="preserve">           na</v>
          </cell>
          <cell r="W36" t="str">
            <v xml:space="preserve">           na</v>
          </cell>
          <cell r="Z36">
            <v>18.084806842655844</v>
          </cell>
          <cell r="AB36" t="str">
            <v xml:space="preserve">           na</v>
          </cell>
          <cell r="AD36" t="str">
            <v xml:space="preserve">           na</v>
          </cell>
          <cell r="AG36">
            <v>37.439948994896</v>
          </cell>
          <cell r="AI36" t="str">
            <v xml:space="preserve">           na</v>
          </cell>
          <cell r="AK36" t="str">
            <v xml:space="preserve">           na</v>
          </cell>
          <cell r="AN36">
            <v>-1</v>
          </cell>
          <cell r="AP36">
            <v>-1</v>
          </cell>
          <cell r="AR36" t="str">
            <v xml:space="preserve">           na</v>
          </cell>
          <cell r="AT36" t="str">
            <v xml:space="preserve">           na</v>
          </cell>
          <cell r="AW36">
            <v>1.4558876200665161</v>
          </cell>
          <cell r="AY36">
            <v>0.10365508849079792</v>
          </cell>
          <cell r="BA36">
            <v>0.43808511611111056</v>
          </cell>
          <cell r="BD36">
            <v>0.15467848732591161</v>
          </cell>
          <cell r="BF36">
            <v>0.12013049539661493</v>
          </cell>
          <cell r="BH36">
            <v>5.1649623265651382E-2</v>
          </cell>
          <cell r="BK36" t="str">
            <v xml:space="preserve">         na</v>
          </cell>
          <cell r="BM36" t="str">
            <v xml:space="preserve">         na</v>
          </cell>
          <cell r="BO36" t="str">
            <v xml:space="preserve">         na</v>
          </cell>
          <cell r="BR36">
            <v>4.1863955455243351E-2</v>
          </cell>
        </row>
        <row r="38">
          <cell r="E38" t="e">
            <v>#REF!</v>
          </cell>
          <cell r="F38" t="e">
            <v>#REF!</v>
          </cell>
          <cell r="H38" t="e">
            <v>#REF!</v>
          </cell>
          <cell r="J38" t="e">
            <v>#REF!</v>
          </cell>
          <cell r="L38" t="e">
            <v>#REF!</v>
          </cell>
          <cell r="N38" t="e">
            <v>#REF!</v>
          </cell>
          <cell r="P38" t="e">
            <v>#REF!</v>
          </cell>
          <cell r="S38" t="e">
            <v>#REF!</v>
          </cell>
          <cell r="U38" t="e">
            <v>#REF!</v>
          </cell>
          <cell r="W38" t="e">
            <v>#REF!</v>
          </cell>
          <cell r="Z38" t="e">
            <v>#REF!</v>
          </cell>
          <cell r="AB38" t="e">
            <v>#REF!</v>
          </cell>
          <cell r="AD38" t="e">
            <v>#REF!</v>
          </cell>
          <cell r="AG38" t="e">
            <v>#REF!</v>
          </cell>
          <cell r="AI38" t="e">
            <v>#REF!</v>
          </cell>
          <cell r="AK38" t="e">
            <v>#REF!</v>
          </cell>
          <cell r="AN38" t="e">
            <v>#REF!</v>
          </cell>
          <cell r="AP38" t="e">
            <v>#REF!</v>
          </cell>
          <cell r="AR38" t="e">
            <v>#REF!</v>
          </cell>
          <cell r="AT38" t="e">
            <v>#REF!</v>
          </cell>
          <cell r="AW38" t="e">
            <v>#REF!</v>
          </cell>
          <cell r="AY38" t="e">
            <v>#REF!</v>
          </cell>
          <cell r="BA38" t="e">
            <v>#REF!</v>
          </cell>
          <cell r="BD38" t="e">
            <v>#REF!</v>
          </cell>
          <cell r="BF38" t="e">
            <v>#REF!</v>
          </cell>
          <cell r="BH38" t="e">
            <v>#REF!</v>
          </cell>
          <cell r="BK38" t="e">
            <v>#REF!</v>
          </cell>
          <cell r="BM38" t="e">
            <v>#REF!</v>
          </cell>
          <cell r="BO38" t="e">
            <v>#REF!</v>
          </cell>
          <cell r="BR38" t="e">
            <v>#REF!</v>
          </cell>
        </row>
        <row r="40">
          <cell r="E40" t="str">
            <v>Selected Multiples</v>
          </cell>
          <cell r="L40">
            <v>1</v>
          </cell>
          <cell r="N40">
            <v>1</v>
          </cell>
          <cell r="P40">
            <v>1</v>
          </cell>
          <cell r="S40">
            <v>6</v>
          </cell>
          <cell r="U40">
            <v>6</v>
          </cell>
          <cell r="W40">
            <v>6</v>
          </cell>
          <cell r="Z40">
            <v>7</v>
          </cell>
          <cell r="AB40">
            <v>7</v>
          </cell>
          <cell r="AD40">
            <v>7</v>
          </cell>
          <cell r="AG40">
            <v>15</v>
          </cell>
          <cell r="AI40">
            <v>15</v>
          </cell>
          <cell r="AK40">
            <v>15</v>
          </cell>
        </row>
        <row r="41">
          <cell r="L41" t="str">
            <v xml:space="preserve">      -</v>
          </cell>
          <cell r="N41" t="str">
            <v xml:space="preserve">      -</v>
          </cell>
          <cell r="P41" t="str">
            <v xml:space="preserve">      -</v>
          </cell>
          <cell r="S41" t="str">
            <v xml:space="preserve">      -</v>
          </cell>
          <cell r="U41" t="str">
            <v xml:space="preserve">      -</v>
          </cell>
          <cell r="W41" t="str">
            <v xml:space="preserve">      -</v>
          </cell>
          <cell r="Z41" t="str">
            <v xml:space="preserve">      -</v>
          </cell>
          <cell r="AB41" t="str">
            <v xml:space="preserve">      -</v>
          </cell>
          <cell r="AD41" t="str">
            <v xml:space="preserve">      -</v>
          </cell>
          <cell r="AG41" t="str">
            <v xml:space="preserve">      -</v>
          </cell>
          <cell r="AI41" t="str">
            <v xml:space="preserve">      -</v>
          </cell>
          <cell r="AK41" t="str">
            <v xml:space="preserve">      -</v>
          </cell>
        </row>
        <row r="42">
          <cell r="L42">
            <v>2</v>
          </cell>
          <cell r="N42">
            <v>2</v>
          </cell>
          <cell r="P42">
            <v>2</v>
          </cell>
          <cell r="S42">
            <v>8</v>
          </cell>
          <cell r="U42">
            <v>8</v>
          </cell>
          <cell r="W42">
            <v>8</v>
          </cell>
          <cell r="Z42">
            <v>9</v>
          </cell>
          <cell r="AB42">
            <v>9</v>
          </cell>
          <cell r="AD42">
            <v>9</v>
          </cell>
          <cell r="AG42">
            <v>17</v>
          </cell>
          <cell r="AI42">
            <v>17</v>
          </cell>
          <cell r="AK42">
            <v>17</v>
          </cell>
        </row>
      </sheetData>
      <sheetData sheetId="1" refreshError="1"/>
      <sheetData sheetId="2" refreshError="1"/>
      <sheetData sheetId="3" refreshError="1"/>
      <sheetData sheetId="4">
        <row r="204">
          <cell r="M204">
            <v>1</v>
          </cell>
          <cell r="Q204">
            <v>1</v>
          </cell>
        </row>
      </sheetData>
      <sheetData sheetId="5" refreshError="1"/>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CC23F-F984-4228-BF90-3777E27DBFF3}">
  <sheetPr>
    <tabColor theme="1"/>
  </sheetPr>
  <dimension ref="B1:K13"/>
  <sheetViews>
    <sheetView showGridLines="0" view="pageBreakPreview" zoomScaleNormal="100" zoomScaleSheetLayoutView="100" workbookViewId="0"/>
  </sheetViews>
  <sheetFormatPr defaultRowHeight="11.25" x14ac:dyDescent="0.2"/>
  <sheetData>
    <row r="1" spans="2:11" ht="12.75" x14ac:dyDescent="0.2">
      <c r="B1" s="221"/>
      <c r="C1" s="221"/>
      <c r="D1" s="221"/>
      <c r="E1" s="221"/>
      <c r="F1" s="221"/>
      <c r="G1" s="221"/>
      <c r="H1" s="221"/>
      <c r="I1" s="221"/>
      <c r="J1" s="221"/>
      <c r="K1" s="221"/>
    </row>
    <row r="2" spans="2:11" ht="12.75" x14ac:dyDescent="0.2">
      <c r="B2" s="221"/>
      <c r="C2" s="221"/>
      <c r="D2" s="221"/>
      <c r="E2" s="221"/>
      <c r="F2" s="221"/>
      <c r="G2" s="221"/>
      <c r="H2" s="221"/>
      <c r="I2" s="221"/>
      <c r="J2" s="221"/>
      <c r="K2" s="221"/>
    </row>
    <row r="3" spans="2:11" ht="12.75" x14ac:dyDescent="0.2">
      <c r="B3" s="221"/>
      <c r="C3" s="221"/>
      <c r="D3" s="221"/>
      <c r="E3" s="221"/>
      <c r="F3" s="221"/>
      <c r="G3" s="221"/>
      <c r="H3" s="221"/>
      <c r="I3" s="221"/>
      <c r="J3" s="221"/>
      <c r="K3" s="221"/>
    </row>
    <row r="4" spans="2:11" ht="68.25" x14ac:dyDescent="0.9">
      <c r="B4" s="221"/>
      <c r="C4" s="329" t="s">
        <v>239</v>
      </c>
      <c r="D4" s="330"/>
      <c r="E4" s="330"/>
      <c r="F4" s="330"/>
      <c r="G4" s="330"/>
      <c r="H4" s="330"/>
      <c r="I4" s="330"/>
      <c r="J4" s="330"/>
      <c r="K4" s="221"/>
    </row>
    <row r="5" spans="2:11" ht="45" x14ac:dyDescent="0.6">
      <c r="B5" s="221"/>
      <c r="C5" s="331" t="s">
        <v>238</v>
      </c>
      <c r="D5" s="331"/>
      <c r="E5" s="331"/>
      <c r="F5" s="331"/>
      <c r="G5" s="331"/>
      <c r="H5" s="331"/>
      <c r="I5" s="331"/>
      <c r="J5" s="331"/>
      <c r="K5" s="221"/>
    </row>
    <row r="6" spans="2:11" ht="45.75" x14ac:dyDescent="0.65">
      <c r="B6" s="221"/>
      <c r="C6" s="449">
        <v>44123</v>
      </c>
      <c r="D6" s="449"/>
      <c r="E6" s="449"/>
      <c r="F6" s="449"/>
      <c r="G6" s="449"/>
      <c r="H6" s="449"/>
      <c r="I6" s="449"/>
      <c r="J6" s="449"/>
      <c r="K6" s="221"/>
    </row>
    <row r="7" spans="2:11" ht="12.75" x14ac:dyDescent="0.2">
      <c r="B7" s="221"/>
      <c r="C7" s="221"/>
      <c r="D7" s="221"/>
      <c r="E7" s="221"/>
      <c r="F7" s="221"/>
      <c r="G7" s="221"/>
      <c r="H7" s="221"/>
      <c r="I7" s="221"/>
      <c r="J7" s="221"/>
      <c r="K7" s="221"/>
    </row>
    <row r="8" spans="2:11" ht="12.75" x14ac:dyDescent="0.2">
      <c r="B8" s="221"/>
      <c r="C8" s="221"/>
      <c r="D8" s="221"/>
      <c r="E8" s="221"/>
      <c r="F8" s="221"/>
      <c r="G8" s="221"/>
      <c r="H8" s="221"/>
      <c r="I8" s="221"/>
      <c r="J8" s="221"/>
      <c r="K8" s="221"/>
    </row>
    <row r="9" spans="2:11" ht="12.75" x14ac:dyDescent="0.2">
      <c r="B9" s="221"/>
      <c r="C9" s="221"/>
      <c r="D9" s="221"/>
      <c r="E9" s="221"/>
      <c r="F9" s="221"/>
      <c r="G9" s="221"/>
      <c r="H9" s="221"/>
      <c r="I9" s="221"/>
      <c r="J9" s="221"/>
      <c r="K9" s="221"/>
    </row>
    <row r="10" spans="2:11" ht="12.75" x14ac:dyDescent="0.2">
      <c r="B10" s="221"/>
      <c r="C10" s="221"/>
      <c r="D10" s="221"/>
      <c r="E10" s="221"/>
      <c r="F10" s="221"/>
      <c r="G10" s="221"/>
      <c r="H10" s="221"/>
      <c r="I10" s="221"/>
      <c r="J10" s="221"/>
      <c r="K10" s="221"/>
    </row>
    <row r="11" spans="2:11" ht="12.75" x14ac:dyDescent="0.2">
      <c r="B11" s="221"/>
      <c r="C11" s="221"/>
      <c r="D11" s="221"/>
      <c r="E11" s="221"/>
      <c r="F11" s="221"/>
      <c r="G11" s="221"/>
      <c r="H11" s="221"/>
      <c r="I11" s="221"/>
      <c r="J11" s="221"/>
      <c r="K11" s="221"/>
    </row>
    <row r="12" spans="2:11" ht="12.75" x14ac:dyDescent="0.2">
      <c r="B12" s="221"/>
      <c r="C12" s="221"/>
      <c r="D12" s="221"/>
      <c r="E12" s="221"/>
      <c r="F12" s="221"/>
      <c r="G12" s="221"/>
      <c r="H12" s="221"/>
      <c r="I12" s="221"/>
      <c r="J12" s="221"/>
      <c r="K12" s="221"/>
    </row>
    <row r="13" spans="2:11" ht="12.75" x14ac:dyDescent="0.2">
      <c r="B13" s="221"/>
      <c r="C13" s="221"/>
      <c r="D13" s="221"/>
      <c r="E13" s="221"/>
      <c r="F13" s="221"/>
      <c r="G13" s="221"/>
      <c r="H13" s="221"/>
      <c r="I13" s="221"/>
      <c r="J13" s="221"/>
      <c r="K13" s="221"/>
    </row>
  </sheetData>
  <mergeCells count="1">
    <mergeCell ref="C6:J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808B-D61E-4515-96A1-8D697F2CBF92}">
  <sheetPr>
    <tabColor theme="8" tint="-0.249977111117893"/>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ADAD-3506-41DF-8D23-A687AF26316D}">
  <sheetPr codeName="Sheet6">
    <tabColor theme="8" tint="0.39997558519241921"/>
    <outlinePr summaryBelow="0" summaryRight="0"/>
    <pageSetUpPr autoPageBreaks="0"/>
  </sheetPr>
  <dimension ref="B1:IU31"/>
  <sheetViews>
    <sheetView showGridLines="0" view="pageBreakPreview" zoomScaleNormal="130" zoomScaleSheetLayoutView="100" workbookViewId="0"/>
  </sheetViews>
  <sheetFormatPr defaultRowHeight="11.25" x14ac:dyDescent="0.2"/>
  <cols>
    <col min="1" max="1" width="2.7109375" style="96" customWidth="1"/>
    <col min="2" max="2" width="45.85546875" style="96" customWidth="1"/>
    <col min="3" max="6" width="14.85546875" style="96" customWidth="1"/>
    <col min="7" max="16384" width="9.140625" style="96"/>
  </cols>
  <sheetData>
    <row r="1" spans="2:255" ht="12" thickBot="1" x14ac:dyDescent="0.25"/>
    <row r="2" spans="2:255" ht="12.75" x14ac:dyDescent="0.2">
      <c r="B2" s="445" t="s">
        <v>7</v>
      </c>
      <c r="C2" s="446"/>
      <c r="D2" s="446"/>
      <c r="E2" s="446"/>
      <c r="F2" s="447"/>
    </row>
    <row r="3" spans="2:255" ht="25.5" x14ac:dyDescent="0.2">
      <c r="B3" s="128" t="s">
        <v>0</v>
      </c>
      <c r="C3" s="129">
        <v>2016</v>
      </c>
      <c r="D3" s="129">
        <v>2017</v>
      </c>
      <c r="E3" s="129">
        <v>2018</v>
      </c>
      <c r="F3" s="130">
        <v>2019</v>
      </c>
    </row>
    <row r="4" spans="2:255" ht="12.75" x14ac:dyDescent="0.2">
      <c r="B4" s="128" t="s">
        <v>139</v>
      </c>
      <c r="C4" s="129" t="s">
        <v>138</v>
      </c>
      <c r="D4" s="129" t="s">
        <v>138</v>
      </c>
      <c r="E4" s="129" t="s">
        <v>138</v>
      </c>
      <c r="F4" s="130" t="s">
        <v>138</v>
      </c>
    </row>
    <row r="5" spans="2:255" ht="15" x14ac:dyDescent="0.2">
      <c r="B5" s="131" t="s">
        <v>137</v>
      </c>
      <c r="C5" s="132"/>
      <c r="D5" s="132"/>
      <c r="E5" s="132"/>
      <c r="F5" s="133"/>
    </row>
    <row r="6" spans="2:255" ht="15" x14ac:dyDescent="0.2">
      <c r="B6" s="134" t="s">
        <v>136</v>
      </c>
      <c r="C6" s="135">
        <v>2968.2</v>
      </c>
      <c r="D6" s="135">
        <v>2913.3</v>
      </c>
      <c r="E6" s="135">
        <v>3230.3</v>
      </c>
      <c r="F6" s="136">
        <v>3356.1</v>
      </c>
    </row>
    <row r="7" spans="2:255" ht="15" x14ac:dyDescent="0.2">
      <c r="B7" s="134" t="s">
        <v>135</v>
      </c>
      <c r="C7" s="135">
        <v>975.3</v>
      </c>
      <c r="D7" s="135">
        <v>966.1</v>
      </c>
      <c r="E7" s="135">
        <v>1055.3</v>
      </c>
      <c r="F7" s="136">
        <v>1075.0999999999999</v>
      </c>
    </row>
    <row r="8" spans="2:255" ht="12.75" x14ac:dyDescent="0.2">
      <c r="B8" s="131" t="s">
        <v>134</v>
      </c>
      <c r="C8" s="137">
        <v>3943.5</v>
      </c>
      <c r="D8" s="137">
        <v>3879.4</v>
      </c>
      <c r="E8" s="137">
        <v>4285.6000000000004</v>
      </c>
      <c r="F8" s="138">
        <v>4431.2</v>
      </c>
    </row>
    <row r="9" spans="2:255" ht="15" x14ac:dyDescent="0.2">
      <c r="B9" s="134"/>
      <c r="C9" s="132"/>
      <c r="D9" s="132"/>
      <c r="E9" s="132"/>
      <c r="F9" s="133"/>
    </row>
    <row r="10" spans="2:255" ht="15" x14ac:dyDescent="0.2">
      <c r="B10" s="131" t="s">
        <v>133</v>
      </c>
      <c r="C10" s="132"/>
      <c r="D10" s="132"/>
      <c r="E10" s="132"/>
      <c r="F10" s="133"/>
    </row>
    <row r="11" spans="2:255" ht="15" x14ac:dyDescent="0.2">
      <c r="B11" s="134" t="s">
        <v>132</v>
      </c>
      <c r="C11" s="135">
        <v>-535.70000000000005</v>
      </c>
      <c r="D11" s="135">
        <v>-538.4</v>
      </c>
      <c r="E11" s="135">
        <v>-590.70000000000005</v>
      </c>
      <c r="F11" s="136">
        <v>-629</v>
      </c>
    </row>
    <row r="12" spans="2:255" ht="15" x14ac:dyDescent="0.2">
      <c r="B12" s="134" t="s">
        <v>131</v>
      </c>
      <c r="C12" s="135">
        <v>-1996.9</v>
      </c>
      <c r="D12" s="135">
        <v>-2028.4</v>
      </c>
      <c r="E12" s="135">
        <v>-2274.5</v>
      </c>
      <c r="F12" s="136">
        <v>-2349.1999999999998</v>
      </c>
    </row>
    <row r="13" spans="2:255" ht="12.75" x14ac:dyDescent="0.2">
      <c r="B13" s="131" t="s">
        <v>22</v>
      </c>
      <c r="C13" s="137">
        <f>SUM(C11:C12)</f>
        <v>-2532.6000000000004</v>
      </c>
      <c r="D13" s="137">
        <f t="shared" ref="D13:F13" si="0">SUM(D11:D12)</f>
        <v>-2566.8000000000002</v>
      </c>
      <c r="E13" s="137">
        <f t="shared" si="0"/>
        <v>-2865.2</v>
      </c>
      <c r="F13" s="138">
        <f t="shared" si="0"/>
        <v>-2978.2</v>
      </c>
    </row>
    <row r="14" spans="2:255" ht="15" x14ac:dyDescent="0.2">
      <c r="B14" s="134" t="s">
        <v>130</v>
      </c>
      <c r="C14" s="135">
        <v>-980.8</v>
      </c>
      <c r="D14" s="135">
        <v>-1086</v>
      </c>
      <c r="E14" s="135">
        <v>-1223.8</v>
      </c>
      <c r="F14" s="136">
        <v>-1100.8</v>
      </c>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102"/>
      <c r="BT14" s="102"/>
      <c r="BU14" s="102"/>
      <c r="BV14" s="102"/>
      <c r="BW14" s="102"/>
      <c r="BX14" s="102"/>
      <c r="BY14" s="102"/>
      <c r="BZ14" s="102"/>
      <c r="CA14" s="102"/>
      <c r="CB14" s="102"/>
      <c r="CC14" s="102"/>
      <c r="CD14" s="102"/>
      <c r="CE14" s="102"/>
      <c r="CF14" s="102"/>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102"/>
      <c r="DS14" s="102"/>
      <c r="DT14" s="102"/>
      <c r="DU14" s="102"/>
      <c r="DV14" s="102"/>
      <c r="DW14" s="102"/>
      <c r="DX14" s="102"/>
      <c r="DY14" s="102"/>
      <c r="DZ14" s="102"/>
      <c r="EA14" s="102"/>
      <c r="EB14" s="102"/>
      <c r="EC14" s="102"/>
      <c r="ED14" s="102"/>
      <c r="EE14" s="102"/>
      <c r="EF14" s="102"/>
      <c r="EG14" s="102"/>
      <c r="EH14" s="102"/>
      <c r="EI14" s="102"/>
      <c r="EJ14" s="102"/>
      <c r="EK14" s="102"/>
      <c r="EL14" s="102"/>
      <c r="EM14" s="102"/>
      <c r="EN14" s="102"/>
      <c r="EO14" s="102"/>
      <c r="EP14" s="102"/>
      <c r="EQ14" s="102"/>
      <c r="ER14" s="102"/>
      <c r="ES14" s="102"/>
      <c r="ET14" s="102"/>
      <c r="EU14" s="102"/>
      <c r="EV14" s="102"/>
      <c r="EW14" s="102"/>
      <c r="EX14" s="102"/>
      <c r="EY14" s="102"/>
      <c r="EZ14" s="102"/>
      <c r="FA14" s="102"/>
      <c r="FB14" s="102"/>
      <c r="FC14" s="102"/>
      <c r="FD14" s="102"/>
      <c r="FE14" s="102"/>
      <c r="FF14" s="102"/>
      <c r="FG14" s="102"/>
      <c r="FH14" s="102"/>
      <c r="FI14" s="102"/>
      <c r="FJ14" s="102"/>
      <c r="FK14" s="102"/>
      <c r="FL14" s="102"/>
      <c r="FM14" s="102"/>
      <c r="FN14" s="102"/>
      <c r="FO14" s="102"/>
      <c r="FP14" s="102"/>
      <c r="FQ14" s="102"/>
      <c r="FR14" s="102"/>
      <c r="FS14" s="102"/>
      <c r="FT14" s="102"/>
      <c r="FU14" s="102"/>
      <c r="FV14" s="102"/>
      <c r="FW14" s="102"/>
      <c r="FX14" s="102"/>
      <c r="FY14" s="102"/>
      <c r="FZ14" s="102"/>
      <c r="GA14" s="102"/>
      <c r="GB14" s="102"/>
      <c r="GC14" s="102"/>
      <c r="GD14" s="102"/>
      <c r="GE14" s="102"/>
      <c r="GF14" s="102"/>
      <c r="GG14" s="102"/>
      <c r="GH14" s="102"/>
      <c r="GI14" s="102"/>
      <c r="GJ14" s="102"/>
      <c r="GK14" s="102"/>
      <c r="GL14" s="102"/>
      <c r="GM14" s="102"/>
      <c r="GN14" s="102"/>
      <c r="GO14" s="102"/>
      <c r="GP14" s="102"/>
      <c r="GQ14" s="102"/>
      <c r="GR14" s="102"/>
      <c r="GS14" s="102"/>
      <c r="GT14" s="102"/>
      <c r="GU14" s="102"/>
      <c r="GV14" s="102"/>
      <c r="GW14" s="102"/>
      <c r="GX14" s="102"/>
      <c r="GY14" s="102"/>
      <c r="GZ14" s="102"/>
      <c r="HA14" s="102"/>
      <c r="HB14" s="102"/>
      <c r="HC14" s="102"/>
      <c r="HD14" s="102"/>
      <c r="HE14" s="102"/>
      <c r="HF14" s="102"/>
      <c r="HG14" s="102"/>
      <c r="HH14" s="102"/>
      <c r="HI14" s="102"/>
      <c r="HJ14" s="102"/>
      <c r="HK14" s="102"/>
      <c r="HL14" s="102"/>
      <c r="HM14" s="102"/>
      <c r="HN14" s="102"/>
      <c r="HO14" s="102"/>
      <c r="HP14" s="102"/>
      <c r="HQ14" s="102"/>
      <c r="HR14" s="102"/>
      <c r="HS14" s="102"/>
      <c r="HT14" s="102"/>
      <c r="HU14" s="102"/>
      <c r="HV14" s="102"/>
      <c r="HW14" s="102"/>
      <c r="HX14" s="102"/>
      <c r="HY14" s="102"/>
      <c r="HZ14" s="102"/>
      <c r="IA14" s="102"/>
      <c r="IB14" s="102"/>
      <c r="IC14" s="102"/>
      <c r="ID14" s="102"/>
      <c r="IE14" s="102"/>
      <c r="IF14" s="102"/>
      <c r="IG14" s="102"/>
      <c r="IH14" s="102"/>
      <c r="II14" s="102"/>
      <c r="IJ14" s="102"/>
      <c r="IK14" s="102"/>
      <c r="IL14" s="102"/>
      <c r="IM14" s="102"/>
      <c r="IN14" s="102"/>
      <c r="IO14" s="102"/>
      <c r="IP14" s="102"/>
      <c r="IQ14" s="102"/>
      <c r="IR14" s="102"/>
      <c r="IS14" s="102"/>
      <c r="IT14" s="102"/>
      <c r="IU14" s="102"/>
    </row>
    <row r="15" spans="2:255" ht="15" x14ac:dyDescent="0.2">
      <c r="B15" s="134" t="s">
        <v>129</v>
      </c>
      <c r="C15" s="135">
        <v>-125.9</v>
      </c>
      <c r="D15" s="135">
        <v>-254.4</v>
      </c>
      <c r="E15" s="135">
        <v>-178.8</v>
      </c>
      <c r="F15" s="136">
        <v>-146.1</v>
      </c>
    </row>
    <row r="16" spans="2:255" ht="15" x14ac:dyDescent="0.2">
      <c r="B16" s="134" t="s">
        <v>128</v>
      </c>
      <c r="C16" s="135">
        <v>-57</v>
      </c>
      <c r="D16" s="135" t="s">
        <v>3</v>
      </c>
      <c r="E16" s="135" t="s">
        <v>3</v>
      </c>
      <c r="F16" s="136" t="s">
        <v>3</v>
      </c>
    </row>
    <row r="17" spans="2:6" ht="15" x14ac:dyDescent="0.2">
      <c r="B17" s="134" t="s">
        <v>127</v>
      </c>
      <c r="C17" s="135">
        <v>3.5</v>
      </c>
      <c r="D17" s="135">
        <v>-379.3</v>
      </c>
      <c r="E17" s="135">
        <v>-288.8</v>
      </c>
      <c r="F17" s="136">
        <v>-310.39999999999998</v>
      </c>
    </row>
    <row r="18" spans="2:6" ht="12.75" x14ac:dyDescent="0.2">
      <c r="B18" s="131" t="s">
        <v>240</v>
      </c>
      <c r="C18" s="137">
        <v>250.7</v>
      </c>
      <c r="D18" s="137">
        <v>-407.1</v>
      </c>
      <c r="E18" s="137">
        <v>-271</v>
      </c>
      <c r="F18" s="138">
        <v>-104.3</v>
      </c>
    </row>
    <row r="19" spans="2:6" ht="15" x14ac:dyDescent="0.2">
      <c r="B19" s="134"/>
      <c r="C19" s="132"/>
      <c r="D19" s="132"/>
      <c r="E19" s="132"/>
      <c r="F19" s="133"/>
    </row>
    <row r="20" spans="2:6" ht="15" x14ac:dyDescent="0.2">
      <c r="B20" s="131" t="s">
        <v>126</v>
      </c>
      <c r="C20" s="132"/>
      <c r="D20" s="132"/>
      <c r="E20" s="132"/>
      <c r="F20" s="133"/>
    </row>
    <row r="21" spans="2:6" ht="15" x14ac:dyDescent="0.2">
      <c r="B21" s="134" t="s">
        <v>125</v>
      </c>
      <c r="C21" s="135">
        <v>-140.1</v>
      </c>
      <c r="D21" s="135">
        <v>19.7</v>
      </c>
      <c r="E21" s="135">
        <v>-49.9</v>
      </c>
      <c r="F21" s="136">
        <v>-36.5</v>
      </c>
    </row>
    <row r="22" spans="2:6" ht="15" x14ac:dyDescent="0.2">
      <c r="B22" s="134" t="s">
        <v>124</v>
      </c>
      <c r="C22" s="135">
        <v>47.1</v>
      </c>
      <c r="D22" s="135">
        <v>17.8</v>
      </c>
      <c r="E22" s="135">
        <v>6.9</v>
      </c>
      <c r="F22" s="136" t="s">
        <v>3</v>
      </c>
    </row>
    <row r="23" spans="2:6" ht="13.5" thickBot="1" x14ac:dyDescent="0.25">
      <c r="B23" s="144" t="s">
        <v>241</v>
      </c>
      <c r="C23" s="145">
        <v>157.69999999999999</v>
      </c>
      <c r="D23" s="145">
        <v>-369.6</v>
      </c>
      <c r="E23" s="145">
        <v>-314</v>
      </c>
      <c r="F23" s="146">
        <v>-140.80000000000001</v>
      </c>
    </row>
    <row r="25" spans="2:6" x14ac:dyDescent="0.2">
      <c r="B25" s="99"/>
      <c r="C25" s="99"/>
      <c r="D25" s="99"/>
      <c r="E25" s="99"/>
      <c r="F25" s="99"/>
    </row>
    <row r="26" spans="2:6" x14ac:dyDescent="0.2">
      <c r="B26" s="100"/>
      <c r="C26" s="99"/>
      <c r="D26" s="99"/>
      <c r="E26" s="99"/>
      <c r="F26" s="99"/>
    </row>
    <row r="27" spans="2:6" x14ac:dyDescent="0.2">
      <c r="B27" s="99"/>
      <c r="C27" s="101"/>
      <c r="D27" s="101"/>
      <c r="E27" s="101"/>
      <c r="F27" s="101"/>
    </row>
    <row r="28" spans="2:6" x14ac:dyDescent="0.2">
      <c r="B28" s="99"/>
      <c r="C28" s="99"/>
      <c r="D28" s="99"/>
      <c r="E28" s="99"/>
      <c r="F28" s="99"/>
    </row>
    <row r="29" spans="2:6" x14ac:dyDescent="0.2">
      <c r="B29" s="98"/>
      <c r="C29" s="98"/>
      <c r="D29" s="98"/>
      <c r="E29" s="98"/>
      <c r="F29" s="98"/>
    </row>
    <row r="31" spans="2:6" x14ac:dyDescent="0.2">
      <c r="B31" s="97"/>
    </row>
  </sheetData>
  <pageMargins left="0.2" right="0.2" top="0.5" bottom="0.5" header="0.5" footer="0.5"/>
  <pageSetup fitToWidth="0"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AF54-A791-47EF-BA99-C69EFB6740B7}">
  <sheetPr codeName="Sheet7">
    <tabColor theme="8" tint="0.39997558519241921"/>
    <outlinePr summaryBelow="0" summaryRight="0"/>
    <pageSetUpPr autoPageBreaks="0"/>
  </sheetPr>
  <dimension ref="B1:IV39"/>
  <sheetViews>
    <sheetView showGridLines="0" view="pageBreakPreview" zoomScaleNormal="100" zoomScaleSheetLayoutView="100" workbookViewId="0"/>
  </sheetViews>
  <sheetFormatPr defaultRowHeight="11.25" x14ac:dyDescent="0.2"/>
  <cols>
    <col min="1" max="1" width="2.7109375" style="96" customWidth="1"/>
    <col min="2" max="2" width="45.85546875" style="96" customWidth="1"/>
    <col min="3" max="5" width="14.85546875" style="96" customWidth="1"/>
    <col min="6" max="16384" width="9.140625" style="96"/>
  </cols>
  <sheetData>
    <row r="1" spans="2:256" ht="12" thickBot="1" x14ac:dyDescent="0.25"/>
    <row r="2" spans="2:256" ht="12.75" x14ac:dyDescent="0.2">
      <c r="B2" s="445" t="s">
        <v>108</v>
      </c>
      <c r="C2" s="446"/>
      <c r="D2" s="446"/>
      <c r="E2" s="447"/>
      <c r="H2" s="102"/>
    </row>
    <row r="3" spans="2:256" ht="25.5" x14ac:dyDescent="0.2">
      <c r="B3" s="128" t="s">
        <v>9</v>
      </c>
      <c r="C3" s="142">
        <v>2017</v>
      </c>
      <c r="D3" s="142">
        <v>2018</v>
      </c>
      <c r="E3" s="143">
        <v>2019</v>
      </c>
      <c r="F3" s="109"/>
    </row>
    <row r="4" spans="2:256" ht="12.75" x14ac:dyDescent="0.2">
      <c r="B4" s="128" t="s">
        <v>139</v>
      </c>
      <c r="C4" s="129" t="s">
        <v>138</v>
      </c>
      <c r="D4" s="129" t="s">
        <v>138</v>
      </c>
      <c r="E4" s="130" t="s">
        <v>138</v>
      </c>
    </row>
    <row r="5" spans="2:256" ht="15" x14ac:dyDescent="0.2">
      <c r="B5" s="131" t="s">
        <v>164</v>
      </c>
      <c r="C5" s="132"/>
      <c r="D5" s="132"/>
      <c r="E5" s="133"/>
    </row>
    <row r="6" spans="2:256" ht="15" x14ac:dyDescent="0.2">
      <c r="B6" s="134" t="s">
        <v>163</v>
      </c>
      <c r="C6" s="135">
        <v>388</v>
      </c>
      <c r="D6" s="135">
        <v>215.1</v>
      </c>
      <c r="E6" s="136">
        <v>223.5</v>
      </c>
    </row>
    <row r="7" spans="2:256" ht="12.75" x14ac:dyDescent="0.2">
      <c r="B7" s="131" t="s">
        <v>162</v>
      </c>
      <c r="C7" s="137">
        <v>1102.8</v>
      </c>
      <c r="D7" s="137">
        <v>1251.8</v>
      </c>
      <c r="E7" s="138">
        <v>1212.2</v>
      </c>
    </row>
    <row r="8" spans="2:256" ht="12.75" x14ac:dyDescent="0.2">
      <c r="B8" s="131" t="s">
        <v>161</v>
      </c>
      <c r="C8" s="137">
        <v>404.1</v>
      </c>
      <c r="D8" s="137">
        <v>486.5</v>
      </c>
      <c r="E8" s="138">
        <v>401</v>
      </c>
    </row>
    <row r="9" spans="2:256" ht="12.75" x14ac:dyDescent="0.2">
      <c r="B9" s="131" t="s">
        <v>160</v>
      </c>
      <c r="C9" s="137">
        <v>93.2</v>
      </c>
      <c r="D9" s="137">
        <v>141.9</v>
      </c>
      <c r="E9" s="138">
        <v>180.7</v>
      </c>
    </row>
    <row r="10" spans="2:256" ht="12.75" x14ac:dyDescent="0.2">
      <c r="B10" s="131" t="s">
        <v>10</v>
      </c>
      <c r="C10" s="137">
        <v>1988.1</v>
      </c>
      <c r="D10" s="137">
        <v>2095.3000000000002</v>
      </c>
      <c r="E10" s="138">
        <v>2017.4</v>
      </c>
    </row>
    <row r="11" spans="2:256" ht="15" x14ac:dyDescent="0.2">
      <c r="B11" s="134"/>
      <c r="C11" s="132"/>
      <c r="D11" s="132"/>
      <c r="E11" s="133"/>
    </row>
    <row r="12" spans="2:256" ht="15" x14ac:dyDescent="0.2">
      <c r="B12" s="131" t="s">
        <v>159</v>
      </c>
      <c r="C12" s="132"/>
      <c r="D12" s="132"/>
      <c r="E12" s="133"/>
    </row>
    <row r="13" spans="2:256" ht="15" x14ac:dyDescent="0.2">
      <c r="B13" s="134" t="s">
        <v>158</v>
      </c>
      <c r="C13" s="135">
        <v>462.8</v>
      </c>
      <c r="D13" s="135">
        <v>441.7</v>
      </c>
      <c r="E13" s="136">
        <v>428.2</v>
      </c>
    </row>
    <row r="14" spans="2:256" ht="15" x14ac:dyDescent="0.2">
      <c r="B14" s="134" t="s">
        <v>147</v>
      </c>
      <c r="C14" s="135">
        <v>25</v>
      </c>
      <c r="D14" s="135">
        <v>10.4</v>
      </c>
      <c r="E14" s="136">
        <v>9</v>
      </c>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c r="BG14" s="102"/>
      <c r="BH14" s="102"/>
      <c r="BI14" s="102"/>
      <c r="BJ14" s="102"/>
      <c r="BK14" s="102"/>
      <c r="BL14" s="102"/>
      <c r="BM14" s="102"/>
      <c r="BN14" s="102"/>
      <c r="BO14" s="102"/>
      <c r="BP14" s="102"/>
      <c r="BQ14" s="102"/>
      <c r="BR14" s="102"/>
      <c r="BS14" s="102"/>
      <c r="BT14" s="102"/>
      <c r="BU14" s="102"/>
      <c r="BV14" s="102"/>
      <c r="BW14" s="102"/>
      <c r="BX14" s="102"/>
      <c r="BY14" s="102"/>
      <c r="BZ14" s="102"/>
      <c r="CA14" s="102"/>
      <c r="CB14" s="102"/>
      <c r="CC14" s="102"/>
      <c r="CD14" s="102"/>
      <c r="CE14" s="102"/>
      <c r="CF14" s="102"/>
      <c r="CG14" s="102"/>
      <c r="CH14" s="102"/>
      <c r="CI14" s="102"/>
      <c r="CJ14" s="102"/>
      <c r="CK14" s="102"/>
      <c r="CL14" s="102"/>
      <c r="CM14" s="102"/>
      <c r="CN14" s="102"/>
      <c r="CO14" s="102"/>
      <c r="CP14" s="102"/>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102"/>
      <c r="DS14" s="102"/>
      <c r="DT14" s="102"/>
      <c r="DU14" s="102"/>
      <c r="DV14" s="102"/>
      <c r="DW14" s="102"/>
      <c r="DX14" s="102"/>
      <c r="DY14" s="102"/>
      <c r="DZ14" s="102"/>
      <c r="EA14" s="102"/>
      <c r="EB14" s="102"/>
      <c r="EC14" s="102"/>
      <c r="ED14" s="102"/>
      <c r="EE14" s="102"/>
      <c r="EF14" s="102"/>
      <c r="EG14" s="102"/>
      <c r="EH14" s="102"/>
      <c r="EI14" s="102"/>
      <c r="EJ14" s="102"/>
      <c r="EK14" s="102"/>
      <c r="EL14" s="102"/>
      <c r="EM14" s="102"/>
      <c r="EN14" s="102"/>
      <c r="EO14" s="102"/>
      <c r="EP14" s="102"/>
      <c r="EQ14" s="102"/>
      <c r="ER14" s="102"/>
      <c r="ES14" s="102"/>
      <c r="ET14" s="102"/>
      <c r="EU14" s="102"/>
      <c r="EV14" s="102"/>
      <c r="EW14" s="102"/>
      <c r="EX14" s="102"/>
      <c r="EY14" s="102"/>
      <c r="EZ14" s="102"/>
      <c r="FA14" s="102"/>
      <c r="FB14" s="102"/>
      <c r="FC14" s="102"/>
      <c r="FD14" s="102"/>
      <c r="FE14" s="102"/>
      <c r="FF14" s="102"/>
      <c r="FG14" s="102"/>
      <c r="FH14" s="102"/>
      <c r="FI14" s="102"/>
      <c r="FJ14" s="102"/>
      <c r="FK14" s="102"/>
      <c r="FL14" s="102"/>
      <c r="FM14" s="102"/>
      <c r="FN14" s="102"/>
      <c r="FO14" s="102"/>
      <c r="FP14" s="102"/>
      <c r="FQ14" s="102"/>
      <c r="FR14" s="102"/>
      <c r="FS14" s="102"/>
      <c r="FT14" s="102"/>
      <c r="FU14" s="102"/>
      <c r="FV14" s="102"/>
      <c r="FW14" s="102"/>
      <c r="FX14" s="102"/>
      <c r="FY14" s="102"/>
      <c r="FZ14" s="102"/>
      <c r="GA14" s="102"/>
      <c r="GB14" s="102"/>
      <c r="GC14" s="102"/>
      <c r="GD14" s="102"/>
      <c r="GE14" s="102"/>
      <c r="GF14" s="102"/>
      <c r="GG14" s="102"/>
      <c r="GH14" s="102"/>
      <c r="GI14" s="102"/>
      <c r="GJ14" s="102"/>
      <c r="GK14" s="102"/>
      <c r="GL14" s="102"/>
      <c r="GM14" s="102"/>
      <c r="GN14" s="102"/>
      <c r="GO14" s="102"/>
      <c r="GP14" s="102"/>
      <c r="GQ14" s="102"/>
      <c r="GR14" s="102"/>
      <c r="GS14" s="102"/>
      <c r="GT14" s="102"/>
      <c r="GU14" s="102"/>
      <c r="GV14" s="102"/>
      <c r="GW14" s="102"/>
      <c r="GX14" s="102"/>
      <c r="GY14" s="102"/>
      <c r="GZ14" s="102"/>
      <c r="HA14" s="102"/>
      <c r="HB14" s="102"/>
      <c r="HC14" s="102"/>
      <c r="HD14" s="102"/>
      <c r="HE14" s="102"/>
      <c r="HF14" s="102"/>
      <c r="HG14" s="102"/>
      <c r="HH14" s="102"/>
      <c r="HI14" s="102"/>
      <c r="HJ14" s="102"/>
      <c r="HK14" s="102"/>
      <c r="HL14" s="102"/>
      <c r="HM14" s="102"/>
      <c r="HN14" s="102"/>
      <c r="HO14" s="102"/>
      <c r="HP14" s="102"/>
      <c r="HQ14" s="102"/>
      <c r="HR14" s="102"/>
      <c r="HS14" s="102"/>
      <c r="HT14" s="102"/>
      <c r="HU14" s="102"/>
      <c r="HV14" s="102"/>
      <c r="HW14" s="102"/>
      <c r="HX14" s="102"/>
      <c r="HY14" s="102"/>
      <c r="HZ14" s="102"/>
      <c r="IA14" s="102"/>
      <c r="IB14" s="102"/>
      <c r="IC14" s="102"/>
      <c r="ID14" s="102"/>
      <c r="IE14" s="102"/>
      <c r="IF14" s="102"/>
      <c r="IG14" s="102"/>
      <c r="IH14" s="102"/>
      <c r="II14" s="102"/>
      <c r="IJ14" s="102"/>
      <c r="IK14" s="102"/>
      <c r="IL14" s="102"/>
      <c r="IM14" s="102"/>
      <c r="IN14" s="102"/>
      <c r="IO14" s="102"/>
      <c r="IP14" s="102"/>
      <c r="IQ14" s="102"/>
      <c r="IR14" s="102"/>
      <c r="IS14" s="102"/>
      <c r="IT14" s="102"/>
      <c r="IU14" s="102"/>
      <c r="IV14" s="102"/>
    </row>
    <row r="15" spans="2:256" ht="15" x14ac:dyDescent="0.2">
      <c r="B15" s="134" t="s">
        <v>157</v>
      </c>
      <c r="C15" s="135">
        <v>596.1</v>
      </c>
      <c r="D15" s="135">
        <v>634</v>
      </c>
      <c r="E15" s="136">
        <v>605.79999999999995</v>
      </c>
    </row>
    <row r="16" spans="2:256" ht="15" x14ac:dyDescent="0.2">
      <c r="B16" s="134" t="s">
        <v>156</v>
      </c>
      <c r="C16" s="135">
        <v>1663.2</v>
      </c>
      <c r="D16" s="135">
        <v>1564.2</v>
      </c>
      <c r="E16" s="136">
        <v>1441.6</v>
      </c>
    </row>
    <row r="17" spans="2:5" ht="15" x14ac:dyDescent="0.2">
      <c r="B17" s="134" t="s">
        <v>155</v>
      </c>
      <c r="C17" s="135">
        <v>73.3</v>
      </c>
      <c r="D17" s="135">
        <v>48.8</v>
      </c>
      <c r="E17" s="136">
        <v>155.4</v>
      </c>
    </row>
    <row r="18" spans="2:5" ht="12.75" x14ac:dyDescent="0.2">
      <c r="B18" s="131" t="s">
        <v>154</v>
      </c>
      <c r="C18" s="137">
        <v>4808.5</v>
      </c>
      <c r="D18" s="137">
        <v>4794.3999999999996</v>
      </c>
      <c r="E18" s="138">
        <v>4657.3999999999996</v>
      </c>
    </row>
    <row r="19" spans="2:5" ht="15" x14ac:dyDescent="0.2">
      <c r="B19" s="134"/>
      <c r="C19" s="132"/>
      <c r="D19" s="132"/>
      <c r="E19" s="133"/>
    </row>
    <row r="20" spans="2:5" ht="15" x14ac:dyDescent="0.2">
      <c r="B20" s="131" t="s">
        <v>153</v>
      </c>
      <c r="C20" s="132"/>
      <c r="D20" s="132"/>
      <c r="E20" s="133"/>
    </row>
    <row r="21" spans="2:5" ht="12.75" x14ac:dyDescent="0.2">
      <c r="B21" s="131" t="s">
        <v>152</v>
      </c>
      <c r="C21" s="137">
        <v>672.5</v>
      </c>
      <c r="D21" s="137">
        <v>778.2</v>
      </c>
      <c r="E21" s="138">
        <v>636.79999999999995</v>
      </c>
    </row>
    <row r="22" spans="2:5" ht="12.75" x14ac:dyDescent="0.2">
      <c r="B22" s="131" t="s">
        <v>151</v>
      </c>
      <c r="C22" s="137">
        <v>750.5</v>
      </c>
      <c r="D22" s="137">
        <v>804.3</v>
      </c>
      <c r="E22" s="138">
        <v>867.7</v>
      </c>
    </row>
    <row r="23" spans="2:5" ht="12.75" x14ac:dyDescent="0.2">
      <c r="B23" s="131" t="s">
        <v>150</v>
      </c>
      <c r="C23" s="137">
        <v>25.9</v>
      </c>
      <c r="D23" s="137">
        <v>23.9</v>
      </c>
      <c r="E23" s="138">
        <v>15.2</v>
      </c>
    </row>
    <row r="24" spans="2:5" ht="12.75" x14ac:dyDescent="0.2">
      <c r="B24" s="131" t="s">
        <v>11</v>
      </c>
      <c r="C24" s="137">
        <v>1448.9</v>
      </c>
      <c r="D24" s="137">
        <v>1606.4</v>
      </c>
      <c r="E24" s="138">
        <v>1519.7</v>
      </c>
    </row>
    <row r="25" spans="2:5" ht="15" x14ac:dyDescent="0.2">
      <c r="B25" s="134"/>
      <c r="C25" s="132"/>
      <c r="D25" s="132"/>
      <c r="E25" s="133"/>
    </row>
    <row r="26" spans="2:5" ht="15" x14ac:dyDescent="0.2">
      <c r="B26" s="131" t="s">
        <v>149</v>
      </c>
      <c r="C26" s="132"/>
      <c r="D26" s="132"/>
      <c r="E26" s="133"/>
    </row>
    <row r="27" spans="2:5" ht="15" x14ac:dyDescent="0.2">
      <c r="B27" s="134" t="s">
        <v>148</v>
      </c>
      <c r="C27" s="135">
        <v>3159.6</v>
      </c>
      <c r="D27" s="135">
        <v>3427.8</v>
      </c>
      <c r="E27" s="136">
        <v>3467.3</v>
      </c>
    </row>
    <row r="28" spans="2:5" ht="15" x14ac:dyDescent="0.2">
      <c r="B28" s="134" t="s">
        <v>147</v>
      </c>
      <c r="C28" s="135">
        <v>214.7</v>
      </c>
      <c r="D28" s="135">
        <v>160</v>
      </c>
      <c r="E28" s="136">
        <v>124.7</v>
      </c>
    </row>
    <row r="29" spans="2:5" ht="15" x14ac:dyDescent="0.2">
      <c r="B29" s="134" t="s">
        <v>146</v>
      </c>
      <c r="C29" s="135">
        <v>114.9</v>
      </c>
      <c r="D29" s="135">
        <v>140.5</v>
      </c>
      <c r="E29" s="136">
        <v>250.5</v>
      </c>
    </row>
    <row r="30" spans="2:5" ht="15" x14ac:dyDescent="0.2">
      <c r="B30" s="134"/>
      <c r="C30" s="132"/>
      <c r="D30" s="132"/>
      <c r="E30" s="133"/>
    </row>
    <row r="31" spans="2:5" ht="15" x14ac:dyDescent="0.2">
      <c r="B31" s="131" t="s">
        <v>145</v>
      </c>
      <c r="C31" s="132"/>
      <c r="D31" s="132"/>
      <c r="E31" s="133"/>
    </row>
    <row r="32" spans="2:5" ht="15" x14ac:dyDescent="0.2">
      <c r="B32" s="134" t="s">
        <v>144</v>
      </c>
      <c r="C32" s="135">
        <v>277.7</v>
      </c>
      <c r="D32" s="135">
        <v>277.7</v>
      </c>
      <c r="E32" s="136">
        <v>277.7</v>
      </c>
    </row>
    <row r="33" spans="2:5" ht="15" x14ac:dyDescent="0.2">
      <c r="B33" s="134" t="s">
        <v>143</v>
      </c>
      <c r="C33" s="135">
        <v>-540.79999999999995</v>
      </c>
      <c r="D33" s="135">
        <v>-859.8</v>
      </c>
      <c r="E33" s="136">
        <v>-1000.6</v>
      </c>
    </row>
    <row r="34" spans="2:5" ht="15" x14ac:dyDescent="0.2">
      <c r="B34" s="134" t="s">
        <v>142</v>
      </c>
      <c r="C34" s="135">
        <v>133.5</v>
      </c>
      <c r="D34" s="135">
        <v>41.8</v>
      </c>
      <c r="E34" s="136">
        <v>18.100000000000001</v>
      </c>
    </row>
    <row r="35" spans="2:5" ht="12.75" x14ac:dyDescent="0.2">
      <c r="B35" s="131" t="s">
        <v>141</v>
      </c>
      <c r="C35" s="137">
        <v>-129.6</v>
      </c>
      <c r="D35" s="137">
        <v>-540.29999999999995</v>
      </c>
      <c r="E35" s="138">
        <v>-704.8</v>
      </c>
    </row>
    <row r="36" spans="2:5" ht="13.5" thickBot="1" x14ac:dyDescent="0.25">
      <c r="B36" s="144" t="s">
        <v>140</v>
      </c>
      <c r="C36" s="145">
        <v>4808.5</v>
      </c>
      <c r="D36" s="145">
        <v>4794.3999999999996</v>
      </c>
      <c r="E36" s="146">
        <v>4657.3999999999996</v>
      </c>
    </row>
    <row r="37" spans="2:5" x14ac:dyDescent="0.2">
      <c r="B37" s="98"/>
      <c r="C37" s="98"/>
      <c r="D37" s="98"/>
      <c r="E37" s="98"/>
    </row>
    <row r="39" spans="2:5" x14ac:dyDescent="0.2">
      <c r="B39" s="97" t="s">
        <v>98</v>
      </c>
    </row>
  </sheetData>
  <pageMargins left="0.2" right="0.2" top="0.5" bottom="0.5" header="0.5" footer="0.5"/>
  <pageSetup fitToWidth="0"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E541-C3FD-426D-954C-157DD820A1C0}">
  <sheetPr codeName="Sheet8">
    <tabColor theme="8" tint="0.39997558519241921"/>
    <outlinePr summaryBelow="0" summaryRight="0"/>
    <pageSetUpPr autoPageBreaks="0" fitToPage="1"/>
  </sheetPr>
  <dimension ref="B1:IU45"/>
  <sheetViews>
    <sheetView showGridLines="0" view="pageBreakPreview" zoomScaleNormal="100" zoomScaleSheetLayoutView="100" workbookViewId="0"/>
  </sheetViews>
  <sheetFormatPr defaultRowHeight="11.25" x14ac:dyDescent="0.2"/>
  <cols>
    <col min="1" max="1" width="2.7109375" style="96" customWidth="1"/>
    <col min="2" max="2" width="45.85546875" style="96" customWidth="1"/>
    <col min="3" max="6" width="14.85546875" style="96" customWidth="1"/>
    <col min="7" max="7" width="9.140625" style="96"/>
    <col min="8" max="8" width="14.85546875" style="96" customWidth="1"/>
    <col min="9" max="16384" width="9.140625" style="96"/>
  </cols>
  <sheetData>
    <row r="1" spans="2:255" ht="12" thickBot="1" x14ac:dyDescent="0.25"/>
    <row r="2" spans="2:255" ht="12.75" x14ac:dyDescent="0.2">
      <c r="B2" s="445" t="s">
        <v>102</v>
      </c>
      <c r="C2" s="446"/>
      <c r="D2" s="446"/>
      <c r="E2" s="446"/>
      <c r="F2" s="447"/>
    </row>
    <row r="3" spans="2:255" ht="25.5" x14ac:dyDescent="0.2">
      <c r="B3" s="128" t="s">
        <v>0</v>
      </c>
      <c r="C3" s="129">
        <v>2016</v>
      </c>
      <c r="D3" s="129">
        <v>2017</v>
      </c>
      <c r="E3" s="129">
        <v>2018</v>
      </c>
      <c r="F3" s="130">
        <v>2019</v>
      </c>
    </row>
    <row r="4" spans="2:255" ht="12.75" x14ac:dyDescent="0.2">
      <c r="B4" s="128" t="s">
        <v>139</v>
      </c>
      <c r="C4" s="129" t="s">
        <v>138</v>
      </c>
      <c r="D4" s="129" t="s">
        <v>138</v>
      </c>
      <c r="E4" s="129" t="s">
        <v>138</v>
      </c>
      <c r="F4" s="130" t="s">
        <v>138</v>
      </c>
    </row>
    <row r="5" spans="2:255" ht="15" x14ac:dyDescent="0.2">
      <c r="B5" s="131" t="s">
        <v>194</v>
      </c>
      <c r="C5" s="132"/>
      <c r="D5" s="132"/>
      <c r="E5" s="132"/>
      <c r="F5" s="133"/>
    </row>
    <row r="6" spans="2:255" ht="15" x14ac:dyDescent="0.2">
      <c r="B6" s="134" t="s">
        <v>99</v>
      </c>
      <c r="C6" s="135">
        <v>157.69999999999999</v>
      </c>
      <c r="D6" s="135">
        <v>-369.6</v>
      </c>
      <c r="E6" s="135">
        <v>-314</v>
      </c>
      <c r="F6" s="136">
        <v>-140.80000000000001</v>
      </c>
    </row>
    <row r="7" spans="2:255" ht="15" x14ac:dyDescent="0.2">
      <c r="B7" s="134" t="s">
        <v>193</v>
      </c>
      <c r="C7" s="135">
        <v>58.1</v>
      </c>
      <c r="D7" s="135">
        <v>64.5</v>
      </c>
      <c r="E7" s="135">
        <v>60.4</v>
      </c>
      <c r="F7" s="136">
        <v>57.1</v>
      </c>
    </row>
    <row r="8" spans="2:255" ht="15" x14ac:dyDescent="0.2">
      <c r="B8" s="134" t="s">
        <v>192</v>
      </c>
      <c r="C8" s="135">
        <v>94.9</v>
      </c>
      <c r="D8" s="135">
        <v>279.8</v>
      </c>
      <c r="E8" s="135">
        <v>156.6</v>
      </c>
      <c r="F8" s="136">
        <v>145.80000000000001</v>
      </c>
    </row>
    <row r="9" spans="2:255" ht="12.75" x14ac:dyDescent="0.2">
      <c r="B9" s="131" t="s">
        <v>200</v>
      </c>
      <c r="C9" s="137">
        <f>SUM(C7:C8)</f>
        <v>153</v>
      </c>
      <c r="D9" s="137">
        <f t="shared" ref="D9:F9" si="0">SUM(D7:D8)</f>
        <v>344.3</v>
      </c>
      <c r="E9" s="137">
        <f t="shared" si="0"/>
        <v>217</v>
      </c>
      <c r="F9" s="138">
        <f t="shared" si="0"/>
        <v>202.9</v>
      </c>
    </row>
    <row r="10" spans="2:255" ht="15" x14ac:dyDescent="0.2">
      <c r="B10" s="134" t="s">
        <v>191</v>
      </c>
      <c r="C10" s="135" t="s">
        <v>3</v>
      </c>
      <c r="D10" s="135">
        <v>52</v>
      </c>
      <c r="E10" s="135">
        <v>25.5</v>
      </c>
      <c r="F10" s="136">
        <v>27.9</v>
      </c>
    </row>
    <row r="11" spans="2:255" ht="15" x14ac:dyDescent="0.2">
      <c r="B11" s="134" t="s">
        <v>128</v>
      </c>
      <c r="C11" s="135">
        <v>57</v>
      </c>
      <c r="D11" s="135" t="s">
        <v>3</v>
      </c>
      <c r="E11" s="135" t="s">
        <v>3</v>
      </c>
      <c r="F11" s="136" t="s">
        <v>3</v>
      </c>
    </row>
    <row r="12" spans="2:255" ht="15" x14ac:dyDescent="0.2">
      <c r="B12" s="134" t="s">
        <v>147</v>
      </c>
      <c r="C12" s="135">
        <v>-48</v>
      </c>
      <c r="D12" s="135">
        <v>-85.9</v>
      </c>
      <c r="E12" s="135">
        <v>-40.299999999999997</v>
      </c>
      <c r="F12" s="136">
        <v>-13.8</v>
      </c>
    </row>
    <row r="13" spans="2:255" ht="15" x14ac:dyDescent="0.2">
      <c r="B13" s="134" t="s">
        <v>190</v>
      </c>
      <c r="C13" s="135" t="s">
        <v>3</v>
      </c>
      <c r="D13" s="135">
        <v>-33.200000000000003</v>
      </c>
      <c r="E13" s="135">
        <v>-6.9</v>
      </c>
      <c r="F13" s="136" t="s">
        <v>3</v>
      </c>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102"/>
      <c r="BI13" s="102"/>
      <c r="BJ13" s="102"/>
      <c r="BK13" s="102"/>
      <c r="BL13" s="102"/>
      <c r="BM13" s="102"/>
      <c r="BN13" s="102"/>
      <c r="BO13" s="102"/>
      <c r="BP13" s="102"/>
      <c r="BQ13" s="102"/>
      <c r="BR13" s="102"/>
      <c r="BS13" s="102"/>
      <c r="BT13" s="102"/>
      <c r="BU13" s="102"/>
      <c r="BV13" s="102"/>
      <c r="BW13" s="102"/>
      <c r="BX13" s="102"/>
      <c r="BY13" s="102"/>
      <c r="BZ13" s="102"/>
      <c r="CA13" s="102"/>
      <c r="CB13" s="102"/>
      <c r="CC13" s="102"/>
      <c r="CD13" s="102"/>
      <c r="CE13" s="102"/>
      <c r="CF13" s="102"/>
      <c r="CG13" s="102"/>
      <c r="CH13" s="102"/>
      <c r="CI13" s="102"/>
      <c r="CJ13" s="102"/>
      <c r="CK13" s="102"/>
      <c r="CL13" s="102"/>
      <c r="CM13" s="102"/>
      <c r="CN13" s="102"/>
      <c r="CO13" s="102"/>
      <c r="CP13" s="102"/>
      <c r="CQ13" s="102"/>
      <c r="CR13" s="102"/>
      <c r="CS13" s="102"/>
      <c r="CT13" s="102"/>
      <c r="CU13" s="102"/>
      <c r="CV13" s="102"/>
      <c r="CW13" s="102"/>
      <c r="CX13" s="102"/>
      <c r="CY13" s="102"/>
      <c r="CZ13" s="102"/>
      <c r="DA13" s="102"/>
      <c r="DB13" s="102"/>
      <c r="DC13" s="102"/>
      <c r="DD13" s="102"/>
      <c r="DE13" s="102"/>
      <c r="DF13" s="102"/>
      <c r="DG13" s="102"/>
      <c r="DH13" s="102"/>
      <c r="DI13" s="102"/>
      <c r="DJ13" s="102"/>
      <c r="DK13" s="102"/>
      <c r="DL13" s="102"/>
      <c r="DM13" s="102"/>
      <c r="DN13" s="102"/>
      <c r="DO13" s="102"/>
      <c r="DP13" s="102"/>
      <c r="DQ13" s="102"/>
      <c r="DR13" s="102"/>
      <c r="DS13" s="102"/>
      <c r="DT13" s="102"/>
      <c r="DU13" s="102"/>
      <c r="DV13" s="102"/>
      <c r="DW13" s="102"/>
      <c r="DX13" s="102"/>
      <c r="DY13" s="102"/>
      <c r="DZ13" s="102"/>
      <c r="EA13" s="102"/>
      <c r="EB13" s="102"/>
      <c r="EC13" s="102"/>
      <c r="ED13" s="102"/>
      <c r="EE13" s="102"/>
      <c r="EF13" s="102"/>
      <c r="EG13" s="102"/>
      <c r="EH13" s="102"/>
      <c r="EI13" s="102"/>
      <c r="EJ13" s="102"/>
      <c r="EK13" s="102"/>
      <c r="EL13" s="102"/>
      <c r="EM13" s="102"/>
      <c r="EN13" s="102"/>
      <c r="EO13" s="102"/>
      <c r="EP13" s="102"/>
      <c r="EQ13" s="102"/>
      <c r="ER13" s="102"/>
      <c r="ES13" s="102"/>
      <c r="ET13" s="102"/>
      <c r="EU13" s="102"/>
      <c r="EV13" s="102"/>
      <c r="EW13" s="102"/>
      <c r="EX13" s="102"/>
      <c r="EY13" s="102"/>
      <c r="EZ13" s="102"/>
      <c r="FA13" s="102"/>
      <c r="FB13" s="102"/>
      <c r="FC13" s="102"/>
      <c r="FD13" s="102"/>
      <c r="FE13" s="102"/>
      <c r="FF13" s="102"/>
      <c r="FG13" s="102"/>
      <c r="FH13" s="102"/>
      <c r="FI13" s="102"/>
      <c r="FJ13" s="102"/>
      <c r="FK13" s="102"/>
      <c r="FL13" s="102"/>
      <c r="FM13" s="102"/>
      <c r="FN13" s="102"/>
      <c r="FO13" s="102"/>
      <c r="FP13" s="102"/>
      <c r="FQ13" s="102"/>
      <c r="FR13" s="102"/>
      <c r="FS13" s="102"/>
      <c r="FT13" s="102"/>
      <c r="FU13" s="102"/>
      <c r="FV13" s="102"/>
      <c r="FW13" s="102"/>
      <c r="FX13" s="102"/>
      <c r="FY13" s="102"/>
      <c r="FZ13" s="102"/>
      <c r="GA13" s="102"/>
      <c r="GB13" s="102"/>
      <c r="GC13" s="102"/>
      <c r="GD13" s="102"/>
      <c r="GE13" s="102"/>
      <c r="GF13" s="102"/>
      <c r="GG13" s="102"/>
      <c r="GH13" s="102"/>
      <c r="GI13" s="102"/>
      <c r="GJ13" s="102"/>
      <c r="GK13" s="102"/>
      <c r="GL13" s="102"/>
      <c r="GM13" s="102"/>
      <c r="GN13" s="102"/>
      <c r="GO13" s="102"/>
      <c r="GP13" s="102"/>
      <c r="GQ13" s="102"/>
      <c r="GR13" s="102"/>
      <c r="GS13" s="102"/>
      <c r="GT13" s="102"/>
      <c r="GU13" s="102"/>
      <c r="GV13" s="102"/>
      <c r="GW13" s="102"/>
      <c r="GX13" s="102"/>
      <c r="GY13" s="102"/>
      <c r="GZ13" s="102"/>
      <c r="HA13" s="102"/>
      <c r="HB13" s="102"/>
      <c r="HC13" s="102"/>
      <c r="HD13" s="102"/>
      <c r="HE13" s="102"/>
      <c r="HF13" s="102"/>
      <c r="HG13" s="102"/>
      <c r="HH13" s="102"/>
      <c r="HI13" s="102"/>
      <c r="HJ13" s="102"/>
      <c r="HK13" s="102"/>
      <c r="HL13" s="102"/>
      <c r="HM13" s="102"/>
      <c r="HN13" s="102"/>
      <c r="HO13" s="102"/>
      <c r="HP13" s="102"/>
      <c r="HQ13" s="102"/>
      <c r="HR13" s="102"/>
      <c r="HS13" s="102"/>
      <c r="HT13" s="102"/>
      <c r="HU13" s="102"/>
      <c r="HV13" s="102"/>
      <c r="HW13" s="102"/>
      <c r="HX13" s="102"/>
      <c r="HY13" s="102"/>
      <c r="HZ13" s="102"/>
      <c r="IA13" s="102"/>
      <c r="IB13" s="102"/>
      <c r="IC13" s="102"/>
      <c r="ID13" s="102"/>
      <c r="IE13" s="102"/>
      <c r="IF13" s="102"/>
      <c r="IG13" s="102"/>
      <c r="IH13" s="102"/>
      <c r="II13" s="102"/>
      <c r="IJ13" s="102"/>
      <c r="IK13" s="102"/>
      <c r="IL13" s="102"/>
      <c r="IM13" s="102"/>
      <c r="IN13" s="102"/>
      <c r="IO13" s="102"/>
      <c r="IP13" s="102"/>
      <c r="IQ13" s="102"/>
      <c r="IR13" s="102"/>
      <c r="IS13" s="102"/>
      <c r="IT13" s="102"/>
      <c r="IU13" s="102"/>
    </row>
    <row r="14" spans="2:255" ht="15" x14ac:dyDescent="0.2">
      <c r="B14" s="134" t="s">
        <v>155</v>
      </c>
      <c r="C14" s="135">
        <v>7.9</v>
      </c>
      <c r="D14" s="135">
        <v>-4</v>
      </c>
      <c r="E14" s="135">
        <v>6.8</v>
      </c>
      <c r="F14" s="136">
        <v>17.7</v>
      </c>
    </row>
    <row r="15" spans="2:255" ht="12.75" x14ac:dyDescent="0.2">
      <c r="B15" s="131" t="s">
        <v>189</v>
      </c>
      <c r="C15" s="137">
        <v>42.6</v>
      </c>
      <c r="D15" s="137">
        <v>46.8</v>
      </c>
      <c r="E15" s="137">
        <v>-110</v>
      </c>
      <c r="F15" s="138">
        <v>-36.4</v>
      </c>
    </row>
    <row r="16" spans="2:255" ht="12.75" x14ac:dyDescent="0.2">
      <c r="B16" s="131" t="s">
        <v>188</v>
      </c>
      <c r="C16" s="137">
        <v>370.2</v>
      </c>
      <c r="D16" s="137">
        <v>-49.6</v>
      </c>
      <c r="E16" s="137">
        <v>-221.9</v>
      </c>
      <c r="F16" s="138">
        <v>57.5</v>
      </c>
    </row>
    <row r="17" spans="2:6" ht="15" x14ac:dyDescent="0.2">
      <c r="B17" s="134"/>
      <c r="C17" s="132"/>
      <c r="D17" s="132"/>
      <c r="E17" s="132"/>
      <c r="F17" s="133"/>
    </row>
    <row r="18" spans="2:6" ht="15" x14ac:dyDescent="0.2">
      <c r="B18" s="131" t="s">
        <v>187</v>
      </c>
      <c r="C18" s="132"/>
      <c r="D18" s="132"/>
      <c r="E18" s="132"/>
      <c r="F18" s="133"/>
    </row>
    <row r="19" spans="2:6" ht="15" x14ac:dyDescent="0.2">
      <c r="B19" s="134" t="s">
        <v>186</v>
      </c>
      <c r="C19" s="135">
        <v>-34</v>
      </c>
      <c r="D19" s="135">
        <v>-36.700000000000003</v>
      </c>
      <c r="E19" s="135">
        <v>-64.599999999999994</v>
      </c>
      <c r="F19" s="136">
        <v>-47.6</v>
      </c>
    </row>
    <row r="20" spans="2:6" ht="15" x14ac:dyDescent="0.2">
      <c r="B20" s="134" t="s">
        <v>185</v>
      </c>
      <c r="C20" s="135">
        <v>8.4</v>
      </c>
      <c r="D20" s="135" t="s">
        <v>3</v>
      </c>
      <c r="E20" s="135">
        <v>18</v>
      </c>
      <c r="F20" s="136">
        <v>5</v>
      </c>
    </row>
    <row r="21" spans="2:6" ht="15" x14ac:dyDescent="0.2">
      <c r="B21" s="134" t="s">
        <v>184</v>
      </c>
      <c r="C21" s="135" t="s">
        <v>3</v>
      </c>
      <c r="D21" s="135">
        <v>-211.4</v>
      </c>
      <c r="E21" s="135">
        <v>-124.3</v>
      </c>
      <c r="F21" s="136" t="s">
        <v>3</v>
      </c>
    </row>
    <row r="22" spans="2:6" ht="15" x14ac:dyDescent="0.2">
      <c r="B22" s="134" t="s">
        <v>183</v>
      </c>
      <c r="C22" s="135" t="s">
        <v>3</v>
      </c>
      <c r="D22" s="135">
        <v>1244</v>
      </c>
      <c r="E22" s="135">
        <v>4.4000000000000004</v>
      </c>
      <c r="F22" s="136" t="s">
        <v>3</v>
      </c>
    </row>
    <row r="23" spans="2:6" ht="15" x14ac:dyDescent="0.2">
      <c r="B23" s="134" t="s">
        <v>182</v>
      </c>
      <c r="C23" s="135" t="s">
        <v>3</v>
      </c>
      <c r="D23" s="135">
        <v>-7.7</v>
      </c>
      <c r="E23" s="135">
        <v>-41.2</v>
      </c>
      <c r="F23" s="136">
        <v>-22.7</v>
      </c>
    </row>
    <row r="24" spans="2:6" ht="15" x14ac:dyDescent="0.2">
      <c r="B24" s="134" t="s">
        <v>155</v>
      </c>
      <c r="C24" s="135">
        <v>-4.5999999999999996</v>
      </c>
      <c r="D24" s="135">
        <v>10.199999999999999</v>
      </c>
      <c r="E24" s="135" t="s">
        <v>3</v>
      </c>
      <c r="F24" s="136" t="s">
        <v>3</v>
      </c>
    </row>
    <row r="25" spans="2:6" ht="15" x14ac:dyDescent="0.2">
      <c r="B25" s="134" t="s">
        <v>181</v>
      </c>
      <c r="C25" s="135" t="s">
        <v>3</v>
      </c>
      <c r="D25" s="135">
        <v>59.7</v>
      </c>
      <c r="E25" s="135" t="s">
        <v>3</v>
      </c>
      <c r="F25" s="136" t="s">
        <v>3</v>
      </c>
    </row>
    <row r="26" spans="2:6" ht="12.75" x14ac:dyDescent="0.2">
      <c r="B26" s="131" t="s">
        <v>180</v>
      </c>
      <c r="C26" s="137">
        <v>-30.2</v>
      </c>
      <c r="D26" s="137">
        <v>1058.0999999999999</v>
      </c>
      <c r="E26" s="137">
        <v>-207.7</v>
      </c>
      <c r="F26" s="138">
        <v>-65.3</v>
      </c>
    </row>
    <row r="27" spans="2:6" ht="15" x14ac:dyDescent="0.2">
      <c r="B27" s="134"/>
      <c r="C27" s="132"/>
      <c r="D27" s="132"/>
      <c r="E27" s="132"/>
      <c r="F27" s="133"/>
    </row>
    <row r="28" spans="2:6" ht="15" x14ac:dyDescent="0.2">
      <c r="B28" s="131" t="s">
        <v>179</v>
      </c>
      <c r="C28" s="132"/>
      <c r="D28" s="132"/>
      <c r="E28" s="132"/>
      <c r="F28" s="133"/>
    </row>
    <row r="29" spans="2:6" ht="15" x14ac:dyDescent="0.2">
      <c r="B29" s="134" t="s">
        <v>178</v>
      </c>
      <c r="C29" s="135" t="s">
        <v>3</v>
      </c>
      <c r="D29" s="135">
        <v>-575</v>
      </c>
      <c r="E29" s="135" t="s">
        <v>3</v>
      </c>
      <c r="F29" s="136" t="s">
        <v>3</v>
      </c>
    </row>
    <row r="30" spans="2:6" ht="15" x14ac:dyDescent="0.2">
      <c r="B30" s="134" t="s">
        <v>177</v>
      </c>
      <c r="C30" s="135" t="s">
        <v>3</v>
      </c>
      <c r="D30" s="135" t="s">
        <v>3</v>
      </c>
      <c r="E30" s="135" t="s">
        <v>3</v>
      </c>
      <c r="F30" s="136">
        <v>114.2</v>
      </c>
    </row>
    <row r="31" spans="2:6" ht="15" x14ac:dyDescent="0.2">
      <c r="B31" s="134" t="s">
        <v>176</v>
      </c>
      <c r="C31" s="135" t="s">
        <v>3</v>
      </c>
      <c r="D31" s="135">
        <v>482.5</v>
      </c>
      <c r="E31" s="135" t="s">
        <v>3</v>
      </c>
      <c r="F31" s="136" t="s">
        <v>3</v>
      </c>
    </row>
    <row r="32" spans="2:6" ht="15" x14ac:dyDescent="0.2">
      <c r="B32" s="134" t="s">
        <v>175</v>
      </c>
      <c r="C32" s="135" t="s">
        <v>3</v>
      </c>
      <c r="D32" s="135">
        <v>325</v>
      </c>
      <c r="E32" s="135" t="s">
        <v>3</v>
      </c>
      <c r="F32" s="136" t="s">
        <v>3</v>
      </c>
    </row>
    <row r="33" spans="2:6" ht="15" x14ac:dyDescent="0.2">
      <c r="B33" s="134" t="s">
        <v>174</v>
      </c>
      <c r="C33" s="135" t="s">
        <v>3</v>
      </c>
      <c r="D33" s="135">
        <v>500</v>
      </c>
      <c r="E33" s="135">
        <v>565.1</v>
      </c>
      <c r="F33" s="136">
        <v>491.8</v>
      </c>
    </row>
    <row r="34" spans="2:6" ht="15" x14ac:dyDescent="0.2">
      <c r="B34" s="134" t="s">
        <v>173</v>
      </c>
      <c r="C34" s="135" t="s">
        <v>3</v>
      </c>
      <c r="D34" s="135">
        <v>-500</v>
      </c>
      <c r="E34" s="135">
        <v>-320</v>
      </c>
      <c r="F34" s="136">
        <v>-591.20000000000005</v>
      </c>
    </row>
    <row r="35" spans="2:6" ht="15" x14ac:dyDescent="0.2">
      <c r="B35" s="134" t="s">
        <v>172</v>
      </c>
      <c r="C35" s="135" t="s">
        <v>3</v>
      </c>
      <c r="D35" s="135">
        <v>-1024</v>
      </c>
      <c r="E35" s="135" t="s">
        <v>3</v>
      </c>
      <c r="F35" s="136" t="s">
        <v>3</v>
      </c>
    </row>
    <row r="36" spans="2:6" ht="15" x14ac:dyDescent="0.2">
      <c r="B36" s="134" t="s">
        <v>171</v>
      </c>
      <c r="C36" s="135" t="s">
        <v>3</v>
      </c>
      <c r="D36" s="135">
        <v>-39.6</v>
      </c>
      <c r="E36" s="135" t="s">
        <v>3</v>
      </c>
      <c r="F36" s="136" t="s">
        <v>3</v>
      </c>
    </row>
    <row r="37" spans="2:6" ht="15" x14ac:dyDescent="0.2">
      <c r="B37" s="134" t="s">
        <v>155</v>
      </c>
      <c r="C37" s="135">
        <v>-1</v>
      </c>
      <c r="D37" s="135" t="s">
        <v>3</v>
      </c>
      <c r="E37" s="135" t="s">
        <v>3</v>
      </c>
      <c r="F37" s="136" t="s">
        <v>3</v>
      </c>
    </row>
    <row r="38" spans="2:6" ht="15" x14ac:dyDescent="0.2">
      <c r="B38" s="134" t="s">
        <v>170</v>
      </c>
      <c r="C38" s="135" t="s">
        <v>3</v>
      </c>
      <c r="D38" s="135">
        <v>-43</v>
      </c>
      <c r="E38" s="135" t="s">
        <v>3</v>
      </c>
      <c r="F38" s="136" t="s">
        <v>3</v>
      </c>
    </row>
    <row r="39" spans="2:6" ht="15" x14ac:dyDescent="0.2">
      <c r="B39" s="134" t="s">
        <v>169</v>
      </c>
      <c r="C39" s="135">
        <v>-198.1</v>
      </c>
      <c r="D39" s="135" t="s">
        <v>3</v>
      </c>
      <c r="E39" s="135" t="s">
        <v>3</v>
      </c>
      <c r="F39" s="136" t="s">
        <v>3</v>
      </c>
    </row>
    <row r="40" spans="2:6" ht="12.75" x14ac:dyDescent="0.2">
      <c r="B40" s="131" t="s">
        <v>168</v>
      </c>
      <c r="C40" s="137">
        <v>-199.1</v>
      </c>
      <c r="D40" s="137">
        <v>-874.1</v>
      </c>
      <c r="E40" s="137">
        <v>245.1</v>
      </c>
      <c r="F40" s="138">
        <v>14.8</v>
      </c>
    </row>
    <row r="41" spans="2:6" ht="15" x14ac:dyDescent="0.2">
      <c r="B41" s="134"/>
      <c r="C41" s="132"/>
      <c r="D41" s="132"/>
      <c r="E41" s="132"/>
      <c r="F41" s="133"/>
    </row>
    <row r="42" spans="2:6" ht="15" x14ac:dyDescent="0.2">
      <c r="B42" s="131" t="s">
        <v>167</v>
      </c>
      <c r="C42" s="132"/>
      <c r="D42" s="132"/>
      <c r="E42" s="132"/>
      <c r="F42" s="133"/>
    </row>
    <row r="43" spans="2:6" ht="15" x14ac:dyDescent="0.2">
      <c r="B43" s="134" t="s">
        <v>166</v>
      </c>
      <c r="C43" s="135">
        <v>-5.5</v>
      </c>
      <c r="D43" s="135">
        <v>14.2</v>
      </c>
      <c r="E43" s="135">
        <v>11.6</v>
      </c>
      <c r="F43" s="136">
        <v>1.4</v>
      </c>
    </row>
    <row r="44" spans="2:6" ht="15.75" thickBot="1" x14ac:dyDescent="0.25">
      <c r="B44" s="139" t="s">
        <v>165</v>
      </c>
      <c r="C44" s="140">
        <v>135.4</v>
      </c>
      <c r="D44" s="140">
        <v>148.6</v>
      </c>
      <c r="E44" s="140">
        <v>-172.9</v>
      </c>
      <c r="F44" s="141">
        <v>8.4</v>
      </c>
    </row>
    <row r="45" spans="2:6" x14ac:dyDescent="0.2">
      <c r="C45" s="98"/>
      <c r="D45" s="98"/>
      <c r="E45" s="98"/>
      <c r="F45" s="98"/>
    </row>
  </sheetData>
  <pageMargins left="0.2" right="0.2" top="0.5" bottom="0.5" header="0.5" footer="0.5"/>
  <pageSetup scale="77" orientation="landscape" r:id="rId1"/>
  <headerFooter alignWithMargins="0"/>
  <ignoredErrors>
    <ignoredError sqref="C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DF91-2154-4F97-8902-2E0BBD0014D7}">
  <sheetPr>
    <tabColor theme="9" tint="-0.499984740745262"/>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39997558519241921"/>
    <pageSetUpPr fitToPage="1"/>
  </sheetPr>
  <dimension ref="A1:S90"/>
  <sheetViews>
    <sheetView showGridLines="0" view="pageBreakPreview" zoomScale="70" zoomScaleNormal="70" zoomScaleSheetLayoutView="70" workbookViewId="0"/>
  </sheetViews>
  <sheetFormatPr defaultColWidth="11.42578125" defaultRowHeight="15" customHeight="1" x14ac:dyDescent="0.2"/>
  <cols>
    <col min="1" max="1" width="2.5703125" style="7" customWidth="1"/>
    <col min="2" max="2" width="47" style="7" bestFit="1" customWidth="1"/>
    <col min="3" max="3" width="14.42578125" style="12" bestFit="1" customWidth="1"/>
    <col min="4" max="4" width="11.85546875" style="12" bestFit="1" customWidth="1"/>
    <col min="5" max="6" width="11.85546875" style="7" bestFit="1" customWidth="1"/>
    <col min="7" max="7" width="14.42578125" style="7" bestFit="1" customWidth="1"/>
    <col min="8" max="8" width="12.42578125" style="7" bestFit="1" customWidth="1"/>
    <col min="9" max="11" width="11.85546875" style="7" bestFit="1" customWidth="1"/>
    <col min="12" max="12" width="12.42578125" style="7" bestFit="1" customWidth="1"/>
    <col min="13" max="13" width="11.42578125" style="7" customWidth="1"/>
    <col min="14" max="14" width="22.42578125" style="7" bestFit="1" customWidth="1"/>
    <col min="15" max="15" width="12.140625" style="7" bestFit="1" customWidth="1"/>
    <col min="16" max="16" width="13.7109375" style="7" bestFit="1" customWidth="1"/>
    <col min="17" max="16384" width="11.42578125" style="7"/>
  </cols>
  <sheetData>
    <row r="1" spans="1:18" ht="15" customHeight="1" thickBot="1" x14ac:dyDescent="0.25">
      <c r="B1" s="159"/>
      <c r="C1" s="160"/>
      <c r="D1" s="160"/>
      <c r="E1" s="159"/>
      <c r="F1" s="159"/>
      <c r="G1" s="159"/>
      <c r="H1" s="159"/>
      <c r="I1" s="159"/>
      <c r="J1" s="159"/>
      <c r="K1" s="159"/>
      <c r="L1" s="159"/>
      <c r="M1" s="159"/>
    </row>
    <row r="2" spans="1:18" ht="15" customHeight="1" thickBot="1" x14ac:dyDescent="0.25">
      <c r="A2" s="7" t="s">
        <v>78</v>
      </c>
      <c r="B2" s="388" t="s">
        <v>19</v>
      </c>
      <c r="C2" s="389">
        <v>2016</v>
      </c>
      <c r="D2" s="389">
        <v>2017</v>
      </c>
      <c r="E2" s="389">
        <v>2018</v>
      </c>
      <c r="F2" s="389">
        <v>2019</v>
      </c>
      <c r="G2" s="390">
        <v>2020</v>
      </c>
      <c r="H2" s="390">
        <v>2021</v>
      </c>
      <c r="I2" s="390">
        <v>2022</v>
      </c>
      <c r="J2" s="390">
        <v>2023</v>
      </c>
      <c r="K2" s="391">
        <v>2024</v>
      </c>
      <c r="L2" s="161"/>
      <c r="M2" s="159"/>
      <c r="N2" s="6"/>
      <c r="O2" s="6"/>
      <c r="P2" s="6"/>
      <c r="Q2" s="6"/>
    </row>
    <row r="3" spans="1:18" ht="15" customHeight="1" x14ac:dyDescent="0.3">
      <c r="B3" s="226" t="s">
        <v>20</v>
      </c>
      <c r="C3" s="43"/>
      <c r="D3" s="43"/>
      <c r="E3" s="44">
        <v>43342</v>
      </c>
      <c r="F3" s="44">
        <f>E3+365</f>
        <v>43707</v>
      </c>
      <c r="G3" s="44">
        <f>F3+365</f>
        <v>44072</v>
      </c>
      <c r="H3" s="44">
        <f>G3+365</f>
        <v>44437</v>
      </c>
      <c r="I3" s="44">
        <f>H3+365</f>
        <v>44802</v>
      </c>
      <c r="J3" s="44"/>
      <c r="K3" s="238"/>
      <c r="L3" s="161"/>
      <c r="M3" s="161"/>
      <c r="N3" s="6"/>
      <c r="O3" s="6"/>
      <c r="P3" s="6"/>
      <c r="Q3" s="6"/>
    </row>
    <row r="4" spans="1:18" ht="15" customHeight="1" x14ac:dyDescent="0.2">
      <c r="A4" s="7" t="s">
        <v>78</v>
      </c>
      <c r="B4" s="42" t="s">
        <v>198</v>
      </c>
      <c r="C4" s="160"/>
      <c r="D4" s="160"/>
      <c r="E4" s="159"/>
      <c r="F4" s="159"/>
      <c r="G4" s="159"/>
      <c r="H4" s="159"/>
      <c r="I4" s="159"/>
      <c r="J4" s="159"/>
      <c r="K4" s="239"/>
      <c r="L4" s="162"/>
      <c r="M4" s="162"/>
      <c r="N4"/>
      <c r="O4"/>
      <c r="P4"/>
      <c r="Q4"/>
    </row>
    <row r="5" spans="1:18" ht="15" customHeight="1" x14ac:dyDescent="0.3">
      <c r="B5" s="45" t="s">
        <v>196</v>
      </c>
      <c r="C5" s="169">
        <f>'Income Statement'!C6</f>
        <v>2968.2</v>
      </c>
      <c r="D5" s="169">
        <f>'Income Statement'!D6</f>
        <v>2913.3</v>
      </c>
      <c r="E5" s="169">
        <f>'Income Statement'!E6</f>
        <v>3230.3</v>
      </c>
      <c r="F5" s="169">
        <f>'Income Statement'!F6</f>
        <v>3356.1</v>
      </c>
      <c r="G5" s="158">
        <f>F5*(1+G6)</f>
        <v>3497.0562</v>
      </c>
      <c r="H5" s="158">
        <f t="shared" ref="H5:K5" si="0">G5*(1+H6)</f>
        <v>3661.4178413999998</v>
      </c>
      <c r="I5" s="158">
        <f t="shared" si="0"/>
        <v>3844.4887334700002</v>
      </c>
      <c r="J5" s="158">
        <f t="shared" si="0"/>
        <v>4036.7131701435005</v>
      </c>
      <c r="K5" s="240">
        <f t="shared" si="0"/>
        <v>4238.5488286506761</v>
      </c>
      <c r="L5" s="162"/>
      <c r="M5" s="162"/>
      <c r="N5"/>
      <c r="O5"/>
      <c r="P5"/>
      <c r="Q5"/>
    </row>
    <row r="6" spans="1:18" ht="15" customHeight="1" x14ac:dyDescent="0.3">
      <c r="B6" s="241" t="s">
        <v>214</v>
      </c>
      <c r="C6" s="46"/>
      <c r="D6" s="236">
        <f>(D5-C5)/C5</f>
        <v>-1.8496058217101152E-2</v>
      </c>
      <c r="E6" s="107">
        <f t="shared" ref="E6:F6" si="1">(E5-D5)/D5</f>
        <v>0.10881131363059074</v>
      </c>
      <c r="F6" s="107">
        <f t="shared" si="1"/>
        <v>3.8943751354363287E-2</v>
      </c>
      <c r="G6" s="148">
        <v>4.2000000000000003E-2</v>
      </c>
      <c r="H6" s="148">
        <v>4.7E-2</v>
      </c>
      <c r="I6" s="148">
        <v>0.05</v>
      </c>
      <c r="J6" s="148">
        <v>0.05</v>
      </c>
      <c r="K6" s="242">
        <v>0.05</v>
      </c>
      <c r="L6" s="162"/>
      <c r="M6" s="162"/>
      <c r="N6"/>
      <c r="O6"/>
      <c r="P6"/>
      <c r="Q6"/>
    </row>
    <row r="7" spans="1:18" ht="15" customHeight="1" x14ac:dyDescent="0.3">
      <c r="B7" s="45" t="s">
        <v>197</v>
      </c>
      <c r="C7" s="169">
        <f>'Income Statement'!C7</f>
        <v>975.3</v>
      </c>
      <c r="D7" s="169">
        <f>'Income Statement'!D7</f>
        <v>966.1</v>
      </c>
      <c r="E7" s="169">
        <f>'Income Statement'!E7</f>
        <v>1055.3</v>
      </c>
      <c r="F7" s="169">
        <f>'Income Statement'!F7</f>
        <v>1075.0999999999999</v>
      </c>
      <c r="G7" s="158">
        <f>F7*(1+G8)</f>
        <v>1120.2541999999999</v>
      </c>
      <c r="H7" s="158">
        <f t="shared" ref="H7:K7" si="2">G7*(1+H8)</f>
        <v>1167.3048763999998</v>
      </c>
      <c r="I7" s="158">
        <f t="shared" si="2"/>
        <v>1223.3355104671998</v>
      </c>
      <c r="J7" s="158">
        <f t="shared" si="2"/>
        <v>1282.0556149696254</v>
      </c>
      <c r="K7" s="240">
        <f t="shared" si="2"/>
        <v>1335.9019507983496</v>
      </c>
      <c r="L7" s="162"/>
      <c r="M7" s="162"/>
      <c r="N7"/>
      <c r="O7" s="6"/>
      <c r="P7"/>
      <c r="Q7"/>
    </row>
    <row r="8" spans="1:18" ht="15" customHeight="1" x14ac:dyDescent="0.3">
      <c r="A8" s="7" t="s">
        <v>78</v>
      </c>
      <c r="B8" s="241" t="s">
        <v>213</v>
      </c>
      <c r="C8" s="163"/>
      <c r="D8" s="236">
        <f>(D7-C7)/C7</f>
        <v>-9.4329949759047807E-3</v>
      </c>
      <c r="E8" s="107">
        <f t="shared" ref="E8:F8" si="3">(E7-D7)/D7</f>
        <v>9.2329986543835965E-2</v>
      </c>
      <c r="F8" s="107">
        <f t="shared" si="3"/>
        <v>1.8762437221643093E-2</v>
      </c>
      <c r="G8" s="148">
        <v>4.2000000000000003E-2</v>
      </c>
      <c r="H8" s="148">
        <v>4.2000000000000003E-2</v>
      </c>
      <c r="I8" s="148">
        <v>4.8000000000000001E-2</v>
      </c>
      <c r="J8" s="148">
        <v>4.8000000000000001E-2</v>
      </c>
      <c r="K8" s="242">
        <v>4.2000000000000003E-2</v>
      </c>
      <c r="L8" s="162"/>
      <c r="M8" s="162"/>
      <c r="N8"/>
      <c r="O8"/>
      <c r="P8"/>
      <c r="Q8"/>
    </row>
    <row r="9" spans="1:18" ht="15" customHeight="1" x14ac:dyDescent="0.2">
      <c r="B9" s="229" t="s">
        <v>1</v>
      </c>
      <c r="C9" s="170">
        <f>'Income Statement'!C8</f>
        <v>3943.5</v>
      </c>
      <c r="D9" s="170">
        <f>'Income Statement'!D8</f>
        <v>3879.4</v>
      </c>
      <c r="E9" s="170">
        <f>'Income Statement'!E8</f>
        <v>4285.6000000000004</v>
      </c>
      <c r="F9" s="170">
        <f>'Income Statement'!F8</f>
        <v>4431.2</v>
      </c>
      <c r="G9" s="164">
        <f>SUM(G5,G7)</f>
        <v>4617.3104000000003</v>
      </c>
      <c r="H9" s="164">
        <f t="shared" ref="H9:K9" si="4">SUM(H5,H7)</f>
        <v>4828.7227177999994</v>
      </c>
      <c r="I9" s="164">
        <f t="shared" si="4"/>
        <v>5067.8242439371998</v>
      </c>
      <c r="J9" s="164">
        <f t="shared" si="4"/>
        <v>5318.7687851131259</v>
      </c>
      <c r="K9" s="243">
        <f t="shared" si="4"/>
        <v>5574.4507794490255</v>
      </c>
      <c r="L9" s="162"/>
      <c r="M9" s="162"/>
      <c r="N9"/>
      <c r="O9"/>
      <c r="P9"/>
      <c r="Q9"/>
      <c r="R9" s="8"/>
    </row>
    <row r="10" spans="1:18" ht="15" customHeight="1" x14ac:dyDescent="0.3">
      <c r="B10" s="241" t="s">
        <v>21</v>
      </c>
      <c r="C10" s="46"/>
      <c r="D10" s="236">
        <f>(D9-C9)/C9</f>
        <v>-1.625459617091414E-2</v>
      </c>
      <c r="E10" s="107">
        <f t="shared" ref="E10:F10" si="5">(E9-D9)/D9</f>
        <v>0.10470691344022279</v>
      </c>
      <c r="F10" s="107">
        <f t="shared" si="5"/>
        <v>3.3974239313048216E-2</v>
      </c>
      <c r="G10" s="107">
        <f t="shared" ref="G10" si="6">(G9-F9)/F9</f>
        <v>4.2000000000000114E-2</v>
      </c>
      <c r="H10" s="107">
        <f t="shared" ref="H10" si="7">(H9-G9)/G9</f>
        <v>4.5786897454413951E-2</v>
      </c>
      <c r="I10" s="107">
        <f t="shared" ref="I10" si="8">(I9-H9)/H9</f>
        <v>4.9516516087330181E-2</v>
      </c>
      <c r="J10" s="107">
        <f t="shared" ref="J10" si="9">(J9-I9)/I9</f>
        <v>4.9517214705332199E-2</v>
      </c>
      <c r="K10" s="244">
        <f t="shared" ref="K10" si="10">(K9-J9)/J9</f>
        <v>4.8071650539037572E-2</v>
      </c>
      <c r="L10" s="161"/>
      <c r="M10" s="121"/>
      <c r="N10" s="11"/>
      <c r="O10" s="11"/>
      <c r="P10" s="11"/>
      <c r="Q10" s="11"/>
      <c r="R10" s="8"/>
    </row>
    <row r="11" spans="1:18" ht="15" customHeight="1" x14ac:dyDescent="0.3">
      <c r="B11" s="45" t="s">
        <v>119</v>
      </c>
      <c r="C11" s="171">
        <f>'Income Statement'!C13</f>
        <v>-2532.6000000000004</v>
      </c>
      <c r="D11" s="171">
        <f>'Income Statement'!D13</f>
        <v>-2566.8000000000002</v>
      </c>
      <c r="E11" s="171">
        <f>'Income Statement'!E13</f>
        <v>-2865.2</v>
      </c>
      <c r="F11" s="171">
        <f>'Income Statement'!F13</f>
        <v>-2978.2</v>
      </c>
      <c r="G11" s="165">
        <f>-G9*G12</f>
        <v>-3070.5114160000003</v>
      </c>
      <c r="H11" s="165">
        <f>-H9*H12</f>
        <v>-3211.1006073369999</v>
      </c>
      <c r="I11" s="165">
        <f>-I9*I12</f>
        <v>-3370.1031222182382</v>
      </c>
      <c r="J11" s="165">
        <f>-J9*J12</f>
        <v>-3536.9812421002289</v>
      </c>
      <c r="K11" s="245">
        <f>-K9*K12</f>
        <v>-3707.0097683336021</v>
      </c>
      <c r="L11" s="161"/>
      <c r="M11" s="106"/>
      <c r="N11" s="11"/>
      <c r="O11" s="11"/>
      <c r="P11" s="11"/>
      <c r="Q11" s="11"/>
      <c r="R11" s="8"/>
    </row>
    <row r="12" spans="1:18" ht="15" customHeight="1" x14ac:dyDescent="0.25">
      <c r="A12" s="7" t="s">
        <v>78</v>
      </c>
      <c r="B12" s="241" t="s">
        <v>23</v>
      </c>
      <c r="C12" s="107">
        <f>-C11/C9</f>
        <v>0.64222137694941051</v>
      </c>
      <c r="D12" s="107">
        <f>-D11/D9</f>
        <v>0.66164870856317992</v>
      </c>
      <c r="E12" s="107">
        <f>-E11/E9</f>
        <v>0.66856449505320137</v>
      </c>
      <c r="F12" s="107">
        <f>-F11/F9</f>
        <v>0.67209785159776136</v>
      </c>
      <c r="G12" s="148">
        <v>0.66500000000000004</v>
      </c>
      <c r="H12" s="148">
        <v>0.66500000000000004</v>
      </c>
      <c r="I12" s="148">
        <v>0.66500000000000004</v>
      </c>
      <c r="J12" s="148">
        <v>0.66500000000000004</v>
      </c>
      <c r="K12" s="242">
        <v>0.66500000000000004</v>
      </c>
      <c r="L12" s="161"/>
      <c r="M12" s="161"/>
      <c r="N12" s="6"/>
      <c r="O12" s="6"/>
      <c r="P12" s="6"/>
      <c r="Q12" s="6"/>
    </row>
    <row r="13" spans="1:18" ht="15" customHeight="1" x14ac:dyDescent="0.2">
      <c r="B13" s="229" t="s">
        <v>2</v>
      </c>
      <c r="C13" s="164">
        <f>C9+C11</f>
        <v>1410.8999999999996</v>
      </c>
      <c r="D13" s="164">
        <f>D9+D11</f>
        <v>1312.6</v>
      </c>
      <c r="E13" s="164">
        <f>E9+E11</f>
        <v>1420.4000000000005</v>
      </c>
      <c r="F13" s="164">
        <f>F9+F11</f>
        <v>1453</v>
      </c>
      <c r="G13" s="164">
        <f t="shared" ref="G13:K13" si="11">G9+G11</f>
        <v>1546.798984</v>
      </c>
      <c r="H13" s="164">
        <f t="shared" si="11"/>
        <v>1617.6221104629994</v>
      </c>
      <c r="I13" s="164">
        <f t="shared" si="11"/>
        <v>1697.7211217189615</v>
      </c>
      <c r="J13" s="164">
        <f t="shared" si="11"/>
        <v>1781.787543012897</v>
      </c>
      <c r="K13" s="243">
        <f t="shared" si="11"/>
        <v>1867.4410111154234</v>
      </c>
      <c r="L13" s="161"/>
      <c r="M13" s="161"/>
      <c r="N13" s="6"/>
      <c r="O13" s="6"/>
      <c r="P13" s="6"/>
      <c r="Q13" s="6"/>
    </row>
    <row r="14" spans="1:18" ht="15" customHeight="1" x14ac:dyDescent="0.3">
      <c r="B14" s="45" t="s">
        <v>123</v>
      </c>
      <c r="C14" s="171">
        <f>'Income Statement'!C14</f>
        <v>-980.8</v>
      </c>
      <c r="D14" s="171">
        <f>'Income Statement'!D14</f>
        <v>-1086</v>
      </c>
      <c r="E14" s="171">
        <f>'Income Statement'!E14</f>
        <v>-1223.8</v>
      </c>
      <c r="F14" s="171">
        <f>'Income Statement'!F14</f>
        <v>-1100.8</v>
      </c>
      <c r="G14" s="165">
        <f>-G9*G15</f>
        <v>-1154.3276000000001</v>
      </c>
      <c r="H14" s="165">
        <f>-H9*H15</f>
        <v>-1158.8934522719999</v>
      </c>
      <c r="I14" s="165">
        <f>-I9*I15</f>
        <v>-1165.599576105556</v>
      </c>
      <c r="J14" s="165">
        <f>-J9*J15</f>
        <v>-1223.3168205760189</v>
      </c>
      <c r="K14" s="245">
        <f>-K9*K15</f>
        <v>-1226.3791714787856</v>
      </c>
      <c r="L14" s="161"/>
      <c r="M14" s="161"/>
      <c r="N14" s="6"/>
      <c r="O14" s="6"/>
      <c r="P14" s="6"/>
      <c r="Q14" s="6"/>
    </row>
    <row r="15" spans="1:18" ht="15" customHeight="1" x14ac:dyDescent="0.25">
      <c r="B15" s="241" t="s">
        <v>65</v>
      </c>
      <c r="C15" s="107">
        <f>-C14/C9</f>
        <v>0.24871307214403449</v>
      </c>
      <c r="D15" s="107">
        <f>-D14/D9</f>
        <v>0.27994019693767075</v>
      </c>
      <c r="E15" s="107">
        <f>-E14/E9</f>
        <v>0.28556094829195444</v>
      </c>
      <c r="F15" s="107">
        <f>-F14/F9</f>
        <v>0.24842029247156527</v>
      </c>
      <c r="G15" s="148">
        <v>0.25</v>
      </c>
      <c r="H15" s="148">
        <v>0.24</v>
      </c>
      <c r="I15" s="148">
        <v>0.23</v>
      </c>
      <c r="J15" s="148">
        <v>0.23</v>
      </c>
      <c r="K15" s="242">
        <v>0.22</v>
      </c>
      <c r="L15" s="161"/>
      <c r="M15" s="161"/>
      <c r="N15" s="6"/>
      <c r="O15" s="6"/>
      <c r="P15" s="6"/>
      <c r="Q15" s="6"/>
    </row>
    <row r="16" spans="1:18" ht="15" customHeight="1" x14ac:dyDescent="0.3">
      <c r="B16" s="110" t="s">
        <v>195</v>
      </c>
      <c r="C16" s="171">
        <f>'Income Statement'!C15</f>
        <v>-125.9</v>
      </c>
      <c r="D16" s="171">
        <f>'Income Statement'!D15</f>
        <v>-254.4</v>
      </c>
      <c r="E16" s="171">
        <f>'Income Statement'!E15</f>
        <v>-178.8</v>
      </c>
      <c r="F16" s="171">
        <f>'Income Statement'!F15</f>
        <v>-146.1</v>
      </c>
      <c r="G16" s="233">
        <f>-G9*G17</f>
        <v>-138.51931200000001</v>
      </c>
      <c r="H16" s="233">
        <f t="shared" ref="H16:K16" si="12">-H9*H17</f>
        <v>-144.86168153399998</v>
      </c>
      <c r="I16" s="233">
        <f t="shared" si="12"/>
        <v>-152.03472731811598</v>
      </c>
      <c r="J16" s="233">
        <f t="shared" si="12"/>
        <v>-159.56306355339376</v>
      </c>
      <c r="K16" s="246">
        <f t="shared" si="12"/>
        <v>-167.23352338347075</v>
      </c>
      <c r="L16" s="161"/>
      <c r="M16" s="161"/>
      <c r="N16" s="6"/>
      <c r="O16" s="6"/>
      <c r="P16" s="6"/>
      <c r="Q16" s="6"/>
    </row>
    <row r="17" spans="1:17" ht="15" customHeight="1" x14ac:dyDescent="0.25">
      <c r="B17" s="241" t="s">
        <v>268</v>
      </c>
      <c r="C17" s="107">
        <f>-C16/C9</f>
        <v>3.1925954101686319E-2</v>
      </c>
      <c r="D17" s="107">
        <f t="shared" ref="D17:F17" si="13">-D16/D9</f>
        <v>6.5577151105841114E-2</v>
      </c>
      <c r="E17" s="107">
        <f t="shared" si="13"/>
        <v>4.1721112563001678E-2</v>
      </c>
      <c r="F17" s="107">
        <f t="shared" si="13"/>
        <v>3.2970752843473554E-2</v>
      </c>
      <c r="G17" s="148">
        <v>0.03</v>
      </c>
      <c r="H17" s="148">
        <v>0.03</v>
      </c>
      <c r="I17" s="148">
        <v>0.03</v>
      </c>
      <c r="J17" s="148">
        <v>0.03</v>
      </c>
      <c r="K17" s="242">
        <v>0.03</v>
      </c>
      <c r="L17" s="161"/>
      <c r="M17" s="161"/>
      <c r="N17" s="6"/>
      <c r="O17" s="6"/>
      <c r="P17" s="6"/>
      <c r="Q17" s="6"/>
    </row>
    <row r="18" spans="1:17" ht="15" customHeight="1" x14ac:dyDescent="0.3">
      <c r="B18" s="45" t="s">
        <v>120</v>
      </c>
      <c r="C18" s="165">
        <f>C14+C16</f>
        <v>-1106.7</v>
      </c>
      <c r="D18" s="165">
        <f t="shared" ref="D18:F18" si="14">D14+D16</f>
        <v>-1340.4</v>
      </c>
      <c r="E18" s="165">
        <f>E14+E16</f>
        <v>-1402.6</v>
      </c>
      <c r="F18" s="165">
        <f t="shared" si="14"/>
        <v>-1246.8999999999999</v>
      </c>
      <c r="G18" s="165">
        <f>G16+G14</f>
        <v>-1292.846912</v>
      </c>
      <c r="H18" s="165">
        <f>H16+H14</f>
        <v>-1303.7551338059998</v>
      </c>
      <c r="I18" s="165">
        <f>I16+I14</f>
        <v>-1317.634303423672</v>
      </c>
      <c r="J18" s="165">
        <f>J16+J14</f>
        <v>-1382.8798841294126</v>
      </c>
      <c r="K18" s="245">
        <f>K16+K14</f>
        <v>-1393.6126948622564</v>
      </c>
      <c r="L18" s="161"/>
      <c r="M18" s="161"/>
      <c r="N18" s="6"/>
      <c r="O18" s="6"/>
      <c r="P18" s="6"/>
      <c r="Q18" s="6"/>
    </row>
    <row r="19" spans="1:17" ht="15" customHeight="1" x14ac:dyDescent="0.25">
      <c r="A19" s="7" t="s">
        <v>78</v>
      </c>
      <c r="B19" s="241" t="s">
        <v>70</v>
      </c>
      <c r="C19" s="47">
        <f t="shared" ref="C19:K19" si="15">-C18/C9</f>
        <v>0.28063902624572079</v>
      </c>
      <c r="D19" s="47">
        <f t="shared" si="15"/>
        <v>0.34551734804351192</v>
      </c>
      <c r="E19" s="47">
        <f t="shared" si="15"/>
        <v>0.32728206085495609</v>
      </c>
      <c r="F19" s="47">
        <f t="shared" si="15"/>
        <v>0.28139104531503878</v>
      </c>
      <c r="G19" s="47">
        <f t="shared" si="15"/>
        <v>0.27999999999999997</v>
      </c>
      <c r="H19" s="47">
        <f t="shared" si="15"/>
        <v>0.26999999999999996</v>
      </c>
      <c r="I19" s="47">
        <f t="shared" si="15"/>
        <v>0.26</v>
      </c>
      <c r="J19" s="47">
        <f t="shared" si="15"/>
        <v>0.26</v>
      </c>
      <c r="K19" s="247">
        <f t="shared" si="15"/>
        <v>0.25</v>
      </c>
      <c r="L19" s="161"/>
      <c r="M19" s="161"/>
      <c r="N19" s="6"/>
      <c r="O19" s="6"/>
      <c r="P19" s="6"/>
      <c r="Q19" s="6"/>
    </row>
    <row r="20" spans="1:17" ht="15" customHeight="1" x14ac:dyDescent="0.2">
      <c r="B20" s="229" t="s">
        <v>4</v>
      </c>
      <c r="C20" s="234">
        <f>C13+C14+C16</f>
        <v>304.1999999999997</v>
      </c>
      <c r="D20" s="234">
        <f>D13+D14+D16</f>
        <v>-27.800000000000097</v>
      </c>
      <c r="E20" s="234">
        <f>E13+E14+E16</f>
        <v>17.80000000000058</v>
      </c>
      <c r="F20" s="234">
        <f>F13+F14+F16</f>
        <v>206.10000000000005</v>
      </c>
      <c r="G20" s="234">
        <f t="shared" ref="G20:K20" si="16">G13+G14+G16</f>
        <v>253.95207199999993</v>
      </c>
      <c r="H20" s="234">
        <f t="shared" si="16"/>
        <v>313.86697665699955</v>
      </c>
      <c r="I20" s="234">
        <f t="shared" si="16"/>
        <v>380.0868182952895</v>
      </c>
      <c r="J20" s="234">
        <f t="shared" si="16"/>
        <v>398.90765888348432</v>
      </c>
      <c r="K20" s="248">
        <f t="shared" si="16"/>
        <v>473.82831625316709</v>
      </c>
      <c r="L20" s="161"/>
      <c r="M20" s="161"/>
      <c r="N20" s="6"/>
      <c r="O20" s="6"/>
      <c r="P20" s="6"/>
      <c r="Q20" s="6"/>
    </row>
    <row r="21" spans="1:17" ht="15" customHeight="1" x14ac:dyDescent="0.3">
      <c r="B21" s="42" t="s">
        <v>199</v>
      </c>
      <c r="C21" s="171">
        <f>'Income Statement'!C17</f>
        <v>3.5</v>
      </c>
      <c r="D21" s="171">
        <f>'Income Statement'!D17</f>
        <v>-379.3</v>
      </c>
      <c r="E21" s="171">
        <f>'Income Statement'!E17</f>
        <v>-288.8</v>
      </c>
      <c r="F21" s="171">
        <f>'Income Statement'!F17</f>
        <v>-310.39999999999998</v>
      </c>
      <c r="G21" s="233">
        <f>AVERAGE(D21:F21)</f>
        <v>-326.16666666666669</v>
      </c>
      <c r="H21" s="233">
        <f>AVERAGE(D21:G21)</f>
        <v>-326.16666666666669</v>
      </c>
      <c r="I21" s="233">
        <f t="shared" ref="I21:K21" si="17">AVERAGE(D21:H21)</f>
        <v>-326.16666666666669</v>
      </c>
      <c r="J21" s="233">
        <f t="shared" si="17"/>
        <v>-315.54000000000008</v>
      </c>
      <c r="K21" s="246">
        <f t="shared" si="17"/>
        <v>-320.88800000000003</v>
      </c>
      <c r="L21" s="161"/>
      <c r="M21" s="161"/>
      <c r="N21" s="6"/>
      <c r="O21" s="6"/>
      <c r="P21" s="6"/>
      <c r="Q21" s="6"/>
    </row>
    <row r="22" spans="1:17" ht="15" customHeight="1" x14ac:dyDescent="0.3">
      <c r="B22" s="42" t="s">
        <v>79</v>
      </c>
      <c r="C22" s="233">
        <f t="shared" ref="C22" si="18">C20+C21</f>
        <v>307.6999999999997</v>
      </c>
      <c r="D22" s="233">
        <f t="shared" ref="D22:E22" si="19">D20+D21</f>
        <v>-407.10000000000014</v>
      </c>
      <c r="E22" s="233">
        <f t="shared" si="19"/>
        <v>-270.99999999999943</v>
      </c>
      <c r="F22" s="233">
        <f>F20+F21</f>
        <v>-104.29999999999993</v>
      </c>
      <c r="G22" s="233">
        <f t="shared" ref="G22:J22" si="20">G20+G21</f>
        <v>-72.214594666666756</v>
      </c>
      <c r="H22" s="233">
        <f t="shared" si="20"/>
        <v>-12.299690009667131</v>
      </c>
      <c r="I22" s="233">
        <f t="shared" si="20"/>
        <v>53.920151628622818</v>
      </c>
      <c r="J22" s="233">
        <f t="shared" si="20"/>
        <v>83.367658883484239</v>
      </c>
      <c r="K22" s="246">
        <f t="shared" ref="K22" si="21">K20+K21</f>
        <v>152.94031625316705</v>
      </c>
      <c r="L22" s="161"/>
      <c r="M22" s="161"/>
      <c r="N22" s="6"/>
      <c r="O22" s="6"/>
      <c r="P22" s="6"/>
      <c r="Q22" s="6"/>
    </row>
    <row r="23" spans="1:17" ht="15" customHeight="1" x14ac:dyDescent="0.3">
      <c r="B23" s="42" t="s">
        <v>121</v>
      </c>
      <c r="C23" s="171">
        <f>'Income Statement'!C21</f>
        <v>-140.1</v>
      </c>
      <c r="D23" s="171">
        <f>'Income Statement'!D21</f>
        <v>19.7</v>
      </c>
      <c r="E23" s="171">
        <f>'Income Statement'!E21</f>
        <v>-49.9</v>
      </c>
      <c r="F23" s="171">
        <f>'Income Statement'!F21</f>
        <v>-36.5</v>
      </c>
      <c r="G23" s="233">
        <f t="shared" ref="G23:J23" si="22">G20*G24</f>
        <v>53.32993511999998</v>
      </c>
      <c r="H23" s="233">
        <f t="shared" si="22"/>
        <v>65.912065097969901</v>
      </c>
      <c r="I23" s="233">
        <f t="shared" si="22"/>
        <v>79.818231842010789</v>
      </c>
      <c r="J23" s="233">
        <f t="shared" si="22"/>
        <v>83.7706083655317</v>
      </c>
      <c r="K23" s="246">
        <f t="shared" ref="K23" si="23">K20*K24</f>
        <v>99.503946413165082</v>
      </c>
      <c r="L23" s="161"/>
      <c r="M23" s="161"/>
      <c r="N23" s="6"/>
      <c r="O23" s="6"/>
      <c r="P23" s="6"/>
      <c r="Q23" s="6"/>
    </row>
    <row r="24" spans="1:17" ht="15" customHeight="1" x14ac:dyDescent="0.3">
      <c r="B24" s="241" t="s">
        <v>25</v>
      </c>
      <c r="C24" s="236">
        <f t="shared" ref="C24:D24" si="24">C23/C22</f>
        <v>-0.45531361715957142</v>
      </c>
      <c r="D24" s="236">
        <f t="shared" si="24"/>
        <v>-4.8391058707934149E-2</v>
      </c>
      <c r="E24" s="47">
        <f>E23/E22</f>
        <v>0.18413284132841368</v>
      </c>
      <c r="F24" s="47">
        <f>F23/F22</f>
        <v>0.34995206136145757</v>
      </c>
      <c r="G24" s="148">
        <v>0.21</v>
      </c>
      <c r="H24" s="148">
        <v>0.21</v>
      </c>
      <c r="I24" s="148">
        <v>0.21</v>
      </c>
      <c r="J24" s="148">
        <v>0.21</v>
      </c>
      <c r="K24" s="242">
        <v>0.21</v>
      </c>
      <c r="L24" s="161"/>
      <c r="M24" s="161"/>
      <c r="N24" s="6"/>
      <c r="O24" s="6"/>
      <c r="P24" s="6"/>
      <c r="Q24" s="6"/>
    </row>
    <row r="25" spans="1:17" ht="15" customHeight="1" thickBot="1" x14ac:dyDescent="0.35">
      <c r="B25" s="42" t="s">
        <v>234</v>
      </c>
      <c r="C25" s="233">
        <f>C20+C23</f>
        <v>164.09999999999971</v>
      </c>
      <c r="D25" s="233">
        <f t="shared" ref="D25:F25" si="25">D20+D23</f>
        <v>-8.1000000000000973</v>
      </c>
      <c r="E25" s="233">
        <f t="shared" si="25"/>
        <v>-32.099999999999419</v>
      </c>
      <c r="F25" s="233">
        <f t="shared" si="25"/>
        <v>169.60000000000005</v>
      </c>
      <c r="G25" s="233">
        <f>G20-G23</f>
        <v>200.62213687999994</v>
      </c>
      <c r="H25" s="233">
        <f t="shared" ref="H25:J25" si="26">H20-H23</f>
        <v>247.95491155902965</v>
      </c>
      <c r="I25" s="233">
        <f t="shared" si="26"/>
        <v>300.26858645327871</v>
      </c>
      <c r="J25" s="233">
        <f t="shared" si="26"/>
        <v>315.13705051795262</v>
      </c>
      <c r="K25" s="246">
        <f t="shared" ref="K25" si="27">K20-K23</f>
        <v>374.32436984000202</v>
      </c>
      <c r="L25" s="161"/>
      <c r="M25" s="161"/>
      <c r="N25" s="6"/>
      <c r="O25" s="6"/>
      <c r="P25" s="6"/>
      <c r="Q25" s="6"/>
    </row>
    <row r="26" spans="1:17" ht="15" customHeight="1" thickBot="1" x14ac:dyDescent="0.35">
      <c r="B26" s="45"/>
      <c r="C26" s="46"/>
      <c r="D26" s="46"/>
      <c r="E26" s="46"/>
      <c r="F26" s="43"/>
      <c r="G26" s="43"/>
      <c r="H26" s="43"/>
      <c r="I26" s="43"/>
      <c r="J26" s="43"/>
      <c r="K26" s="48"/>
      <c r="L26" s="159"/>
      <c r="M26" s="159"/>
      <c r="N26" s="6"/>
      <c r="O26" s="396" t="s">
        <v>96</v>
      </c>
      <c r="P26" s="397"/>
      <c r="Q26" s="6"/>
    </row>
    <row r="27" spans="1:17" ht="15" customHeight="1" x14ac:dyDescent="0.3">
      <c r="B27" s="42" t="s">
        <v>269</v>
      </c>
      <c r="C27" s="171">
        <f>'Cash Flow'!C9</f>
        <v>153</v>
      </c>
      <c r="D27" s="171">
        <f>'Cash Flow'!D9</f>
        <v>344.3</v>
      </c>
      <c r="E27" s="171">
        <f>'Cash Flow'!E9</f>
        <v>217</v>
      </c>
      <c r="F27" s="171">
        <f>'Cash Flow'!F9</f>
        <v>202.9</v>
      </c>
      <c r="G27" s="233">
        <f>G9*G28</f>
        <v>277.03862400000003</v>
      </c>
      <c r="H27" s="233">
        <f>H9*H28</f>
        <v>289.72336306799997</v>
      </c>
      <c r="I27" s="233">
        <f>I9*I28</f>
        <v>304.06945463623197</v>
      </c>
      <c r="J27" s="233">
        <f>J9*J28</f>
        <v>319.12612710678752</v>
      </c>
      <c r="K27" s="246">
        <f>K9*K28</f>
        <v>334.46704676694151</v>
      </c>
      <c r="L27" s="159"/>
      <c r="M27" s="159"/>
      <c r="N27" s="6"/>
      <c r="O27" s="45" t="s">
        <v>107</v>
      </c>
      <c r="P27" s="154">
        <v>44048</v>
      </c>
      <c r="Q27" s="6"/>
    </row>
    <row r="28" spans="1:17" ht="15" customHeight="1" x14ac:dyDescent="0.3">
      <c r="A28" s="7" t="s">
        <v>78</v>
      </c>
      <c r="B28" s="241" t="s">
        <v>46</v>
      </c>
      <c r="C28" s="47">
        <f>C27/C9</f>
        <v>3.8798022061620391E-2</v>
      </c>
      <c r="D28" s="47">
        <f>D27/D9</f>
        <v>8.8750837758416246E-2</v>
      </c>
      <c r="E28" s="47">
        <f>E27/E9</f>
        <v>5.0634683591562438E-2</v>
      </c>
      <c r="F28" s="47">
        <f>F27/F9</f>
        <v>4.5788951074201126E-2</v>
      </c>
      <c r="G28" s="149">
        <v>0.06</v>
      </c>
      <c r="H28" s="149">
        <v>0.06</v>
      </c>
      <c r="I28" s="149">
        <v>0.06</v>
      </c>
      <c r="J28" s="149">
        <v>0.06</v>
      </c>
      <c r="K28" s="249">
        <v>0.06</v>
      </c>
      <c r="L28" s="159"/>
      <c r="M28" s="159"/>
      <c r="N28" s="6"/>
      <c r="O28" s="45" t="s">
        <v>97</v>
      </c>
      <c r="P28" s="154">
        <v>44196</v>
      </c>
      <c r="Q28" s="6"/>
    </row>
    <row r="29" spans="1:17" ht="15" customHeight="1" x14ac:dyDescent="0.3">
      <c r="B29" s="42" t="s">
        <v>122</v>
      </c>
      <c r="C29" s="171">
        <f>'Cash Flow'!C19</f>
        <v>-34</v>
      </c>
      <c r="D29" s="171">
        <f>'Cash Flow'!D19</f>
        <v>-36.700000000000003</v>
      </c>
      <c r="E29" s="171">
        <f>'Cash Flow'!E19</f>
        <v>-64.599999999999994</v>
      </c>
      <c r="F29" s="171">
        <f>'Cash Flow'!F19</f>
        <v>-47.6</v>
      </c>
      <c r="G29" s="233">
        <f>-G9*G30</f>
        <v>-46.173104000000002</v>
      </c>
      <c r="H29" s="233">
        <f>-H9*H30</f>
        <v>-48.287227177999995</v>
      </c>
      <c r="I29" s="233">
        <f>-I9*I30</f>
        <v>-50.678242439371999</v>
      </c>
      <c r="J29" s="233">
        <f>-J9*J30</f>
        <v>-53.187687851131258</v>
      </c>
      <c r="K29" s="246">
        <f>-K9*K30</f>
        <v>-55.744507794490254</v>
      </c>
      <c r="L29" s="159"/>
      <c r="M29" s="159"/>
      <c r="N29" s="6"/>
      <c r="O29" s="45"/>
      <c r="P29" s="154">
        <v>44561</v>
      </c>
      <c r="Q29" s="6"/>
    </row>
    <row r="30" spans="1:17" ht="15" customHeight="1" x14ac:dyDescent="0.3">
      <c r="B30" s="241" t="s">
        <v>26</v>
      </c>
      <c r="C30" s="47">
        <f>-C29/C9</f>
        <v>8.6217826803600857E-3</v>
      </c>
      <c r="D30" s="47">
        <f>-D29/D9</f>
        <v>9.4602258081146577E-3</v>
      </c>
      <c r="E30" s="47">
        <f>-E29/E9</f>
        <v>1.5073735299607987E-2</v>
      </c>
      <c r="F30" s="47">
        <f>-F29/F9</f>
        <v>1.0742011193356202E-2</v>
      </c>
      <c r="G30" s="149">
        <v>0.01</v>
      </c>
      <c r="H30" s="149">
        <v>0.01</v>
      </c>
      <c r="I30" s="149">
        <v>0.01</v>
      </c>
      <c r="J30" s="149">
        <v>0.01</v>
      </c>
      <c r="K30" s="249">
        <v>0.01</v>
      </c>
      <c r="L30" s="159"/>
      <c r="M30" s="159"/>
      <c r="N30" s="6"/>
      <c r="O30" s="45"/>
      <c r="P30" s="154">
        <v>44926</v>
      </c>
      <c r="Q30" s="6"/>
    </row>
    <row r="31" spans="1:17" ht="15" customHeight="1" x14ac:dyDescent="0.3">
      <c r="B31" s="45"/>
      <c r="C31" s="43"/>
      <c r="D31" s="43"/>
      <c r="E31" s="43"/>
      <c r="F31" s="43"/>
      <c r="G31" s="43"/>
      <c r="H31" s="43"/>
      <c r="I31" s="43"/>
      <c r="J31" s="43"/>
      <c r="K31" s="48"/>
      <c r="L31" s="159"/>
      <c r="M31" s="159"/>
      <c r="N31" s="6"/>
      <c r="O31" s="45"/>
      <c r="P31" s="154">
        <v>45291</v>
      </c>
      <c r="Q31" s="6"/>
    </row>
    <row r="32" spans="1:17" ht="15" customHeight="1" thickBot="1" x14ac:dyDescent="0.35">
      <c r="B32" s="42" t="s">
        <v>24</v>
      </c>
      <c r="C32" s="171">
        <f>'Cash Flow'!C15</f>
        <v>42.6</v>
      </c>
      <c r="D32" s="171">
        <f>'Cash Flow'!D15</f>
        <v>46.8</v>
      </c>
      <c r="E32" s="171">
        <f>'Cash Flow'!E15</f>
        <v>-110</v>
      </c>
      <c r="F32" s="171">
        <f>'Cash Flow'!F15</f>
        <v>-36.4</v>
      </c>
      <c r="G32" s="233">
        <f>G43</f>
        <v>-59.954753648000178</v>
      </c>
      <c r="H32" s="233">
        <f>H43</f>
        <v>-37.825900917722606</v>
      </c>
      <c r="I32" s="233">
        <f>I43</f>
        <v>-9.9812586998237975</v>
      </c>
      <c r="J32" s="233">
        <f>J43</f>
        <v>-24.232458853542369</v>
      </c>
      <c r="K32" s="246">
        <f>K43</f>
        <v>-21.393874918548875</v>
      </c>
      <c r="L32" s="159"/>
      <c r="M32" s="159"/>
      <c r="N32" s="6"/>
      <c r="O32" s="50"/>
      <c r="P32" s="155">
        <v>45657</v>
      </c>
      <c r="Q32" s="6"/>
    </row>
    <row r="33" spans="1:19" ht="15" customHeight="1" x14ac:dyDescent="0.3">
      <c r="B33" s="241" t="s">
        <v>69</v>
      </c>
      <c r="C33" s="49">
        <f t="shared" ref="C33:K33" si="28">C32/C9</f>
        <v>1.0802586534804108E-2</v>
      </c>
      <c r="D33" s="49">
        <f t="shared" si="28"/>
        <v>1.2063721193999071E-2</v>
      </c>
      <c r="E33" s="236">
        <f t="shared" si="28"/>
        <v>-2.5667351129363448E-2</v>
      </c>
      <c r="F33" s="236">
        <f t="shared" si="28"/>
        <v>-8.214479147860625E-3</v>
      </c>
      <c r="G33" s="237">
        <f t="shared" si="28"/>
        <v>-1.29847786815459E-2</v>
      </c>
      <c r="H33" s="237">
        <f t="shared" si="28"/>
        <v>-7.8335210216743112E-3</v>
      </c>
      <c r="I33" s="148">
        <f t="shared" si="28"/>
        <v>-1.9695352915533124E-3</v>
      </c>
      <c r="J33" s="237">
        <f t="shared" si="28"/>
        <v>-4.5560278764828774E-3</v>
      </c>
      <c r="K33" s="242">
        <f t="shared" si="28"/>
        <v>-3.8378444379525813E-3</v>
      </c>
      <c r="L33" s="162"/>
      <c r="M33" s="162"/>
      <c r="N33" s="6"/>
      <c r="O33" s="6"/>
      <c r="P33" s="6"/>
      <c r="Q33" s="6"/>
    </row>
    <row r="34" spans="1:19" ht="15" customHeight="1" x14ac:dyDescent="0.2">
      <c r="B34" s="229" t="s">
        <v>27</v>
      </c>
      <c r="C34" s="234">
        <f>C25+C27+C29+C32</f>
        <v>325.6999999999997</v>
      </c>
      <c r="D34" s="234">
        <f t="shared" ref="D34:E34" si="29">D25+D27+D29+D32</f>
        <v>346.29999999999995</v>
      </c>
      <c r="E34" s="234">
        <f t="shared" si="29"/>
        <v>10.30000000000058</v>
      </c>
      <c r="F34" s="234">
        <f>F25+F27+F29+F32</f>
        <v>288.50000000000006</v>
      </c>
      <c r="G34" s="234">
        <f t="shared" ref="G34:K34" si="30">G25+G27+G29+G32</f>
        <v>371.5329032319998</v>
      </c>
      <c r="H34" s="234">
        <f t="shared" si="30"/>
        <v>451.56514653130705</v>
      </c>
      <c r="I34" s="234">
        <f t="shared" si="30"/>
        <v>543.67853995031487</v>
      </c>
      <c r="J34" s="234">
        <f t="shared" si="30"/>
        <v>556.84303092006644</v>
      </c>
      <c r="K34" s="248">
        <f t="shared" si="30"/>
        <v>631.65303389390442</v>
      </c>
      <c r="L34" s="159"/>
      <c r="M34" s="9"/>
      <c r="N34"/>
      <c r="O34"/>
      <c r="P34" s="6"/>
      <c r="Q34" s="6"/>
      <c r="R34" s="6"/>
      <c r="S34" s="6"/>
    </row>
    <row r="35" spans="1:19" ht="15" customHeight="1" x14ac:dyDescent="0.3">
      <c r="B35" s="42"/>
      <c r="C35" s="46"/>
      <c r="D35" s="46"/>
      <c r="E35" s="46"/>
      <c r="F35" s="46"/>
      <c r="G35" s="46"/>
      <c r="H35" s="46"/>
      <c r="I35" s="46"/>
      <c r="J35" s="46"/>
      <c r="K35" s="250"/>
      <c r="L35" s="159"/>
      <c r="M35" s="9"/>
      <c r="N35"/>
      <c r="O35"/>
      <c r="P35" s="6"/>
      <c r="Q35" s="6"/>
      <c r="R35" s="6"/>
      <c r="S35" s="6"/>
    </row>
    <row r="36" spans="1:19" ht="15" customHeight="1" x14ac:dyDescent="0.3">
      <c r="A36" s="7" t="s">
        <v>78</v>
      </c>
      <c r="B36" s="42" t="s">
        <v>80</v>
      </c>
      <c r="C36" s="46"/>
      <c r="D36" s="46"/>
      <c r="E36" s="46"/>
      <c r="F36" s="89"/>
      <c r="G36" s="89">
        <f>YEARFRAC(P27,P28)</f>
        <v>0.40555555555555556</v>
      </c>
      <c r="H36" s="89">
        <f>YEARFRAC(P27,P29)</f>
        <v>1.4055555555555554</v>
      </c>
      <c r="I36" s="89">
        <f>YEARFRAC(P27,P30)</f>
        <v>2.4055555555555554</v>
      </c>
      <c r="J36" s="89">
        <f>YEARFRAC(P27,P31)</f>
        <v>3.4055555555555554</v>
      </c>
      <c r="K36" s="71">
        <f>YEARFRAC(P27,P32)</f>
        <v>4.4055555555555559</v>
      </c>
      <c r="L36" s="159"/>
      <c r="M36" s="161"/>
      <c r="P36" s="6"/>
      <c r="Q36" s="6"/>
      <c r="R36" s="6"/>
      <c r="S36" s="6"/>
    </row>
    <row r="37" spans="1:19" ht="15" customHeight="1" x14ac:dyDescent="0.3">
      <c r="B37" s="42" t="s">
        <v>81</v>
      </c>
      <c r="C37" s="46"/>
      <c r="D37" s="46"/>
      <c r="E37" s="46"/>
      <c r="F37" s="90"/>
      <c r="G37" s="156">
        <v>0.5</v>
      </c>
      <c r="H37" s="157">
        <v>1</v>
      </c>
      <c r="I37" s="157">
        <v>1</v>
      </c>
      <c r="J37" s="157">
        <v>1</v>
      </c>
      <c r="K37" s="251">
        <v>1</v>
      </c>
      <c r="L37" s="159"/>
      <c r="M37" s="159"/>
    </row>
    <row r="38" spans="1:19" ht="15" customHeight="1" x14ac:dyDescent="0.3">
      <c r="B38" s="42"/>
      <c r="C38" s="46"/>
      <c r="D38" s="46"/>
      <c r="E38" s="46"/>
      <c r="F38" s="90"/>
      <c r="G38" s="90"/>
      <c r="H38" s="90"/>
      <c r="I38" s="90"/>
      <c r="J38" s="90"/>
      <c r="K38" s="252"/>
      <c r="L38" s="159"/>
      <c r="M38" s="159"/>
    </row>
    <row r="39" spans="1:19" ht="15" customHeight="1" thickBot="1" x14ac:dyDescent="0.25">
      <c r="B39" s="392" t="s">
        <v>28</v>
      </c>
      <c r="C39" s="393"/>
      <c r="D39" s="393"/>
      <c r="E39" s="393"/>
      <c r="F39" s="394"/>
      <c r="G39" s="394">
        <f>G34*G37/(1+'Model Output'!$M$56)^(Inputs!G36-0.5*Inputs!G37)</f>
        <v>183.07736337326168</v>
      </c>
      <c r="H39" s="394">
        <f>H34*H37/(1+'Model Output'!$M$56)^(Inputs!H36-0.5*Inputs!H37)</f>
        <v>414.81592787600579</v>
      </c>
      <c r="I39" s="394">
        <f>I34*I37/(1+'Model Output'!$M$56)^(Inputs!I36-0.5*Inputs!I37)</f>
        <v>454.74443754174081</v>
      </c>
      <c r="J39" s="394">
        <f>J34*J37/(1+'Model Output'!$M$56)^(Inputs!J36-0.5*Inputs!J37)</f>
        <v>424.08038751288075</v>
      </c>
      <c r="K39" s="395">
        <f>K34*K37/(1+'Model Output'!$M$56)^(Inputs!K36-0.5*Inputs!K37)</f>
        <v>438.01015616770087</v>
      </c>
      <c r="L39" s="159"/>
      <c r="M39" s="159"/>
    </row>
    <row r="40" spans="1:19" ht="15" customHeight="1" x14ac:dyDescent="0.2">
      <c r="B40" s="159"/>
      <c r="C40" s="160"/>
      <c r="D40" s="160"/>
      <c r="E40" s="159"/>
      <c r="F40" s="159"/>
      <c r="G40" s="159"/>
      <c r="H40" s="159"/>
      <c r="I40" s="159"/>
      <c r="J40" s="159"/>
      <c r="K40" s="159"/>
      <c r="L40" s="159"/>
      <c r="M40" s="159"/>
    </row>
    <row r="41" spans="1:19" ht="15" customHeight="1" x14ac:dyDescent="0.2">
      <c r="B41" s="159"/>
      <c r="C41" s="160"/>
      <c r="D41" s="160"/>
      <c r="E41" s="159"/>
      <c r="F41" s="159"/>
      <c r="G41" s="159"/>
      <c r="H41" s="159"/>
      <c r="I41" s="159"/>
      <c r="J41" s="159"/>
      <c r="K41" s="159"/>
      <c r="L41" s="159"/>
      <c r="M41" s="159"/>
    </row>
    <row r="42" spans="1:19" ht="15" customHeight="1" thickBot="1" x14ac:dyDescent="0.25">
      <c r="F42" s="17"/>
    </row>
    <row r="43" spans="1:19" ht="15" customHeight="1" x14ac:dyDescent="0.2">
      <c r="A43" s="7" t="s">
        <v>78</v>
      </c>
      <c r="E43" s="265" t="s">
        <v>105</v>
      </c>
      <c r="F43" s="91"/>
      <c r="G43" s="111">
        <f>F44-G44</f>
        <v>-59.954753648000178</v>
      </c>
      <c r="H43" s="111">
        <f>G44-H44</f>
        <v>-37.825900917722606</v>
      </c>
      <c r="I43" s="111">
        <f>H44-I44</f>
        <v>-9.9812586998237975</v>
      </c>
      <c r="J43" s="111">
        <f t="shared" ref="J43" si="31">I44-J44</f>
        <v>-24.232458853542369</v>
      </c>
      <c r="K43" s="112">
        <f>J44-K44</f>
        <v>-21.393874918548875</v>
      </c>
    </row>
    <row r="44" spans="1:19" ht="15" customHeight="1" thickBot="1" x14ac:dyDescent="0.25">
      <c r="E44" s="266" t="s">
        <v>106</v>
      </c>
      <c r="F44" s="92">
        <f>D51+D59+D66-D73-D81-D88</f>
        <v>274.2000000000001</v>
      </c>
      <c r="G44" s="92">
        <f>E51+E59+E66-E73-E81-E88</f>
        <v>334.15475364800028</v>
      </c>
      <c r="H44" s="92">
        <f>F51+F59+F66-F73-F81-F88</f>
        <v>371.98065456572289</v>
      </c>
      <c r="I44" s="92">
        <f>G51+G59+G66-G73-G81-G88</f>
        <v>381.96191326554668</v>
      </c>
      <c r="J44" s="93">
        <f>H51+H59+H66-H73-H81-H88</f>
        <v>406.19437211908905</v>
      </c>
      <c r="K44" s="94">
        <f>I51+I59++I66-I73-I81-I88</f>
        <v>427.58824703763793</v>
      </c>
    </row>
    <row r="45" spans="1:19" ht="15" customHeight="1" thickBot="1" x14ac:dyDescent="0.25"/>
    <row r="46" spans="1:19" ht="15" customHeight="1" thickBot="1" x14ac:dyDescent="0.3">
      <c r="B46" s="388" t="s">
        <v>82</v>
      </c>
      <c r="C46" s="398"/>
      <c r="D46" s="398"/>
      <c r="E46" s="398"/>
      <c r="F46" s="398"/>
      <c r="G46" s="398"/>
      <c r="H46" s="398"/>
      <c r="I46" s="399"/>
    </row>
    <row r="47" spans="1:19" ht="15" customHeight="1" x14ac:dyDescent="0.25">
      <c r="B47" s="178" t="s">
        <v>228</v>
      </c>
      <c r="C47" s="181">
        <f t="shared" ref="C47:I47" si="32">E2</f>
        <v>2018</v>
      </c>
      <c r="D47" s="181">
        <f t="shared" si="32"/>
        <v>2019</v>
      </c>
      <c r="E47" s="179">
        <f t="shared" si="32"/>
        <v>2020</v>
      </c>
      <c r="F47" s="179">
        <f t="shared" si="32"/>
        <v>2021</v>
      </c>
      <c r="G47" s="179">
        <f t="shared" si="32"/>
        <v>2022</v>
      </c>
      <c r="H47" s="179">
        <f t="shared" si="32"/>
        <v>2023</v>
      </c>
      <c r="I47" s="180">
        <f t="shared" si="32"/>
        <v>2024</v>
      </c>
    </row>
    <row r="48" spans="1:19" ht="15" customHeight="1" x14ac:dyDescent="0.25">
      <c r="B48" s="267" t="s">
        <v>83</v>
      </c>
      <c r="C48" s="268"/>
      <c r="D48" s="269"/>
      <c r="E48" s="270"/>
      <c r="F48" s="270"/>
      <c r="G48" s="268"/>
      <c r="H48" s="268"/>
      <c r="I48" s="271"/>
    </row>
    <row r="49" spans="2:9" ht="15" customHeight="1" x14ac:dyDescent="0.25">
      <c r="B49" s="21" t="s">
        <v>84</v>
      </c>
      <c r="C49" s="172">
        <f>'Balance Sheet'!C7</f>
        <v>1102.8</v>
      </c>
      <c r="D49" s="260">
        <f>'Balance Sheet'!D7</f>
        <v>1251.8</v>
      </c>
      <c r="E49" s="35">
        <f>D51</f>
        <v>1212.2</v>
      </c>
      <c r="F49" s="35">
        <f t="shared" ref="F49:I49" si="33">E51</f>
        <v>1292.8469120000002</v>
      </c>
      <c r="G49" s="36">
        <f t="shared" si="33"/>
        <v>1371.3572518551996</v>
      </c>
      <c r="H49" s="36">
        <f t="shared" si="33"/>
        <v>1434.1942610342273</v>
      </c>
      <c r="I49" s="39">
        <f t="shared" si="33"/>
        <v>1510.5303349721275</v>
      </c>
    </row>
    <row r="50" spans="2:9" ht="15" customHeight="1" x14ac:dyDescent="0.25">
      <c r="B50" s="22" t="s">
        <v>85</v>
      </c>
      <c r="C50" s="36">
        <f t="shared" ref="C50:H50" si="34">C51-C49</f>
        <v>149</v>
      </c>
      <c r="D50" s="36">
        <f>D51-D49</f>
        <v>-39.599999999999909</v>
      </c>
      <c r="E50" s="36">
        <f t="shared" si="34"/>
        <v>80.646912000000157</v>
      </c>
      <c r="F50" s="36">
        <f t="shared" si="34"/>
        <v>78.510339855199391</v>
      </c>
      <c r="G50" s="36">
        <f t="shared" si="34"/>
        <v>62.837009179027746</v>
      </c>
      <c r="H50" s="36">
        <f t="shared" si="34"/>
        <v>76.33607393790021</v>
      </c>
      <c r="I50" s="39">
        <f t="shared" ref="I50" si="35">I51-I49</f>
        <v>78.188137170844584</v>
      </c>
    </row>
    <row r="51" spans="2:9" ht="15" customHeight="1" x14ac:dyDescent="0.25">
      <c r="B51" s="21" t="s">
        <v>86</v>
      </c>
      <c r="C51" s="38">
        <f>D49</f>
        <v>1251.8</v>
      </c>
      <c r="D51" s="261">
        <f>'Balance Sheet'!E7</f>
        <v>1212.2</v>
      </c>
      <c r="E51" s="33">
        <f>E53*G9</f>
        <v>1292.8469120000002</v>
      </c>
      <c r="F51" s="33">
        <f>F53*H9</f>
        <v>1371.3572518551996</v>
      </c>
      <c r="G51" s="38">
        <f>G53*I9</f>
        <v>1434.1942610342273</v>
      </c>
      <c r="H51" s="38">
        <f>H53*J9</f>
        <v>1510.5303349721275</v>
      </c>
      <c r="I51" s="41">
        <f>I53*K9</f>
        <v>1588.7184721429721</v>
      </c>
    </row>
    <row r="52" spans="2:9" ht="15" customHeight="1" x14ac:dyDescent="0.25">
      <c r="B52" s="23"/>
      <c r="C52" s="31"/>
      <c r="D52" s="31"/>
      <c r="E52" s="19"/>
      <c r="F52" s="19"/>
      <c r="G52" s="31"/>
      <c r="H52" s="31"/>
      <c r="I52" s="20"/>
    </row>
    <row r="53" spans="2:9" ht="15" customHeight="1" x14ac:dyDescent="0.25">
      <c r="B53" s="21" t="s">
        <v>87</v>
      </c>
      <c r="C53" s="24">
        <f>C51/E9</f>
        <v>0.29209445585215604</v>
      </c>
      <c r="D53" s="24">
        <f>D51/F9</f>
        <v>0.27356020942408377</v>
      </c>
      <c r="E53" s="150">
        <v>0.28000000000000003</v>
      </c>
      <c r="F53" s="150">
        <v>0.28399999999999997</v>
      </c>
      <c r="G53" s="150">
        <v>0.28299999999999997</v>
      </c>
      <c r="H53" s="150">
        <v>0.28399999999999997</v>
      </c>
      <c r="I53" s="151">
        <v>0.28499999999999998</v>
      </c>
    </row>
    <row r="54" spans="2:9" ht="15" customHeight="1" x14ac:dyDescent="0.25">
      <c r="B54" s="21" t="s">
        <v>88</v>
      </c>
      <c r="C54" s="167">
        <f t="shared" ref="C54:H54" si="36">365*C53</f>
        <v>106.61447638603696</v>
      </c>
      <c r="D54" s="167">
        <f t="shared" si="36"/>
        <v>99.849476439790578</v>
      </c>
      <c r="E54" s="167">
        <f t="shared" si="36"/>
        <v>102.2</v>
      </c>
      <c r="F54" s="167">
        <f t="shared" si="36"/>
        <v>103.66</v>
      </c>
      <c r="G54" s="167">
        <f t="shared" si="36"/>
        <v>103.29499999999999</v>
      </c>
      <c r="H54" s="167">
        <f t="shared" si="36"/>
        <v>103.66</v>
      </c>
      <c r="I54" s="168">
        <f t="shared" ref="I54" si="37">365*I53</f>
        <v>104.02499999999999</v>
      </c>
    </row>
    <row r="55" spans="2:9" ht="15" customHeight="1" x14ac:dyDescent="0.25">
      <c r="B55" s="21"/>
      <c r="C55" s="32"/>
      <c r="D55" s="32"/>
      <c r="E55" s="32"/>
      <c r="F55" s="32"/>
      <c r="G55" s="32"/>
      <c r="H55" s="32"/>
      <c r="I55" s="28"/>
    </row>
    <row r="56" spans="2:9" ht="15" customHeight="1" x14ac:dyDescent="0.25">
      <c r="B56" s="267" t="s">
        <v>101</v>
      </c>
      <c r="C56" s="268"/>
      <c r="D56" s="268"/>
      <c r="E56" s="270"/>
      <c r="F56" s="270"/>
      <c r="G56" s="268"/>
      <c r="H56" s="268"/>
      <c r="I56" s="271"/>
    </row>
    <row r="57" spans="2:9" ht="15" customHeight="1" x14ac:dyDescent="0.25">
      <c r="B57" s="21" t="s">
        <v>84</v>
      </c>
      <c r="C57" s="173">
        <f>'Balance Sheet'!C8</f>
        <v>404.1</v>
      </c>
      <c r="D57" s="174">
        <f>'Balance Sheet'!D8</f>
        <v>486.5</v>
      </c>
      <c r="E57" s="113">
        <f t="shared" ref="E57:I57" si="38">D59</f>
        <v>401</v>
      </c>
      <c r="F57" s="113">
        <f t="shared" si="38"/>
        <v>460.57671240000002</v>
      </c>
      <c r="G57" s="113">
        <f t="shared" si="38"/>
        <v>481.66509110054994</v>
      </c>
      <c r="H57" s="118">
        <f t="shared" si="38"/>
        <v>505.51546833273574</v>
      </c>
      <c r="I57" s="119">
        <f t="shared" si="38"/>
        <v>530.54718631503431</v>
      </c>
    </row>
    <row r="58" spans="2:9" ht="15" customHeight="1" x14ac:dyDescent="0.25">
      <c r="B58" s="22" t="s">
        <v>85</v>
      </c>
      <c r="C58" s="114">
        <f t="shared" ref="C58" si="39">C59-C57</f>
        <v>82.399999999999977</v>
      </c>
      <c r="D58" s="114">
        <f>D59-D57</f>
        <v>-85.5</v>
      </c>
      <c r="E58" s="36">
        <f t="shared" ref="E58:H58" si="40">E59-E57</f>
        <v>59.576712400000019</v>
      </c>
      <c r="F58" s="36">
        <f t="shared" si="40"/>
        <v>21.088378700549924</v>
      </c>
      <c r="G58" s="36">
        <f t="shared" si="40"/>
        <v>23.850377232185792</v>
      </c>
      <c r="H58" s="36">
        <f t="shared" si="40"/>
        <v>25.031717982298574</v>
      </c>
      <c r="I58" s="39">
        <f t="shared" ref="I58" si="41">I59-I57</f>
        <v>25.504278935006027</v>
      </c>
    </row>
    <row r="59" spans="2:9" ht="15" customHeight="1" x14ac:dyDescent="0.25">
      <c r="B59" s="21" t="s">
        <v>86</v>
      </c>
      <c r="C59" s="115">
        <f>D57</f>
        <v>486.5</v>
      </c>
      <c r="D59" s="261">
        <f>'Balance Sheet'!E8</f>
        <v>401</v>
      </c>
      <c r="E59" s="33">
        <f>-E61*G11</f>
        <v>460.57671240000002</v>
      </c>
      <c r="F59" s="33">
        <f>-F61*H11</f>
        <v>481.66509110054994</v>
      </c>
      <c r="G59" s="33">
        <f>-G61*I11</f>
        <v>505.51546833273574</v>
      </c>
      <c r="H59" s="38">
        <f>-H61*J11</f>
        <v>530.54718631503431</v>
      </c>
      <c r="I59" s="41">
        <f>-I61*K11</f>
        <v>556.05146525004034</v>
      </c>
    </row>
    <row r="60" spans="2:9" ht="15" customHeight="1" x14ac:dyDescent="0.25">
      <c r="B60" s="23"/>
      <c r="C60" s="116"/>
      <c r="D60" s="116"/>
      <c r="E60" s="19"/>
      <c r="F60" s="19"/>
      <c r="G60" s="31"/>
      <c r="H60" s="31"/>
      <c r="I60" s="20"/>
    </row>
    <row r="61" spans="2:9" ht="15" customHeight="1" x14ac:dyDescent="0.25">
      <c r="B61" s="21" t="s">
        <v>103</v>
      </c>
      <c r="C61" s="117">
        <f>-C59/E11</f>
        <v>0.16979617478710038</v>
      </c>
      <c r="D61" s="117">
        <f>-D59/F11</f>
        <v>0.13464508763682762</v>
      </c>
      <c r="E61" s="150">
        <v>0.15</v>
      </c>
      <c r="F61" s="150">
        <v>0.15</v>
      </c>
      <c r="G61" s="150">
        <v>0.15</v>
      </c>
      <c r="H61" s="150">
        <v>0.15</v>
      </c>
      <c r="I61" s="151">
        <v>0.15</v>
      </c>
    </row>
    <row r="62" spans="2:9" ht="15" customHeight="1" x14ac:dyDescent="0.25">
      <c r="B62" s="21"/>
      <c r="C62" s="117"/>
      <c r="D62" s="262"/>
      <c r="E62" s="25"/>
      <c r="F62" s="25"/>
      <c r="G62" s="25"/>
      <c r="H62" s="25"/>
      <c r="I62" s="26"/>
    </row>
    <row r="63" spans="2:9" ht="15" customHeight="1" x14ac:dyDescent="0.25">
      <c r="B63" s="267" t="s">
        <v>100</v>
      </c>
      <c r="C63" s="272"/>
      <c r="D63" s="268"/>
      <c r="E63" s="268"/>
      <c r="F63" s="268"/>
      <c r="G63" s="268"/>
      <c r="H63" s="268"/>
      <c r="I63" s="271"/>
    </row>
    <row r="64" spans="2:9" ht="15" customHeight="1" x14ac:dyDescent="0.25">
      <c r="B64" s="21" t="s">
        <v>84</v>
      </c>
      <c r="C64" s="174">
        <f>'Balance Sheet'!C9</f>
        <v>93.2</v>
      </c>
      <c r="D64" s="174">
        <f>'Balance Sheet'!D9</f>
        <v>141.9</v>
      </c>
      <c r="E64" s="37">
        <f t="shared" ref="E64:I64" si="42">D66</f>
        <v>180.7</v>
      </c>
      <c r="F64" s="37">
        <f t="shared" si="42"/>
        <v>208.79477628800004</v>
      </c>
      <c r="G64" s="37">
        <f t="shared" si="42"/>
        <v>221.56594190625302</v>
      </c>
      <c r="H64" s="37">
        <f t="shared" si="42"/>
        <v>229.16701231084022</v>
      </c>
      <c r="I64" s="40">
        <f t="shared" si="42"/>
        <v>240.51472446281559</v>
      </c>
    </row>
    <row r="65" spans="2:14" ht="15" customHeight="1" x14ac:dyDescent="0.25">
      <c r="B65" s="22" t="s">
        <v>85</v>
      </c>
      <c r="C65" s="115">
        <f t="shared" ref="C65" si="43">C66-C64</f>
        <v>48.7</v>
      </c>
      <c r="D65" s="114">
        <f>D66-D64</f>
        <v>38.799999999999983</v>
      </c>
      <c r="E65" s="36">
        <f t="shared" ref="E65" si="44">E66-E64</f>
        <v>28.094776288000048</v>
      </c>
      <c r="F65" s="36">
        <f t="shared" ref="F65" si="45">F66-F64</f>
        <v>12.771165618252979</v>
      </c>
      <c r="G65" s="36">
        <f t="shared" ref="G65" si="46">G66-G64</f>
        <v>7.6010704045872046</v>
      </c>
      <c r="H65" s="36">
        <f t="shared" ref="H65:I65" si="47">H66-H64</f>
        <v>11.347712151975372</v>
      </c>
      <c r="I65" s="39">
        <f t="shared" si="47"/>
        <v>7.8549300155357571</v>
      </c>
    </row>
    <row r="66" spans="2:14" ht="15" customHeight="1" x14ac:dyDescent="0.25">
      <c r="B66" s="21" t="s">
        <v>86</v>
      </c>
      <c r="C66" s="115">
        <f>D64</f>
        <v>141.9</v>
      </c>
      <c r="D66" s="261">
        <f>'Balance Sheet'!E9</f>
        <v>180.7</v>
      </c>
      <c r="E66" s="33">
        <f>-E68*G11</f>
        <v>208.79477628800004</v>
      </c>
      <c r="F66" s="33">
        <f>-F68*H11</f>
        <v>221.56594190625302</v>
      </c>
      <c r="G66" s="33">
        <f>-G68*I11</f>
        <v>229.16701231084022</v>
      </c>
      <c r="H66" s="38">
        <f>-H68*J11</f>
        <v>240.51472446281559</v>
      </c>
      <c r="I66" s="41">
        <f>-I68*K11</f>
        <v>248.36965447835135</v>
      </c>
    </row>
    <row r="67" spans="2:14" ht="15" customHeight="1" x14ac:dyDescent="0.25">
      <c r="B67" s="23"/>
      <c r="C67" s="104"/>
      <c r="D67" s="31"/>
      <c r="E67" s="31"/>
      <c r="F67" s="31"/>
      <c r="G67" s="31"/>
      <c r="H67" s="31"/>
      <c r="I67" s="20"/>
    </row>
    <row r="68" spans="2:14" ht="15" customHeight="1" x14ac:dyDescent="0.25">
      <c r="B68" s="21" t="s">
        <v>103</v>
      </c>
      <c r="C68" s="24">
        <f>-C66/E11</f>
        <v>4.952533854530225E-2</v>
      </c>
      <c r="D68" s="24">
        <f>-D66/F11</f>
        <v>6.067423275804177E-2</v>
      </c>
      <c r="E68" s="150">
        <v>6.8000000000000005E-2</v>
      </c>
      <c r="F68" s="150">
        <v>6.9000000000000006E-2</v>
      </c>
      <c r="G68" s="150">
        <v>6.8000000000000005E-2</v>
      </c>
      <c r="H68" s="150">
        <v>6.8000000000000005E-2</v>
      </c>
      <c r="I68" s="151">
        <v>6.7000000000000004E-2</v>
      </c>
    </row>
    <row r="69" spans="2:14" ht="15" customHeight="1" x14ac:dyDescent="0.25">
      <c r="B69" s="21"/>
      <c r="C69" s="103"/>
      <c r="D69" s="32"/>
      <c r="E69" s="27"/>
      <c r="F69" s="27"/>
      <c r="G69" s="32"/>
      <c r="H69" s="32"/>
      <c r="I69" s="28"/>
      <c r="N69" s="177"/>
    </row>
    <row r="70" spans="2:14" ht="15" customHeight="1" x14ac:dyDescent="0.25">
      <c r="B70" s="267" t="s">
        <v>89</v>
      </c>
      <c r="C70" s="268"/>
      <c r="D70" s="268"/>
      <c r="E70" s="270"/>
      <c r="F70" s="270"/>
      <c r="G70" s="268"/>
      <c r="H70" s="268"/>
      <c r="I70" s="271"/>
    </row>
    <row r="71" spans="2:14" ht="15" customHeight="1" x14ac:dyDescent="0.25">
      <c r="B71" s="21" t="s">
        <v>84</v>
      </c>
      <c r="C71" s="175">
        <f>'Balance Sheet'!C21</f>
        <v>672.5</v>
      </c>
      <c r="D71" s="263">
        <f>'Balance Sheet'!D21</f>
        <v>778.2</v>
      </c>
      <c r="E71" s="34">
        <f>D73</f>
        <v>636.79999999999995</v>
      </c>
      <c r="F71" s="34">
        <f>E73</f>
        <v>736.92273984000008</v>
      </c>
      <c r="G71" s="37">
        <f>F73</f>
        <v>770.66414576087993</v>
      </c>
      <c r="H71" s="37">
        <f>G73</f>
        <v>808.82474933237711</v>
      </c>
      <c r="I71" s="40">
        <f>H73</f>
        <v>848.87549810405494</v>
      </c>
    </row>
    <row r="72" spans="2:14" ht="15" customHeight="1" x14ac:dyDescent="0.25">
      <c r="B72" s="22" t="s">
        <v>85</v>
      </c>
      <c r="C72" s="36">
        <f t="shared" ref="C72:H72" si="48">C73-C71</f>
        <v>105.70000000000005</v>
      </c>
      <c r="D72" s="36">
        <f>D73-D71</f>
        <v>-141.40000000000009</v>
      </c>
      <c r="E72" s="36">
        <f t="shared" si="48"/>
        <v>100.12273984000012</v>
      </c>
      <c r="F72" s="36">
        <f t="shared" si="48"/>
        <v>33.741405920879856</v>
      </c>
      <c r="G72" s="36">
        <f t="shared" si="48"/>
        <v>38.160603571497177</v>
      </c>
      <c r="H72" s="36">
        <f t="shared" si="48"/>
        <v>40.050748771677831</v>
      </c>
      <c r="I72" s="39">
        <f t="shared" ref="I72" si="49">I73-I71</f>
        <v>40.806846296009553</v>
      </c>
    </row>
    <row r="73" spans="2:14" ht="15" customHeight="1" x14ac:dyDescent="0.25">
      <c r="B73" s="21" t="s">
        <v>86</v>
      </c>
      <c r="C73" s="38">
        <f>D71</f>
        <v>778.2</v>
      </c>
      <c r="D73" s="261">
        <f>'Balance Sheet'!E21</f>
        <v>636.79999999999995</v>
      </c>
      <c r="E73" s="33">
        <f>-E75*G11</f>
        <v>736.92273984000008</v>
      </c>
      <c r="F73" s="33">
        <f>-F75*H11</f>
        <v>770.66414576087993</v>
      </c>
      <c r="G73" s="38">
        <f>-G75*I11</f>
        <v>808.82474933237711</v>
      </c>
      <c r="H73" s="38">
        <f>-H75*J11</f>
        <v>848.87549810405494</v>
      </c>
      <c r="I73" s="41">
        <f>-I75*K11</f>
        <v>889.68234440006449</v>
      </c>
    </row>
    <row r="74" spans="2:14" ht="15" customHeight="1" x14ac:dyDescent="0.25">
      <c r="B74" s="23"/>
      <c r="C74" s="31"/>
      <c r="D74" s="31"/>
      <c r="E74" s="19"/>
      <c r="F74" s="19"/>
      <c r="G74" s="31"/>
      <c r="H74" s="31"/>
      <c r="I74" s="20"/>
    </row>
    <row r="75" spans="2:14" ht="15" customHeight="1" x14ac:dyDescent="0.25">
      <c r="B75" s="21" t="s">
        <v>90</v>
      </c>
      <c r="C75" s="24">
        <f>-C73/E11</f>
        <v>0.27160407650425805</v>
      </c>
      <c r="D75" s="24">
        <f>-D73/F11</f>
        <v>0.21382042844671278</v>
      </c>
      <c r="E75" s="150">
        <v>0.24</v>
      </c>
      <c r="F75" s="150">
        <v>0.24</v>
      </c>
      <c r="G75" s="150">
        <v>0.24</v>
      </c>
      <c r="H75" s="150">
        <v>0.24</v>
      </c>
      <c r="I75" s="151">
        <v>0.24</v>
      </c>
    </row>
    <row r="76" spans="2:14" ht="15" customHeight="1" x14ac:dyDescent="0.25">
      <c r="B76" s="21" t="s">
        <v>91</v>
      </c>
      <c r="C76" s="167">
        <f t="shared" ref="C76:I76" si="50">((C73+C71)/2)/-E11*365</f>
        <v>92.402886360463498</v>
      </c>
      <c r="D76" s="167">
        <f t="shared" si="50"/>
        <v>86.709253911758793</v>
      </c>
      <c r="E76" s="167">
        <f t="shared" si="50"/>
        <v>81.649069504973951</v>
      </c>
      <c r="F76" s="167">
        <f t="shared" si="50"/>
        <v>85.682337698641192</v>
      </c>
      <c r="G76" s="167">
        <f t="shared" si="50"/>
        <v>85.53350235905711</v>
      </c>
      <c r="H76" s="167">
        <f t="shared" si="50"/>
        <v>85.533474578878185</v>
      </c>
      <c r="I76" s="168">
        <f t="shared" si="50"/>
        <v>85.591035925333031</v>
      </c>
    </row>
    <row r="77" spans="2:14" ht="15" customHeight="1" x14ac:dyDescent="0.25">
      <c r="B77" s="21"/>
      <c r="C77" s="32"/>
      <c r="D77" s="32"/>
      <c r="E77" s="27"/>
      <c r="F77" s="27"/>
      <c r="G77" s="32"/>
      <c r="H77" s="32"/>
      <c r="I77" s="28"/>
    </row>
    <row r="78" spans="2:14" ht="15" customHeight="1" x14ac:dyDescent="0.25">
      <c r="B78" s="267" t="s">
        <v>201</v>
      </c>
      <c r="C78" s="268"/>
      <c r="D78" s="268"/>
      <c r="E78" s="268"/>
      <c r="F78" s="268"/>
      <c r="G78" s="268"/>
      <c r="H78" s="268"/>
      <c r="I78" s="271"/>
    </row>
    <row r="79" spans="2:14" ht="15" customHeight="1" x14ac:dyDescent="0.25">
      <c r="B79" s="21" t="s">
        <v>84</v>
      </c>
      <c r="C79" s="176">
        <f>'Balance Sheet'!C22</f>
        <v>750.5</v>
      </c>
      <c r="D79" s="176">
        <f>'Balance Sheet'!D22</f>
        <v>804.3</v>
      </c>
      <c r="E79" s="36">
        <f>D81</f>
        <v>867.7</v>
      </c>
      <c r="F79" s="36">
        <f t="shared" ref="F79" si="51">E81</f>
        <v>877.28897600000005</v>
      </c>
      <c r="G79" s="36">
        <f t="shared" ref="G79" si="52">F81</f>
        <v>917.45731638199993</v>
      </c>
      <c r="H79" s="36">
        <f t="shared" ref="H79:I79" si="53">G81</f>
        <v>962.88660634806797</v>
      </c>
      <c r="I79" s="39">
        <f t="shared" si="53"/>
        <v>1010.566069171494</v>
      </c>
    </row>
    <row r="80" spans="2:14" ht="15" customHeight="1" x14ac:dyDescent="0.25">
      <c r="B80" s="22" t="s">
        <v>85</v>
      </c>
      <c r="C80" s="36">
        <f t="shared" ref="C80:H80" si="54">C81-C79</f>
        <v>53.799999999999955</v>
      </c>
      <c r="D80" s="36">
        <f>D81-D79</f>
        <v>63.400000000000091</v>
      </c>
      <c r="E80" s="36">
        <f t="shared" si="54"/>
        <v>9.5889760000000024</v>
      </c>
      <c r="F80" s="36">
        <f t="shared" si="54"/>
        <v>40.168340381999883</v>
      </c>
      <c r="G80" s="36">
        <f t="shared" si="54"/>
        <v>45.42928996606804</v>
      </c>
      <c r="H80" s="36">
        <f t="shared" si="54"/>
        <v>47.679462823425979</v>
      </c>
      <c r="I80" s="39">
        <f t="shared" ref="I80" si="55">I81-I79</f>
        <v>48.579578923820804</v>
      </c>
    </row>
    <row r="81" spans="1:9" ht="15" customHeight="1" x14ac:dyDescent="0.25">
      <c r="B81" s="21" t="s">
        <v>86</v>
      </c>
      <c r="C81" s="38">
        <f>D79</f>
        <v>804.3</v>
      </c>
      <c r="D81" s="264">
        <f>'Balance Sheet'!E22</f>
        <v>867.7</v>
      </c>
      <c r="E81" s="38">
        <f>E83*G9</f>
        <v>877.28897600000005</v>
      </c>
      <c r="F81" s="38">
        <f>F83*H9</f>
        <v>917.45731638199993</v>
      </c>
      <c r="G81" s="38">
        <f>G83*I9</f>
        <v>962.88660634806797</v>
      </c>
      <c r="H81" s="38">
        <f>H83*J9</f>
        <v>1010.566069171494</v>
      </c>
      <c r="I81" s="41">
        <f>I83*K9</f>
        <v>1059.1456480953148</v>
      </c>
    </row>
    <row r="82" spans="1:9" ht="15" customHeight="1" x14ac:dyDescent="0.25">
      <c r="B82" s="23"/>
      <c r="C82" s="31"/>
      <c r="D82" s="31"/>
      <c r="E82" s="31"/>
      <c r="F82" s="31"/>
      <c r="G82" s="31"/>
      <c r="H82" s="31"/>
      <c r="I82" s="20"/>
    </row>
    <row r="83" spans="1:9" ht="15" customHeight="1" x14ac:dyDescent="0.25">
      <c r="B83" s="21" t="s">
        <v>92</v>
      </c>
      <c r="C83" s="24">
        <f>C81/E9</f>
        <v>0.1876750046667911</v>
      </c>
      <c r="D83" s="24">
        <f>D81/F9</f>
        <v>0.19581603177468859</v>
      </c>
      <c r="E83" s="150">
        <v>0.19</v>
      </c>
      <c r="F83" s="150">
        <v>0.19</v>
      </c>
      <c r="G83" s="150">
        <v>0.19</v>
      </c>
      <c r="H83" s="150">
        <v>0.19</v>
      </c>
      <c r="I83" s="151">
        <v>0.19</v>
      </c>
    </row>
    <row r="84" spans="1:9" ht="15" customHeight="1" x14ac:dyDescent="0.25">
      <c r="B84" s="21"/>
      <c r="C84" s="31"/>
      <c r="D84" s="31"/>
      <c r="E84" s="31"/>
      <c r="F84" s="31"/>
      <c r="G84" s="31"/>
      <c r="H84" s="31"/>
      <c r="I84" s="20"/>
    </row>
    <row r="85" spans="1:9" ht="15" customHeight="1" x14ac:dyDescent="0.25">
      <c r="B85" s="267" t="s">
        <v>266</v>
      </c>
      <c r="C85" s="268"/>
      <c r="D85" s="268"/>
      <c r="E85" s="268"/>
      <c r="F85" s="268"/>
      <c r="G85" s="268"/>
      <c r="H85" s="268"/>
      <c r="I85" s="271"/>
    </row>
    <row r="86" spans="1:9" ht="15" customHeight="1" x14ac:dyDescent="0.25">
      <c r="B86" s="21" t="s">
        <v>84</v>
      </c>
      <c r="C86" s="176">
        <f>'Balance Sheet'!C23</f>
        <v>25.9</v>
      </c>
      <c r="D86" s="176">
        <f>'Balance Sheet'!D23</f>
        <v>23.9</v>
      </c>
      <c r="E86" s="36">
        <f>D88</f>
        <v>15.2</v>
      </c>
      <c r="F86" s="36">
        <f t="shared" ref="F86" si="56">E88</f>
        <v>13.851931200000001</v>
      </c>
      <c r="G86" s="36">
        <f t="shared" ref="G86" si="57">F88</f>
        <v>14.486168153399998</v>
      </c>
      <c r="H86" s="36">
        <f t="shared" ref="H86:I86" si="58">G88</f>
        <v>15.203472731811599</v>
      </c>
      <c r="I86" s="39">
        <f t="shared" si="58"/>
        <v>15.956306355339377</v>
      </c>
    </row>
    <row r="87" spans="1:9" ht="15" customHeight="1" x14ac:dyDescent="0.25">
      <c r="B87" s="22" t="s">
        <v>85</v>
      </c>
      <c r="C87" s="36">
        <f t="shared" ref="C87:H87" si="59">C88-C86</f>
        <v>-2</v>
      </c>
      <c r="D87" s="36">
        <f>D88-D86</f>
        <v>-8.6999999999999993</v>
      </c>
      <c r="E87" s="36">
        <f t="shared" si="59"/>
        <v>-1.3480687999999983</v>
      </c>
      <c r="F87" s="36">
        <f t="shared" si="59"/>
        <v>0.63423695339999675</v>
      </c>
      <c r="G87" s="36">
        <f t="shared" si="59"/>
        <v>0.71730457841160167</v>
      </c>
      <c r="H87" s="36">
        <f t="shared" si="59"/>
        <v>0.75283362352777772</v>
      </c>
      <c r="I87" s="39">
        <f t="shared" ref="I87" si="60">I88-I86</f>
        <v>0.76704598300769966</v>
      </c>
    </row>
    <row r="88" spans="1:9" ht="15" customHeight="1" x14ac:dyDescent="0.25">
      <c r="A88" s="7" t="s">
        <v>78</v>
      </c>
      <c r="B88" s="21" t="s">
        <v>86</v>
      </c>
      <c r="C88" s="38">
        <f>D86</f>
        <v>23.9</v>
      </c>
      <c r="D88" s="261">
        <f>'Balance Sheet'!E23</f>
        <v>15.2</v>
      </c>
      <c r="E88" s="38">
        <f>E90*G9</f>
        <v>13.851931200000001</v>
      </c>
      <c r="F88" s="38">
        <f>F90*H9</f>
        <v>14.486168153399998</v>
      </c>
      <c r="G88" s="38">
        <f>G90*I9</f>
        <v>15.203472731811599</v>
      </c>
      <c r="H88" s="38">
        <f>H90*J9</f>
        <v>15.956306355339377</v>
      </c>
      <c r="I88" s="41">
        <f>I90*K9</f>
        <v>16.723352338347077</v>
      </c>
    </row>
    <row r="89" spans="1:9" ht="15" customHeight="1" x14ac:dyDescent="0.25">
      <c r="B89" s="23"/>
      <c r="C89" s="31"/>
      <c r="D89" s="31"/>
      <c r="E89" s="31"/>
      <c r="F89" s="31"/>
      <c r="G89" s="31"/>
      <c r="H89" s="31"/>
      <c r="I89" s="20"/>
    </row>
    <row r="90" spans="1:9" ht="15" customHeight="1" thickBot="1" x14ac:dyDescent="0.3">
      <c r="B90" s="29" t="s">
        <v>265</v>
      </c>
      <c r="C90" s="30">
        <f>C88/E9</f>
        <v>5.5768153817435124E-3</v>
      </c>
      <c r="D90" s="30">
        <f>D88/F9</f>
        <v>3.4302220617439972E-3</v>
      </c>
      <c r="E90" s="152">
        <v>3.0000000000000001E-3</v>
      </c>
      <c r="F90" s="152">
        <v>3.0000000000000001E-3</v>
      </c>
      <c r="G90" s="152">
        <v>3.0000000000000001E-3</v>
      </c>
      <c r="H90" s="152">
        <v>3.0000000000000001E-3</v>
      </c>
      <c r="I90" s="153">
        <v>3.0000000000000001E-3</v>
      </c>
    </row>
  </sheetData>
  <pageMargins left="0.7" right="0.7" top="0.75" bottom="0.75" header="0.3" footer="0.3"/>
  <pageSetup scale="57" orientation="portrait" horizontalDpi="1200" verticalDpi="1200" r:id="rId1"/>
  <ignoredErrors>
    <ignoredError sqref="D9:F9 D7:F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7FC28-2D41-4E0E-90EA-6902332128D0}">
  <sheetPr>
    <tabColor theme="5" tint="-0.249977111117893"/>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39997558519241921"/>
  </sheetPr>
  <dimension ref="A1:Y56"/>
  <sheetViews>
    <sheetView showGridLines="0" view="pageBreakPreview" zoomScaleNormal="55" zoomScaleSheetLayoutView="100" workbookViewId="0"/>
  </sheetViews>
  <sheetFormatPr defaultColWidth="11.42578125" defaultRowHeight="15" x14ac:dyDescent="0.3"/>
  <cols>
    <col min="1" max="1" width="2.5703125" style="2" customWidth="1"/>
    <col min="2" max="2" width="32.42578125" style="2" bestFit="1" customWidth="1"/>
    <col min="3" max="3" width="12.5703125" style="2" bestFit="1" customWidth="1"/>
    <col min="4" max="10" width="11.5703125" style="2" bestFit="1" customWidth="1"/>
    <col min="11" max="11" width="11" style="2" bestFit="1" customWidth="1"/>
    <col min="12" max="12" width="33.5703125" style="2" bestFit="1" customWidth="1"/>
    <col min="13" max="13" width="12.85546875" style="2" bestFit="1" customWidth="1"/>
    <col min="14" max="14" width="11.42578125" style="2" customWidth="1"/>
    <col min="15" max="15" width="38.140625" style="2" bestFit="1" customWidth="1"/>
    <col min="16" max="16" width="12.42578125" style="2" bestFit="1" customWidth="1"/>
    <col min="17" max="17" width="11.42578125" style="2" customWidth="1"/>
    <col min="18" max="18" width="10.7109375" style="2" bestFit="1" customWidth="1"/>
    <col min="19" max="16384" width="11.42578125" style="2"/>
  </cols>
  <sheetData>
    <row r="1" spans="1:10" ht="15.75" thickBot="1" x14ac:dyDescent="0.35">
      <c r="B1" s="16"/>
      <c r="C1" s="16"/>
      <c r="D1" s="16"/>
      <c r="E1" s="16"/>
      <c r="F1" s="16"/>
      <c r="G1" s="16"/>
    </row>
    <row r="2" spans="1:10" ht="15.75" thickBot="1" x14ac:dyDescent="0.35">
      <c r="A2" s="2" t="s">
        <v>78</v>
      </c>
      <c r="B2" s="400" t="s">
        <v>29</v>
      </c>
      <c r="C2" s="401"/>
      <c r="D2" s="401"/>
      <c r="E2" s="401"/>
      <c r="F2" s="401"/>
      <c r="G2" s="401"/>
      <c r="H2" s="401"/>
      <c r="I2" s="401"/>
      <c r="J2" s="402"/>
    </row>
    <row r="3" spans="1:10" ht="15.75" thickBot="1" x14ac:dyDescent="0.35">
      <c r="B3" s="403" t="s">
        <v>109</v>
      </c>
      <c r="C3" s="393"/>
      <c r="D3" s="393"/>
      <c r="E3" s="393"/>
      <c r="F3" s="393"/>
      <c r="G3" s="393"/>
      <c r="H3" s="393"/>
      <c r="I3" s="393"/>
      <c r="J3" s="404"/>
    </row>
    <row r="4" spans="1:10" ht="17.25" x14ac:dyDescent="0.45">
      <c r="B4" s="226" t="s">
        <v>235</v>
      </c>
      <c r="C4" s="184">
        <v>43100</v>
      </c>
      <c r="D4" s="184">
        <f>EOMONTH(C4,12)</f>
        <v>43465</v>
      </c>
      <c r="E4" s="184">
        <f t="shared" ref="E4:J4" si="0">EOMONTH(D4,12)</f>
        <v>43830</v>
      </c>
      <c r="F4" s="185">
        <f t="shared" si="0"/>
        <v>44196</v>
      </c>
      <c r="G4" s="185">
        <f t="shared" si="0"/>
        <v>44561</v>
      </c>
      <c r="H4" s="185">
        <f t="shared" si="0"/>
        <v>44926</v>
      </c>
      <c r="I4" s="185">
        <f t="shared" si="0"/>
        <v>45291</v>
      </c>
      <c r="J4" s="227">
        <f t="shared" si="0"/>
        <v>45657</v>
      </c>
    </row>
    <row r="5" spans="1:10" ht="3" customHeight="1" x14ac:dyDescent="0.3">
      <c r="B5" s="226"/>
      <c r="C5" s="182"/>
      <c r="D5" s="182"/>
      <c r="E5" s="182"/>
      <c r="F5" s="183"/>
      <c r="G5" s="183"/>
      <c r="H5" s="183"/>
      <c r="I5" s="183"/>
      <c r="J5" s="228"/>
    </row>
    <row r="6" spans="1:10" x14ac:dyDescent="0.3">
      <c r="B6" s="229" t="s">
        <v>8</v>
      </c>
      <c r="C6" s="186">
        <f>Inputs!D9</f>
        <v>3879.4</v>
      </c>
      <c r="D6" s="186">
        <f>Inputs!E9</f>
        <v>4285.6000000000004</v>
      </c>
      <c r="E6" s="186">
        <f>Inputs!F9</f>
        <v>4431.2</v>
      </c>
      <c r="F6" s="186">
        <f>Inputs!G9</f>
        <v>4617.3104000000003</v>
      </c>
      <c r="G6" s="186">
        <f>Inputs!H9</f>
        <v>4828.7227177999994</v>
      </c>
      <c r="H6" s="186">
        <f>Inputs!I9</f>
        <v>5067.8242439371998</v>
      </c>
      <c r="I6" s="186">
        <f>Inputs!J9</f>
        <v>5318.7687851131259</v>
      </c>
      <c r="J6" s="189">
        <f>Inputs!K9</f>
        <v>5574.4507794490255</v>
      </c>
    </row>
    <row r="7" spans="1:10" x14ac:dyDescent="0.3">
      <c r="B7" s="230" t="s">
        <v>119</v>
      </c>
      <c r="C7" s="187">
        <f>Inputs!D11</f>
        <v>-2566.8000000000002</v>
      </c>
      <c r="D7" s="187">
        <f>Inputs!E11</f>
        <v>-2865.2</v>
      </c>
      <c r="E7" s="187">
        <f>Inputs!F11</f>
        <v>-2978.2</v>
      </c>
      <c r="F7" s="187">
        <f>Inputs!G11</f>
        <v>-3070.5114160000003</v>
      </c>
      <c r="G7" s="187">
        <f>Inputs!H11</f>
        <v>-3211.1006073369999</v>
      </c>
      <c r="H7" s="187">
        <f>Inputs!I11</f>
        <v>-3370.1031222182382</v>
      </c>
      <c r="I7" s="187">
        <f>Inputs!J11</f>
        <v>-3536.9812421002289</v>
      </c>
      <c r="J7" s="188">
        <f>Inputs!K11</f>
        <v>-3707.0097683336021</v>
      </c>
    </row>
    <row r="8" spans="1:10" x14ac:dyDescent="0.3">
      <c r="B8" s="229" t="s">
        <v>2</v>
      </c>
      <c r="C8" s="186">
        <f>Inputs!D13</f>
        <v>1312.6</v>
      </c>
      <c r="D8" s="186">
        <f>Inputs!E13</f>
        <v>1420.4000000000005</v>
      </c>
      <c r="E8" s="186">
        <f>Inputs!F13</f>
        <v>1453</v>
      </c>
      <c r="F8" s="186">
        <f>Inputs!G13</f>
        <v>1546.798984</v>
      </c>
      <c r="G8" s="186">
        <f>Inputs!H13</f>
        <v>1617.6221104629994</v>
      </c>
      <c r="H8" s="186">
        <f>Inputs!I13</f>
        <v>1697.7211217189615</v>
      </c>
      <c r="I8" s="186">
        <f>Inputs!J13</f>
        <v>1781.787543012897</v>
      </c>
      <c r="J8" s="189">
        <f>Inputs!K13</f>
        <v>1867.4410111154234</v>
      </c>
    </row>
    <row r="9" spans="1:10" x14ac:dyDescent="0.3">
      <c r="B9" s="230" t="s">
        <v>231</v>
      </c>
      <c r="C9" s="187">
        <f>Inputs!D18</f>
        <v>-1340.4</v>
      </c>
      <c r="D9" s="187">
        <f>Inputs!E18</f>
        <v>-1402.6</v>
      </c>
      <c r="E9" s="187">
        <f>Inputs!F18</f>
        <v>-1246.8999999999999</v>
      </c>
      <c r="F9" s="187">
        <f>Inputs!G18</f>
        <v>-1292.846912</v>
      </c>
      <c r="G9" s="187">
        <f>Inputs!H18</f>
        <v>-1303.7551338059998</v>
      </c>
      <c r="H9" s="187">
        <f>Inputs!I18</f>
        <v>-1317.634303423672</v>
      </c>
      <c r="I9" s="187">
        <f>Inputs!J18</f>
        <v>-1382.8798841294126</v>
      </c>
      <c r="J9" s="188">
        <f>Inputs!K18</f>
        <v>-1393.6126948622564</v>
      </c>
    </row>
    <row r="10" spans="1:10" x14ac:dyDescent="0.3">
      <c r="B10" s="229" t="s">
        <v>4</v>
      </c>
      <c r="C10" s="186">
        <f>Inputs!D20</f>
        <v>-27.800000000000097</v>
      </c>
      <c r="D10" s="186">
        <f>Inputs!E20</f>
        <v>17.80000000000058</v>
      </c>
      <c r="E10" s="186">
        <f>Inputs!F20</f>
        <v>206.10000000000005</v>
      </c>
      <c r="F10" s="186">
        <f>Inputs!G20</f>
        <v>253.95207199999993</v>
      </c>
      <c r="G10" s="186">
        <f>Inputs!H20</f>
        <v>313.86697665699955</v>
      </c>
      <c r="H10" s="186">
        <f>Inputs!I20</f>
        <v>380.0868182952895</v>
      </c>
      <c r="I10" s="186">
        <f>Inputs!J20</f>
        <v>398.90765888348432</v>
      </c>
      <c r="J10" s="189">
        <f>Inputs!K20</f>
        <v>473.82831625316709</v>
      </c>
    </row>
    <row r="11" spans="1:10" x14ac:dyDescent="0.3">
      <c r="B11" s="230" t="s">
        <v>236</v>
      </c>
      <c r="C11" s="187">
        <f>Inputs!D23</f>
        <v>19.7</v>
      </c>
      <c r="D11" s="187">
        <f>Inputs!E23</f>
        <v>-49.9</v>
      </c>
      <c r="E11" s="187">
        <f>Inputs!F23</f>
        <v>-36.5</v>
      </c>
      <c r="F11" s="187">
        <f>Inputs!G23</f>
        <v>53.32993511999998</v>
      </c>
      <c r="G11" s="187">
        <f>Inputs!H23</f>
        <v>65.912065097969901</v>
      </c>
      <c r="H11" s="187">
        <f>Inputs!I23</f>
        <v>79.818231842010789</v>
      </c>
      <c r="I11" s="187">
        <f>Inputs!J23</f>
        <v>83.7706083655317</v>
      </c>
      <c r="J11" s="188">
        <f>Inputs!K23</f>
        <v>99.503946413165082</v>
      </c>
    </row>
    <row r="12" spans="1:10" x14ac:dyDescent="0.3">
      <c r="B12" s="229" t="s">
        <v>234</v>
      </c>
      <c r="C12" s="186">
        <f>Inputs!D25</f>
        <v>-8.1000000000000973</v>
      </c>
      <c r="D12" s="186">
        <f>Inputs!E25</f>
        <v>-32.099999999999419</v>
      </c>
      <c r="E12" s="186">
        <f>Inputs!F25</f>
        <v>169.60000000000005</v>
      </c>
      <c r="F12" s="186">
        <f>Inputs!G25</f>
        <v>200.62213687999994</v>
      </c>
      <c r="G12" s="186">
        <f>Inputs!H25</f>
        <v>247.95491155902965</v>
      </c>
      <c r="H12" s="186">
        <f>Inputs!I25</f>
        <v>300.26858645327871</v>
      </c>
      <c r="I12" s="186">
        <f>Inputs!J25</f>
        <v>315.13705051795262</v>
      </c>
      <c r="J12" s="189">
        <f>Inputs!K25</f>
        <v>374.32436984000202</v>
      </c>
    </row>
    <row r="13" spans="1:10" x14ac:dyDescent="0.3">
      <c r="B13" s="230" t="s">
        <v>230</v>
      </c>
      <c r="C13" s="187">
        <f>Inputs!D27</f>
        <v>344.3</v>
      </c>
      <c r="D13" s="187">
        <f>Inputs!E27</f>
        <v>217</v>
      </c>
      <c r="E13" s="187">
        <f>Inputs!F27</f>
        <v>202.9</v>
      </c>
      <c r="F13" s="187">
        <f>Inputs!G27</f>
        <v>277.03862400000003</v>
      </c>
      <c r="G13" s="187">
        <f>Inputs!H27</f>
        <v>289.72336306799997</v>
      </c>
      <c r="H13" s="187">
        <f>Inputs!I27</f>
        <v>304.06945463623197</v>
      </c>
      <c r="I13" s="187">
        <f>Inputs!J27</f>
        <v>319.12612710678752</v>
      </c>
      <c r="J13" s="188">
        <f>Inputs!K27</f>
        <v>334.46704676694151</v>
      </c>
    </row>
    <row r="14" spans="1:10" x14ac:dyDescent="0.3">
      <c r="B14" s="230" t="s">
        <v>232</v>
      </c>
      <c r="C14" s="187">
        <f>Inputs!D29</f>
        <v>-36.700000000000003</v>
      </c>
      <c r="D14" s="187">
        <f>Inputs!E29</f>
        <v>-64.599999999999994</v>
      </c>
      <c r="E14" s="187">
        <f>Inputs!F29</f>
        <v>-47.6</v>
      </c>
      <c r="F14" s="187">
        <f>Inputs!G29</f>
        <v>-46.173104000000002</v>
      </c>
      <c r="G14" s="187">
        <f>Inputs!H29</f>
        <v>-48.287227177999995</v>
      </c>
      <c r="H14" s="187">
        <f>Inputs!I29</f>
        <v>-50.678242439371999</v>
      </c>
      <c r="I14" s="187">
        <f>Inputs!J29</f>
        <v>-53.187687851131258</v>
      </c>
      <c r="J14" s="188">
        <f>Inputs!K29</f>
        <v>-55.744507794490254</v>
      </c>
    </row>
    <row r="15" spans="1:10" x14ac:dyDescent="0.3">
      <c r="B15" s="230" t="s">
        <v>229</v>
      </c>
      <c r="C15" s="187">
        <f>Inputs!D32</f>
        <v>46.8</v>
      </c>
      <c r="D15" s="187">
        <f>Inputs!E32</f>
        <v>-110</v>
      </c>
      <c r="E15" s="187">
        <f>Inputs!F32</f>
        <v>-36.4</v>
      </c>
      <c r="F15" s="187">
        <f>Inputs!G32</f>
        <v>-59.954753648000178</v>
      </c>
      <c r="G15" s="187">
        <f>Inputs!H32</f>
        <v>-37.825900917722606</v>
      </c>
      <c r="H15" s="187">
        <f>Inputs!I32</f>
        <v>-9.9812586998237975</v>
      </c>
      <c r="I15" s="187">
        <f>Inputs!J32</f>
        <v>-24.232458853542369</v>
      </c>
      <c r="J15" s="188">
        <f>Inputs!K32</f>
        <v>-21.393874918548875</v>
      </c>
    </row>
    <row r="16" spans="1:10" x14ac:dyDescent="0.3">
      <c r="B16" s="229" t="s">
        <v>27</v>
      </c>
      <c r="C16" s="186">
        <f>Inputs!D34</f>
        <v>346.29999999999995</v>
      </c>
      <c r="D16" s="186">
        <f>Inputs!E34</f>
        <v>10.30000000000058</v>
      </c>
      <c r="E16" s="186">
        <f>Inputs!F34</f>
        <v>288.50000000000006</v>
      </c>
      <c r="F16" s="186">
        <f>Inputs!G34</f>
        <v>371.5329032319998</v>
      </c>
      <c r="G16" s="186">
        <f>Inputs!H34</f>
        <v>451.56514653130705</v>
      </c>
      <c r="H16" s="186">
        <f>Inputs!I34</f>
        <v>543.67853995031487</v>
      </c>
      <c r="I16" s="186">
        <f>Inputs!J34</f>
        <v>556.84303092006644</v>
      </c>
      <c r="J16" s="189">
        <f>Inputs!K34</f>
        <v>631.65303389390442</v>
      </c>
    </row>
    <row r="17" spans="1:25" customFormat="1" ht="3" customHeight="1" thickBot="1" x14ac:dyDescent="0.35">
      <c r="B17" s="231"/>
      <c r="C17" s="162"/>
      <c r="D17" s="162"/>
      <c r="E17" s="162"/>
      <c r="F17" s="162"/>
      <c r="G17" s="162"/>
      <c r="H17" s="162"/>
      <c r="I17" s="162"/>
      <c r="J17" s="232"/>
      <c r="K17" s="2"/>
    </row>
    <row r="18" spans="1:25" ht="15.75" thickBot="1" x14ac:dyDescent="0.35">
      <c r="B18" s="405" t="s">
        <v>28</v>
      </c>
      <c r="C18" s="406"/>
      <c r="D18" s="406"/>
      <c r="E18" s="406"/>
      <c r="F18" s="407">
        <f>Inputs!G39</f>
        <v>183.07736337326168</v>
      </c>
      <c r="G18" s="407">
        <f>Inputs!H39</f>
        <v>414.81592787600579</v>
      </c>
      <c r="H18" s="407">
        <f>Inputs!I39</f>
        <v>454.74443754174081</v>
      </c>
      <c r="I18" s="407">
        <f>Inputs!J39</f>
        <v>424.08038751288075</v>
      </c>
      <c r="J18" s="408">
        <f>Inputs!K39</f>
        <v>438.01015616770087</v>
      </c>
    </row>
    <row r="19" spans="1:25" x14ac:dyDescent="0.3">
      <c r="C19" s="13"/>
      <c r="D19" s="13"/>
      <c r="E19" s="13"/>
      <c r="F19" s="13"/>
      <c r="G19" s="13"/>
      <c r="H19" s="13"/>
      <c r="I19" s="13"/>
      <c r="J19" s="13"/>
    </row>
    <row r="20" spans="1:25" ht="15.75" thickBot="1" x14ac:dyDescent="0.35">
      <c r="C20" s="13"/>
      <c r="D20" s="13"/>
      <c r="E20" s="13"/>
      <c r="F20" s="13"/>
      <c r="G20" s="13"/>
      <c r="H20" s="13"/>
      <c r="I20" s="13"/>
      <c r="J20" s="13"/>
    </row>
    <row r="21" spans="1:25" ht="15.75" thickBot="1" x14ac:dyDescent="0.35">
      <c r="B21" s="400" t="s">
        <v>41</v>
      </c>
      <c r="C21" s="401"/>
      <c r="D21" s="401"/>
      <c r="E21" s="401"/>
      <c r="F21" s="401"/>
      <c r="G21" s="401"/>
      <c r="H21" s="401"/>
      <c r="I21" s="401"/>
      <c r="J21" s="402"/>
      <c r="L21" s="2" t="s">
        <v>5</v>
      </c>
    </row>
    <row r="22" spans="1:25" ht="15.75" thickBot="1" x14ac:dyDescent="0.35">
      <c r="A22" s="2" t="s">
        <v>78</v>
      </c>
      <c r="B22" s="403" t="s">
        <v>109</v>
      </c>
      <c r="C22" s="409">
        <v>2017</v>
      </c>
      <c r="D22" s="409">
        <f t="shared" ref="D22" si="1">C22+1</f>
        <v>2018</v>
      </c>
      <c r="E22" s="409">
        <f t="shared" ref="E22" si="2">D22+1</f>
        <v>2019</v>
      </c>
      <c r="F22" s="410">
        <f t="shared" ref="F22" si="3">E22+1</f>
        <v>2020</v>
      </c>
      <c r="G22" s="410">
        <f t="shared" ref="G22" si="4">F22+1</f>
        <v>2021</v>
      </c>
      <c r="H22" s="410">
        <f t="shared" ref="H22" si="5">G22+1</f>
        <v>2022</v>
      </c>
      <c r="I22" s="410">
        <f t="shared" ref="I22" si="6">H22+1</f>
        <v>2023</v>
      </c>
      <c r="J22" s="411">
        <f t="shared" ref="J22" si="7">I22+1</f>
        <v>2024</v>
      </c>
    </row>
    <row r="23" spans="1:25" x14ac:dyDescent="0.3">
      <c r="B23" s="67" t="s">
        <v>21</v>
      </c>
      <c r="C23" s="199">
        <f>Inputs!D8</f>
        <v>-9.4329949759047807E-3</v>
      </c>
      <c r="D23" s="190">
        <f>Inputs!E8</f>
        <v>9.2329986543835965E-2</v>
      </c>
      <c r="E23" s="259">
        <f>Inputs!F8</f>
        <v>1.8762437221643093E-2</v>
      </c>
      <c r="F23" s="190">
        <f>Inputs!G8</f>
        <v>4.2000000000000003E-2</v>
      </c>
      <c r="G23" s="190">
        <f>Inputs!H8</f>
        <v>4.2000000000000003E-2</v>
      </c>
      <c r="H23" s="190">
        <f>Inputs!I8</f>
        <v>4.8000000000000001E-2</v>
      </c>
      <c r="I23" s="190">
        <f>Inputs!J8</f>
        <v>4.8000000000000001E-2</v>
      </c>
      <c r="J23" s="191">
        <f>Inputs!K8</f>
        <v>4.2000000000000003E-2</v>
      </c>
    </row>
    <row r="24" spans="1:25" x14ac:dyDescent="0.3">
      <c r="B24" s="45" t="s">
        <v>23</v>
      </c>
      <c r="C24" s="192">
        <f>Inputs!D12</f>
        <v>0.66164870856317992</v>
      </c>
      <c r="D24" s="192">
        <f>Inputs!E12</f>
        <v>0.66856449505320137</v>
      </c>
      <c r="E24" s="192">
        <f>Inputs!F12</f>
        <v>0.67209785159776136</v>
      </c>
      <c r="F24" s="192">
        <f>Inputs!G12</f>
        <v>0.66500000000000004</v>
      </c>
      <c r="G24" s="192">
        <f>Inputs!H12</f>
        <v>0.66500000000000004</v>
      </c>
      <c r="H24" s="192">
        <f>Inputs!I12</f>
        <v>0.66500000000000004</v>
      </c>
      <c r="I24" s="192">
        <f>Inputs!J12</f>
        <v>0.66500000000000004</v>
      </c>
      <c r="J24" s="193">
        <f>Inputs!K12</f>
        <v>0.66500000000000004</v>
      </c>
    </row>
    <row r="25" spans="1:25" x14ac:dyDescent="0.3">
      <c r="B25" s="45" t="s">
        <v>77</v>
      </c>
      <c r="C25" s="192">
        <f>Inputs!D19</f>
        <v>0.34551734804351192</v>
      </c>
      <c r="D25" s="192">
        <f>Inputs!E19</f>
        <v>0.32728206085495609</v>
      </c>
      <c r="E25" s="192">
        <f>Inputs!F19</f>
        <v>0.28139104531503878</v>
      </c>
      <c r="F25" s="192">
        <f>Inputs!G19</f>
        <v>0.27999999999999997</v>
      </c>
      <c r="G25" s="192">
        <f>Inputs!H19</f>
        <v>0.26999999999999996</v>
      </c>
      <c r="H25" s="192">
        <f>Inputs!I19</f>
        <v>0.26</v>
      </c>
      <c r="I25" s="192">
        <f>Inputs!J19</f>
        <v>0.26</v>
      </c>
      <c r="J25" s="193">
        <f>Inputs!K19</f>
        <v>0.25</v>
      </c>
      <c r="N25" s="199"/>
    </row>
    <row r="26" spans="1:25" x14ac:dyDescent="0.3">
      <c r="B26" s="45" t="s">
        <v>25</v>
      </c>
      <c r="C26" s="199">
        <f>Inputs!D24</f>
        <v>-4.8391058707934149E-2</v>
      </c>
      <c r="D26" s="199">
        <f>Inputs!E24</f>
        <v>0.18413284132841368</v>
      </c>
      <c r="E26" s="199">
        <f>Inputs!F24</f>
        <v>0.34995206136145757</v>
      </c>
      <c r="F26" s="199">
        <f>Inputs!G24</f>
        <v>0.21</v>
      </c>
      <c r="G26" s="199">
        <f>Inputs!H24</f>
        <v>0.21</v>
      </c>
      <c r="H26" s="199">
        <f>Inputs!I24</f>
        <v>0.21</v>
      </c>
      <c r="I26" s="199">
        <f>Inputs!J24</f>
        <v>0.21</v>
      </c>
      <c r="J26" s="200">
        <f>Inputs!K24</f>
        <v>0.21</v>
      </c>
      <c r="N26" s="235"/>
    </row>
    <row r="27" spans="1:25" x14ac:dyDescent="0.3">
      <c r="B27" s="45" t="s">
        <v>46</v>
      </c>
      <c r="C27" s="192">
        <f>Inputs!D28</f>
        <v>8.8750837758416246E-2</v>
      </c>
      <c r="D27" s="192">
        <f>Inputs!E28</f>
        <v>5.0634683591562438E-2</v>
      </c>
      <c r="E27" s="192">
        <f>Inputs!F28</f>
        <v>4.5788951074201126E-2</v>
      </c>
      <c r="F27" s="192">
        <f>Inputs!G28</f>
        <v>0.06</v>
      </c>
      <c r="G27" s="192">
        <f>Inputs!H28</f>
        <v>0.06</v>
      </c>
      <c r="H27" s="192">
        <f>Inputs!I28</f>
        <v>0.06</v>
      </c>
      <c r="I27" s="192">
        <f>Inputs!J28</f>
        <v>0.06</v>
      </c>
      <c r="J27" s="193">
        <f>Inputs!K28</f>
        <v>0.06</v>
      </c>
    </row>
    <row r="28" spans="1:25" x14ac:dyDescent="0.3">
      <c r="B28" s="45" t="s">
        <v>48</v>
      </c>
      <c r="C28" s="192">
        <f>Inputs!D30</f>
        <v>9.4602258081146577E-3</v>
      </c>
      <c r="D28" s="192">
        <f>Inputs!E30</f>
        <v>1.5073735299607987E-2</v>
      </c>
      <c r="E28" s="192">
        <f>Inputs!F30</f>
        <v>1.0742011193356202E-2</v>
      </c>
      <c r="F28" s="192">
        <f>Inputs!G30</f>
        <v>0.01</v>
      </c>
      <c r="G28" s="192">
        <f>Inputs!H30</f>
        <v>0.01</v>
      </c>
      <c r="H28" s="192">
        <f>Inputs!I30</f>
        <v>0.01</v>
      </c>
      <c r="I28" s="192">
        <f>Inputs!J30</f>
        <v>0.01</v>
      </c>
      <c r="J28" s="193">
        <f>Inputs!K30</f>
        <v>0.01</v>
      </c>
    </row>
    <row r="29" spans="1:25" ht="15.75" thickBot="1" x14ac:dyDescent="0.35">
      <c r="B29" s="50" t="s">
        <v>233</v>
      </c>
      <c r="C29" s="197">
        <f>Inputs!D33</f>
        <v>1.2063721193999071E-2</v>
      </c>
      <c r="D29" s="197">
        <f>Inputs!E33</f>
        <v>-2.5667351129363448E-2</v>
      </c>
      <c r="E29" s="197">
        <f>Inputs!F33</f>
        <v>-8.214479147860625E-3</v>
      </c>
      <c r="F29" s="197">
        <f>Inputs!G33</f>
        <v>-1.29847786815459E-2</v>
      </c>
      <c r="G29" s="197">
        <f>Inputs!H33</f>
        <v>-7.8335210216743112E-3</v>
      </c>
      <c r="H29" s="197">
        <f>Inputs!I33</f>
        <v>-1.9695352915533124E-3</v>
      </c>
      <c r="I29" s="197">
        <f>Inputs!J33</f>
        <v>-4.5560278764828774E-3</v>
      </c>
      <c r="J29" s="198">
        <f>Inputs!K33</f>
        <v>-3.8378444379525813E-3</v>
      </c>
    </row>
    <row r="30" spans="1:25" ht="15.75" thickBot="1" x14ac:dyDescent="0.35">
      <c r="A30" s="2" t="s">
        <v>78</v>
      </c>
      <c r="C30" s="13"/>
      <c r="D30" s="13"/>
      <c r="E30" s="13"/>
      <c r="F30" s="13"/>
      <c r="G30" s="13"/>
      <c r="H30" s="13"/>
      <c r="I30" s="13"/>
      <c r="J30" s="13"/>
    </row>
    <row r="31" spans="1:25" ht="15.75" thickBot="1" x14ac:dyDescent="0.35">
      <c r="C31" s="13"/>
      <c r="D31" s="13"/>
      <c r="E31" s="13"/>
      <c r="F31" s="13"/>
      <c r="G31" s="13"/>
      <c r="H31" s="13"/>
      <c r="I31" s="13"/>
      <c r="J31" s="13"/>
      <c r="K31" s="13"/>
      <c r="L31" s="388" t="s">
        <v>30</v>
      </c>
      <c r="M31" s="412"/>
      <c r="O31" s="416" t="s">
        <v>50</v>
      </c>
      <c r="P31" s="401"/>
      <c r="Q31" s="401"/>
      <c r="R31" s="401"/>
      <c r="S31" s="401"/>
      <c r="T31" s="401"/>
      <c r="U31" s="401"/>
      <c r="V31" s="401"/>
      <c r="W31" s="401"/>
      <c r="X31" s="401"/>
      <c r="Y31" s="402"/>
    </row>
    <row r="32" spans="1:25" x14ac:dyDescent="0.3">
      <c r="K32" s="13"/>
      <c r="L32" s="45" t="s">
        <v>31</v>
      </c>
      <c r="M32" s="60">
        <f>SUM(F18:J18)</f>
        <v>1914.7282724715899</v>
      </c>
      <c r="O32" s="51"/>
      <c r="P32" s="52" t="s">
        <v>51</v>
      </c>
      <c r="Q32" s="53"/>
      <c r="R32" s="53"/>
      <c r="S32" s="53"/>
      <c r="T32" s="52"/>
      <c r="U32" s="53"/>
      <c r="V32" s="53"/>
      <c r="W32" s="53"/>
      <c r="X32" s="53"/>
      <c r="Y32" s="54"/>
    </row>
    <row r="33" spans="1:25" x14ac:dyDescent="0.3">
      <c r="A33" s="2" t="s">
        <v>78</v>
      </c>
      <c r="L33" s="45" t="s">
        <v>32</v>
      </c>
      <c r="M33" s="194">
        <f>Comps!F15</f>
        <v>15.75</v>
      </c>
      <c r="O33" s="55"/>
      <c r="P33" s="44">
        <f>+P18</f>
        <v>0</v>
      </c>
      <c r="Q33" s="279">
        <f>R33-$M$54</f>
        <v>15.350000000000001</v>
      </c>
      <c r="R33" s="279">
        <f>S33-$M$54</f>
        <v>15.450000000000001</v>
      </c>
      <c r="S33" s="279">
        <f>T33-$M$54</f>
        <v>15.55</v>
      </c>
      <c r="T33" s="279">
        <f>U33-$M$54</f>
        <v>15.65</v>
      </c>
      <c r="U33" s="279">
        <f>M33</f>
        <v>15.75</v>
      </c>
      <c r="V33" s="279">
        <f>U33+$M$54</f>
        <v>15.85</v>
      </c>
      <c r="W33" s="279">
        <f>V33+$M$54</f>
        <v>15.95</v>
      </c>
      <c r="X33" s="279">
        <f>W33+$M$54</f>
        <v>16.05</v>
      </c>
      <c r="Y33" s="280">
        <f>X33+$M$54</f>
        <v>16.150000000000002</v>
      </c>
    </row>
    <row r="34" spans="1:25" x14ac:dyDescent="0.3">
      <c r="L34" s="45" t="s">
        <v>33</v>
      </c>
      <c r="M34" s="61">
        <f>M33*(J10+J13)</f>
        <v>12730.651967566711</v>
      </c>
      <c r="O34" s="55"/>
      <c r="P34" s="56">
        <f>$M$56-4*$M$55</f>
        <v>5.8271730942400506E-2</v>
      </c>
      <c r="Q34" s="273">
        <f>(-PV($P34,$J$22-$E$22,0,Q$33*($J$10+$J$13),0)+$M$32-SUM($M$39:$M$40))/$M$44</f>
        <v>25.866222316080659</v>
      </c>
      <c r="R34" s="273">
        <f t="shared" ref="R34:Y34" si="8">(-PV($P34,$J$22-$E$22,0,R33*($J$10+$J$13),0)+$M$32-SUM($M$39:$M$40))/$M$44</f>
        <v>26.047512424011803</v>
      </c>
      <c r="S34" s="273">
        <f t="shared" si="8"/>
        <v>26.228802531942943</v>
      </c>
      <c r="T34" s="273">
        <f t="shared" si="8"/>
        <v>26.410092639874087</v>
      </c>
      <c r="U34" s="273">
        <f t="shared" si="8"/>
        <v>26.591382747805227</v>
      </c>
      <c r="V34" s="273">
        <f t="shared" si="8"/>
        <v>26.772672855736371</v>
      </c>
      <c r="W34" s="273">
        <f t="shared" si="8"/>
        <v>26.953962963667514</v>
      </c>
      <c r="X34" s="273">
        <f t="shared" si="8"/>
        <v>27.135253071598655</v>
      </c>
      <c r="Y34" s="274">
        <f t="shared" si="8"/>
        <v>27.316543179529798</v>
      </c>
    </row>
    <row r="35" spans="1:25" x14ac:dyDescent="0.3">
      <c r="L35" s="45"/>
      <c r="M35" s="48"/>
      <c r="O35" s="55"/>
      <c r="P35" s="56">
        <f>$M$56-3*$M$55</f>
        <v>6.8271730942400508E-2</v>
      </c>
      <c r="Q35" s="273">
        <f t="shared" ref="Q35:Y42" si="9">(-PV($P35,$J$22-$E$22,0,Q$33*($J$10+$J$13),0)+$M$32-SUM($M$39:$M$40))/$M$44</f>
        <v>24.587900831025202</v>
      </c>
      <c r="R35" s="273">
        <f t="shared" si="9"/>
        <v>24.760863111692135</v>
      </c>
      <c r="S35" s="273">
        <f t="shared" si="9"/>
        <v>24.933825392359072</v>
      </c>
      <c r="T35" s="273">
        <f t="shared" si="9"/>
        <v>25.106787673026009</v>
      </c>
      <c r="U35" s="273">
        <f t="shared" si="9"/>
        <v>25.279749953692956</v>
      </c>
      <c r="V35" s="273">
        <f t="shared" si="9"/>
        <v>25.452712234359893</v>
      </c>
      <c r="W35" s="273">
        <f t="shared" si="9"/>
        <v>25.62567451502683</v>
      </c>
      <c r="X35" s="273">
        <f t="shared" si="9"/>
        <v>25.798636795693763</v>
      </c>
      <c r="Y35" s="274">
        <f t="shared" si="9"/>
        <v>25.971599076360711</v>
      </c>
    </row>
    <row r="36" spans="1:25" x14ac:dyDescent="0.3">
      <c r="L36" s="45" t="s">
        <v>34</v>
      </c>
      <c r="M36" s="60">
        <f>+-PV(M56,5,0,M34)</f>
        <v>7967.1247889870583</v>
      </c>
      <c r="O36" s="55"/>
      <c r="P36" s="56">
        <f>$M$56-2*$M$55</f>
        <v>7.8271730942400503E-2</v>
      </c>
      <c r="Q36" s="273">
        <f t="shared" si="9"/>
        <v>23.379401809800189</v>
      </c>
      <c r="R36" s="273">
        <f t="shared" si="9"/>
        <v>23.544491132674132</v>
      </c>
      <c r="S36" s="275">
        <f t="shared" si="9"/>
        <v>23.709580455548071</v>
      </c>
      <c r="T36" s="275">
        <f t="shared" si="9"/>
        <v>23.87466977842201</v>
      </c>
      <c r="U36" s="275">
        <f t="shared" si="9"/>
        <v>24.039759101295953</v>
      </c>
      <c r="V36" s="275">
        <f t="shared" si="9"/>
        <v>24.204848424169896</v>
      </c>
      <c r="W36" s="275">
        <f t="shared" si="9"/>
        <v>24.369937747043835</v>
      </c>
      <c r="X36" s="273">
        <f t="shared" si="9"/>
        <v>24.535027069917778</v>
      </c>
      <c r="Y36" s="274">
        <f t="shared" si="9"/>
        <v>24.700116392791724</v>
      </c>
    </row>
    <row r="37" spans="1:25" x14ac:dyDescent="0.3">
      <c r="L37" s="45" t="s">
        <v>35</v>
      </c>
      <c r="M37" s="60">
        <f>M32+M36</f>
        <v>9881.8530614586489</v>
      </c>
      <c r="O37" s="57" t="s">
        <v>52</v>
      </c>
      <c r="P37" s="56">
        <f>$M$56-1*$M$55</f>
        <v>8.8271730942400511E-2</v>
      </c>
      <c r="Q37" s="273">
        <f t="shared" si="9"/>
        <v>22.236316155999177</v>
      </c>
      <c r="R37" s="273">
        <f t="shared" si="9"/>
        <v>22.393958666796241</v>
      </c>
      <c r="S37" s="275">
        <f t="shared" si="9"/>
        <v>22.551601177593302</v>
      </c>
      <c r="T37" s="275">
        <f t="shared" si="9"/>
        <v>22.709243688390362</v>
      </c>
      <c r="U37" s="275">
        <f t="shared" si="9"/>
        <v>22.866886199187419</v>
      </c>
      <c r="V37" s="275">
        <f t="shared" si="9"/>
        <v>23.02452870998448</v>
      </c>
      <c r="W37" s="275">
        <f t="shared" si="9"/>
        <v>23.182171220781544</v>
      </c>
      <c r="X37" s="273">
        <f t="shared" si="9"/>
        <v>23.339813731578609</v>
      </c>
      <c r="Y37" s="274">
        <f t="shared" si="9"/>
        <v>23.497456242375677</v>
      </c>
    </row>
    <row r="38" spans="1:25" x14ac:dyDescent="0.3">
      <c r="L38" s="45"/>
      <c r="M38" s="48"/>
      <c r="O38" s="55"/>
      <c r="P38" s="56">
        <f>M56</f>
        <v>9.8271730942400506E-2</v>
      </c>
      <c r="Q38" s="273">
        <f t="shared" si="9"/>
        <v>21.154550116933688</v>
      </c>
      <c r="R38" s="273">
        <f t="shared" si="9"/>
        <v>21.305145291971371</v>
      </c>
      <c r="S38" s="275">
        <f t="shared" si="9"/>
        <v>21.45574046700904</v>
      </c>
      <c r="T38" s="275">
        <f t="shared" si="9"/>
        <v>21.606335642046716</v>
      </c>
      <c r="U38" s="276">
        <f t="shared" si="9"/>
        <v>21.756930817084399</v>
      </c>
      <c r="V38" s="275">
        <f t="shared" si="9"/>
        <v>21.907525992122075</v>
      </c>
      <c r="W38" s="275">
        <f t="shared" si="9"/>
        <v>22.058121167159751</v>
      </c>
      <c r="X38" s="273">
        <f t="shared" si="9"/>
        <v>22.208716342197434</v>
      </c>
      <c r="Y38" s="274">
        <f t="shared" si="9"/>
        <v>22.35931151723511</v>
      </c>
    </row>
    <row r="39" spans="1:25" x14ac:dyDescent="0.3">
      <c r="L39" s="230" t="s">
        <v>36</v>
      </c>
      <c r="M39" s="195">
        <f>WACC!F5</f>
        <v>2573.6999999999998</v>
      </c>
      <c r="O39" s="55"/>
      <c r="P39" s="56">
        <f>$M$56+1*$M$55</f>
        <v>0.1082717309424005</v>
      </c>
      <c r="Q39" s="273">
        <f t="shared" si="9"/>
        <v>20.130300136149536</v>
      </c>
      <c r="R39" s="273">
        <f t="shared" si="9"/>
        <v>20.274222672875919</v>
      </c>
      <c r="S39" s="275">
        <f t="shared" si="9"/>
        <v>20.418145209602297</v>
      </c>
      <c r="T39" s="275">
        <f t="shared" si="9"/>
        <v>20.56206774632868</v>
      </c>
      <c r="U39" s="275">
        <f t="shared" si="9"/>
        <v>20.705990283055058</v>
      </c>
      <c r="V39" s="275">
        <f t="shared" si="9"/>
        <v>20.849912819781437</v>
      </c>
      <c r="W39" s="275">
        <f t="shared" si="9"/>
        <v>20.99383535650782</v>
      </c>
      <c r="X39" s="273">
        <f t="shared" si="9"/>
        <v>21.137757893234202</v>
      </c>
      <c r="Y39" s="274">
        <f t="shared" si="9"/>
        <v>21.281680429960584</v>
      </c>
    </row>
    <row r="40" spans="1:25" x14ac:dyDescent="0.3">
      <c r="L40" s="230" t="s">
        <v>37</v>
      </c>
      <c r="M40" s="62">
        <v>0</v>
      </c>
      <c r="O40" s="55"/>
      <c r="P40" s="56">
        <f>$M$56+2*$M$55</f>
        <v>0.11827173094240051</v>
      </c>
      <c r="Q40" s="273">
        <f t="shared" si="9"/>
        <v>19.160029914558187</v>
      </c>
      <c r="R40" s="273">
        <f t="shared" si="9"/>
        <v>19.29763147264228</v>
      </c>
      <c r="S40" s="275">
        <f t="shared" si="9"/>
        <v>19.435233030726369</v>
      </c>
      <c r="T40" s="275">
        <f t="shared" si="9"/>
        <v>19.572834588810458</v>
      </c>
      <c r="U40" s="275">
        <f t="shared" si="9"/>
        <v>19.710436146894555</v>
      </c>
      <c r="V40" s="275">
        <f t="shared" si="9"/>
        <v>19.848037704978644</v>
      </c>
      <c r="W40" s="275">
        <f t="shared" si="9"/>
        <v>19.985639263062733</v>
      </c>
      <c r="X40" s="273">
        <f t="shared" si="9"/>
        <v>20.12324082114683</v>
      </c>
      <c r="Y40" s="274">
        <f t="shared" si="9"/>
        <v>20.260842379230919</v>
      </c>
    </row>
    <row r="41" spans="1:25" x14ac:dyDescent="0.3">
      <c r="L41" s="45"/>
      <c r="M41" s="48"/>
      <c r="O41" s="55"/>
      <c r="P41" s="56">
        <f>$M$56+3*$M$55</f>
        <v>0.12827173094240052</v>
      </c>
      <c r="Q41" s="273">
        <f t="shared" si="9"/>
        <v>18.240449468673599</v>
      </c>
      <c r="R41" s="273">
        <f t="shared" si="9"/>
        <v>18.372060274667241</v>
      </c>
      <c r="S41" s="273">
        <f t="shared" si="9"/>
        <v>18.503671080660876</v>
      </c>
      <c r="T41" s="273">
        <f t="shared" si="9"/>
        <v>18.635281886654514</v>
      </c>
      <c r="U41" s="273">
        <f t="shared" si="9"/>
        <v>18.766892692648153</v>
      </c>
      <c r="V41" s="273">
        <f t="shared" si="9"/>
        <v>18.898503498641791</v>
      </c>
      <c r="W41" s="273">
        <f t="shared" si="9"/>
        <v>19.030114304635429</v>
      </c>
      <c r="X41" s="273">
        <f t="shared" si="9"/>
        <v>19.161725110629064</v>
      </c>
      <c r="Y41" s="274">
        <f t="shared" si="9"/>
        <v>19.293335916622706</v>
      </c>
    </row>
    <row r="42" spans="1:25" ht="15.75" thickBot="1" x14ac:dyDescent="0.35">
      <c r="L42" s="45" t="s">
        <v>38</v>
      </c>
      <c r="M42" s="63">
        <f>+M37-M39-M40</f>
        <v>7308.1530614586491</v>
      </c>
      <c r="O42" s="58"/>
      <c r="P42" s="59">
        <f>$M$56+4*$M$55</f>
        <v>0.1382717309424005</v>
      </c>
      <c r="Q42" s="277">
        <f t="shared" si="9"/>
        <v>17.368495996351157</v>
      </c>
      <c r="R42" s="277">
        <f t="shared" si="9"/>
        <v>17.494426323697745</v>
      </c>
      <c r="S42" s="277">
        <f t="shared" si="9"/>
        <v>17.620356651044329</v>
      </c>
      <c r="T42" s="277">
        <f t="shared" si="9"/>
        <v>17.746286978390913</v>
      </c>
      <c r="U42" s="277">
        <f t="shared" si="9"/>
        <v>17.8722173057375</v>
      </c>
      <c r="V42" s="277">
        <f t="shared" si="9"/>
        <v>17.998147633084088</v>
      </c>
      <c r="W42" s="277">
        <f t="shared" si="9"/>
        <v>18.124077960430675</v>
      </c>
      <c r="X42" s="277">
        <f t="shared" si="9"/>
        <v>18.250008287777263</v>
      </c>
      <c r="Y42" s="278">
        <f t="shared" si="9"/>
        <v>18.37593861512385</v>
      </c>
    </row>
    <row r="43" spans="1:25" x14ac:dyDescent="0.3">
      <c r="L43" s="45"/>
      <c r="M43" s="48"/>
    </row>
    <row r="44" spans="1:25" ht="15.75" thickBot="1" x14ac:dyDescent="0.35">
      <c r="A44" s="2" t="s">
        <v>78</v>
      </c>
      <c r="L44" s="45" t="s">
        <v>39</v>
      </c>
      <c r="M44" s="120">
        <v>335.9</v>
      </c>
    </row>
    <row r="45" spans="1:25" ht="15.75" thickBot="1" x14ac:dyDescent="0.35">
      <c r="L45" s="388" t="s">
        <v>30</v>
      </c>
      <c r="M45" s="413">
        <f>+M42/M44</f>
        <v>21.756930817084399</v>
      </c>
    </row>
    <row r="46" spans="1:25" x14ac:dyDescent="0.3">
      <c r="L46" s="64"/>
      <c r="M46" s="43"/>
    </row>
    <row r="47" spans="1:25" ht="15.75" thickBot="1" x14ac:dyDescent="0.35">
      <c r="L47" s="65"/>
      <c r="M47" s="66"/>
    </row>
    <row r="48" spans="1:25" x14ac:dyDescent="0.3">
      <c r="L48" s="67" t="s">
        <v>40</v>
      </c>
      <c r="M48" s="68">
        <v>18.5</v>
      </c>
    </row>
    <row r="49" spans="12:13" ht="15.75" thickBot="1" x14ac:dyDescent="0.35">
      <c r="L49" s="45" t="s">
        <v>42</v>
      </c>
      <c r="M49" s="63">
        <f>M45-M48</f>
        <v>3.2569308170843989</v>
      </c>
    </row>
    <row r="50" spans="12:13" ht="15.75" thickBot="1" x14ac:dyDescent="0.35">
      <c r="L50" s="388" t="s">
        <v>43</v>
      </c>
      <c r="M50" s="414">
        <f>M49/M48</f>
        <v>0.17605031443699454</v>
      </c>
    </row>
    <row r="51" spans="12:13" x14ac:dyDescent="0.3">
      <c r="L51" s="69"/>
      <c r="M51" s="70"/>
    </row>
    <row r="52" spans="12:13" ht="15.75" thickBot="1" x14ac:dyDescent="0.35">
      <c r="L52" s="69"/>
      <c r="M52" s="70"/>
    </row>
    <row r="53" spans="12:13" ht="15.75" thickBot="1" x14ac:dyDescent="0.35">
      <c r="L53" s="388" t="s">
        <v>44</v>
      </c>
      <c r="M53" s="415"/>
    </row>
    <row r="54" spans="12:13" x14ac:dyDescent="0.3">
      <c r="L54" s="45" t="s">
        <v>45</v>
      </c>
      <c r="M54" s="48">
        <v>0.1</v>
      </c>
    </row>
    <row r="55" spans="12:13" x14ac:dyDescent="0.3">
      <c r="L55" s="45" t="s">
        <v>47</v>
      </c>
      <c r="M55" s="71">
        <v>0.01</v>
      </c>
    </row>
    <row r="56" spans="12:13" ht="15.75" thickBot="1" x14ac:dyDescent="0.35">
      <c r="L56" s="50" t="s">
        <v>49</v>
      </c>
      <c r="M56" s="196">
        <f>WACC!C15</f>
        <v>9.8271730942400506E-2</v>
      </c>
    </row>
  </sheetData>
  <pageMargins left="0.7" right="0.7" top="0.75" bottom="0.75" header="0.3" footer="0.3"/>
  <pageSetup scale="6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39997558519241921"/>
    <outlinePr summaryBelow="0" summaryRight="0"/>
    <pageSetUpPr autoPageBreaks="0"/>
  </sheetPr>
  <dimension ref="A1:N75"/>
  <sheetViews>
    <sheetView showGridLines="0" tabSelected="1" view="pageBreakPreview" zoomScaleNormal="130" zoomScaleSheetLayoutView="100" workbookViewId="0"/>
  </sheetViews>
  <sheetFormatPr defaultColWidth="11.42578125" defaultRowHeight="15" x14ac:dyDescent="0.3"/>
  <cols>
    <col min="1" max="1" width="2.5703125" style="2" customWidth="1"/>
    <col min="2" max="2" width="37.140625" style="2" customWidth="1"/>
    <col min="3" max="13" width="13" style="2" bestFit="1" customWidth="1"/>
    <col min="14" max="14" width="9.7109375" style="2" bestFit="1" customWidth="1"/>
    <col min="15" max="16384" width="11.42578125" style="2"/>
  </cols>
  <sheetData>
    <row r="1" spans="1:14" x14ac:dyDescent="0.3">
      <c r="B1" s="1"/>
    </row>
    <row r="2" spans="1:14" ht="15.75" thickBot="1" x14ac:dyDescent="0.35">
      <c r="B2" s="3"/>
      <c r="C2" s="3"/>
      <c r="D2" s="3"/>
      <c r="E2" s="3"/>
      <c r="F2" s="3"/>
      <c r="G2" s="3"/>
      <c r="H2" s="3"/>
      <c r="I2" s="3"/>
      <c r="J2" s="3"/>
      <c r="K2" s="3"/>
      <c r="L2" s="3"/>
      <c r="M2" s="3"/>
      <c r="N2" s="3"/>
    </row>
    <row r="3" spans="1:14" x14ac:dyDescent="0.3">
      <c r="A3" s="2" t="s">
        <v>78</v>
      </c>
      <c r="B3" s="417" t="s">
        <v>227</v>
      </c>
      <c r="C3" s="418"/>
      <c r="D3" s="418"/>
      <c r="E3" s="418"/>
      <c r="F3" s="418"/>
      <c r="G3" s="418"/>
      <c r="H3" s="418"/>
      <c r="I3" s="418"/>
      <c r="J3" s="418"/>
      <c r="K3" s="418"/>
      <c r="L3" s="418"/>
      <c r="M3" s="419"/>
    </row>
    <row r="4" spans="1:14" ht="15.75" thickBot="1" x14ac:dyDescent="0.35">
      <c r="B4" s="420" t="str">
        <f>B16</f>
        <v xml:space="preserve">Vertiv Holdings Co. </v>
      </c>
      <c r="C4" s="421"/>
      <c r="D4" s="421"/>
      <c r="E4" s="421"/>
      <c r="F4" s="421"/>
      <c r="G4" s="421"/>
      <c r="H4" s="421"/>
      <c r="I4" s="421"/>
      <c r="J4" s="421"/>
      <c r="K4" s="421"/>
      <c r="L4" s="421"/>
      <c r="M4" s="422"/>
    </row>
    <row r="5" spans="1:14" ht="31.9" customHeight="1" thickBot="1" x14ac:dyDescent="0.35">
      <c r="B5" s="362" t="s">
        <v>16</v>
      </c>
      <c r="C5" s="332" t="s">
        <v>237</v>
      </c>
      <c r="D5" s="332" t="s">
        <v>66</v>
      </c>
      <c r="E5" s="333" t="s">
        <v>215</v>
      </c>
      <c r="F5" s="333" t="s">
        <v>217</v>
      </c>
      <c r="G5" s="333" t="s">
        <v>216</v>
      </c>
      <c r="H5" s="333" t="s">
        <v>218</v>
      </c>
      <c r="I5" s="333" t="s">
        <v>68</v>
      </c>
      <c r="J5" s="333" t="s">
        <v>93</v>
      </c>
      <c r="K5" s="333" t="s">
        <v>219</v>
      </c>
      <c r="L5" s="333" t="s">
        <v>67</v>
      </c>
      <c r="M5" s="363" t="s">
        <v>110</v>
      </c>
      <c r="N5" s="4"/>
    </row>
    <row r="6" spans="1:14" x14ac:dyDescent="0.3">
      <c r="B6" s="334" t="s">
        <v>220</v>
      </c>
      <c r="C6" s="335">
        <v>68144.399999999994</v>
      </c>
      <c r="D6" s="335">
        <v>76689.399999999994</v>
      </c>
      <c r="E6" s="336">
        <v>23.75</v>
      </c>
      <c r="F6" s="337">
        <v>14.2</v>
      </c>
      <c r="G6" s="337">
        <v>17.600000000000001</v>
      </c>
      <c r="H6" s="338">
        <v>3</v>
      </c>
      <c r="I6" s="339">
        <v>0.17799999999999999</v>
      </c>
      <c r="J6" s="339">
        <v>0.14299999999999999</v>
      </c>
      <c r="K6" s="222">
        <v>8.5999999999999993E-2</v>
      </c>
      <c r="L6" s="222">
        <v>0.39800000000000002</v>
      </c>
      <c r="M6" s="223">
        <v>1.1000000000000001</v>
      </c>
      <c r="N6" s="4"/>
    </row>
    <row r="7" spans="1:14" x14ac:dyDescent="0.3">
      <c r="B7" s="340" t="s">
        <v>221</v>
      </c>
      <c r="C7" s="341">
        <v>43714.9</v>
      </c>
      <c r="D7" s="341">
        <v>52026.9</v>
      </c>
      <c r="E7" s="342">
        <v>25.44</v>
      </c>
      <c r="F7" s="343">
        <v>17</v>
      </c>
      <c r="G7" s="343">
        <v>26.1</v>
      </c>
      <c r="H7" s="344">
        <v>3.1</v>
      </c>
      <c r="I7" s="345">
        <v>0.14799999999999999</v>
      </c>
      <c r="J7" s="345">
        <v>0.104</v>
      </c>
      <c r="K7" s="166">
        <v>8.0299999999999996E-2</v>
      </c>
      <c r="L7" s="166">
        <v>0.31</v>
      </c>
      <c r="M7" s="224">
        <v>0.6</v>
      </c>
      <c r="N7" s="4"/>
    </row>
    <row r="8" spans="1:14" x14ac:dyDescent="0.3">
      <c r="B8" s="340" t="s">
        <v>222</v>
      </c>
      <c r="C8" s="341">
        <v>28879.3</v>
      </c>
      <c r="D8" s="341">
        <v>31024.5</v>
      </c>
      <c r="E8" s="342">
        <v>32.82</v>
      </c>
      <c r="F8" s="342">
        <v>22.2</v>
      </c>
      <c r="G8" s="343">
        <v>27.6</v>
      </c>
      <c r="H8" s="344">
        <v>37.5</v>
      </c>
      <c r="I8" s="345">
        <v>0.19800000000000001</v>
      </c>
      <c r="J8" s="345">
        <v>0.17299999999999999</v>
      </c>
      <c r="K8" s="166">
        <v>0.11849999999999999</v>
      </c>
      <c r="L8" s="166">
        <v>0.41299999999999998</v>
      </c>
      <c r="M8" s="225">
        <v>0.9</v>
      </c>
      <c r="N8" s="4"/>
    </row>
    <row r="9" spans="1:14" x14ac:dyDescent="0.3">
      <c r="B9" s="340" t="s">
        <v>223</v>
      </c>
      <c r="C9" s="341">
        <v>7843.6</v>
      </c>
      <c r="D9" s="341">
        <v>9216.6</v>
      </c>
      <c r="E9" s="342">
        <v>19.079999999999998</v>
      </c>
      <c r="F9" s="343">
        <v>11.7</v>
      </c>
      <c r="G9" s="343">
        <v>15.3</v>
      </c>
      <c r="H9" s="344">
        <v>4</v>
      </c>
      <c r="I9" s="345">
        <v>0.17299999999999999</v>
      </c>
      <c r="J9" s="345">
        <v>0.13900000000000001</v>
      </c>
      <c r="K9" s="166">
        <v>9.11E-2</v>
      </c>
      <c r="L9" s="166">
        <v>0.3</v>
      </c>
      <c r="M9" s="224">
        <v>1.3</v>
      </c>
      <c r="N9" s="4"/>
    </row>
    <row r="10" spans="1:14" x14ac:dyDescent="0.3">
      <c r="B10" s="340" t="s">
        <v>224</v>
      </c>
      <c r="C10" s="341">
        <v>7360.7</v>
      </c>
      <c r="D10" s="341">
        <v>9773.9</v>
      </c>
      <c r="E10" s="342">
        <v>17.07</v>
      </c>
      <c r="F10" s="343">
        <v>14.5</v>
      </c>
      <c r="G10" s="343">
        <v>23.4</v>
      </c>
      <c r="H10" s="344">
        <v>3</v>
      </c>
      <c r="I10" s="345">
        <v>0.221</v>
      </c>
      <c r="J10" s="345">
        <v>0.13700000000000001</v>
      </c>
      <c r="K10" s="166">
        <v>2.9600000000000001E-2</v>
      </c>
      <c r="L10" s="166">
        <v>0.32900000000000001</v>
      </c>
      <c r="M10" s="225">
        <v>1.8</v>
      </c>
      <c r="N10" s="4"/>
    </row>
    <row r="11" spans="1:14" x14ac:dyDescent="0.3">
      <c r="B11" s="340" t="s">
        <v>225</v>
      </c>
      <c r="C11" s="341">
        <v>5473.7</v>
      </c>
      <c r="D11" s="341">
        <v>7313.2</v>
      </c>
      <c r="E11" s="342">
        <v>70.53</v>
      </c>
      <c r="F11" s="343">
        <v>23.6</v>
      </c>
      <c r="G11" s="343">
        <v>52.5</v>
      </c>
      <c r="H11" s="344">
        <v>47.6</v>
      </c>
      <c r="I11" s="345">
        <v>0.51300000000000001</v>
      </c>
      <c r="J11" s="345">
        <v>0.23599999999999999</v>
      </c>
      <c r="K11" s="166">
        <v>0.12759999999999999</v>
      </c>
      <c r="L11" s="166">
        <v>0.627</v>
      </c>
      <c r="M11" s="224">
        <v>0.4</v>
      </c>
      <c r="N11" s="4"/>
    </row>
    <row r="12" spans="1:14" x14ac:dyDescent="0.3">
      <c r="B12" s="346" t="s">
        <v>117</v>
      </c>
      <c r="C12" s="347"/>
      <c r="D12" s="347"/>
      <c r="E12" s="348">
        <f t="shared" ref="E12:M12" si="0">_xlfn.PERCENTILE.EXC(E6:E11,0.25)</f>
        <v>18.577500000000001</v>
      </c>
      <c r="F12" s="348">
        <f t="shared" si="0"/>
        <v>13.574999999999999</v>
      </c>
      <c r="G12" s="348">
        <f t="shared" si="0"/>
        <v>17.025000000000002</v>
      </c>
      <c r="H12" s="348">
        <f t="shared" si="0"/>
        <v>3</v>
      </c>
      <c r="I12" s="349">
        <f t="shared" si="0"/>
        <v>0.16674999999999998</v>
      </c>
      <c r="J12" s="349">
        <f t="shared" si="0"/>
        <v>0.12875</v>
      </c>
      <c r="K12" s="349">
        <f t="shared" si="0"/>
        <v>6.7624999999999991E-2</v>
      </c>
      <c r="L12" s="349">
        <f t="shared" si="0"/>
        <v>0.3075</v>
      </c>
      <c r="M12" s="350">
        <f t="shared" si="0"/>
        <v>0.55000000000000004</v>
      </c>
      <c r="N12" s="5"/>
    </row>
    <row r="13" spans="1:14" x14ac:dyDescent="0.3">
      <c r="B13" s="346" t="s">
        <v>118</v>
      </c>
      <c r="C13" s="347"/>
      <c r="D13" s="347"/>
      <c r="E13" s="348">
        <f t="shared" ref="E13:M13" si="1">_xlfn.PERCENTILE.EXC(E6:E11,0.75)</f>
        <v>42.247500000000002</v>
      </c>
      <c r="F13" s="348">
        <f t="shared" si="1"/>
        <v>22.55</v>
      </c>
      <c r="G13" s="348">
        <f t="shared" si="1"/>
        <v>33.825000000000003</v>
      </c>
      <c r="H13" s="348">
        <f t="shared" si="1"/>
        <v>40.024999999999999</v>
      </c>
      <c r="I13" s="349">
        <f t="shared" si="1"/>
        <v>0.29400000000000004</v>
      </c>
      <c r="J13" s="349">
        <f t="shared" si="1"/>
        <v>0.18874999999999997</v>
      </c>
      <c r="K13" s="349">
        <f t="shared" si="1"/>
        <v>0.12077499999999999</v>
      </c>
      <c r="L13" s="349">
        <f t="shared" si="1"/>
        <v>0.46649999999999997</v>
      </c>
      <c r="M13" s="350">
        <f t="shared" si="1"/>
        <v>1.425</v>
      </c>
      <c r="N13" s="5"/>
    </row>
    <row r="14" spans="1:14" x14ac:dyDescent="0.3">
      <c r="B14" s="346" t="s">
        <v>17</v>
      </c>
      <c r="C14" s="347"/>
      <c r="D14" s="347"/>
      <c r="E14" s="348">
        <f t="shared" ref="E14:M14" si="2">AVERAGE(E6:E11)</f>
        <v>31.448333333333334</v>
      </c>
      <c r="F14" s="351">
        <f t="shared" si="2"/>
        <v>17.2</v>
      </c>
      <c r="G14" s="351">
        <f t="shared" si="2"/>
        <v>27.083333333333332</v>
      </c>
      <c r="H14" s="352">
        <f t="shared" si="2"/>
        <v>16.366666666666667</v>
      </c>
      <c r="I14" s="349">
        <f t="shared" si="2"/>
        <v>0.23850000000000002</v>
      </c>
      <c r="J14" s="349">
        <f t="shared" si="2"/>
        <v>0.15533333333333332</v>
      </c>
      <c r="K14" s="353">
        <f t="shared" si="2"/>
        <v>8.8849999999999998E-2</v>
      </c>
      <c r="L14" s="353">
        <f t="shared" si="2"/>
        <v>0.39616666666666661</v>
      </c>
      <c r="M14" s="350">
        <f t="shared" si="2"/>
        <v>1.0166666666666668</v>
      </c>
      <c r="N14" s="5"/>
    </row>
    <row r="15" spans="1:14" ht="15.75" thickBot="1" x14ac:dyDescent="0.35">
      <c r="B15" s="354" t="s">
        <v>18</v>
      </c>
      <c r="C15" s="355"/>
      <c r="D15" s="355"/>
      <c r="E15" s="356">
        <f t="shared" ref="E15:M15" si="3">MEDIAN(E6:E11)</f>
        <v>24.594999999999999</v>
      </c>
      <c r="F15" s="357">
        <f t="shared" si="3"/>
        <v>15.75</v>
      </c>
      <c r="G15" s="357">
        <f t="shared" si="3"/>
        <v>24.75</v>
      </c>
      <c r="H15" s="358">
        <f t="shared" si="3"/>
        <v>3.55</v>
      </c>
      <c r="I15" s="359">
        <f t="shared" si="3"/>
        <v>0.188</v>
      </c>
      <c r="J15" s="359">
        <f t="shared" si="3"/>
        <v>0.14100000000000001</v>
      </c>
      <c r="K15" s="360">
        <f t="shared" si="3"/>
        <v>8.854999999999999E-2</v>
      </c>
      <c r="L15" s="360">
        <f t="shared" si="3"/>
        <v>0.36350000000000005</v>
      </c>
      <c r="M15" s="361">
        <f t="shared" si="3"/>
        <v>1</v>
      </c>
      <c r="N15" s="5"/>
    </row>
    <row r="16" spans="1:14" ht="15.75" thickBot="1" x14ac:dyDescent="0.35">
      <c r="B16" s="423" t="s">
        <v>226</v>
      </c>
      <c r="C16" s="424">
        <v>6028</v>
      </c>
      <c r="D16" s="424">
        <v>8226.9</v>
      </c>
      <c r="E16" s="425">
        <v>16.14</v>
      </c>
      <c r="F16" s="426">
        <v>17.2</v>
      </c>
      <c r="G16" s="426">
        <v>43</v>
      </c>
      <c r="H16" s="427">
        <v>16.8</v>
      </c>
      <c r="I16" s="428">
        <v>9.4E-2</v>
      </c>
      <c r="J16" s="428">
        <v>4.4999999999999998E-2</v>
      </c>
      <c r="K16" s="428" t="s">
        <v>6</v>
      </c>
      <c r="L16" s="429">
        <v>0.33100000000000002</v>
      </c>
      <c r="M16" s="430">
        <v>1.1000000000000001</v>
      </c>
    </row>
    <row r="18" spans="1:12" ht="15.75" thickBot="1" x14ac:dyDescent="0.35">
      <c r="D18" s="253"/>
      <c r="E18" s="281"/>
      <c r="F18" s="281"/>
      <c r="G18" s="281"/>
      <c r="I18" s="253"/>
      <c r="J18" s="281"/>
      <c r="K18" s="281"/>
      <c r="L18" s="323"/>
    </row>
    <row r="19" spans="1:12" x14ac:dyDescent="0.3">
      <c r="D19" s="253" t="s">
        <v>78</v>
      </c>
      <c r="E19" s="431"/>
      <c r="F19" s="432"/>
      <c r="G19" s="433" t="s">
        <v>17</v>
      </c>
      <c r="I19" s="253" t="s">
        <v>78</v>
      </c>
      <c r="J19" s="431"/>
      <c r="K19" s="432"/>
      <c r="L19" s="433" t="s">
        <v>117</v>
      </c>
    </row>
    <row r="20" spans="1:12" x14ac:dyDescent="0.3">
      <c r="A20" s="2" t="s">
        <v>78</v>
      </c>
      <c r="D20" s="253"/>
      <c r="E20" s="434" t="s">
        <v>256</v>
      </c>
      <c r="F20" s="435"/>
      <c r="G20" s="436"/>
      <c r="I20" s="253"/>
      <c r="J20" s="437" t="s">
        <v>256</v>
      </c>
      <c r="K20" s="438"/>
      <c r="L20" s="439"/>
    </row>
    <row r="21" spans="1:12" x14ac:dyDescent="0.3">
      <c r="D21" s="253"/>
      <c r="E21" s="294" t="s">
        <v>257</v>
      </c>
      <c r="F21" s="295"/>
      <c r="G21" s="305">
        <f>F14</f>
        <v>17.2</v>
      </c>
      <c r="I21" s="253"/>
      <c r="J21" s="298" t="s">
        <v>257</v>
      </c>
      <c r="K21" s="281"/>
      <c r="L21" s="324">
        <f>F12</f>
        <v>13.574999999999999</v>
      </c>
    </row>
    <row r="22" spans="1:12" x14ac:dyDescent="0.3">
      <c r="D22" s="253"/>
      <c r="E22" s="298" t="s">
        <v>259</v>
      </c>
      <c r="F22" s="281"/>
      <c r="G22" s="306">
        <f>'Model Output'!M32</f>
        <v>1914.7282724715899</v>
      </c>
      <c r="I22" s="253"/>
      <c r="J22" s="298" t="s">
        <v>259</v>
      </c>
      <c r="K22" s="281"/>
      <c r="L22" s="307">
        <f>G36</f>
        <v>1914.7282724715899</v>
      </c>
    </row>
    <row r="23" spans="1:12" x14ac:dyDescent="0.3">
      <c r="C23" s="18"/>
      <c r="D23" s="253"/>
      <c r="E23" s="298" t="s">
        <v>33</v>
      </c>
      <c r="F23" s="281"/>
      <c r="G23" s="306">
        <f>G21*('Model Output'!$J$10+'Model Output'!$J$13)</f>
        <v>13902.680243945868</v>
      </c>
      <c r="I23" s="253"/>
      <c r="J23" s="298" t="s">
        <v>33</v>
      </c>
      <c r="K23" s="281"/>
      <c r="L23" s="306">
        <f>L21*('Model Output'!$J$10+'Model Output'!$J$13)</f>
        <v>10972.609552997974</v>
      </c>
    </row>
    <row r="24" spans="1:12" x14ac:dyDescent="0.3">
      <c r="C24" s="18"/>
      <c r="D24" s="253"/>
      <c r="E24" s="298"/>
      <c r="F24" s="281"/>
      <c r="G24" s="308"/>
      <c r="I24" s="253"/>
      <c r="J24" s="298"/>
      <c r="K24" s="281"/>
      <c r="L24" s="307"/>
    </row>
    <row r="25" spans="1:12" x14ac:dyDescent="0.3">
      <c r="D25" s="253"/>
      <c r="E25" s="298" t="s">
        <v>260</v>
      </c>
      <c r="F25" s="281"/>
      <c r="G25" s="306">
        <f>+-PV('Model Output'!$M$56,5,0,G23)</f>
        <v>8700.6061187668183</v>
      </c>
      <c r="I25" s="253"/>
      <c r="J25" s="298" t="s">
        <v>260</v>
      </c>
      <c r="K25" s="281"/>
      <c r="L25" s="60">
        <f>+-PV('Model Output'!$M$56,5,0,L23)</f>
        <v>6866.902794317416</v>
      </c>
    </row>
    <row r="26" spans="1:12" x14ac:dyDescent="0.3">
      <c r="D26" s="253"/>
      <c r="E26" s="298" t="s">
        <v>35</v>
      </c>
      <c r="F26" s="281"/>
      <c r="G26" s="309">
        <f>G22+G25</f>
        <v>10615.334391238408</v>
      </c>
      <c r="I26" s="253"/>
      <c r="J26" s="298" t="s">
        <v>35</v>
      </c>
      <c r="K26" s="281"/>
      <c r="L26" s="310">
        <f>L22+L25</f>
        <v>8781.6310667890066</v>
      </c>
    </row>
    <row r="27" spans="1:12" x14ac:dyDescent="0.3">
      <c r="D27" s="253"/>
      <c r="E27" s="311" t="s">
        <v>261</v>
      </c>
      <c r="F27" s="312"/>
      <c r="G27" s="313">
        <f>'Model Output'!M39</f>
        <v>2573.6999999999998</v>
      </c>
      <c r="I27" s="253"/>
      <c r="J27" s="311" t="s">
        <v>261</v>
      </c>
      <c r="K27" s="312"/>
      <c r="L27" s="314">
        <f>G41</f>
        <v>2573.6999999999998</v>
      </c>
    </row>
    <row r="28" spans="1:12" x14ac:dyDescent="0.3">
      <c r="D28" s="253"/>
      <c r="E28" s="298"/>
      <c r="F28" s="281"/>
      <c r="G28" s="315"/>
      <c r="I28" s="253"/>
      <c r="J28" s="298"/>
      <c r="K28" s="281"/>
      <c r="L28" s="316"/>
    </row>
    <row r="29" spans="1:12" ht="15.75" thickBot="1" x14ac:dyDescent="0.35">
      <c r="D29" s="253"/>
      <c r="E29" s="298" t="s">
        <v>38</v>
      </c>
      <c r="F29" s="281"/>
      <c r="G29" s="317">
        <f>G26-G27</f>
        <v>8041.6343912384082</v>
      </c>
      <c r="I29" s="253"/>
      <c r="J29" s="298" t="s">
        <v>38</v>
      </c>
      <c r="K29" s="281"/>
      <c r="L29" s="318">
        <f>L26-L27</f>
        <v>6207.9310667890068</v>
      </c>
    </row>
    <row r="30" spans="1:12" ht="15.75" thickTop="1" x14ac:dyDescent="0.3">
      <c r="D30" s="253"/>
      <c r="E30" s="298" t="s">
        <v>262</v>
      </c>
      <c r="F30" s="281"/>
      <c r="G30" s="319">
        <f>'Model Output'!M44</f>
        <v>335.9</v>
      </c>
      <c r="I30" s="253"/>
      <c r="J30" s="298" t="s">
        <v>262</v>
      </c>
      <c r="K30" s="281"/>
      <c r="L30" s="316">
        <f>G44</f>
        <v>335.9</v>
      </c>
    </row>
    <row r="31" spans="1:12" ht="15.75" thickBot="1" x14ac:dyDescent="0.35">
      <c r="D31" s="253"/>
      <c r="E31" s="320" t="s">
        <v>30</v>
      </c>
      <c r="F31" s="321"/>
      <c r="G31" s="322">
        <f>G29/G30</f>
        <v>23.94056085513072</v>
      </c>
      <c r="I31" s="253"/>
      <c r="J31" s="325" t="s">
        <v>30</v>
      </c>
      <c r="K31" s="326"/>
      <c r="L31" s="327">
        <f>L29/L30</f>
        <v>18.481485760014905</v>
      </c>
    </row>
    <row r="32" spans="1:12" ht="15.75" thickBot="1" x14ac:dyDescent="0.35">
      <c r="D32" s="253"/>
      <c r="E32" s="281"/>
      <c r="F32" s="281"/>
      <c r="G32" s="323"/>
      <c r="I32" s="253"/>
      <c r="J32" s="281"/>
      <c r="K32" s="281"/>
      <c r="L32" s="323"/>
    </row>
    <row r="33" spans="4:12" x14ac:dyDescent="0.3">
      <c r="D33" s="253" t="s">
        <v>78</v>
      </c>
      <c r="E33" s="431"/>
      <c r="F33" s="432"/>
      <c r="G33" s="433" t="s">
        <v>18</v>
      </c>
      <c r="I33" s="253" t="s">
        <v>78</v>
      </c>
      <c r="J33" s="431"/>
      <c r="K33" s="432"/>
      <c r="L33" s="433" t="s">
        <v>118</v>
      </c>
    </row>
    <row r="34" spans="4:12" x14ac:dyDescent="0.3">
      <c r="D34" s="253"/>
      <c r="E34" s="434" t="s">
        <v>256</v>
      </c>
      <c r="F34" s="435"/>
      <c r="G34" s="436"/>
      <c r="I34" s="253"/>
      <c r="J34" s="437" t="s">
        <v>256</v>
      </c>
      <c r="K34" s="438"/>
      <c r="L34" s="439"/>
    </row>
    <row r="35" spans="4:12" x14ac:dyDescent="0.3">
      <c r="D35" s="253"/>
      <c r="E35" s="294" t="s">
        <v>257</v>
      </c>
      <c r="F35" s="295"/>
      <c r="G35" s="305">
        <f>F15</f>
        <v>15.75</v>
      </c>
      <c r="I35" s="253"/>
      <c r="J35" s="298" t="s">
        <v>257</v>
      </c>
      <c r="K35" s="281"/>
      <c r="L35" s="324">
        <f>F13</f>
        <v>22.55</v>
      </c>
    </row>
    <row r="36" spans="4:12" x14ac:dyDescent="0.3">
      <c r="D36" s="253"/>
      <c r="E36" s="298" t="s">
        <v>259</v>
      </c>
      <c r="F36" s="281"/>
      <c r="G36" s="307">
        <f>G22</f>
        <v>1914.7282724715899</v>
      </c>
      <c r="I36" s="253"/>
      <c r="J36" s="298" t="s">
        <v>259</v>
      </c>
      <c r="K36" s="281"/>
      <c r="L36" s="307">
        <f>L22</f>
        <v>1914.7282724715899</v>
      </c>
    </row>
    <row r="37" spans="4:12" x14ac:dyDescent="0.3">
      <c r="D37" s="253"/>
      <c r="E37" s="298" t="s">
        <v>33</v>
      </c>
      <c r="F37" s="281"/>
      <c r="G37" s="306">
        <f>G35*('Model Output'!$J$10+'Model Output'!$J$13)</f>
        <v>12730.651967566711</v>
      </c>
      <c r="I37" s="253"/>
      <c r="J37" s="298" t="s">
        <v>33</v>
      </c>
      <c r="K37" s="281"/>
      <c r="L37" s="306">
        <f>L35*('Model Output'!$J$10+'Model Output'!$J$13)</f>
        <v>18227.060436103449</v>
      </c>
    </row>
    <row r="38" spans="4:12" x14ac:dyDescent="0.3">
      <c r="D38" s="253"/>
      <c r="E38" s="298"/>
      <c r="F38" s="281"/>
      <c r="G38" s="307"/>
      <c r="I38" s="253"/>
      <c r="J38" s="298"/>
      <c r="K38" s="281"/>
      <c r="L38" s="307"/>
    </row>
    <row r="39" spans="4:12" x14ac:dyDescent="0.3">
      <c r="D39" s="253"/>
      <c r="E39" s="298" t="s">
        <v>260</v>
      </c>
      <c r="F39" s="281"/>
      <c r="G39" s="60">
        <f>+-PV('Model Output'!P60,5,0,G37)</f>
        <v>12730.651967566711</v>
      </c>
      <c r="I39" s="253"/>
      <c r="J39" s="298" t="s">
        <v>260</v>
      </c>
      <c r="K39" s="281"/>
      <c r="L39" s="60">
        <f>+-PV('Model Output'!$M$56,5,0,L37)</f>
        <v>11406.899301057661</v>
      </c>
    </row>
    <row r="40" spans="4:12" x14ac:dyDescent="0.3">
      <c r="D40" s="253"/>
      <c r="E40" s="298" t="s">
        <v>35</v>
      </c>
      <c r="F40" s="281"/>
      <c r="G40" s="310">
        <f>G36+G39</f>
        <v>14645.380240038301</v>
      </c>
      <c r="I40" s="253"/>
      <c r="J40" s="298" t="s">
        <v>35</v>
      </c>
      <c r="K40" s="281"/>
      <c r="L40" s="310">
        <f>L36+L39</f>
        <v>13321.627573529251</v>
      </c>
    </row>
    <row r="41" spans="4:12" x14ac:dyDescent="0.3">
      <c r="D41" s="253"/>
      <c r="E41" s="311" t="s">
        <v>261</v>
      </c>
      <c r="F41" s="312"/>
      <c r="G41" s="314">
        <f>G27</f>
        <v>2573.6999999999998</v>
      </c>
      <c r="I41" s="253"/>
      <c r="J41" s="311" t="s">
        <v>261</v>
      </c>
      <c r="K41" s="312"/>
      <c r="L41" s="314">
        <f>L27</f>
        <v>2573.6999999999998</v>
      </c>
    </row>
    <row r="42" spans="4:12" x14ac:dyDescent="0.3">
      <c r="D42" s="253"/>
      <c r="E42" s="298"/>
      <c r="F42" s="281"/>
      <c r="G42" s="316"/>
      <c r="I42" s="253"/>
      <c r="J42" s="298"/>
      <c r="K42" s="281"/>
      <c r="L42" s="316"/>
    </row>
    <row r="43" spans="4:12" ht="15.75" thickBot="1" x14ac:dyDescent="0.35">
      <c r="D43" s="253"/>
      <c r="E43" s="298" t="s">
        <v>38</v>
      </c>
      <c r="F43" s="281"/>
      <c r="G43" s="318">
        <f>G40-G41</f>
        <v>12071.680240038302</v>
      </c>
      <c r="I43" s="253"/>
      <c r="J43" s="298" t="s">
        <v>38</v>
      </c>
      <c r="K43" s="281"/>
      <c r="L43" s="318">
        <f>L40-L41</f>
        <v>10747.92757352925</v>
      </c>
    </row>
    <row r="44" spans="4:12" ht="15.75" thickTop="1" x14ac:dyDescent="0.3">
      <c r="D44" s="253"/>
      <c r="E44" s="298" t="s">
        <v>262</v>
      </c>
      <c r="F44" s="281"/>
      <c r="G44" s="316">
        <f>G30</f>
        <v>335.9</v>
      </c>
      <c r="I44" s="253"/>
      <c r="J44" s="298" t="s">
        <v>262</v>
      </c>
      <c r="K44" s="281"/>
      <c r="L44" s="316">
        <f>L30</f>
        <v>335.9</v>
      </c>
    </row>
    <row r="45" spans="4:12" ht="15.75" thickBot="1" x14ac:dyDescent="0.35">
      <c r="D45" s="253"/>
      <c r="E45" s="320" t="s">
        <v>30</v>
      </c>
      <c r="F45" s="321"/>
      <c r="G45" s="322">
        <f>G43/G44</f>
        <v>35.938315689307245</v>
      </c>
      <c r="I45" s="253"/>
      <c r="J45" s="320" t="s">
        <v>30</v>
      </c>
      <c r="K45" s="321"/>
      <c r="L45" s="322">
        <f>L43/L44</f>
        <v>31.997402719646477</v>
      </c>
    </row>
    <row r="46" spans="4:12" x14ac:dyDescent="0.3">
      <c r="I46" s="253"/>
      <c r="J46" s="254"/>
      <c r="K46" s="254"/>
      <c r="L46" s="254"/>
    </row>
    <row r="75" spans="4:7" x14ac:dyDescent="0.3">
      <c r="D75" s="253"/>
      <c r="E75" s="254"/>
      <c r="F75" s="254"/>
      <c r="G75" s="254"/>
    </row>
  </sheetData>
  <sortState xmlns:xlrd2="http://schemas.microsoft.com/office/spreadsheetml/2017/richdata2" ref="C11:M11">
    <sortCondition ref="C10:C11"/>
  </sortState>
  <pageMargins left="0.2" right="0.2" top="0.5" bottom="0.5" header="0.5" footer="0.5"/>
  <pageSetup scale="74"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pageSetUpPr fitToPage="1"/>
  </sheetPr>
  <dimension ref="A2:Q36"/>
  <sheetViews>
    <sheetView showGridLines="0" view="pageBreakPreview" zoomScaleNormal="115" zoomScaleSheetLayoutView="100" workbookViewId="0"/>
  </sheetViews>
  <sheetFormatPr defaultColWidth="8.85546875" defaultRowHeight="13.5" x14ac:dyDescent="0.3"/>
  <cols>
    <col min="1" max="1" width="2.5703125" style="10" customWidth="1"/>
    <col min="2" max="2" width="25.140625" style="10" bestFit="1" customWidth="1"/>
    <col min="3" max="3" width="18.140625" style="10" bestFit="1" customWidth="1"/>
    <col min="4" max="4" width="12.140625" style="10" bestFit="1" customWidth="1"/>
    <col min="5" max="5" width="22.7109375" style="10" bestFit="1" customWidth="1"/>
    <col min="6" max="6" width="12.42578125" style="10" bestFit="1" customWidth="1"/>
    <col min="7" max="7" width="18.85546875" style="10" bestFit="1" customWidth="1"/>
    <col min="8" max="8" width="23.7109375" style="10" bestFit="1" customWidth="1"/>
    <col min="9" max="9" width="22.42578125" style="10" bestFit="1" customWidth="1"/>
    <col min="10" max="10" width="15.5703125" style="10" bestFit="1" customWidth="1"/>
    <col min="11" max="11" width="8.85546875" style="10"/>
    <col min="12" max="12" width="18.140625" style="10" bestFit="1" customWidth="1"/>
    <col min="13" max="13" width="10.5703125" style="10" bestFit="1" customWidth="1"/>
    <col min="14" max="14" width="7.140625" style="10" bestFit="1" customWidth="1"/>
    <col min="15" max="15" width="12.42578125" style="10" bestFit="1" customWidth="1"/>
    <col min="16" max="16" width="18.85546875" style="10" bestFit="1" customWidth="1"/>
    <col min="17" max="17" width="23.7109375" style="10" bestFit="1" customWidth="1"/>
    <col min="18" max="18" width="22.42578125" style="10" bestFit="1" customWidth="1"/>
    <col min="19" max="19" width="15.5703125" style="10" bestFit="1" customWidth="1"/>
    <col min="20" max="16384" width="8.85546875" style="10"/>
  </cols>
  <sheetData>
    <row r="2" spans="1:17" ht="14.25" thickBot="1" x14ac:dyDescent="0.35"/>
    <row r="3" spans="1:17" ht="15.75" thickBot="1" x14ac:dyDescent="0.35">
      <c r="A3" s="10" t="s">
        <v>78</v>
      </c>
      <c r="B3" s="388" t="s">
        <v>53</v>
      </c>
      <c r="C3" s="412"/>
      <c r="D3" s="69"/>
      <c r="E3" s="388" t="s">
        <v>13</v>
      </c>
      <c r="F3" s="412"/>
      <c r="G3" s="73"/>
      <c r="H3" s="388" t="s">
        <v>54</v>
      </c>
      <c r="I3" s="402"/>
      <c r="J3" s="73"/>
    </row>
    <row r="4" spans="1:17" ht="15" x14ac:dyDescent="0.3">
      <c r="B4" s="45" t="s">
        <v>55</v>
      </c>
      <c r="C4" s="201">
        <v>7.6E-3</v>
      </c>
      <c r="D4" s="69"/>
      <c r="E4" s="45" t="s">
        <v>56</v>
      </c>
      <c r="F4" s="215">
        <f>I25</f>
        <v>0.152</v>
      </c>
      <c r="G4" s="73"/>
      <c r="H4" s="81" t="s">
        <v>73</v>
      </c>
      <c r="I4" s="95">
        <f>AVERAGE(I19:I25)</f>
        <v>0.19224404761904762</v>
      </c>
      <c r="J4" s="73"/>
    </row>
    <row r="5" spans="1:17" ht="15" x14ac:dyDescent="0.3">
      <c r="B5" s="45" t="s">
        <v>104</v>
      </c>
      <c r="C5" s="122">
        <f>I8</f>
        <v>1.158403953351141</v>
      </c>
      <c r="D5" s="69"/>
      <c r="E5" s="45" t="s">
        <v>57</v>
      </c>
      <c r="F5" s="217">
        <f>D25</f>
        <v>2573.6999999999998</v>
      </c>
      <c r="G5" s="73"/>
      <c r="H5" s="80" t="s">
        <v>76</v>
      </c>
      <c r="I5" s="83">
        <f>AVERAGE(J19:J24)</f>
        <v>0.52045940482508624</v>
      </c>
      <c r="J5" s="73"/>
    </row>
    <row r="6" spans="1:17" ht="15.75" thickBot="1" x14ac:dyDescent="0.35">
      <c r="B6" s="50" t="s">
        <v>60</v>
      </c>
      <c r="C6" s="72">
        <f>F7</f>
        <v>5.2900000000000003E-2</v>
      </c>
      <c r="D6" s="69"/>
      <c r="E6" s="45" t="s">
        <v>58</v>
      </c>
      <c r="F6" s="217">
        <f>E25</f>
        <v>350</v>
      </c>
      <c r="G6" s="73"/>
      <c r="H6" s="80" t="s">
        <v>115</v>
      </c>
      <c r="I6" s="83">
        <f>J25</f>
        <v>0.73</v>
      </c>
      <c r="J6" s="73"/>
    </row>
    <row r="7" spans="1:17" ht="15.75" thickBot="1" x14ac:dyDescent="0.35">
      <c r="B7" s="42" t="s">
        <v>59</v>
      </c>
      <c r="C7" s="74">
        <f>C4+(C5*C6)</f>
        <v>6.8879569132275359E-2</v>
      </c>
      <c r="D7" s="69"/>
      <c r="E7" s="50" t="s">
        <v>60</v>
      </c>
      <c r="F7" s="218">
        <v>5.2900000000000003E-2</v>
      </c>
      <c r="G7" s="73"/>
      <c r="H7" s="80" t="s">
        <v>95</v>
      </c>
      <c r="I7" s="83">
        <f>MEDIAN(J19:J24)</f>
        <v>0.56795104176308464</v>
      </c>
      <c r="J7" s="73"/>
    </row>
    <row r="8" spans="1:17" ht="15.75" thickBot="1" x14ac:dyDescent="0.35">
      <c r="B8" s="45"/>
      <c r="C8" s="48"/>
      <c r="D8" s="69"/>
      <c r="E8" s="69"/>
      <c r="F8" s="69"/>
      <c r="G8" s="73"/>
      <c r="H8" s="82" t="s">
        <v>116</v>
      </c>
      <c r="I8" s="84">
        <f>I7*(1+(1-I4)*F23)</f>
        <v>1.158403953351141</v>
      </c>
      <c r="J8" s="73"/>
    </row>
    <row r="9" spans="1:17" ht="15" x14ac:dyDescent="0.3">
      <c r="B9" s="45"/>
      <c r="C9" s="48"/>
      <c r="D9" s="69"/>
      <c r="E9" s="69"/>
      <c r="F9" s="69"/>
      <c r="G9" s="73"/>
      <c r="J9" s="73"/>
    </row>
    <row r="10" spans="1:17" ht="15" x14ac:dyDescent="0.3">
      <c r="B10" s="45" t="s">
        <v>61</v>
      </c>
      <c r="C10" s="202">
        <v>0.1206</v>
      </c>
      <c r="D10" s="124"/>
      <c r="E10" s="69"/>
      <c r="F10" s="69"/>
      <c r="G10" s="73"/>
      <c r="H10" s="78"/>
      <c r="I10" s="79"/>
      <c r="J10" s="73"/>
      <c r="K10" s="73"/>
      <c r="L10" s="73"/>
      <c r="M10" s="75"/>
      <c r="N10" s="73"/>
      <c r="O10" s="73"/>
      <c r="P10" s="73"/>
      <c r="Q10" s="73"/>
    </row>
    <row r="11" spans="1:17" ht="15" x14ac:dyDescent="0.3">
      <c r="B11" s="42" t="s">
        <v>62</v>
      </c>
      <c r="C11" s="123">
        <f>C10*(1-F4)</f>
        <v>0.10226879999999999</v>
      </c>
      <c r="D11" s="69"/>
      <c r="E11" s="219"/>
      <c r="F11" s="69"/>
      <c r="G11" s="73"/>
      <c r="H11" s="73"/>
      <c r="I11" s="73"/>
      <c r="J11" s="73"/>
      <c r="K11" s="73"/>
      <c r="L11" s="73"/>
      <c r="M11" s="76"/>
      <c r="N11" s="73"/>
      <c r="O11" s="73"/>
      <c r="P11" s="73"/>
      <c r="Q11" s="73"/>
    </row>
    <row r="12" spans="1:17" ht="15" x14ac:dyDescent="0.3">
      <c r="B12" s="45"/>
      <c r="C12" s="48"/>
      <c r="D12" s="69"/>
      <c r="E12" s="69"/>
      <c r="F12" s="69"/>
      <c r="G12" s="73"/>
      <c r="H12" s="75"/>
      <c r="I12" s="73"/>
      <c r="J12" s="73"/>
      <c r="K12" s="73"/>
      <c r="L12" s="73"/>
      <c r="M12" s="73"/>
      <c r="N12" s="73"/>
      <c r="O12" s="73"/>
      <c r="P12" s="73"/>
      <c r="Q12" s="73"/>
    </row>
    <row r="13" spans="1:17" ht="15" x14ac:dyDescent="0.3">
      <c r="B13" s="45" t="s">
        <v>63</v>
      </c>
      <c r="C13" s="216">
        <f>F6/(F6+F5)</f>
        <v>0.1197113246913158</v>
      </c>
      <c r="D13" s="69"/>
      <c r="E13" s="69"/>
      <c r="F13" s="69"/>
      <c r="G13" s="73"/>
      <c r="H13" s="75"/>
      <c r="I13" s="73"/>
      <c r="J13" s="73"/>
      <c r="K13" s="73"/>
      <c r="L13" s="73"/>
      <c r="M13" s="73"/>
      <c r="N13" s="73"/>
      <c r="O13" s="73"/>
      <c r="P13" s="73"/>
      <c r="Q13" s="73"/>
    </row>
    <row r="14" spans="1:17" ht="15" x14ac:dyDescent="0.3">
      <c r="B14" s="45" t="s">
        <v>64</v>
      </c>
      <c r="C14" s="216">
        <f>F5/(F6+F5)</f>
        <v>0.88028867530868415</v>
      </c>
      <c r="D14" s="69"/>
      <c r="E14" s="69"/>
      <c r="F14" s="69"/>
      <c r="G14" s="73"/>
      <c r="H14" s="75"/>
      <c r="I14" s="73"/>
      <c r="J14" s="73"/>
      <c r="K14" s="73"/>
      <c r="L14" s="73"/>
      <c r="M14" s="73"/>
      <c r="N14" s="73"/>
      <c r="O14" s="73"/>
      <c r="P14" s="73"/>
      <c r="Q14" s="73"/>
    </row>
    <row r="15" spans="1:17" ht="15.75" thickBot="1" x14ac:dyDescent="0.35">
      <c r="A15" s="10" t="s">
        <v>78</v>
      </c>
      <c r="B15" s="77" t="s">
        <v>53</v>
      </c>
      <c r="C15" s="147">
        <f>C7*C13+C11*C14</f>
        <v>9.8271730942400506E-2</v>
      </c>
      <c r="D15" s="69"/>
      <c r="E15" s="69"/>
      <c r="F15" s="69"/>
      <c r="G15" s="73"/>
      <c r="H15" s="220"/>
      <c r="I15" s="73"/>
      <c r="J15" s="73"/>
      <c r="K15" s="73"/>
      <c r="L15" s="73"/>
      <c r="M15" s="73"/>
      <c r="N15" s="73"/>
      <c r="O15" s="73"/>
      <c r="P15" s="73"/>
      <c r="Q15" s="73"/>
    </row>
    <row r="16" spans="1:17" ht="15" x14ac:dyDescent="0.3">
      <c r="H16" s="14"/>
    </row>
    <row r="17" spans="1:10" ht="14.25" thickBot="1" x14ac:dyDescent="0.35">
      <c r="H17" s="15"/>
    </row>
    <row r="18" spans="1:10" ht="15" thickBot="1" x14ac:dyDescent="0.35">
      <c r="A18" s="10" t="s">
        <v>78</v>
      </c>
      <c r="B18" s="388" t="s">
        <v>16</v>
      </c>
      <c r="C18" s="440" t="s">
        <v>94</v>
      </c>
      <c r="D18" s="440" t="s">
        <v>12</v>
      </c>
      <c r="E18" s="440" t="s">
        <v>58</v>
      </c>
      <c r="F18" s="440" t="s">
        <v>71</v>
      </c>
      <c r="G18" s="440" t="s">
        <v>72</v>
      </c>
      <c r="H18" s="440" t="s">
        <v>75</v>
      </c>
      <c r="I18" s="440" t="s">
        <v>73</v>
      </c>
      <c r="J18" s="441" t="s">
        <v>74</v>
      </c>
    </row>
    <row r="19" spans="1:10" ht="15" x14ac:dyDescent="0.3">
      <c r="B19" s="45" t="s">
        <v>111</v>
      </c>
      <c r="C19" s="203">
        <v>1.01</v>
      </c>
      <c r="D19" s="212">
        <v>36452</v>
      </c>
      <c r="E19" s="210">
        <v>13470</v>
      </c>
      <c r="F19" s="85">
        <f>D19/E19</f>
        <v>2.7061618411284334</v>
      </c>
      <c r="G19" s="205">
        <v>0.2868</v>
      </c>
      <c r="H19" s="205">
        <f>(28.68+28.57)/200</f>
        <v>0.28625</v>
      </c>
      <c r="I19" s="85">
        <f t="shared" ref="I19:I25" si="0">AVERAGE(G19:H19)</f>
        <v>0.28652500000000003</v>
      </c>
      <c r="J19" s="86">
        <f t="shared" ref="J19:J24" si="1">C19/(1+(1-I19)*F19)</f>
        <v>0.34461829505720071</v>
      </c>
    </row>
    <row r="20" spans="1:10" ht="15" x14ac:dyDescent="0.3">
      <c r="B20" s="110" t="s">
        <v>202</v>
      </c>
      <c r="C20" s="204">
        <v>1.1299999999999999</v>
      </c>
      <c r="D20" s="210">
        <v>8766</v>
      </c>
      <c r="E20" s="210">
        <v>14235</v>
      </c>
      <c r="F20" s="108">
        <f t="shared" ref="F20:F25" si="2">D20/E20</f>
        <v>0.61580611169652266</v>
      </c>
      <c r="G20" s="206">
        <v>0.19339999999999999</v>
      </c>
      <c r="H20" s="206">
        <f>(18.4+14.59+14.11+11.97+11.41)/500</f>
        <v>0.14095999999999997</v>
      </c>
      <c r="I20" s="85">
        <f t="shared" si="0"/>
        <v>0.16718</v>
      </c>
      <c r="J20" s="86">
        <f t="shared" si="1"/>
        <v>0.74693180610471932</v>
      </c>
    </row>
    <row r="21" spans="1:10" ht="15" x14ac:dyDescent="0.3">
      <c r="B21" s="110" t="s">
        <v>203</v>
      </c>
      <c r="C21" s="204">
        <v>1.47</v>
      </c>
      <c r="D21" s="210">
        <v>2737</v>
      </c>
      <c r="E21" s="210">
        <v>1089</v>
      </c>
      <c r="F21" s="108">
        <f t="shared" si="2"/>
        <v>2.5133149678604223</v>
      </c>
      <c r="G21" s="206">
        <v>0.14030000000000001</v>
      </c>
      <c r="H21" s="206">
        <f>(18.75+16.5+22.77+22.07+22.74)/500</f>
        <v>0.20566000000000001</v>
      </c>
      <c r="I21" s="85">
        <f t="shared" si="0"/>
        <v>0.17298000000000002</v>
      </c>
      <c r="J21" s="86">
        <f t="shared" si="1"/>
        <v>0.47749570153049958</v>
      </c>
    </row>
    <row r="22" spans="1:10" ht="15" x14ac:dyDescent="0.3">
      <c r="B22" s="110" t="s">
        <v>204</v>
      </c>
      <c r="C22" s="204">
        <v>0.93</v>
      </c>
      <c r="D22" s="210">
        <v>13555</v>
      </c>
      <c r="E22" s="210">
        <v>25690</v>
      </c>
      <c r="F22" s="108">
        <f t="shared" si="2"/>
        <v>0.52763721292331645</v>
      </c>
      <c r="G22" s="206">
        <v>0.22009999999999999</v>
      </c>
      <c r="H22" s="206">
        <f>(21.72+21.46+21.54+21.62+21.82)/500</f>
        <v>0.21631999999999998</v>
      </c>
      <c r="I22" s="85">
        <f t="shared" si="0"/>
        <v>0.21820999999999999</v>
      </c>
      <c r="J22" s="86">
        <f t="shared" si="1"/>
        <v>0.65840638199566959</v>
      </c>
    </row>
    <row r="23" spans="1:10" ht="15" x14ac:dyDescent="0.3">
      <c r="B23" s="45" t="s">
        <v>112</v>
      </c>
      <c r="C23" s="203">
        <v>1.59</v>
      </c>
      <c r="D23" s="212">
        <v>3312.6</v>
      </c>
      <c r="E23" s="210">
        <v>2573.8000000000002</v>
      </c>
      <c r="F23" s="85">
        <f t="shared" si="2"/>
        <v>1.2870463905509362</v>
      </c>
      <c r="G23" s="205">
        <v>0.38040000000000002</v>
      </c>
      <c r="H23" s="205">
        <f>(38.04+29.13+27.59)/300</f>
        <v>0.31586666666666668</v>
      </c>
      <c r="I23" s="85">
        <f t="shared" si="0"/>
        <v>0.34813333333333335</v>
      </c>
      <c r="J23" s="86">
        <f t="shared" si="1"/>
        <v>0.86460848787981914</v>
      </c>
    </row>
    <row r="24" spans="1:10" ht="15" x14ac:dyDescent="0.3">
      <c r="A24" s="10" t="s">
        <v>78</v>
      </c>
      <c r="B24" s="45" t="s">
        <v>113</v>
      </c>
      <c r="C24" s="203">
        <v>0.27</v>
      </c>
      <c r="D24" s="212">
        <v>1668.7</v>
      </c>
      <c r="E24" s="210">
        <v>213.9</v>
      </c>
      <c r="F24" s="85">
        <f t="shared" si="2"/>
        <v>7.8013090229079012</v>
      </c>
      <c r="G24" s="207">
        <v>6.9999999999999999E-4</v>
      </c>
      <c r="H24" s="207">
        <f>(0.07+0.06+0.07+0.06+0.07)/500</f>
        <v>6.6E-4</v>
      </c>
      <c r="I24" s="105">
        <f t="shared" si="0"/>
        <v>6.8000000000000005E-4</v>
      </c>
      <c r="J24" s="86">
        <f t="shared" si="1"/>
        <v>3.0695756382608862E-2</v>
      </c>
    </row>
    <row r="25" spans="1:10" ht="15.75" thickBot="1" x14ac:dyDescent="0.35">
      <c r="B25" s="87" t="s">
        <v>114</v>
      </c>
      <c r="C25" s="213">
        <v>1</v>
      </c>
      <c r="D25" s="211">
        <v>2573.6999999999998</v>
      </c>
      <c r="E25" s="211">
        <v>350</v>
      </c>
      <c r="F25" s="88">
        <f t="shared" si="2"/>
        <v>7.3534285714285712</v>
      </c>
      <c r="G25" s="208">
        <v>0.15</v>
      </c>
      <c r="H25" s="208">
        <f>-(-13+4.8-18.4-35)/400</f>
        <v>0.154</v>
      </c>
      <c r="I25" s="88">
        <f t="shared" si="0"/>
        <v>0.152</v>
      </c>
      <c r="J25" s="209">
        <v>0.73</v>
      </c>
    </row>
    <row r="28" spans="1:10" x14ac:dyDescent="0.3">
      <c r="J28" s="214"/>
    </row>
    <row r="30" spans="1:10" x14ac:dyDescent="0.3">
      <c r="B30"/>
    </row>
    <row r="31" spans="1:10" x14ac:dyDescent="0.3">
      <c r="B31"/>
    </row>
    <row r="32" spans="1:10" x14ac:dyDescent="0.3">
      <c r="B32"/>
    </row>
    <row r="33" spans="2:2" x14ac:dyDescent="0.3">
      <c r="B33"/>
    </row>
    <row r="34" spans="2:2" x14ac:dyDescent="0.3">
      <c r="B34"/>
    </row>
    <row r="35" spans="2:2" x14ac:dyDescent="0.3">
      <c r="B35"/>
    </row>
    <row r="36" spans="2:2" x14ac:dyDescent="0.3">
      <c r="B36"/>
    </row>
  </sheetData>
  <sortState xmlns:xlrd2="http://schemas.microsoft.com/office/spreadsheetml/2017/richdata2" ref="H5:I5">
    <sortCondition ref="H4"/>
  </sortState>
  <pageMargins left="0.7" right="0.7" top="0.75" bottom="0.75" header="0.3" footer="0.3"/>
  <pageSetup scale="53"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3289-50A2-4F52-898C-454184E2957A}">
  <sheetPr codeName="Sheet5">
    <tabColor theme="5" tint="0.39997558519241921"/>
  </sheetPr>
  <dimension ref="A1:J39"/>
  <sheetViews>
    <sheetView showGridLines="0" view="pageBreakPreview" zoomScaleNormal="70" zoomScaleSheetLayoutView="100" workbookViewId="0"/>
  </sheetViews>
  <sheetFormatPr defaultColWidth="15.7109375" defaultRowHeight="15" customHeight="1" x14ac:dyDescent="0.2"/>
  <cols>
    <col min="1" max="2" width="3.7109375" style="125" customWidth="1"/>
    <col min="3" max="3" width="12.7109375" style="125" customWidth="1"/>
    <col min="4" max="4" width="51.5703125" style="125" bestFit="1" customWidth="1"/>
    <col min="5" max="9" width="20.7109375" style="125" customWidth="1"/>
    <col min="10" max="10" width="23.140625" style="125" bestFit="1" customWidth="1"/>
    <col min="11" max="16384" width="15.7109375" style="125"/>
  </cols>
  <sheetData>
    <row r="1" spans="1:10" ht="15" customHeight="1" thickBot="1" x14ac:dyDescent="0.25"/>
    <row r="2" spans="1:10" ht="30" customHeight="1" thickBot="1" x14ac:dyDescent="0.25">
      <c r="A2" s="125" t="s">
        <v>78</v>
      </c>
      <c r="B2" s="125" t="s">
        <v>78</v>
      </c>
      <c r="C2" s="126"/>
      <c r="D2" s="388" t="s">
        <v>206</v>
      </c>
      <c r="E2" s="442" t="s">
        <v>15</v>
      </c>
      <c r="F2" s="443" t="s">
        <v>205</v>
      </c>
      <c r="G2" s="442" t="s">
        <v>14</v>
      </c>
      <c r="H2" s="442" t="s">
        <v>207</v>
      </c>
      <c r="I2" s="443" t="s">
        <v>208</v>
      </c>
      <c r="J2" s="444" t="s">
        <v>209</v>
      </c>
    </row>
    <row r="3" spans="1:10" ht="15" customHeight="1" x14ac:dyDescent="0.2">
      <c r="C3" s="127"/>
      <c r="D3" s="375" t="s">
        <v>210</v>
      </c>
      <c r="E3" s="376">
        <f>Comps!L31</f>
        <v>18.481485760014905</v>
      </c>
      <c r="F3" s="377">
        <f>G3-E3</f>
        <v>13.515916959631571</v>
      </c>
      <c r="G3" s="376">
        <f>Comps!L45</f>
        <v>31.997402719646477</v>
      </c>
      <c r="H3" s="378">
        <v>4.75</v>
      </c>
      <c r="I3" s="378">
        <v>18.93</v>
      </c>
      <c r="J3" s="379">
        <f>'Model Output'!M48</f>
        <v>18.5</v>
      </c>
    </row>
    <row r="4" spans="1:10" ht="15" customHeight="1" x14ac:dyDescent="0.2">
      <c r="C4" s="127"/>
      <c r="D4" s="380" t="s">
        <v>267</v>
      </c>
      <c r="E4" s="376">
        <f>'Precedent Transactions'!D55</f>
        <v>14.980147940388903</v>
      </c>
      <c r="F4" s="377">
        <f>G4-E4</f>
        <v>11.821721240457702</v>
      </c>
      <c r="G4" s="376">
        <f>'Precedent Transactions'!D69</f>
        <v>26.801869180846605</v>
      </c>
      <c r="H4" s="381">
        <f>H3</f>
        <v>4.75</v>
      </c>
      <c r="I4" s="381">
        <f>I3</f>
        <v>18.93</v>
      </c>
      <c r="J4" s="382">
        <f>J3</f>
        <v>18.5</v>
      </c>
    </row>
    <row r="5" spans="1:10" ht="15" customHeight="1" x14ac:dyDescent="0.2">
      <c r="C5" s="127"/>
      <c r="D5" s="380" t="s">
        <v>211</v>
      </c>
      <c r="E5" s="376">
        <f>'Model Output'!S40</f>
        <v>19.435233030726369</v>
      </c>
      <c r="F5" s="377">
        <f t="shared" ref="F5:F6" si="0">G5-E5</f>
        <v>4.9347047163174658</v>
      </c>
      <c r="G5" s="376">
        <f>'Model Output'!W36</f>
        <v>24.369937747043835</v>
      </c>
      <c r="H5" s="381">
        <f t="shared" ref="H5:J6" si="1">H4</f>
        <v>4.75</v>
      </c>
      <c r="I5" s="381">
        <f t="shared" si="1"/>
        <v>18.93</v>
      </c>
      <c r="J5" s="382">
        <f t="shared" si="1"/>
        <v>18.5</v>
      </c>
    </row>
    <row r="6" spans="1:10" ht="15" customHeight="1" thickBot="1" x14ac:dyDescent="0.25">
      <c r="C6" s="127"/>
      <c r="D6" s="383" t="s">
        <v>212</v>
      </c>
      <c r="E6" s="384">
        <f>MAX(E3:E5)</f>
        <v>19.435233030726369</v>
      </c>
      <c r="F6" s="384">
        <f t="shared" si="0"/>
        <v>4.9347047163174658</v>
      </c>
      <c r="G6" s="385">
        <f>MIN(G3:G5)</f>
        <v>24.369937747043835</v>
      </c>
      <c r="H6" s="386">
        <f t="shared" si="1"/>
        <v>4.75</v>
      </c>
      <c r="I6" s="386">
        <f t="shared" si="1"/>
        <v>18.93</v>
      </c>
      <c r="J6" s="387">
        <f t="shared" si="1"/>
        <v>18.5</v>
      </c>
    </row>
    <row r="7" spans="1:10" ht="15" customHeight="1" x14ac:dyDescent="0.2">
      <c r="C7" s="127"/>
      <c r="D7" s="364"/>
      <c r="E7" s="365"/>
      <c r="F7" s="366"/>
      <c r="G7" s="365"/>
      <c r="H7" s="366"/>
      <c r="I7" s="366"/>
      <c r="J7" s="367"/>
    </row>
    <row r="8" spans="1:10" ht="15" customHeight="1" x14ac:dyDescent="0.2">
      <c r="C8" s="127"/>
      <c r="D8" s="364"/>
      <c r="E8" s="365"/>
      <c r="F8" s="366"/>
      <c r="G8" s="365"/>
      <c r="H8" s="366"/>
      <c r="I8" s="366"/>
      <c r="J8" s="367"/>
    </row>
    <row r="9" spans="1:10" ht="15" customHeight="1" x14ac:dyDescent="0.2">
      <c r="C9" s="127"/>
      <c r="D9" s="364"/>
      <c r="E9" s="365"/>
      <c r="F9" s="366"/>
      <c r="G9" s="365"/>
      <c r="H9" s="366"/>
      <c r="I9" s="366"/>
      <c r="J9" s="367"/>
    </row>
    <row r="10" spans="1:10" ht="15" customHeight="1" x14ac:dyDescent="0.2">
      <c r="D10" s="368"/>
      <c r="E10" s="369"/>
      <c r="F10" s="369"/>
      <c r="G10" s="369"/>
      <c r="H10" s="370"/>
      <c r="I10" s="370"/>
      <c r="J10" s="371"/>
    </row>
    <row r="11" spans="1:10" ht="15" customHeight="1" x14ac:dyDescent="0.2">
      <c r="D11" s="368"/>
      <c r="E11" s="369"/>
      <c r="F11" s="369"/>
      <c r="G11" s="369"/>
      <c r="H11" s="370"/>
      <c r="I11" s="370"/>
      <c r="J11" s="371"/>
    </row>
    <row r="12" spans="1:10" ht="15" customHeight="1" x14ac:dyDescent="0.2">
      <c r="D12" s="368"/>
      <c r="E12" s="369"/>
      <c r="F12" s="369"/>
      <c r="G12" s="369"/>
      <c r="H12" s="370"/>
      <c r="I12" s="370"/>
      <c r="J12" s="371"/>
    </row>
    <row r="13" spans="1:10" ht="15" customHeight="1" x14ac:dyDescent="0.2">
      <c r="D13" s="368"/>
      <c r="E13" s="369"/>
      <c r="F13" s="369"/>
      <c r="G13" s="369"/>
      <c r="H13" s="370"/>
      <c r="I13" s="370"/>
      <c r="J13" s="371"/>
    </row>
    <row r="14" spans="1:10" ht="15" customHeight="1" x14ac:dyDescent="0.2">
      <c r="D14" s="368"/>
      <c r="E14" s="369"/>
      <c r="F14" s="369"/>
      <c r="G14" s="369"/>
      <c r="H14" s="370"/>
      <c r="I14" s="370"/>
      <c r="J14" s="371"/>
    </row>
    <row r="15" spans="1:10" ht="15" customHeight="1" x14ac:dyDescent="0.2">
      <c r="D15" s="368"/>
      <c r="E15" s="369"/>
      <c r="F15" s="369"/>
      <c r="G15" s="369"/>
      <c r="H15" s="370"/>
      <c r="I15" s="370"/>
      <c r="J15" s="371"/>
    </row>
    <row r="16" spans="1:10" ht="15" customHeight="1" x14ac:dyDescent="0.2">
      <c r="D16" s="368"/>
      <c r="E16" s="369"/>
      <c r="F16" s="369"/>
      <c r="G16" s="369"/>
      <c r="H16" s="370"/>
      <c r="I16" s="370"/>
      <c r="J16" s="371"/>
    </row>
    <row r="17" spans="4:10" ht="15" customHeight="1" x14ac:dyDescent="0.2">
      <c r="D17" s="368"/>
      <c r="E17" s="369"/>
      <c r="F17" s="369"/>
      <c r="G17" s="369"/>
      <c r="H17" s="370"/>
      <c r="I17" s="370"/>
      <c r="J17" s="371"/>
    </row>
    <row r="18" spans="4:10" ht="15" customHeight="1" x14ac:dyDescent="0.2">
      <c r="D18" s="368"/>
      <c r="E18" s="369"/>
      <c r="F18" s="369"/>
      <c r="G18" s="369"/>
      <c r="H18" s="370"/>
      <c r="I18" s="370"/>
      <c r="J18" s="371"/>
    </row>
    <row r="19" spans="4:10" ht="15" customHeight="1" x14ac:dyDescent="0.2">
      <c r="D19" s="368"/>
      <c r="E19" s="369"/>
      <c r="F19" s="369"/>
      <c r="G19" s="369"/>
      <c r="H19" s="370"/>
      <c r="I19" s="370"/>
      <c r="J19" s="371"/>
    </row>
    <row r="20" spans="4:10" ht="15" customHeight="1" x14ac:dyDescent="0.2">
      <c r="D20" s="368"/>
      <c r="E20" s="369"/>
      <c r="F20" s="369"/>
      <c r="G20" s="369"/>
      <c r="H20" s="370"/>
      <c r="I20" s="370"/>
      <c r="J20" s="371"/>
    </row>
    <row r="21" spans="4:10" ht="15" customHeight="1" x14ac:dyDescent="0.2">
      <c r="D21" s="368"/>
      <c r="E21" s="369"/>
      <c r="F21" s="369"/>
      <c r="G21" s="369"/>
      <c r="H21" s="370"/>
      <c r="I21" s="370"/>
      <c r="J21" s="371"/>
    </row>
    <row r="22" spans="4:10" ht="15" customHeight="1" x14ac:dyDescent="0.2">
      <c r="D22" s="368"/>
      <c r="E22" s="369"/>
      <c r="F22" s="369"/>
      <c r="G22" s="369"/>
      <c r="H22" s="370"/>
      <c r="I22" s="370"/>
      <c r="J22" s="371"/>
    </row>
    <row r="23" spans="4:10" ht="15" customHeight="1" x14ac:dyDescent="0.2">
      <c r="D23" s="368"/>
      <c r="E23" s="369"/>
      <c r="F23" s="369"/>
      <c r="G23" s="369"/>
      <c r="H23" s="370"/>
      <c r="I23" s="370"/>
      <c r="J23" s="371"/>
    </row>
    <row r="24" spans="4:10" ht="15" customHeight="1" x14ac:dyDescent="0.2">
      <c r="D24" s="368"/>
      <c r="E24" s="369"/>
      <c r="F24" s="369"/>
      <c r="G24" s="369"/>
      <c r="H24" s="370"/>
      <c r="I24" s="370"/>
      <c r="J24" s="371"/>
    </row>
    <row r="25" spans="4:10" ht="15" customHeight="1" x14ac:dyDescent="0.2">
      <c r="D25" s="368"/>
      <c r="E25" s="369"/>
      <c r="F25" s="369"/>
      <c r="G25" s="369"/>
      <c r="H25" s="370"/>
      <c r="I25" s="370"/>
      <c r="J25" s="371"/>
    </row>
    <row r="26" spans="4:10" ht="15" customHeight="1" x14ac:dyDescent="0.2">
      <c r="D26" s="368"/>
      <c r="E26" s="369"/>
      <c r="F26" s="369"/>
      <c r="G26" s="369"/>
      <c r="H26" s="370"/>
      <c r="I26" s="370"/>
      <c r="J26" s="371"/>
    </row>
    <row r="27" spans="4:10" ht="15" customHeight="1" x14ac:dyDescent="0.2">
      <c r="D27" s="368"/>
      <c r="E27" s="369"/>
      <c r="F27" s="369"/>
      <c r="G27" s="369"/>
      <c r="H27" s="370"/>
      <c r="I27" s="370"/>
      <c r="J27" s="371"/>
    </row>
    <row r="28" spans="4:10" ht="15" customHeight="1" x14ac:dyDescent="0.2">
      <c r="D28" s="368"/>
      <c r="E28" s="369"/>
      <c r="F28" s="369"/>
      <c r="G28" s="369"/>
      <c r="H28" s="370"/>
      <c r="I28" s="370"/>
      <c r="J28" s="371"/>
    </row>
    <row r="29" spans="4:10" ht="15" customHeight="1" x14ac:dyDescent="0.2">
      <c r="D29" s="368"/>
      <c r="E29" s="369"/>
      <c r="F29" s="369"/>
      <c r="G29" s="369"/>
      <c r="H29" s="370"/>
      <c r="I29" s="370"/>
      <c r="J29" s="371"/>
    </row>
    <row r="30" spans="4:10" ht="15" customHeight="1" x14ac:dyDescent="0.2">
      <c r="D30" s="368"/>
      <c r="E30" s="369"/>
      <c r="F30" s="369"/>
      <c r="G30" s="369"/>
      <c r="H30" s="370"/>
      <c r="I30" s="370"/>
      <c r="J30" s="371"/>
    </row>
    <row r="31" spans="4:10" ht="15" customHeight="1" x14ac:dyDescent="0.2">
      <c r="D31" s="368"/>
      <c r="E31" s="369"/>
      <c r="F31" s="369"/>
      <c r="G31" s="369"/>
      <c r="H31" s="370"/>
      <c r="I31" s="370"/>
      <c r="J31" s="371"/>
    </row>
    <row r="32" spans="4:10" ht="15" customHeight="1" x14ac:dyDescent="0.2">
      <c r="D32" s="368"/>
      <c r="E32" s="369"/>
      <c r="F32" s="369"/>
      <c r="G32" s="369"/>
      <c r="H32" s="370"/>
      <c r="I32" s="370"/>
      <c r="J32" s="371"/>
    </row>
    <row r="33" spans="4:10" ht="15" customHeight="1" x14ac:dyDescent="0.2">
      <c r="D33" s="368"/>
      <c r="E33" s="369"/>
      <c r="F33" s="369"/>
      <c r="G33" s="369"/>
      <c r="H33" s="370"/>
      <c r="I33" s="370"/>
      <c r="J33" s="371"/>
    </row>
    <row r="34" spans="4:10" ht="15" customHeight="1" x14ac:dyDescent="0.2">
      <c r="D34" s="368"/>
      <c r="E34" s="369"/>
      <c r="F34" s="369"/>
      <c r="G34" s="369"/>
      <c r="H34" s="370"/>
      <c r="I34" s="370"/>
      <c r="J34" s="371"/>
    </row>
    <row r="35" spans="4:10" ht="15" customHeight="1" thickBot="1" x14ac:dyDescent="0.25">
      <c r="D35" s="372"/>
      <c r="E35" s="373"/>
      <c r="F35" s="373"/>
      <c r="G35" s="373"/>
      <c r="H35" s="373"/>
      <c r="I35" s="373"/>
      <c r="J35" s="374"/>
    </row>
    <row r="39" spans="4:10" ht="15" customHeight="1" x14ac:dyDescent="0.2">
      <c r="E39" s="450"/>
      <c r="F39" s="450"/>
      <c r="G39" s="450"/>
    </row>
  </sheetData>
  <mergeCells count="1">
    <mergeCell ref="E39:G39"/>
  </mergeCells>
  <pageMargins left="0.7" right="0.7" top="0.75" bottom="0.75" header="0.3" footer="0.3"/>
  <pageSetup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C67A-DFF3-4CFF-AC5E-BC7E2CEF9550}">
  <sheetPr>
    <tabColor theme="5" tint="0.39997558519241921"/>
  </sheetPr>
  <dimension ref="A1:V71"/>
  <sheetViews>
    <sheetView showGridLines="0" view="pageBreakPreview" zoomScaleNormal="60" zoomScaleSheetLayoutView="100" workbookViewId="0"/>
  </sheetViews>
  <sheetFormatPr defaultColWidth="8.85546875" defaultRowHeight="15" x14ac:dyDescent="0.3"/>
  <cols>
    <col min="1" max="1" width="2.7109375" style="253" customWidth="1"/>
    <col min="2" max="2" width="13.42578125" style="254" bestFit="1" customWidth="1"/>
    <col min="3" max="3" width="10.140625" style="254" customWidth="1"/>
    <col min="4" max="4" width="13.42578125" style="254" customWidth="1"/>
    <col min="5" max="5" width="8.85546875" style="254" customWidth="1"/>
    <col min="6" max="6" width="23.42578125" style="254" customWidth="1"/>
    <col min="7" max="7" width="11" style="254" customWidth="1"/>
    <col min="8" max="8" width="12.140625" style="254" customWidth="1"/>
    <col min="9" max="9" width="9" style="253" customWidth="1"/>
    <col min="10" max="11" width="8.85546875" style="254"/>
    <col min="12" max="12" width="19.42578125" style="254" bestFit="1" customWidth="1"/>
    <col min="13" max="13" width="14.42578125" style="254" bestFit="1" customWidth="1"/>
    <col min="14" max="15" width="8.85546875" style="254"/>
    <col min="16" max="16" width="11" style="254" bestFit="1" customWidth="1"/>
    <col min="17" max="256" width="8.85546875" style="254"/>
    <col min="257" max="257" width="2" style="254" bestFit="1" customWidth="1"/>
    <col min="258" max="258" width="13.42578125" style="254" bestFit="1" customWidth="1"/>
    <col min="259" max="259" width="8.85546875" style="254"/>
    <col min="260" max="260" width="6.42578125" style="254" customWidth="1"/>
    <col min="261" max="261" width="8.85546875" style="254"/>
    <col min="262" max="262" width="11.42578125" style="254" customWidth="1"/>
    <col min="263" max="263" width="5" style="254" customWidth="1"/>
    <col min="264" max="264" width="12.140625" style="254" customWidth="1"/>
    <col min="265" max="265" width="9" style="254" customWidth="1"/>
    <col min="266" max="267" width="8.85546875" style="254"/>
    <col min="268" max="269" width="14.42578125" style="254" bestFit="1" customWidth="1"/>
    <col min="270" max="271" width="8.85546875" style="254"/>
    <col min="272" max="272" width="11" style="254" bestFit="1" customWidth="1"/>
    <col min="273" max="512" width="8.85546875" style="254"/>
    <col min="513" max="513" width="2" style="254" bestFit="1" customWidth="1"/>
    <col min="514" max="514" width="13.42578125" style="254" bestFit="1" customWidth="1"/>
    <col min="515" max="515" width="8.85546875" style="254"/>
    <col min="516" max="516" width="6.42578125" style="254" customWidth="1"/>
    <col min="517" max="517" width="8.85546875" style="254"/>
    <col min="518" max="518" width="11.42578125" style="254" customWidth="1"/>
    <col min="519" max="519" width="5" style="254" customWidth="1"/>
    <col min="520" max="520" width="12.140625" style="254" customWidth="1"/>
    <col min="521" max="521" width="9" style="254" customWidth="1"/>
    <col min="522" max="523" width="8.85546875" style="254"/>
    <col min="524" max="525" width="14.42578125" style="254" bestFit="1" customWidth="1"/>
    <col min="526" max="527" width="8.85546875" style="254"/>
    <col min="528" max="528" width="11" style="254" bestFit="1" customWidth="1"/>
    <col min="529" max="768" width="8.85546875" style="254"/>
    <col min="769" max="769" width="2" style="254" bestFit="1" customWidth="1"/>
    <col min="770" max="770" width="13.42578125" style="254" bestFit="1" customWidth="1"/>
    <col min="771" max="771" width="8.85546875" style="254"/>
    <col min="772" max="772" width="6.42578125" style="254" customWidth="1"/>
    <col min="773" max="773" width="8.85546875" style="254"/>
    <col min="774" max="774" width="11.42578125" style="254" customWidth="1"/>
    <col min="775" max="775" width="5" style="254" customWidth="1"/>
    <col min="776" max="776" width="12.140625" style="254" customWidth="1"/>
    <col min="777" max="777" width="9" style="254" customWidth="1"/>
    <col min="778" max="779" width="8.85546875" style="254"/>
    <col min="780" max="781" width="14.42578125" style="254" bestFit="1" customWidth="1"/>
    <col min="782" max="783" width="8.85546875" style="254"/>
    <col min="784" max="784" width="11" style="254" bestFit="1" customWidth="1"/>
    <col min="785" max="1024" width="8.85546875" style="254"/>
    <col min="1025" max="1025" width="2" style="254" bestFit="1" customWidth="1"/>
    <col min="1026" max="1026" width="13.42578125" style="254" bestFit="1" customWidth="1"/>
    <col min="1027" max="1027" width="8.85546875" style="254"/>
    <col min="1028" max="1028" width="6.42578125" style="254" customWidth="1"/>
    <col min="1029" max="1029" width="8.85546875" style="254"/>
    <col min="1030" max="1030" width="11.42578125" style="254" customWidth="1"/>
    <col min="1031" max="1031" width="5" style="254" customWidth="1"/>
    <col min="1032" max="1032" width="12.140625" style="254" customWidth="1"/>
    <col min="1033" max="1033" width="9" style="254" customWidth="1"/>
    <col min="1034" max="1035" width="8.85546875" style="254"/>
    <col min="1036" max="1037" width="14.42578125" style="254" bestFit="1" customWidth="1"/>
    <col min="1038" max="1039" width="8.85546875" style="254"/>
    <col min="1040" max="1040" width="11" style="254" bestFit="1" customWidth="1"/>
    <col min="1041" max="1280" width="8.85546875" style="254"/>
    <col min="1281" max="1281" width="2" style="254" bestFit="1" customWidth="1"/>
    <col min="1282" max="1282" width="13.42578125" style="254" bestFit="1" customWidth="1"/>
    <col min="1283" max="1283" width="8.85546875" style="254"/>
    <col min="1284" max="1284" width="6.42578125" style="254" customWidth="1"/>
    <col min="1285" max="1285" width="8.85546875" style="254"/>
    <col min="1286" max="1286" width="11.42578125" style="254" customWidth="1"/>
    <col min="1287" max="1287" width="5" style="254" customWidth="1"/>
    <col min="1288" max="1288" width="12.140625" style="254" customWidth="1"/>
    <col min="1289" max="1289" width="9" style="254" customWidth="1"/>
    <col min="1290" max="1291" width="8.85546875" style="254"/>
    <col min="1292" max="1293" width="14.42578125" style="254" bestFit="1" customWidth="1"/>
    <col min="1294" max="1295" width="8.85546875" style="254"/>
    <col min="1296" max="1296" width="11" style="254" bestFit="1" customWidth="1"/>
    <col min="1297" max="1536" width="8.85546875" style="254"/>
    <col min="1537" max="1537" width="2" style="254" bestFit="1" customWidth="1"/>
    <col min="1538" max="1538" width="13.42578125" style="254" bestFit="1" customWidth="1"/>
    <col min="1539" max="1539" width="8.85546875" style="254"/>
    <col min="1540" max="1540" width="6.42578125" style="254" customWidth="1"/>
    <col min="1541" max="1541" width="8.85546875" style="254"/>
    <col min="1542" max="1542" width="11.42578125" style="254" customWidth="1"/>
    <col min="1543" max="1543" width="5" style="254" customWidth="1"/>
    <col min="1544" max="1544" width="12.140625" style="254" customWidth="1"/>
    <col min="1545" max="1545" width="9" style="254" customWidth="1"/>
    <col min="1546" max="1547" width="8.85546875" style="254"/>
    <col min="1548" max="1549" width="14.42578125" style="254" bestFit="1" customWidth="1"/>
    <col min="1550" max="1551" width="8.85546875" style="254"/>
    <col min="1552" max="1552" width="11" style="254" bestFit="1" customWidth="1"/>
    <col min="1553" max="1792" width="8.85546875" style="254"/>
    <col min="1793" max="1793" width="2" style="254" bestFit="1" customWidth="1"/>
    <col min="1794" max="1794" width="13.42578125" style="254" bestFit="1" customWidth="1"/>
    <col min="1795" max="1795" width="8.85546875" style="254"/>
    <col min="1796" max="1796" width="6.42578125" style="254" customWidth="1"/>
    <col min="1797" max="1797" width="8.85546875" style="254"/>
    <col min="1798" max="1798" width="11.42578125" style="254" customWidth="1"/>
    <col min="1799" max="1799" width="5" style="254" customWidth="1"/>
    <col min="1800" max="1800" width="12.140625" style="254" customWidth="1"/>
    <col min="1801" max="1801" width="9" style="254" customWidth="1"/>
    <col min="1802" max="1803" width="8.85546875" style="254"/>
    <col min="1804" max="1805" width="14.42578125" style="254" bestFit="1" customWidth="1"/>
    <col min="1806" max="1807" width="8.85546875" style="254"/>
    <col min="1808" max="1808" width="11" style="254" bestFit="1" customWidth="1"/>
    <col min="1809" max="2048" width="8.85546875" style="254"/>
    <col min="2049" max="2049" width="2" style="254" bestFit="1" customWidth="1"/>
    <col min="2050" max="2050" width="13.42578125" style="254" bestFit="1" customWidth="1"/>
    <col min="2051" max="2051" width="8.85546875" style="254"/>
    <col min="2052" max="2052" width="6.42578125" style="254" customWidth="1"/>
    <col min="2053" max="2053" width="8.85546875" style="254"/>
    <col min="2054" max="2054" width="11.42578125" style="254" customWidth="1"/>
    <col min="2055" max="2055" width="5" style="254" customWidth="1"/>
    <col min="2056" max="2056" width="12.140625" style="254" customWidth="1"/>
    <col min="2057" max="2057" width="9" style="254" customWidth="1"/>
    <col min="2058" max="2059" width="8.85546875" style="254"/>
    <col min="2060" max="2061" width="14.42578125" style="254" bestFit="1" customWidth="1"/>
    <col min="2062" max="2063" width="8.85546875" style="254"/>
    <col min="2064" max="2064" width="11" style="254" bestFit="1" customWidth="1"/>
    <col min="2065" max="2304" width="8.85546875" style="254"/>
    <col min="2305" max="2305" width="2" style="254" bestFit="1" customWidth="1"/>
    <col min="2306" max="2306" width="13.42578125" style="254" bestFit="1" customWidth="1"/>
    <col min="2307" max="2307" width="8.85546875" style="254"/>
    <col min="2308" max="2308" width="6.42578125" style="254" customWidth="1"/>
    <col min="2309" max="2309" width="8.85546875" style="254"/>
    <col min="2310" max="2310" width="11.42578125" style="254" customWidth="1"/>
    <col min="2311" max="2311" width="5" style="254" customWidth="1"/>
    <col min="2312" max="2312" width="12.140625" style="254" customWidth="1"/>
    <col min="2313" max="2313" width="9" style="254" customWidth="1"/>
    <col min="2314" max="2315" width="8.85546875" style="254"/>
    <col min="2316" max="2317" width="14.42578125" style="254" bestFit="1" customWidth="1"/>
    <col min="2318" max="2319" width="8.85546875" style="254"/>
    <col min="2320" max="2320" width="11" style="254" bestFit="1" customWidth="1"/>
    <col min="2321" max="2560" width="8.85546875" style="254"/>
    <col min="2561" max="2561" width="2" style="254" bestFit="1" customWidth="1"/>
    <col min="2562" max="2562" width="13.42578125" style="254" bestFit="1" customWidth="1"/>
    <col min="2563" max="2563" width="8.85546875" style="254"/>
    <col min="2564" max="2564" width="6.42578125" style="254" customWidth="1"/>
    <col min="2565" max="2565" width="8.85546875" style="254"/>
    <col min="2566" max="2566" width="11.42578125" style="254" customWidth="1"/>
    <col min="2567" max="2567" width="5" style="254" customWidth="1"/>
    <col min="2568" max="2568" width="12.140625" style="254" customWidth="1"/>
    <col min="2569" max="2569" width="9" style="254" customWidth="1"/>
    <col min="2570" max="2571" width="8.85546875" style="254"/>
    <col min="2572" max="2573" width="14.42578125" style="254" bestFit="1" customWidth="1"/>
    <col min="2574" max="2575" width="8.85546875" style="254"/>
    <col min="2576" max="2576" width="11" style="254" bestFit="1" customWidth="1"/>
    <col min="2577" max="2816" width="8.85546875" style="254"/>
    <col min="2817" max="2817" width="2" style="254" bestFit="1" customWidth="1"/>
    <col min="2818" max="2818" width="13.42578125" style="254" bestFit="1" customWidth="1"/>
    <col min="2819" max="2819" width="8.85546875" style="254"/>
    <col min="2820" max="2820" width="6.42578125" style="254" customWidth="1"/>
    <col min="2821" max="2821" width="8.85546875" style="254"/>
    <col min="2822" max="2822" width="11.42578125" style="254" customWidth="1"/>
    <col min="2823" max="2823" width="5" style="254" customWidth="1"/>
    <col min="2824" max="2824" width="12.140625" style="254" customWidth="1"/>
    <col min="2825" max="2825" width="9" style="254" customWidth="1"/>
    <col min="2826" max="2827" width="8.85546875" style="254"/>
    <col min="2828" max="2829" width="14.42578125" style="254" bestFit="1" customWidth="1"/>
    <col min="2830" max="2831" width="8.85546875" style="254"/>
    <col min="2832" max="2832" width="11" style="254" bestFit="1" customWidth="1"/>
    <col min="2833" max="3072" width="8.85546875" style="254"/>
    <col min="3073" max="3073" width="2" style="254" bestFit="1" customWidth="1"/>
    <col min="3074" max="3074" width="13.42578125" style="254" bestFit="1" customWidth="1"/>
    <col min="3075" max="3075" width="8.85546875" style="254"/>
    <col min="3076" max="3076" width="6.42578125" style="254" customWidth="1"/>
    <col min="3077" max="3077" width="8.85546875" style="254"/>
    <col min="3078" max="3078" width="11.42578125" style="254" customWidth="1"/>
    <col min="3079" max="3079" width="5" style="254" customWidth="1"/>
    <col min="3080" max="3080" width="12.140625" style="254" customWidth="1"/>
    <col min="3081" max="3081" width="9" style="254" customWidth="1"/>
    <col min="3082" max="3083" width="8.85546875" style="254"/>
    <col min="3084" max="3085" width="14.42578125" style="254" bestFit="1" customWidth="1"/>
    <col min="3086" max="3087" width="8.85546875" style="254"/>
    <col min="3088" max="3088" width="11" style="254" bestFit="1" customWidth="1"/>
    <col min="3089" max="3328" width="8.85546875" style="254"/>
    <col min="3329" max="3329" width="2" style="254" bestFit="1" customWidth="1"/>
    <col min="3330" max="3330" width="13.42578125" style="254" bestFit="1" customWidth="1"/>
    <col min="3331" max="3331" width="8.85546875" style="254"/>
    <col min="3332" max="3332" width="6.42578125" style="254" customWidth="1"/>
    <col min="3333" max="3333" width="8.85546875" style="254"/>
    <col min="3334" max="3334" width="11.42578125" style="254" customWidth="1"/>
    <col min="3335" max="3335" width="5" style="254" customWidth="1"/>
    <col min="3336" max="3336" width="12.140625" style="254" customWidth="1"/>
    <col min="3337" max="3337" width="9" style="254" customWidth="1"/>
    <col min="3338" max="3339" width="8.85546875" style="254"/>
    <col min="3340" max="3341" width="14.42578125" style="254" bestFit="1" customWidth="1"/>
    <col min="3342" max="3343" width="8.85546875" style="254"/>
    <col min="3344" max="3344" width="11" style="254" bestFit="1" customWidth="1"/>
    <col min="3345" max="3584" width="8.85546875" style="254"/>
    <col min="3585" max="3585" width="2" style="254" bestFit="1" customWidth="1"/>
    <col min="3586" max="3586" width="13.42578125" style="254" bestFit="1" customWidth="1"/>
    <col min="3587" max="3587" width="8.85546875" style="254"/>
    <col min="3588" max="3588" width="6.42578125" style="254" customWidth="1"/>
    <col min="3589" max="3589" width="8.85546875" style="254"/>
    <col min="3590" max="3590" width="11.42578125" style="254" customWidth="1"/>
    <col min="3591" max="3591" width="5" style="254" customWidth="1"/>
    <col min="3592" max="3592" width="12.140625" style="254" customWidth="1"/>
    <col min="3593" max="3593" width="9" style="254" customWidth="1"/>
    <col min="3594" max="3595" width="8.85546875" style="254"/>
    <col min="3596" max="3597" width="14.42578125" style="254" bestFit="1" customWidth="1"/>
    <col min="3598" max="3599" width="8.85546875" style="254"/>
    <col min="3600" max="3600" width="11" style="254" bestFit="1" customWidth="1"/>
    <col min="3601" max="3840" width="8.85546875" style="254"/>
    <col min="3841" max="3841" width="2" style="254" bestFit="1" customWidth="1"/>
    <col min="3842" max="3842" width="13.42578125" style="254" bestFit="1" customWidth="1"/>
    <col min="3843" max="3843" width="8.85546875" style="254"/>
    <col min="3844" max="3844" width="6.42578125" style="254" customWidth="1"/>
    <col min="3845" max="3845" width="8.85546875" style="254"/>
    <col min="3846" max="3846" width="11.42578125" style="254" customWidth="1"/>
    <col min="3847" max="3847" width="5" style="254" customWidth="1"/>
    <col min="3848" max="3848" width="12.140625" style="254" customWidth="1"/>
    <col min="3849" max="3849" width="9" style="254" customWidth="1"/>
    <col min="3850" max="3851" width="8.85546875" style="254"/>
    <col min="3852" max="3853" width="14.42578125" style="254" bestFit="1" customWidth="1"/>
    <col min="3854" max="3855" width="8.85546875" style="254"/>
    <col min="3856" max="3856" width="11" style="254" bestFit="1" customWidth="1"/>
    <col min="3857" max="4096" width="8.85546875" style="254"/>
    <col min="4097" max="4097" width="2" style="254" bestFit="1" customWidth="1"/>
    <col min="4098" max="4098" width="13.42578125" style="254" bestFit="1" customWidth="1"/>
    <col min="4099" max="4099" width="8.85546875" style="254"/>
    <col min="4100" max="4100" width="6.42578125" style="254" customWidth="1"/>
    <col min="4101" max="4101" width="8.85546875" style="254"/>
    <col min="4102" max="4102" width="11.42578125" style="254" customWidth="1"/>
    <col min="4103" max="4103" width="5" style="254" customWidth="1"/>
    <col min="4104" max="4104" width="12.140625" style="254" customWidth="1"/>
    <col min="4105" max="4105" width="9" style="254" customWidth="1"/>
    <col min="4106" max="4107" width="8.85546875" style="254"/>
    <col min="4108" max="4109" width="14.42578125" style="254" bestFit="1" customWidth="1"/>
    <col min="4110" max="4111" width="8.85546875" style="254"/>
    <col min="4112" max="4112" width="11" style="254" bestFit="1" customWidth="1"/>
    <col min="4113" max="4352" width="8.85546875" style="254"/>
    <col min="4353" max="4353" width="2" style="254" bestFit="1" customWidth="1"/>
    <col min="4354" max="4354" width="13.42578125" style="254" bestFit="1" customWidth="1"/>
    <col min="4355" max="4355" width="8.85546875" style="254"/>
    <col min="4356" max="4356" width="6.42578125" style="254" customWidth="1"/>
    <col min="4357" max="4357" width="8.85546875" style="254"/>
    <col min="4358" max="4358" width="11.42578125" style="254" customWidth="1"/>
    <col min="4359" max="4359" width="5" style="254" customWidth="1"/>
    <col min="4360" max="4360" width="12.140625" style="254" customWidth="1"/>
    <col min="4361" max="4361" width="9" style="254" customWidth="1"/>
    <col min="4362" max="4363" width="8.85546875" style="254"/>
    <col min="4364" max="4365" width="14.42578125" style="254" bestFit="1" customWidth="1"/>
    <col min="4366" max="4367" width="8.85546875" style="254"/>
    <col min="4368" max="4368" width="11" style="254" bestFit="1" customWidth="1"/>
    <col min="4369" max="4608" width="8.85546875" style="254"/>
    <col min="4609" max="4609" width="2" style="254" bestFit="1" customWidth="1"/>
    <col min="4610" max="4610" width="13.42578125" style="254" bestFit="1" customWidth="1"/>
    <col min="4611" max="4611" width="8.85546875" style="254"/>
    <col min="4612" max="4612" width="6.42578125" style="254" customWidth="1"/>
    <col min="4613" max="4613" width="8.85546875" style="254"/>
    <col min="4614" max="4614" width="11.42578125" style="254" customWidth="1"/>
    <col min="4615" max="4615" width="5" style="254" customWidth="1"/>
    <col min="4616" max="4616" width="12.140625" style="254" customWidth="1"/>
    <col min="4617" max="4617" width="9" style="254" customWidth="1"/>
    <col min="4618" max="4619" width="8.85546875" style="254"/>
    <col min="4620" max="4621" width="14.42578125" style="254" bestFit="1" customWidth="1"/>
    <col min="4622" max="4623" width="8.85546875" style="254"/>
    <col min="4624" max="4624" width="11" style="254" bestFit="1" customWidth="1"/>
    <col min="4625" max="4864" width="8.85546875" style="254"/>
    <col min="4865" max="4865" width="2" style="254" bestFit="1" customWidth="1"/>
    <col min="4866" max="4866" width="13.42578125" style="254" bestFit="1" customWidth="1"/>
    <col min="4867" max="4867" width="8.85546875" style="254"/>
    <col min="4868" max="4868" width="6.42578125" style="254" customWidth="1"/>
    <col min="4869" max="4869" width="8.85546875" style="254"/>
    <col min="4870" max="4870" width="11.42578125" style="254" customWidth="1"/>
    <col min="4871" max="4871" width="5" style="254" customWidth="1"/>
    <col min="4872" max="4872" width="12.140625" style="254" customWidth="1"/>
    <col min="4873" max="4873" width="9" style="254" customWidth="1"/>
    <col min="4874" max="4875" width="8.85546875" style="254"/>
    <col min="4876" max="4877" width="14.42578125" style="254" bestFit="1" customWidth="1"/>
    <col min="4878" max="4879" width="8.85546875" style="254"/>
    <col min="4880" max="4880" width="11" style="254" bestFit="1" customWidth="1"/>
    <col min="4881" max="5120" width="8.85546875" style="254"/>
    <col min="5121" max="5121" width="2" style="254" bestFit="1" customWidth="1"/>
    <col min="5122" max="5122" width="13.42578125" style="254" bestFit="1" customWidth="1"/>
    <col min="5123" max="5123" width="8.85546875" style="254"/>
    <col min="5124" max="5124" width="6.42578125" style="254" customWidth="1"/>
    <col min="5125" max="5125" width="8.85546875" style="254"/>
    <col min="5126" max="5126" width="11.42578125" style="254" customWidth="1"/>
    <col min="5127" max="5127" width="5" style="254" customWidth="1"/>
    <col min="5128" max="5128" width="12.140625" style="254" customWidth="1"/>
    <col min="5129" max="5129" width="9" style="254" customWidth="1"/>
    <col min="5130" max="5131" width="8.85546875" style="254"/>
    <col min="5132" max="5133" width="14.42578125" style="254" bestFit="1" customWidth="1"/>
    <col min="5134" max="5135" width="8.85546875" style="254"/>
    <col min="5136" max="5136" width="11" style="254" bestFit="1" customWidth="1"/>
    <col min="5137" max="5376" width="8.85546875" style="254"/>
    <col min="5377" max="5377" width="2" style="254" bestFit="1" customWidth="1"/>
    <col min="5378" max="5378" width="13.42578125" style="254" bestFit="1" customWidth="1"/>
    <col min="5379" max="5379" width="8.85546875" style="254"/>
    <col min="5380" max="5380" width="6.42578125" style="254" customWidth="1"/>
    <col min="5381" max="5381" width="8.85546875" style="254"/>
    <col min="5382" max="5382" width="11.42578125" style="254" customWidth="1"/>
    <col min="5383" max="5383" width="5" style="254" customWidth="1"/>
    <col min="5384" max="5384" width="12.140625" style="254" customWidth="1"/>
    <col min="5385" max="5385" width="9" style="254" customWidth="1"/>
    <col min="5386" max="5387" width="8.85546875" style="254"/>
    <col min="5388" max="5389" width="14.42578125" style="254" bestFit="1" customWidth="1"/>
    <col min="5390" max="5391" width="8.85546875" style="254"/>
    <col min="5392" max="5392" width="11" style="254" bestFit="1" customWidth="1"/>
    <col min="5393" max="5632" width="8.85546875" style="254"/>
    <col min="5633" max="5633" width="2" style="254" bestFit="1" customWidth="1"/>
    <col min="5634" max="5634" width="13.42578125" style="254" bestFit="1" customWidth="1"/>
    <col min="5635" max="5635" width="8.85546875" style="254"/>
    <col min="5636" max="5636" width="6.42578125" style="254" customWidth="1"/>
    <col min="5637" max="5637" width="8.85546875" style="254"/>
    <col min="5638" max="5638" width="11.42578125" style="254" customWidth="1"/>
    <col min="5639" max="5639" width="5" style="254" customWidth="1"/>
    <col min="5640" max="5640" width="12.140625" style="254" customWidth="1"/>
    <col min="5641" max="5641" width="9" style="254" customWidth="1"/>
    <col min="5642" max="5643" width="8.85546875" style="254"/>
    <col min="5644" max="5645" width="14.42578125" style="254" bestFit="1" customWidth="1"/>
    <col min="5646" max="5647" width="8.85546875" style="254"/>
    <col min="5648" max="5648" width="11" style="254" bestFit="1" customWidth="1"/>
    <col min="5649" max="5888" width="8.85546875" style="254"/>
    <col min="5889" max="5889" width="2" style="254" bestFit="1" customWidth="1"/>
    <col min="5890" max="5890" width="13.42578125" style="254" bestFit="1" customWidth="1"/>
    <col min="5891" max="5891" width="8.85546875" style="254"/>
    <col min="5892" max="5892" width="6.42578125" style="254" customWidth="1"/>
    <col min="5893" max="5893" width="8.85546875" style="254"/>
    <col min="5894" max="5894" width="11.42578125" style="254" customWidth="1"/>
    <col min="5895" max="5895" width="5" style="254" customWidth="1"/>
    <col min="5896" max="5896" width="12.140625" style="254" customWidth="1"/>
    <col min="5897" max="5897" width="9" style="254" customWidth="1"/>
    <col min="5898" max="5899" width="8.85546875" style="254"/>
    <col min="5900" max="5901" width="14.42578125" style="254" bestFit="1" customWidth="1"/>
    <col min="5902" max="5903" width="8.85546875" style="254"/>
    <col min="5904" max="5904" width="11" style="254" bestFit="1" customWidth="1"/>
    <col min="5905" max="6144" width="8.85546875" style="254"/>
    <col min="6145" max="6145" width="2" style="254" bestFit="1" customWidth="1"/>
    <col min="6146" max="6146" width="13.42578125" style="254" bestFit="1" customWidth="1"/>
    <col min="6147" max="6147" width="8.85546875" style="254"/>
    <col min="6148" max="6148" width="6.42578125" style="254" customWidth="1"/>
    <col min="6149" max="6149" width="8.85546875" style="254"/>
    <col min="6150" max="6150" width="11.42578125" style="254" customWidth="1"/>
    <col min="6151" max="6151" width="5" style="254" customWidth="1"/>
    <col min="6152" max="6152" width="12.140625" style="254" customWidth="1"/>
    <col min="6153" max="6153" width="9" style="254" customWidth="1"/>
    <col min="6154" max="6155" width="8.85546875" style="254"/>
    <col min="6156" max="6157" width="14.42578125" style="254" bestFit="1" customWidth="1"/>
    <col min="6158" max="6159" width="8.85546875" style="254"/>
    <col min="6160" max="6160" width="11" style="254" bestFit="1" customWidth="1"/>
    <col min="6161" max="6400" width="8.85546875" style="254"/>
    <col min="6401" max="6401" width="2" style="254" bestFit="1" customWidth="1"/>
    <col min="6402" max="6402" width="13.42578125" style="254" bestFit="1" customWidth="1"/>
    <col min="6403" max="6403" width="8.85546875" style="254"/>
    <col min="6404" max="6404" width="6.42578125" style="254" customWidth="1"/>
    <col min="6405" max="6405" width="8.85546875" style="254"/>
    <col min="6406" max="6406" width="11.42578125" style="254" customWidth="1"/>
    <col min="6407" max="6407" width="5" style="254" customWidth="1"/>
    <col min="6408" max="6408" width="12.140625" style="254" customWidth="1"/>
    <col min="6409" max="6409" width="9" style="254" customWidth="1"/>
    <col min="6410" max="6411" width="8.85546875" style="254"/>
    <col min="6412" max="6413" width="14.42578125" style="254" bestFit="1" customWidth="1"/>
    <col min="6414" max="6415" width="8.85546875" style="254"/>
    <col min="6416" max="6416" width="11" style="254" bestFit="1" customWidth="1"/>
    <col min="6417" max="6656" width="8.85546875" style="254"/>
    <col min="6657" max="6657" width="2" style="254" bestFit="1" customWidth="1"/>
    <col min="6658" max="6658" width="13.42578125" style="254" bestFit="1" customWidth="1"/>
    <col min="6659" max="6659" width="8.85546875" style="254"/>
    <col min="6660" max="6660" width="6.42578125" style="254" customWidth="1"/>
    <col min="6661" max="6661" width="8.85546875" style="254"/>
    <col min="6662" max="6662" width="11.42578125" style="254" customWidth="1"/>
    <col min="6663" max="6663" width="5" style="254" customWidth="1"/>
    <col min="6664" max="6664" width="12.140625" style="254" customWidth="1"/>
    <col min="6665" max="6665" width="9" style="254" customWidth="1"/>
    <col min="6666" max="6667" width="8.85546875" style="254"/>
    <col min="6668" max="6669" width="14.42578125" style="254" bestFit="1" customWidth="1"/>
    <col min="6670" max="6671" width="8.85546875" style="254"/>
    <col min="6672" max="6672" width="11" style="254" bestFit="1" customWidth="1"/>
    <col min="6673" max="6912" width="8.85546875" style="254"/>
    <col min="6913" max="6913" width="2" style="254" bestFit="1" customWidth="1"/>
    <col min="6914" max="6914" width="13.42578125" style="254" bestFit="1" customWidth="1"/>
    <col min="6915" max="6915" width="8.85546875" style="254"/>
    <col min="6916" max="6916" width="6.42578125" style="254" customWidth="1"/>
    <col min="6917" max="6917" width="8.85546875" style="254"/>
    <col min="6918" max="6918" width="11.42578125" style="254" customWidth="1"/>
    <col min="6919" max="6919" width="5" style="254" customWidth="1"/>
    <col min="6920" max="6920" width="12.140625" style="254" customWidth="1"/>
    <col min="6921" max="6921" width="9" style="254" customWidth="1"/>
    <col min="6922" max="6923" width="8.85546875" style="254"/>
    <col min="6924" max="6925" width="14.42578125" style="254" bestFit="1" customWidth="1"/>
    <col min="6926" max="6927" width="8.85546875" style="254"/>
    <col min="6928" max="6928" width="11" style="254" bestFit="1" customWidth="1"/>
    <col min="6929" max="7168" width="8.85546875" style="254"/>
    <col min="7169" max="7169" width="2" style="254" bestFit="1" customWidth="1"/>
    <col min="7170" max="7170" width="13.42578125" style="254" bestFit="1" customWidth="1"/>
    <col min="7171" max="7171" width="8.85546875" style="254"/>
    <col min="7172" max="7172" width="6.42578125" style="254" customWidth="1"/>
    <col min="7173" max="7173" width="8.85546875" style="254"/>
    <col min="7174" max="7174" width="11.42578125" style="254" customWidth="1"/>
    <col min="7175" max="7175" width="5" style="254" customWidth="1"/>
    <col min="7176" max="7176" width="12.140625" style="254" customWidth="1"/>
    <col min="7177" max="7177" width="9" style="254" customWidth="1"/>
    <col min="7178" max="7179" width="8.85546875" style="254"/>
    <col min="7180" max="7181" width="14.42578125" style="254" bestFit="1" customWidth="1"/>
    <col min="7182" max="7183" width="8.85546875" style="254"/>
    <col min="7184" max="7184" width="11" style="254" bestFit="1" customWidth="1"/>
    <col min="7185" max="7424" width="8.85546875" style="254"/>
    <col min="7425" max="7425" width="2" style="254" bestFit="1" customWidth="1"/>
    <col min="7426" max="7426" width="13.42578125" style="254" bestFit="1" customWidth="1"/>
    <col min="7427" max="7427" width="8.85546875" style="254"/>
    <col min="7428" max="7428" width="6.42578125" style="254" customWidth="1"/>
    <col min="7429" max="7429" width="8.85546875" style="254"/>
    <col min="7430" max="7430" width="11.42578125" style="254" customWidth="1"/>
    <col min="7431" max="7431" width="5" style="254" customWidth="1"/>
    <col min="7432" max="7432" width="12.140625" style="254" customWidth="1"/>
    <col min="7433" max="7433" width="9" style="254" customWidth="1"/>
    <col min="7434" max="7435" width="8.85546875" style="254"/>
    <col min="7436" max="7437" width="14.42578125" style="254" bestFit="1" customWidth="1"/>
    <col min="7438" max="7439" width="8.85546875" style="254"/>
    <col min="7440" max="7440" width="11" style="254" bestFit="1" customWidth="1"/>
    <col min="7441" max="7680" width="8.85546875" style="254"/>
    <col min="7681" max="7681" width="2" style="254" bestFit="1" customWidth="1"/>
    <col min="7682" max="7682" width="13.42578125" style="254" bestFit="1" customWidth="1"/>
    <col min="7683" max="7683" width="8.85546875" style="254"/>
    <col min="7684" max="7684" width="6.42578125" style="254" customWidth="1"/>
    <col min="7685" max="7685" width="8.85546875" style="254"/>
    <col min="7686" max="7686" width="11.42578125" style="254" customWidth="1"/>
    <col min="7687" max="7687" width="5" style="254" customWidth="1"/>
    <col min="7688" max="7688" width="12.140625" style="254" customWidth="1"/>
    <col min="7689" max="7689" width="9" style="254" customWidth="1"/>
    <col min="7690" max="7691" width="8.85546875" style="254"/>
    <col min="7692" max="7693" width="14.42578125" style="254" bestFit="1" customWidth="1"/>
    <col min="7694" max="7695" width="8.85546875" style="254"/>
    <col min="7696" max="7696" width="11" style="254" bestFit="1" customWidth="1"/>
    <col min="7697" max="7936" width="8.85546875" style="254"/>
    <col min="7937" max="7937" width="2" style="254" bestFit="1" customWidth="1"/>
    <col min="7938" max="7938" width="13.42578125" style="254" bestFit="1" customWidth="1"/>
    <col min="7939" max="7939" width="8.85546875" style="254"/>
    <col min="7940" max="7940" width="6.42578125" style="254" customWidth="1"/>
    <col min="7941" max="7941" width="8.85546875" style="254"/>
    <col min="7942" max="7942" width="11.42578125" style="254" customWidth="1"/>
    <col min="7943" max="7943" width="5" style="254" customWidth="1"/>
    <col min="7944" max="7944" width="12.140625" style="254" customWidth="1"/>
    <col min="7945" max="7945" width="9" style="254" customWidth="1"/>
    <col min="7946" max="7947" width="8.85546875" style="254"/>
    <col min="7948" max="7949" width="14.42578125" style="254" bestFit="1" customWidth="1"/>
    <col min="7950" max="7951" width="8.85546875" style="254"/>
    <col min="7952" max="7952" width="11" style="254" bestFit="1" customWidth="1"/>
    <col min="7953" max="8192" width="8.85546875" style="254"/>
    <col min="8193" max="8193" width="2" style="254" bestFit="1" customWidth="1"/>
    <col min="8194" max="8194" width="13.42578125" style="254" bestFit="1" customWidth="1"/>
    <col min="8195" max="8195" width="8.85546875" style="254"/>
    <col min="8196" max="8196" width="6.42578125" style="254" customWidth="1"/>
    <col min="8197" max="8197" width="8.85546875" style="254"/>
    <col min="8198" max="8198" width="11.42578125" style="254" customWidth="1"/>
    <col min="8199" max="8199" width="5" style="254" customWidth="1"/>
    <col min="8200" max="8200" width="12.140625" style="254" customWidth="1"/>
    <col min="8201" max="8201" width="9" style="254" customWidth="1"/>
    <col min="8202" max="8203" width="8.85546875" style="254"/>
    <col min="8204" max="8205" width="14.42578125" style="254" bestFit="1" customWidth="1"/>
    <col min="8206" max="8207" width="8.85546875" style="254"/>
    <col min="8208" max="8208" width="11" style="254" bestFit="1" customWidth="1"/>
    <col min="8209" max="8448" width="8.85546875" style="254"/>
    <col min="8449" max="8449" width="2" style="254" bestFit="1" customWidth="1"/>
    <col min="8450" max="8450" width="13.42578125" style="254" bestFit="1" customWidth="1"/>
    <col min="8451" max="8451" width="8.85546875" style="254"/>
    <col min="8452" max="8452" width="6.42578125" style="254" customWidth="1"/>
    <col min="8453" max="8453" width="8.85546875" style="254"/>
    <col min="8454" max="8454" width="11.42578125" style="254" customWidth="1"/>
    <col min="8455" max="8455" width="5" style="254" customWidth="1"/>
    <col min="8456" max="8456" width="12.140625" style="254" customWidth="1"/>
    <col min="8457" max="8457" width="9" style="254" customWidth="1"/>
    <col min="8458" max="8459" width="8.85546875" style="254"/>
    <col min="8460" max="8461" width="14.42578125" style="254" bestFit="1" customWidth="1"/>
    <col min="8462" max="8463" width="8.85546875" style="254"/>
    <col min="8464" max="8464" width="11" style="254" bestFit="1" customWidth="1"/>
    <col min="8465" max="8704" width="8.85546875" style="254"/>
    <col min="8705" max="8705" width="2" style="254" bestFit="1" customWidth="1"/>
    <col min="8706" max="8706" width="13.42578125" style="254" bestFit="1" customWidth="1"/>
    <col min="8707" max="8707" width="8.85546875" style="254"/>
    <col min="8708" max="8708" width="6.42578125" style="254" customWidth="1"/>
    <col min="8709" max="8709" width="8.85546875" style="254"/>
    <col min="8710" max="8710" width="11.42578125" style="254" customWidth="1"/>
    <col min="8711" max="8711" width="5" style="254" customWidth="1"/>
    <col min="8712" max="8712" width="12.140625" style="254" customWidth="1"/>
    <col min="8713" max="8713" width="9" style="254" customWidth="1"/>
    <col min="8714" max="8715" width="8.85546875" style="254"/>
    <col min="8716" max="8717" width="14.42578125" style="254" bestFit="1" customWidth="1"/>
    <col min="8718" max="8719" width="8.85546875" style="254"/>
    <col min="8720" max="8720" width="11" style="254" bestFit="1" customWidth="1"/>
    <col min="8721" max="8960" width="8.85546875" style="254"/>
    <col min="8961" max="8961" width="2" style="254" bestFit="1" customWidth="1"/>
    <col min="8962" max="8962" width="13.42578125" style="254" bestFit="1" customWidth="1"/>
    <col min="8963" max="8963" width="8.85546875" style="254"/>
    <col min="8964" max="8964" width="6.42578125" style="254" customWidth="1"/>
    <col min="8965" max="8965" width="8.85546875" style="254"/>
    <col min="8966" max="8966" width="11.42578125" style="254" customWidth="1"/>
    <col min="8967" max="8967" width="5" style="254" customWidth="1"/>
    <col min="8968" max="8968" width="12.140625" style="254" customWidth="1"/>
    <col min="8969" max="8969" width="9" style="254" customWidth="1"/>
    <col min="8970" max="8971" width="8.85546875" style="254"/>
    <col min="8972" max="8973" width="14.42578125" style="254" bestFit="1" customWidth="1"/>
    <col min="8974" max="8975" width="8.85546875" style="254"/>
    <col min="8976" max="8976" width="11" style="254" bestFit="1" customWidth="1"/>
    <col min="8977" max="9216" width="8.85546875" style="254"/>
    <col min="9217" max="9217" width="2" style="254" bestFit="1" customWidth="1"/>
    <col min="9218" max="9218" width="13.42578125" style="254" bestFit="1" customWidth="1"/>
    <col min="9219" max="9219" width="8.85546875" style="254"/>
    <col min="9220" max="9220" width="6.42578125" style="254" customWidth="1"/>
    <col min="9221" max="9221" width="8.85546875" style="254"/>
    <col min="9222" max="9222" width="11.42578125" style="254" customWidth="1"/>
    <col min="9223" max="9223" width="5" style="254" customWidth="1"/>
    <col min="9224" max="9224" width="12.140625" style="254" customWidth="1"/>
    <col min="9225" max="9225" width="9" style="254" customWidth="1"/>
    <col min="9226" max="9227" width="8.85546875" style="254"/>
    <col min="9228" max="9229" width="14.42578125" style="254" bestFit="1" customWidth="1"/>
    <col min="9230" max="9231" width="8.85546875" style="254"/>
    <col min="9232" max="9232" width="11" style="254" bestFit="1" customWidth="1"/>
    <col min="9233" max="9472" width="8.85546875" style="254"/>
    <col min="9473" max="9473" width="2" style="254" bestFit="1" customWidth="1"/>
    <col min="9474" max="9474" width="13.42578125" style="254" bestFit="1" customWidth="1"/>
    <col min="9475" max="9475" width="8.85546875" style="254"/>
    <col min="9476" max="9476" width="6.42578125" style="254" customWidth="1"/>
    <col min="9477" max="9477" width="8.85546875" style="254"/>
    <col min="9478" max="9478" width="11.42578125" style="254" customWidth="1"/>
    <col min="9479" max="9479" width="5" style="254" customWidth="1"/>
    <col min="9480" max="9480" width="12.140625" style="254" customWidth="1"/>
    <col min="9481" max="9481" width="9" style="254" customWidth="1"/>
    <col min="9482" max="9483" width="8.85546875" style="254"/>
    <col min="9484" max="9485" width="14.42578125" style="254" bestFit="1" customWidth="1"/>
    <col min="9486" max="9487" width="8.85546875" style="254"/>
    <col min="9488" max="9488" width="11" style="254" bestFit="1" customWidth="1"/>
    <col min="9489" max="9728" width="8.85546875" style="254"/>
    <col min="9729" max="9729" width="2" style="254" bestFit="1" customWidth="1"/>
    <col min="9730" max="9730" width="13.42578125" style="254" bestFit="1" customWidth="1"/>
    <col min="9731" max="9731" width="8.85546875" style="254"/>
    <col min="9732" max="9732" width="6.42578125" style="254" customWidth="1"/>
    <col min="9733" max="9733" width="8.85546875" style="254"/>
    <col min="9734" max="9734" width="11.42578125" style="254" customWidth="1"/>
    <col min="9735" max="9735" width="5" style="254" customWidth="1"/>
    <col min="9736" max="9736" width="12.140625" style="254" customWidth="1"/>
    <col min="9737" max="9737" width="9" style="254" customWidth="1"/>
    <col min="9738" max="9739" width="8.85546875" style="254"/>
    <col min="9740" max="9741" width="14.42578125" style="254" bestFit="1" customWidth="1"/>
    <col min="9742" max="9743" width="8.85546875" style="254"/>
    <col min="9744" max="9744" width="11" style="254" bestFit="1" customWidth="1"/>
    <col min="9745" max="9984" width="8.85546875" style="254"/>
    <col min="9985" max="9985" width="2" style="254" bestFit="1" customWidth="1"/>
    <col min="9986" max="9986" width="13.42578125" style="254" bestFit="1" customWidth="1"/>
    <col min="9987" max="9987" width="8.85546875" style="254"/>
    <col min="9988" max="9988" width="6.42578125" style="254" customWidth="1"/>
    <col min="9989" max="9989" width="8.85546875" style="254"/>
    <col min="9990" max="9990" width="11.42578125" style="254" customWidth="1"/>
    <col min="9991" max="9991" width="5" style="254" customWidth="1"/>
    <col min="9992" max="9992" width="12.140625" style="254" customWidth="1"/>
    <col min="9993" max="9993" width="9" style="254" customWidth="1"/>
    <col min="9994" max="9995" width="8.85546875" style="254"/>
    <col min="9996" max="9997" width="14.42578125" style="254" bestFit="1" customWidth="1"/>
    <col min="9998" max="9999" width="8.85546875" style="254"/>
    <col min="10000" max="10000" width="11" style="254" bestFit="1" customWidth="1"/>
    <col min="10001" max="10240" width="8.85546875" style="254"/>
    <col min="10241" max="10241" width="2" style="254" bestFit="1" customWidth="1"/>
    <col min="10242" max="10242" width="13.42578125" style="254" bestFit="1" customWidth="1"/>
    <col min="10243" max="10243" width="8.85546875" style="254"/>
    <col min="10244" max="10244" width="6.42578125" style="254" customWidth="1"/>
    <col min="10245" max="10245" width="8.85546875" style="254"/>
    <col min="10246" max="10246" width="11.42578125" style="254" customWidth="1"/>
    <col min="10247" max="10247" width="5" style="254" customWidth="1"/>
    <col min="10248" max="10248" width="12.140625" style="254" customWidth="1"/>
    <col min="10249" max="10249" width="9" style="254" customWidth="1"/>
    <col min="10250" max="10251" width="8.85546875" style="254"/>
    <col min="10252" max="10253" width="14.42578125" style="254" bestFit="1" customWidth="1"/>
    <col min="10254" max="10255" width="8.85546875" style="254"/>
    <col min="10256" max="10256" width="11" style="254" bestFit="1" customWidth="1"/>
    <col min="10257" max="10496" width="8.85546875" style="254"/>
    <col min="10497" max="10497" width="2" style="254" bestFit="1" customWidth="1"/>
    <col min="10498" max="10498" width="13.42578125" style="254" bestFit="1" customWidth="1"/>
    <col min="10499" max="10499" width="8.85546875" style="254"/>
    <col min="10500" max="10500" width="6.42578125" style="254" customWidth="1"/>
    <col min="10501" max="10501" width="8.85546875" style="254"/>
    <col min="10502" max="10502" width="11.42578125" style="254" customWidth="1"/>
    <col min="10503" max="10503" width="5" style="254" customWidth="1"/>
    <col min="10504" max="10504" width="12.140625" style="254" customWidth="1"/>
    <col min="10505" max="10505" width="9" style="254" customWidth="1"/>
    <col min="10506" max="10507" width="8.85546875" style="254"/>
    <col min="10508" max="10509" width="14.42578125" style="254" bestFit="1" customWidth="1"/>
    <col min="10510" max="10511" width="8.85546875" style="254"/>
    <col min="10512" max="10512" width="11" style="254" bestFit="1" customWidth="1"/>
    <col min="10513" max="10752" width="8.85546875" style="254"/>
    <col min="10753" max="10753" width="2" style="254" bestFit="1" customWidth="1"/>
    <col min="10754" max="10754" width="13.42578125" style="254" bestFit="1" customWidth="1"/>
    <col min="10755" max="10755" width="8.85546875" style="254"/>
    <col min="10756" max="10756" width="6.42578125" style="254" customWidth="1"/>
    <col min="10757" max="10757" width="8.85546875" style="254"/>
    <col min="10758" max="10758" width="11.42578125" style="254" customWidth="1"/>
    <col min="10759" max="10759" width="5" style="254" customWidth="1"/>
    <col min="10760" max="10760" width="12.140625" style="254" customWidth="1"/>
    <col min="10761" max="10761" width="9" style="254" customWidth="1"/>
    <col min="10762" max="10763" width="8.85546875" style="254"/>
    <col min="10764" max="10765" width="14.42578125" style="254" bestFit="1" customWidth="1"/>
    <col min="10766" max="10767" width="8.85546875" style="254"/>
    <col min="10768" max="10768" width="11" style="254" bestFit="1" customWidth="1"/>
    <col min="10769" max="11008" width="8.85546875" style="254"/>
    <col min="11009" max="11009" width="2" style="254" bestFit="1" customWidth="1"/>
    <col min="11010" max="11010" width="13.42578125" style="254" bestFit="1" customWidth="1"/>
    <col min="11011" max="11011" width="8.85546875" style="254"/>
    <col min="11012" max="11012" width="6.42578125" style="254" customWidth="1"/>
    <col min="11013" max="11013" width="8.85546875" style="254"/>
    <col min="11014" max="11014" width="11.42578125" style="254" customWidth="1"/>
    <col min="11015" max="11015" width="5" style="254" customWidth="1"/>
    <col min="11016" max="11016" width="12.140625" style="254" customWidth="1"/>
    <col min="11017" max="11017" width="9" style="254" customWidth="1"/>
    <col min="11018" max="11019" width="8.85546875" style="254"/>
    <col min="11020" max="11021" width="14.42578125" style="254" bestFit="1" customWidth="1"/>
    <col min="11022" max="11023" width="8.85546875" style="254"/>
    <col min="11024" max="11024" width="11" style="254" bestFit="1" customWidth="1"/>
    <col min="11025" max="11264" width="8.85546875" style="254"/>
    <col min="11265" max="11265" width="2" style="254" bestFit="1" customWidth="1"/>
    <col min="11266" max="11266" width="13.42578125" style="254" bestFit="1" customWidth="1"/>
    <col min="11267" max="11267" width="8.85546875" style="254"/>
    <col min="11268" max="11268" width="6.42578125" style="254" customWidth="1"/>
    <col min="11269" max="11269" width="8.85546875" style="254"/>
    <col min="11270" max="11270" width="11.42578125" style="254" customWidth="1"/>
    <col min="11271" max="11271" width="5" style="254" customWidth="1"/>
    <col min="11272" max="11272" width="12.140625" style="254" customWidth="1"/>
    <col min="11273" max="11273" width="9" style="254" customWidth="1"/>
    <col min="11274" max="11275" width="8.85546875" style="254"/>
    <col min="11276" max="11277" width="14.42578125" style="254" bestFit="1" customWidth="1"/>
    <col min="11278" max="11279" width="8.85546875" style="254"/>
    <col min="11280" max="11280" width="11" style="254" bestFit="1" customWidth="1"/>
    <col min="11281" max="11520" width="8.85546875" style="254"/>
    <col min="11521" max="11521" width="2" style="254" bestFit="1" customWidth="1"/>
    <col min="11522" max="11522" width="13.42578125" style="254" bestFit="1" customWidth="1"/>
    <col min="11523" max="11523" width="8.85546875" style="254"/>
    <col min="11524" max="11524" width="6.42578125" style="254" customWidth="1"/>
    <col min="11525" max="11525" width="8.85546875" style="254"/>
    <col min="11526" max="11526" width="11.42578125" style="254" customWidth="1"/>
    <col min="11527" max="11527" width="5" style="254" customWidth="1"/>
    <col min="11528" max="11528" width="12.140625" style="254" customWidth="1"/>
    <col min="11529" max="11529" width="9" style="254" customWidth="1"/>
    <col min="11530" max="11531" width="8.85546875" style="254"/>
    <col min="11532" max="11533" width="14.42578125" style="254" bestFit="1" customWidth="1"/>
    <col min="11534" max="11535" width="8.85546875" style="254"/>
    <col min="11536" max="11536" width="11" style="254" bestFit="1" customWidth="1"/>
    <col min="11537" max="11776" width="8.85546875" style="254"/>
    <col min="11777" max="11777" width="2" style="254" bestFit="1" customWidth="1"/>
    <col min="11778" max="11778" width="13.42578125" style="254" bestFit="1" customWidth="1"/>
    <col min="11779" max="11779" width="8.85546875" style="254"/>
    <col min="11780" max="11780" width="6.42578125" style="254" customWidth="1"/>
    <col min="11781" max="11781" width="8.85546875" style="254"/>
    <col min="11782" max="11782" width="11.42578125" style="254" customWidth="1"/>
    <col min="11783" max="11783" width="5" style="254" customWidth="1"/>
    <col min="11784" max="11784" width="12.140625" style="254" customWidth="1"/>
    <col min="11785" max="11785" width="9" style="254" customWidth="1"/>
    <col min="11786" max="11787" width="8.85546875" style="254"/>
    <col min="11788" max="11789" width="14.42578125" style="254" bestFit="1" customWidth="1"/>
    <col min="11790" max="11791" width="8.85546875" style="254"/>
    <col min="11792" max="11792" width="11" style="254" bestFit="1" customWidth="1"/>
    <col min="11793" max="12032" width="8.85546875" style="254"/>
    <col min="12033" max="12033" width="2" style="254" bestFit="1" customWidth="1"/>
    <col min="12034" max="12034" width="13.42578125" style="254" bestFit="1" customWidth="1"/>
    <col min="12035" max="12035" width="8.85546875" style="254"/>
    <col min="12036" max="12036" width="6.42578125" style="254" customWidth="1"/>
    <col min="12037" max="12037" width="8.85546875" style="254"/>
    <col min="12038" max="12038" width="11.42578125" style="254" customWidth="1"/>
    <col min="12039" max="12039" width="5" style="254" customWidth="1"/>
    <col min="12040" max="12040" width="12.140625" style="254" customWidth="1"/>
    <col min="12041" max="12041" width="9" style="254" customWidth="1"/>
    <col min="12042" max="12043" width="8.85546875" style="254"/>
    <col min="12044" max="12045" width="14.42578125" style="254" bestFit="1" customWidth="1"/>
    <col min="12046" max="12047" width="8.85546875" style="254"/>
    <col min="12048" max="12048" width="11" style="254" bestFit="1" customWidth="1"/>
    <col min="12049" max="12288" width="8.85546875" style="254"/>
    <col min="12289" max="12289" width="2" style="254" bestFit="1" customWidth="1"/>
    <col min="12290" max="12290" width="13.42578125" style="254" bestFit="1" customWidth="1"/>
    <col min="12291" max="12291" width="8.85546875" style="254"/>
    <col min="12292" max="12292" width="6.42578125" style="254" customWidth="1"/>
    <col min="12293" max="12293" width="8.85546875" style="254"/>
    <col min="12294" max="12294" width="11.42578125" style="254" customWidth="1"/>
    <col min="12295" max="12295" width="5" style="254" customWidth="1"/>
    <col min="12296" max="12296" width="12.140625" style="254" customWidth="1"/>
    <col min="12297" max="12297" width="9" style="254" customWidth="1"/>
    <col min="12298" max="12299" width="8.85546875" style="254"/>
    <col min="12300" max="12301" width="14.42578125" style="254" bestFit="1" customWidth="1"/>
    <col min="12302" max="12303" width="8.85546875" style="254"/>
    <col min="12304" max="12304" width="11" style="254" bestFit="1" customWidth="1"/>
    <col min="12305" max="12544" width="8.85546875" style="254"/>
    <col min="12545" max="12545" width="2" style="254" bestFit="1" customWidth="1"/>
    <col min="12546" max="12546" width="13.42578125" style="254" bestFit="1" customWidth="1"/>
    <col min="12547" max="12547" width="8.85546875" style="254"/>
    <col min="12548" max="12548" width="6.42578125" style="254" customWidth="1"/>
    <col min="12549" max="12549" width="8.85546875" style="254"/>
    <col min="12550" max="12550" width="11.42578125" style="254" customWidth="1"/>
    <col min="12551" max="12551" width="5" style="254" customWidth="1"/>
    <col min="12552" max="12552" width="12.140625" style="254" customWidth="1"/>
    <col min="12553" max="12553" width="9" style="254" customWidth="1"/>
    <col min="12554" max="12555" width="8.85546875" style="254"/>
    <col min="12556" max="12557" width="14.42578125" style="254" bestFit="1" customWidth="1"/>
    <col min="12558" max="12559" width="8.85546875" style="254"/>
    <col min="12560" max="12560" width="11" style="254" bestFit="1" customWidth="1"/>
    <col min="12561" max="12800" width="8.85546875" style="254"/>
    <col min="12801" max="12801" width="2" style="254" bestFit="1" customWidth="1"/>
    <col min="12802" max="12802" width="13.42578125" style="254" bestFit="1" customWidth="1"/>
    <col min="12803" max="12803" width="8.85546875" style="254"/>
    <col min="12804" max="12804" width="6.42578125" style="254" customWidth="1"/>
    <col min="12805" max="12805" width="8.85546875" style="254"/>
    <col min="12806" max="12806" width="11.42578125" style="254" customWidth="1"/>
    <col min="12807" max="12807" width="5" style="254" customWidth="1"/>
    <col min="12808" max="12808" width="12.140625" style="254" customWidth="1"/>
    <col min="12809" max="12809" width="9" style="254" customWidth="1"/>
    <col min="12810" max="12811" width="8.85546875" style="254"/>
    <col min="12812" max="12813" width="14.42578125" style="254" bestFit="1" customWidth="1"/>
    <col min="12814" max="12815" width="8.85546875" style="254"/>
    <col min="12816" max="12816" width="11" style="254" bestFit="1" customWidth="1"/>
    <col min="12817" max="13056" width="8.85546875" style="254"/>
    <col min="13057" max="13057" width="2" style="254" bestFit="1" customWidth="1"/>
    <col min="13058" max="13058" width="13.42578125" style="254" bestFit="1" customWidth="1"/>
    <col min="13059" max="13059" width="8.85546875" style="254"/>
    <col min="13060" max="13060" width="6.42578125" style="254" customWidth="1"/>
    <col min="13061" max="13061" width="8.85546875" style="254"/>
    <col min="13062" max="13062" width="11.42578125" style="254" customWidth="1"/>
    <col min="13063" max="13063" width="5" style="254" customWidth="1"/>
    <col min="13064" max="13064" width="12.140625" style="254" customWidth="1"/>
    <col min="13065" max="13065" width="9" style="254" customWidth="1"/>
    <col min="13066" max="13067" width="8.85546875" style="254"/>
    <col min="13068" max="13069" width="14.42578125" style="254" bestFit="1" customWidth="1"/>
    <col min="13070" max="13071" width="8.85546875" style="254"/>
    <col min="13072" max="13072" width="11" style="254" bestFit="1" customWidth="1"/>
    <col min="13073" max="13312" width="8.85546875" style="254"/>
    <col min="13313" max="13313" width="2" style="254" bestFit="1" customWidth="1"/>
    <col min="13314" max="13314" width="13.42578125" style="254" bestFit="1" customWidth="1"/>
    <col min="13315" max="13315" width="8.85546875" style="254"/>
    <col min="13316" max="13316" width="6.42578125" style="254" customWidth="1"/>
    <col min="13317" max="13317" width="8.85546875" style="254"/>
    <col min="13318" max="13318" width="11.42578125" style="254" customWidth="1"/>
    <col min="13319" max="13319" width="5" style="254" customWidth="1"/>
    <col min="13320" max="13320" width="12.140625" style="254" customWidth="1"/>
    <col min="13321" max="13321" width="9" style="254" customWidth="1"/>
    <col min="13322" max="13323" width="8.85546875" style="254"/>
    <col min="13324" max="13325" width="14.42578125" style="254" bestFit="1" customWidth="1"/>
    <col min="13326" max="13327" width="8.85546875" style="254"/>
    <col min="13328" max="13328" width="11" style="254" bestFit="1" customWidth="1"/>
    <col min="13329" max="13568" width="8.85546875" style="254"/>
    <col min="13569" max="13569" width="2" style="254" bestFit="1" customWidth="1"/>
    <col min="13570" max="13570" width="13.42578125" style="254" bestFit="1" customWidth="1"/>
    <col min="13571" max="13571" width="8.85546875" style="254"/>
    <col min="13572" max="13572" width="6.42578125" style="254" customWidth="1"/>
    <col min="13573" max="13573" width="8.85546875" style="254"/>
    <col min="13574" max="13574" width="11.42578125" style="254" customWidth="1"/>
    <col min="13575" max="13575" width="5" style="254" customWidth="1"/>
    <col min="13576" max="13576" width="12.140625" style="254" customWidth="1"/>
    <col min="13577" max="13577" width="9" style="254" customWidth="1"/>
    <col min="13578" max="13579" width="8.85546875" style="254"/>
    <col min="13580" max="13581" width="14.42578125" style="254" bestFit="1" customWidth="1"/>
    <col min="13582" max="13583" width="8.85546875" style="254"/>
    <col min="13584" max="13584" width="11" style="254" bestFit="1" customWidth="1"/>
    <col min="13585" max="13824" width="8.85546875" style="254"/>
    <col min="13825" max="13825" width="2" style="254" bestFit="1" customWidth="1"/>
    <col min="13826" max="13826" width="13.42578125" style="254" bestFit="1" customWidth="1"/>
    <col min="13827" max="13827" width="8.85546875" style="254"/>
    <col min="13828" max="13828" width="6.42578125" style="254" customWidth="1"/>
    <col min="13829" max="13829" width="8.85546875" style="254"/>
    <col min="13830" max="13830" width="11.42578125" style="254" customWidth="1"/>
    <col min="13831" max="13831" width="5" style="254" customWidth="1"/>
    <col min="13832" max="13832" width="12.140625" style="254" customWidth="1"/>
    <col min="13833" max="13833" width="9" style="254" customWidth="1"/>
    <col min="13834" max="13835" width="8.85546875" style="254"/>
    <col min="13836" max="13837" width="14.42578125" style="254" bestFit="1" customWidth="1"/>
    <col min="13838" max="13839" width="8.85546875" style="254"/>
    <col min="13840" max="13840" width="11" style="254" bestFit="1" customWidth="1"/>
    <col min="13841" max="14080" width="8.85546875" style="254"/>
    <col min="14081" max="14081" width="2" style="254" bestFit="1" customWidth="1"/>
    <col min="14082" max="14082" width="13.42578125" style="254" bestFit="1" customWidth="1"/>
    <col min="14083" max="14083" width="8.85546875" style="254"/>
    <col min="14084" max="14084" width="6.42578125" style="254" customWidth="1"/>
    <col min="14085" max="14085" width="8.85546875" style="254"/>
    <col min="14086" max="14086" width="11.42578125" style="254" customWidth="1"/>
    <col min="14087" max="14087" width="5" style="254" customWidth="1"/>
    <col min="14088" max="14088" width="12.140625" style="254" customWidth="1"/>
    <col min="14089" max="14089" width="9" style="254" customWidth="1"/>
    <col min="14090" max="14091" width="8.85546875" style="254"/>
    <col min="14092" max="14093" width="14.42578125" style="254" bestFit="1" customWidth="1"/>
    <col min="14094" max="14095" width="8.85546875" style="254"/>
    <col min="14096" max="14096" width="11" style="254" bestFit="1" customWidth="1"/>
    <col min="14097" max="14336" width="8.85546875" style="254"/>
    <col min="14337" max="14337" width="2" style="254" bestFit="1" customWidth="1"/>
    <col min="14338" max="14338" width="13.42578125" style="254" bestFit="1" customWidth="1"/>
    <col min="14339" max="14339" width="8.85546875" style="254"/>
    <col min="14340" max="14340" width="6.42578125" style="254" customWidth="1"/>
    <col min="14341" max="14341" width="8.85546875" style="254"/>
    <col min="14342" max="14342" width="11.42578125" style="254" customWidth="1"/>
    <col min="14343" max="14343" width="5" style="254" customWidth="1"/>
    <col min="14344" max="14344" width="12.140625" style="254" customWidth="1"/>
    <col min="14345" max="14345" width="9" style="254" customWidth="1"/>
    <col min="14346" max="14347" width="8.85546875" style="254"/>
    <col min="14348" max="14349" width="14.42578125" style="254" bestFit="1" customWidth="1"/>
    <col min="14350" max="14351" width="8.85546875" style="254"/>
    <col min="14352" max="14352" width="11" style="254" bestFit="1" customWidth="1"/>
    <col min="14353" max="14592" width="8.85546875" style="254"/>
    <col min="14593" max="14593" width="2" style="254" bestFit="1" customWidth="1"/>
    <col min="14594" max="14594" width="13.42578125" style="254" bestFit="1" customWidth="1"/>
    <col min="14595" max="14595" width="8.85546875" style="254"/>
    <col min="14596" max="14596" width="6.42578125" style="254" customWidth="1"/>
    <col min="14597" max="14597" width="8.85546875" style="254"/>
    <col min="14598" max="14598" width="11.42578125" style="254" customWidth="1"/>
    <col min="14599" max="14599" width="5" style="254" customWidth="1"/>
    <col min="14600" max="14600" width="12.140625" style="254" customWidth="1"/>
    <col min="14601" max="14601" width="9" style="254" customWidth="1"/>
    <col min="14602" max="14603" width="8.85546875" style="254"/>
    <col min="14604" max="14605" width="14.42578125" style="254" bestFit="1" customWidth="1"/>
    <col min="14606" max="14607" width="8.85546875" style="254"/>
    <col min="14608" max="14608" width="11" style="254" bestFit="1" customWidth="1"/>
    <col min="14609" max="14848" width="8.85546875" style="254"/>
    <col min="14849" max="14849" width="2" style="254" bestFit="1" customWidth="1"/>
    <col min="14850" max="14850" width="13.42578125" style="254" bestFit="1" customWidth="1"/>
    <col min="14851" max="14851" width="8.85546875" style="254"/>
    <col min="14852" max="14852" width="6.42578125" style="254" customWidth="1"/>
    <col min="14853" max="14853" width="8.85546875" style="254"/>
    <col min="14854" max="14854" width="11.42578125" style="254" customWidth="1"/>
    <col min="14855" max="14855" width="5" style="254" customWidth="1"/>
    <col min="14856" max="14856" width="12.140625" style="254" customWidth="1"/>
    <col min="14857" max="14857" width="9" style="254" customWidth="1"/>
    <col min="14858" max="14859" width="8.85546875" style="254"/>
    <col min="14860" max="14861" width="14.42578125" style="254" bestFit="1" customWidth="1"/>
    <col min="14862" max="14863" width="8.85546875" style="254"/>
    <col min="14864" max="14864" width="11" style="254" bestFit="1" customWidth="1"/>
    <col min="14865" max="15104" width="8.85546875" style="254"/>
    <col min="15105" max="15105" width="2" style="254" bestFit="1" customWidth="1"/>
    <col min="15106" max="15106" width="13.42578125" style="254" bestFit="1" customWidth="1"/>
    <col min="15107" max="15107" width="8.85546875" style="254"/>
    <col min="15108" max="15108" width="6.42578125" style="254" customWidth="1"/>
    <col min="15109" max="15109" width="8.85546875" style="254"/>
    <col min="15110" max="15110" width="11.42578125" style="254" customWidth="1"/>
    <col min="15111" max="15111" width="5" style="254" customWidth="1"/>
    <col min="15112" max="15112" width="12.140625" style="254" customWidth="1"/>
    <col min="15113" max="15113" width="9" style="254" customWidth="1"/>
    <col min="15114" max="15115" width="8.85546875" style="254"/>
    <col min="15116" max="15117" width="14.42578125" style="254" bestFit="1" customWidth="1"/>
    <col min="15118" max="15119" width="8.85546875" style="254"/>
    <col min="15120" max="15120" width="11" style="254" bestFit="1" customWidth="1"/>
    <col min="15121" max="15360" width="8.85546875" style="254"/>
    <col min="15361" max="15361" width="2" style="254" bestFit="1" customWidth="1"/>
    <col min="15362" max="15362" width="13.42578125" style="254" bestFit="1" customWidth="1"/>
    <col min="15363" max="15363" width="8.85546875" style="254"/>
    <col min="15364" max="15364" width="6.42578125" style="254" customWidth="1"/>
    <col min="15365" max="15365" width="8.85546875" style="254"/>
    <col min="15366" max="15366" width="11.42578125" style="254" customWidth="1"/>
    <col min="15367" max="15367" width="5" style="254" customWidth="1"/>
    <col min="15368" max="15368" width="12.140625" style="254" customWidth="1"/>
    <col min="15369" max="15369" width="9" style="254" customWidth="1"/>
    <col min="15370" max="15371" width="8.85546875" style="254"/>
    <col min="15372" max="15373" width="14.42578125" style="254" bestFit="1" customWidth="1"/>
    <col min="15374" max="15375" width="8.85546875" style="254"/>
    <col min="15376" max="15376" width="11" style="254" bestFit="1" customWidth="1"/>
    <col min="15377" max="15616" width="8.85546875" style="254"/>
    <col min="15617" max="15617" width="2" style="254" bestFit="1" customWidth="1"/>
    <col min="15618" max="15618" width="13.42578125" style="254" bestFit="1" customWidth="1"/>
    <col min="15619" max="15619" width="8.85546875" style="254"/>
    <col min="15620" max="15620" width="6.42578125" style="254" customWidth="1"/>
    <col min="15621" max="15621" width="8.85546875" style="254"/>
    <col min="15622" max="15622" width="11.42578125" style="254" customWidth="1"/>
    <col min="15623" max="15623" width="5" style="254" customWidth="1"/>
    <col min="15624" max="15624" width="12.140625" style="254" customWidth="1"/>
    <col min="15625" max="15625" width="9" style="254" customWidth="1"/>
    <col min="15626" max="15627" width="8.85546875" style="254"/>
    <col min="15628" max="15629" width="14.42578125" style="254" bestFit="1" customWidth="1"/>
    <col min="15630" max="15631" width="8.85546875" style="254"/>
    <col min="15632" max="15632" width="11" style="254" bestFit="1" customWidth="1"/>
    <col min="15633" max="15872" width="8.85546875" style="254"/>
    <col min="15873" max="15873" width="2" style="254" bestFit="1" customWidth="1"/>
    <col min="15874" max="15874" width="13.42578125" style="254" bestFit="1" customWidth="1"/>
    <col min="15875" max="15875" width="8.85546875" style="254"/>
    <col min="15876" max="15876" width="6.42578125" style="254" customWidth="1"/>
    <col min="15877" max="15877" width="8.85546875" style="254"/>
    <col min="15878" max="15878" width="11.42578125" style="254" customWidth="1"/>
    <col min="15879" max="15879" width="5" style="254" customWidth="1"/>
    <col min="15880" max="15880" width="12.140625" style="254" customWidth="1"/>
    <col min="15881" max="15881" width="9" style="254" customWidth="1"/>
    <col min="15882" max="15883" width="8.85546875" style="254"/>
    <col min="15884" max="15885" width="14.42578125" style="254" bestFit="1" customWidth="1"/>
    <col min="15886" max="15887" width="8.85546875" style="254"/>
    <col min="15888" max="15888" width="11" style="254" bestFit="1" customWidth="1"/>
    <col min="15889" max="16128" width="8.85546875" style="254"/>
    <col min="16129" max="16129" width="2" style="254" bestFit="1" customWidth="1"/>
    <col min="16130" max="16130" width="13.42578125" style="254" bestFit="1" customWidth="1"/>
    <col min="16131" max="16131" width="8.85546875" style="254"/>
    <col min="16132" max="16132" width="6.42578125" style="254" customWidth="1"/>
    <col min="16133" max="16133" width="8.85546875" style="254"/>
    <col min="16134" max="16134" width="11.42578125" style="254" customWidth="1"/>
    <col min="16135" max="16135" width="5" style="254" customWidth="1"/>
    <col min="16136" max="16136" width="12.140625" style="254" customWidth="1"/>
    <col min="16137" max="16137" width="9" style="254" customWidth="1"/>
    <col min="16138" max="16139" width="8.85546875" style="254"/>
    <col min="16140" max="16141" width="14.42578125" style="254" bestFit="1" customWidth="1"/>
    <col min="16142" max="16143" width="8.85546875" style="254"/>
    <col min="16144" max="16144" width="11" style="254" bestFit="1" customWidth="1"/>
    <col min="16145" max="16384" width="8.85546875" style="254"/>
  </cols>
  <sheetData>
    <row r="1" spans="1:22" ht="15.75" thickBot="1" x14ac:dyDescent="0.35">
      <c r="I1" s="254"/>
    </row>
    <row r="2" spans="1:22" x14ac:dyDescent="0.3">
      <c r="A2" s="253" t="s">
        <v>78</v>
      </c>
      <c r="B2" s="431" t="s">
        <v>242</v>
      </c>
      <c r="C2" s="432"/>
      <c r="D2" s="432"/>
      <c r="E2" s="432"/>
      <c r="F2" s="432"/>
      <c r="G2" s="432"/>
      <c r="H2" s="432"/>
      <c r="I2" s="432"/>
      <c r="J2" s="432"/>
      <c r="K2" s="432"/>
      <c r="L2" s="448"/>
      <c r="M2" s="281"/>
      <c r="N2" s="282"/>
      <c r="O2" s="255"/>
      <c r="P2" s="255"/>
      <c r="Q2" s="255"/>
      <c r="R2" s="255"/>
      <c r="S2" s="256"/>
      <c r="T2" s="256"/>
      <c r="U2" s="256"/>
      <c r="V2" s="256"/>
    </row>
    <row r="3" spans="1:22" ht="12.75" customHeight="1" x14ac:dyDescent="0.3">
      <c r="B3" s="437"/>
      <c r="C3" s="438"/>
      <c r="D3" s="438"/>
      <c r="E3" s="438"/>
      <c r="F3" s="438"/>
      <c r="G3" s="438"/>
      <c r="H3" s="438"/>
      <c r="I3" s="438"/>
      <c r="J3" s="438"/>
      <c r="K3" s="438"/>
      <c r="L3" s="439"/>
      <c r="M3" s="281"/>
      <c r="N3" s="283"/>
      <c r="O3" s="257"/>
      <c r="P3" s="257"/>
      <c r="Q3" s="257"/>
      <c r="R3" s="257"/>
      <c r="S3" s="258"/>
      <c r="T3" s="258"/>
      <c r="U3" s="258"/>
      <c r="V3" s="258"/>
    </row>
    <row r="4" spans="1:22" x14ac:dyDescent="0.3">
      <c r="B4" s="284" t="s">
        <v>243</v>
      </c>
      <c r="C4" s="285" t="s">
        <v>244</v>
      </c>
      <c r="D4" s="285"/>
      <c r="E4" s="285"/>
      <c r="F4" s="286" t="s">
        <v>245</v>
      </c>
      <c r="G4" s="285"/>
      <c r="H4" s="287" t="s">
        <v>246</v>
      </c>
      <c r="I4" s="285"/>
      <c r="J4" s="287" t="s">
        <v>247</v>
      </c>
      <c r="K4" s="285"/>
      <c r="L4" s="288" t="s">
        <v>248</v>
      </c>
      <c r="M4" s="281"/>
      <c r="N4" s="283"/>
      <c r="O4" s="257"/>
      <c r="P4" s="257"/>
      <c r="Q4" s="257"/>
      <c r="R4" s="257"/>
      <c r="S4" s="258"/>
      <c r="T4" s="258"/>
      <c r="U4" s="258"/>
      <c r="V4" s="258"/>
    </row>
    <row r="5" spans="1:22" x14ac:dyDescent="0.3">
      <c r="B5" s="289">
        <v>43809</v>
      </c>
      <c r="C5" s="290"/>
      <c r="D5" s="281" t="s">
        <v>114</v>
      </c>
      <c r="E5" s="290"/>
      <c r="F5" s="291" t="s">
        <v>249</v>
      </c>
      <c r="G5" s="281"/>
      <c r="H5" s="292">
        <v>1.45</v>
      </c>
      <c r="I5" s="292"/>
      <c r="J5" s="292">
        <v>12.16</v>
      </c>
      <c r="K5" s="281"/>
      <c r="L5" s="293">
        <v>1239</v>
      </c>
      <c r="M5" s="281"/>
      <c r="N5" s="283"/>
      <c r="O5" s="257"/>
      <c r="P5" s="257"/>
      <c r="Q5" s="257"/>
      <c r="R5" s="257"/>
      <c r="S5" s="258"/>
      <c r="T5" s="258"/>
      <c r="U5" s="258"/>
      <c r="V5" s="258"/>
    </row>
    <row r="6" spans="1:22" x14ac:dyDescent="0.3">
      <c r="B6" s="289">
        <v>43447</v>
      </c>
      <c r="C6" s="290"/>
      <c r="D6" s="281" t="s">
        <v>250</v>
      </c>
      <c r="E6" s="290"/>
      <c r="F6" s="291" t="s">
        <v>3</v>
      </c>
      <c r="G6" s="281"/>
      <c r="H6" s="292">
        <v>4.43</v>
      </c>
      <c r="I6" s="292"/>
      <c r="J6" s="292">
        <v>16.21</v>
      </c>
      <c r="K6" s="281"/>
      <c r="L6" s="293">
        <v>659</v>
      </c>
      <c r="M6" s="281"/>
      <c r="N6" s="283"/>
      <c r="O6" s="257"/>
      <c r="P6" s="257"/>
      <c r="Q6" s="257"/>
      <c r="R6" s="257"/>
      <c r="S6" s="258"/>
      <c r="T6" s="258"/>
      <c r="U6" s="258"/>
      <c r="V6" s="258"/>
    </row>
    <row r="7" spans="1:22" x14ac:dyDescent="0.3">
      <c r="B7" s="289">
        <v>43412</v>
      </c>
      <c r="C7" s="290"/>
      <c r="D7" s="281" t="s">
        <v>251</v>
      </c>
      <c r="E7" s="290"/>
      <c r="F7" s="291" t="s">
        <v>252</v>
      </c>
      <c r="G7" s="281"/>
      <c r="H7" s="292">
        <v>2.2999999999999998</v>
      </c>
      <c r="I7" s="292"/>
      <c r="J7" s="292">
        <v>11.25</v>
      </c>
      <c r="K7" s="281"/>
      <c r="L7" s="293">
        <v>1000</v>
      </c>
      <c r="M7" s="281"/>
      <c r="N7" s="283"/>
      <c r="O7" s="257"/>
      <c r="P7" s="257"/>
      <c r="Q7" s="257"/>
      <c r="R7" s="257"/>
      <c r="S7" s="258"/>
      <c r="T7" s="258"/>
      <c r="U7" s="258"/>
      <c r="V7" s="258"/>
    </row>
    <row r="8" spans="1:22" x14ac:dyDescent="0.3">
      <c r="B8" s="289">
        <v>42942</v>
      </c>
      <c r="C8" s="281"/>
      <c r="D8" s="281" t="s">
        <v>253</v>
      </c>
      <c r="E8" s="281"/>
      <c r="F8" s="291" t="s">
        <v>254</v>
      </c>
      <c r="G8" s="281"/>
      <c r="H8" s="292">
        <v>1.65</v>
      </c>
      <c r="I8" s="292"/>
      <c r="J8" s="292">
        <v>19.100000000000001</v>
      </c>
      <c r="K8" s="281"/>
      <c r="L8" s="293">
        <v>550</v>
      </c>
      <c r="M8" s="281"/>
      <c r="N8" s="281"/>
    </row>
    <row r="9" spans="1:22" x14ac:dyDescent="0.3">
      <c r="B9" s="294" t="s">
        <v>17</v>
      </c>
      <c r="C9" s="295"/>
      <c r="D9" s="295"/>
      <c r="E9" s="295"/>
      <c r="F9" s="295"/>
      <c r="G9" s="295"/>
      <c r="H9" s="296">
        <f>AVERAGE(H5:H8)</f>
        <v>2.4575</v>
      </c>
      <c r="I9" s="296"/>
      <c r="J9" s="296">
        <f>AVERAGE(J5:J8)</f>
        <v>14.680000000000001</v>
      </c>
      <c r="K9" s="295"/>
      <c r="L9" s="297">
        <f>AVERAGE(L5:L8)</f>
        <v>862</v>
      </c>
      <c r="M9" s="281"/>
      <c r="N9" s="281"/>
    </row>
    <row r="10" spans="1:22" x14ac:dyDescent="0.3">
      <c r="B10" s="298" t="s">
        <v>18</v>
      </c>
      <c r="C10" s="281"/>
      <c r="D10" s="281"/>
      <c r="E10" s="281"/>
      <c r="F10" s="281"/>
      <c r="G10" s="281"/>
      <c r="H10" s="292">
        <f>MEDIAN(H5:H8)</f>
        <v>1.9749999999999999</v>
      </c>
      <c r="I10" s="292"/>
      <c r="J10" s="292">
        <f>MEDIAN(J5:J8)</f>
        <v>14.185</v>
      </c>
      <c r="K10" s="281"/>
      <c r="L10" s="293">
        <f>MEDIAN(L5:L8)</f>
        <v>829.5</v>
      </c>
      <c r="M10" s="281"/>
      <c r="N10" s="281"/>
    </row>
    <row r="11" spans="1:22" x14ac:dyDescent="0.3">
      <c r="B11" s="298" t="s">
        <v>255</v>
      </c>
      <c r="C11" s="281"/>
      <c r="D11" s="281"/>
      <c r="E11" s="281"/>
      <c r="F11" s="281"/>
      <c r="G11" s="281"/>
      <c r="H11" s="292">
        <f>MIN(H5:H8)</f>
        <v>1.45</v>
      </c>
      <c r="I11" s="292"/>
      <c r="J11" s="292">
        <f>MIN(J5:J8)</f>
        <v>11.25</v>
      </c>
      <c r="K11" s="281"/>
      <c r="L11" s="293">
        <f>MIN(L5:L8)</f>
        <v>550</v>
      </c>
      <c r="M11" s="281"/>
      <c r="N11" s="281"/>
    </row>
    <row r="12" spans="1:22" ht="15.75" thickBot="1" x14ac:dyDescent="0.35">
      <c r="B12" s="299" t="s">
        <v>14</v>
      </c>
      <c r="C12" s="300"/>
      <c r="D12" s="300"/>
      <c r="E12" s="300"/>
      <c r="F12" s="300"/>
      <c r="G12" s="300"/>
      <c r="H12" s="301">
        <f>MAX(H5:H8)</f>
        <v>4.43</v>
      </c>
      <c r="I12" s="302"/>
      <c r="J12" s="301">
        <f>MAX(J5:J8)</f>
        <v>19.100000000000001</v>
      </c>
      <c r="K12" s="300"/>
      <c r="L12" s="303">
        <f>MAX(L5:L8)</f>
        <v>1239</v>
      </c>
      <c r="M12" s="281"/>
      <c r="N12" s="281"/>
    </row>
    <row r="13" spans="1:22" x14ac:dyDescent="0.3">
      <c r="B13" s="281"/>
      <c r="C13" s="281"/>
      <c r="D13" s="281"/>
      <c r="E13" s="281"/>
      <c r="F13" s="281"/>
      <c r="G13" s="281"/>
      <c r="H13" s="281"/>
      <c r="I13" s="281"/>
      <c r="J13" s="281"/>
      <c r="K13" s="281"/>
      <c r="L13" s="281"/>
      <c r="M13" s="281"/>
      <c r="N13" s="281"/>
    </row>
    <row r="14" spans="1:22" ht="15.75" thickBot="1" x14ac:dyDescent="0.35">
      <c r="B14" s="281"/>
      <c r="C14" s="281"/>
      <c r="D14" s="281"/>
      <c r="E14" s="281"/>
      <c r="F14" s="281"/>
      <c r="G14" s="281"/>
      <c r="H14" s="281"/>
      <c r="I14" s="281"/>
      <c r="J14" s="281"/>
      <c r="K14" s="281"/>
      <c r="L14" s="281"/>
      <c r="M14" s="281"/>
      <c r="N14" s="281"/>
    </row>
    <row r="15" spans="1:22" x14ac:dyDescent="0.3">
      <c r="A15" s="253" t="s">
        <v>78</v>
      </c>
      <c r="B15" s="431"/>
      <c r="C15" s="432"/>
      <c r="D15" s="433" t="s">
        <v>17</v>
      </c>
      <c r="E15" s="304" t="s">
        <v>78</v>
      </c>
      <c r="F15" s="431"/>
      <c r="G15" s="433" t="s">
        <v>17</v>
      </c>
      <c r="H15" s="281"/>
      <c r="I15" s="281"/>
      <c r="J15" s="281"/>
      <c r="K15" s="281"/>
      <c r="L15" s="281"/>
      <c r="M15" s="281"/>
      <c r="N15" s="281"/>
    </row>
    <row r="16" spans="1:22" x14ac:dyDescent="0.3">
      <c r="B16" s="434" t="s">
        <v>256</v>
      </c>
      <c r="C16" s="435"/>
      <c r="D16" s="436"/>
      <c r="E16" s="304"/>
      <c r="F16" s="434" t="s">
        <v>256</v>
      </c>
      <c r="G16" s="436"/>
      <c r="H16" s="281"/>
      <c r="I16" s="281"/>
      <c r="J16" s="281"/>
      <c r="K16" s="281"/>
      <c r="L16" s="281"/>
      <c r="M16" s="281"/>
      <c r="N16" s="281"/>
    </row>
    <row r="17" spans="1:14" x14ac:dyDescent="0.3">
      <c r="B17" s="294" t="s">
        <v>257</v>
      </c>
      <c r="C17" s="295"/>
      <c r="D17" s="305">
        <f>J9</f>
        <v>14.680000000000001</v>
      </c>
      <c r="E17" s="304"/>
      <c r="F17" s="294" t="s">
        <v>258</v>
      </c>
      <c r="G17" s="305">
        <f>$H9</f>
        <v>2.4575</v>
      </c>
      <c r="H17" s="281"/>
      <c r="I17" s="281"/>
      <c r="J17" s="281"/>
      <c r="K17" s="281"/>
      <c r="L17" s="281"/>
      <c r="M17" s="281"/>
      <c r="N17" s="281"/>
    </row>
    <row r="18" spans="1:14" x14ac:dyDescent="0.3">
      <c r="B18" s="298" t="s">
        <v>259</v>
      </c>
      <c r="C18" s="281"/>
      <c r="D18" s="306">
        <f>'Model Output'!M32</f>
        <v>1914.7282724715899</v>
      </c>
      <c r="E18" s="304"/>
      <c r="F18" s="298" t="s">
        <v>259</v>
      </c>
      <c r="G18" s="307">
        <f>D18</f>
        <v>1914.7282724715899</v>
      </c>
      <c r="H18" s="281"/>
      <c r="I18" s="281"/>
      <c r="J18" s="281"/>
      <c r="K18" s="281"/>
      <c r="L18" s="281"/>
      <c r="M18" s="281"/>
      <c r="N18" s="281"/>
    </row>
    <row r="19" spans="1:14" x14ac:dyDescent="0.3">
      <c r="B19" s="298" t="s">
        <v>33</v>
      </c>
      <c r="C19" s="281"/>
      <c r="D19" s="306">
        <f>D17*('Model Output'!$J$10+'Model Output'!$J$13)</f>
        <v>11865.775929135196</v>
      </c>
      <c r="E19" s="304"/>
      <c r="F19" s="298" t="s">
        <v>33</v>
      </c>
      <c r="G19" s="307">
        <f>G17*('Model Output'!$J$10+'Model Output'!$J$13)</f>
        <v>1986.3858546219171</v>
      </c>
      <c r="H19" s="281"/>
      <c r="I19" s="281"/>
      <c r="J19" s="281"/>
      <c r="K19" s="281"/>
      <c r="L19" s="281"/>
      <c r="M19" s="281"/>
      <c r="N19" s="281"/>
    </row>
    <row r="20" spans="1:14" x14ac:dyDescent="0.3">
      <c r="B20" s="298"/>
      <c r="C20" s="281"/>
      <c r="D20" s="308"/>
      <c r="E20" s="304"/>
      <c r="F20" s="298"/>
      <c r="G20" s="307"/>
      <c r="H20" s="281"/>
      <c r="I20" s="281"/>
      <c r="J20" s="281"/>
      <c r="K20" s="281"/>
      <c r="L20" s="281"/>
      <c r="M20" s="281"/>
      <c r="N20" s="281"/>
    </row>
    <row r="21" spans="1:14" x14ac:dyDescent="0.3">
      <c r="B21" s="298" t="s">
        <v>260</v>
      </c>
      <c r="C21" s="281"/>
      <c r="D21" s="306">
        <f>+-PV('Model Output'!$M$56,5,0,D19)</f>
        <v>7425.8661525288908</v>
      </c>
      <c r="E21" s="304"/>
      <c r="F21" s="298" t="s">
        <v>260</v>
      </c>
      <c r="G21" s="60">
        <f>+-PV('Model Output'!$M$56,5,0,G19)</f>
        <v>1243.124391678457</v>
      </c>
      <c r="H21" s="281"/>
      <c r="I21" s="281"/>
      <c r="J21" s="281"/>
      <c r="K21" s="281"/>
      <c r="L21" s="281"/>
      <c r="M21" s="281"/>
      <c r="N21" s="281"/>
    </row>
    <row r="22" spans="1:14" x14ac:dyDescent="0.3">
      <c r="B22" s="298" t="s">
        <v>35</v>
      </c>
      <c r="C22" s="281"/>
      <c r="D22" s="309">
        <f>D18+D21</f>
        <v>9340.5944250004814</v>
      </c>
      <c r="E22" s="304"/>
      <c r="F22" s="298" t="s">
        <v>35</v>
      </c>
      <c r="G22" s="310">
        <f>G18+G21</f>
        <v>3157.8526641500466</v>
      </c>
      <c r="H22" s="281"/>
      <c r="I22" s="281"/>
      <c r="J22" s="281"/>
      <c r="K22" s="281"/>
      <c r="L22" s="281"/>
      <c r="M22" s="281"/>
      <c r="N22" s="281"/>
    </row>
    <row r="23" spans="1:14" x14ac:dyDescent="0.3">
      <c r="B23" s="311" t="s">
        <v>261</v>
      </c>
      <c r="C23" s="312"/>
      <c r="D23" s="313">
        <f>'Model Output'!M39</f>
        <v>2573.6999999999998</v>
      </c>
      <c r="E23" s="304"/>
      <c r="F23" s="311" t="s">
        <v>261</v>
      </c>
      <c r="G23" s="314">
        <f>D23</f>
        <v>2573.6999999999998</v>
      </c>
      <c r="H23" s="281"/>
      <c r="I23" s="281"/>
      <c r="J23" s="281"/>
      <c r="K23" s="281"/>
      <c r="L23" s="281"/>
      <c r="M23" s="281"/>
      <c r="N23" s="281"/>
    </row>
    <row r="24" spans="1:14" x14ac:dyDescent="0.3">
      <c r="B24" s="298"/>
      <c r="C24" s="281"/>
      <c r="D24" s="315"/>
      <c r="E24" s="304"/>
      <c r="F24" s="298"/>
      <c r="G24" s="316"/>
      <c r="H24" s="281"/>
      <c r="I24" s="281"/>
      <c r="J24" s="281"/>
      <c r="K24" s="281"/>
      <c r="L24" s="281"/>
      <c r="M24" s="281"/>
      <c r="N24" s="281"/>
    </row>
    <row r="25" spans="1:14" ht="15.75" thickBot="1" x14ac:dyDescent="0.35">
      <c r="B25" s="298" t="s">
        <v>38</v>
      </c>
      <c r="C25" s="281"/>
      <c r="D25" s="317">
        <f>D22-D23</f>
        <v>6766.8944250004815</v>
      </c>
      <c r="E25" s="304"/>
      <c r="F25" s="298" t="s">
        <v>38</v>
      </c>
      <c r="G25" s="318">
        <f>G22-G23</f>
        <v>584.1526641500468</v>
      </c>
      <c r="H25" s="281"/>
      <c r="I25" s="281"/>
      <c r="J25" s="281"/>
      <c r="K25" s="281"/>
      <c r="L25" s="281"/>
      <c r="M25" s="281"/>
      <c r="N25" s="281"/>
    </row>
    <row r="26" spans="1:14" ht="15.75" thickTop="1" x14ac:dyDescent="0.3">
      <c r="B26" s="298" t="s">
        <v>262</v>
      </c>
      <c r="C26" s="281"/>
      <c r="D26" s="319">
        <f>'Model Output'!M44</f>
        <v>335.9</v>
      </c>
      <c r="E26" s="304"/>
      <c r="F26" s="298" t="s">
        <v>262</v>
      </c>
      <c r="G26" s="316">
        <f>D26</f>
        <v>335.9</v>
      </c>
      <c r="H26" s="281"/>
      <c r="I26" s="281"/>
      <c r="J26" s="281"/>
      <c r="K26" s="281"/>
      <c r="L26" s="281"/>
      <c r="M26" s="281"/>
      <c r="N26" s="281"/>
    </row>
    <row r="27" spans="1:14" ht="15.75" thickBot="1" x14ac:dyDescent="0.35">
      <c r="B27" s="320" t="s">
        <v>30</v>
      </c>
      <c r="C27" s="321"/>
      <c r="D27" s="322">
        <f>D25/D26</f>
        <v>20.145562444181252</v>
      </c>
      <c r="E27" s="304"/>
      <c r="F27" s="320" t="s">
        <v>30</v>
      </c>
      <c r="G27" s="322">
        <f>G25/G26</f>
        <v>1.7390671752010922</v>
      </c>
      <c r="H27" s="281"/>
      <c r="I27" s="281"/>
      <c r="J27" s="281"/>
      <c r="K27" s="281"/>
      <c r="L27" s="281"/>
      <c r="M27" s="281"/>
      <c r="N27" s="281"/>
    </row>
    <row r="28" spans="1:14" ht="15.75" thickBot="1" x14ac:dyDescent="0.35">
      <c r="B28" s="281"/>
      <c r="C28" s="281"/>
      <c r="D28" s="323"/>
      <c r="E28" s="304"/>
      <c r="F28" s="281"/>
      <c r="G28" s="323"/>
      <c r="H28" s="281"/>
      <c r="I28" s="281"/>
      <c r="J28" s="281"/>
      <c r="K28" s="281"/>
      <c r="L28" s="281"/>
      <c r="M28" s="281"/>
      <c r="N28" s="281"/>
    </row>
    <row r="29" spans="1:14" x14ac:dyDescent="0.3">
      <c r="A29" s="253" t="s">
        <v>78</v>
      </c>
      <c r="B29" s="431"/>
      <c r="C29" s="432"/>
      <c r="D29" s="433" t="s">
        <v>18</v>
      </c>
      <c r="E29" s="304" t="s">
        <v>78</v>
      </c>
      <c r="F29" s="431"/>
      <c r="G29" s="433" t="s">
        <v>18</v>
      </c>
      <c r="H29" s="281"/>
      <c r="I29" s="281"/>
      <c r="J29" s="281"/>
      <c r="K29" s="281"/>
      <c r="L29" s="281"/>
      <c r="M29" s="281"/>
      <c r="N29" s="281"/>
    </row>
    <row r="30" spans="1:14" x14ac:dyDescent="0.3">
      <c r="B30" s="434" t="s">
        <v>256</v>
      </c>
      <c r="C30" s="435"/>
      <c r="D30" s="436"/>
      <c r="E30" s="304"/>
      <c r="F30" s="434" t="s">
        <v>256</v>
      </c>
      <c r="G30" s="436"/>
      <c r="H30" s="281"/>
      <c r="I30" s="281"/>
      <c r="J30" s="281"/>
      <c r="K30" s="281"/>
      <c r="L30" s="281"/>
      <c r="M30" s="281"/>
      <c r="N30" s="281"/>
    </row>
    <row r="31" spans="1:14" x14ac:dyDescent="0.3">
      <c r="B31" s="294" t="s">
        <v>257</v>
      </c>
      <c r="C31" s="295"/>
      <c r="D31" s="305">
        <f>J10</f>
        <v>14.185</v>
      </c>
      <c r="E31" s="304"/>
      <c r="F31" s="294" t="s">
        <v>258</v>
      </c>
      <c r="G31" s="305">
        <f>H10</f>
        <v>1.9749999999999999</v>
      </c>
      <c r="H31" s="281"/>
      <c r="I31" s="281"/>
      <c r="J31" s="281"/>
      <c r="K31" s="281"/>
      <c r="L31" s="281"/>
      <c r="M31" s="281"/>
      <c r="N31" s="281"/>
    </row>
    <row r="32" spans="1:14" x14ac:dyDescent="0.3">
      <c r="B32" s="298" t="s">
        <v>259</v>
      </c>
      <c r="C32" s="281"/>
      <c r="D32" s="307">
        <f>D18</f>
        <v>1914.7282724715899</v>
      </c>
      <c r="E32" s="304"/>
      <c r="F32" s="298" t="s">
        <v>259</v>
      </c>
      <c r="G32" s="307">
        <f>G18</f>
        <v>1914.7282724715899</v>
      </c>
      <c r="H32" s="281"/>
      <c r="I32" s="281"/>
      <c r="J32" s="281"/>
      <c r="K32" s="281"/>
      <c r="L32" s="281"/>
      <c r="M32" s="281"/>
      <c r="N32" s="281"/>
    </row>
    <row r="33" spans="1:14" x14ac:dyDescent="0.3">
      <c r="B33" s="298" t="s">
        <v>33</v>
      </c>
      <c r="C33" s="281"/>
      <c r="D33" s="306">
        <f>D31*('Model Output'!$J$10+'Model Output'!$J$13)</f>
        <v>11465.669724440242</v>
      </c>
      <c r="E33" s="304"/>
      <c r="F33" s="298" t="s">
        <v>33</v>
      </c>
      <c r="G33" s="307">
        <f>G31*('Model Output'!$J$10+'Model Output'!$J$13)</f>
        <v>1596.3833419647144</v>
      </c>
      <c r="H33" s="281"/>
      <c r="I33" s="281"/>
      <c r="J33" s="281"/>
      <c r="K33" s="281"/>
      <c r="L33" s="281"/>
      <c r="M33" s="281"/>
      <c r="N33" s="281"/>
    </row>
    <row r="34" spans="1:14" x14ac:dyDescent="0.3">
      <c r="B34" s="298"/>
      <c r="C34" s="281"/>
      <c r="D34" s="307"/>
      <c r="E34" s="304"/>
      <c r="F34" s="298"/>
      <c r="G34" s="307"/>
      <c r="H34" s="281"/>
      <c r="I34" s="281"/>
      <c r="J34" s="281"/>
      <c r="K34" s="281"/>
      <c r="L34" s="281"/>
      <c r="M34" s="281"/>
      <c r="N34" s="281"/>
    </row>
    <row r="35" spans="1:14" x14ac:dyDescent="0.3">
      <c r="B35" s="298" t="s">
        <v>260</v>
      </c>
      <c r="C35" s="281"/>
      <c r="D35" s="60">
        <f>+-PV('Model Output'!M56,5,0,D33)</f>
        <v>7175.4708020178687</v>
      </c>
      <c r="E35" s="304"/>
      <c r="F35" s="298" t="s">
        <v>260</v>
      </c>
      <c r="G35" s="60">
        <f>+-PV('Model Output'!$M$56,5,0,G33)</f>
        <v>999.05215607932939</v>
      </c>
      <c r="H35" s="281"/>
      <c r="I35" s="281"/>
      <c r="J35" s="281"/>
      <c r="K35" s="281"/>
      <c r="L35" s="281"/>
      <c r="M35" s="281"/>
      <c r="N35" s="281"/>
    </row>
    <row r="36" spans="1:14" x14ac:dyDescent="0.3">
      <c r="B36" s="298" t="s">
        <v>35</v>
      </c>
      <c r="C36" s="281"/>
      <c r="D36" s="310">
        <f>D32+D35</f>
        <v>9090.1990744894592</v>
      </c>
      <c r="E36" s="304"/>
      <c r="F36" s="298" t="s">
        <v>35</v>
      </c>
      <c r="G36" s="310">
        <f>G32+G35</f>
        <v>2913.7804285509192</v>
      </c>
      <c r="H36" s="281"/>
      <c r="I36" s="281"/>
      <c r="J36" s="281"/>
      <c r="K36" s="281"/>
      <c r="L36" s="281"/>
      <c r="M36" s="281"/>
      <c r="N36" s="281"/>
    </row>
    <row r="37" spans="1:14" x14ac:dyDescent="0.3">
      <c r="B37" s="311" t="s">
        <v>261</v>
      </c>
      <c r="C37" s="312"/>
      <c r="D37" s="314">
        <f>D23</f>
        <v>2573.6999999999998</v>
      </c>
      <c r="E37" s="304"/>
      <c r="F37" s="311" t="s">
        <v>261</v>
      </c>
      <c r="G37" s="314">
        <f>G23</f>
        <v>2573.6999999999998</v>
      </c>
      <c r="H37" s="281"/>
      <c r="I37" s="281"/>
      <c r="J37" s="281"/>
      <c r="K37" s="281"/>
      <c r="L37" s="281"/>
      <c r="M37" s="281"/>
      <c r="N37" s="281"/>
    </row>
    <row r="38" spans="1:14" x14ac:dyDescent="0.3">
      <c r="B38" s="298"/>
      <c r="C38" s="281"/>
      <c r="D38" s="316"/>
      <c r="E38" s="304"/>
      <c r="F38" s="298"/>
      <c r="G38" s="316"/>
      <c r="H38" s="281"/>
      <c r="I38" s="281"/>
      <c r="J38" s="281"/>
      <c r="K38" s="281"/>
      <c r="L38" s="281"/>
      <c r="M38" s="281"/>
      <c r="N38" s="281"/>
    </row>
    <row r="39" spans="1:14" ht="15.75" thickBot="1" x14ac:dyDescent="0.35">
      <c r="B39" s="298" t="s">
        <v>38</v>
      </c>
      <c r="C39" s="281"/>
      <c r="D39" s="318">
        <f>D36-D37</f>
        <v>6516.4990744894594</v>
      </c>
      <c r="E39" s="304"/>
      <c r="F39" s="298" t="s">
        <v>38</v>
      </c>
      <c r="G39" s="318">
        <f>G36-G37</f>
        <v>340.08042855091935</v>
      </c>
      <c r="H39" s="281"/>
      <c r="I39" s="281"/>
      <c r="J39" s="281"/>
      <c r="K39" s="281"/>
      <c r="L39" s="281"/>
      <c r="M39" s="281"/>
      <c r="N39" s="281"/>
    </row>
    <row r="40" spans="1:14" ht="15.75" thickTop="1" x14ac:dyDescent="0.3">
      <c r="B40" s="298" t="s">
        <v>262</v>
      </c>
      <c r="C40" s="281"/>
      <c r="D40" s="316">
        <f>D26</f>
        <v>335.9</v>
      </c>
      <c r="E40" s="304"/>
      <c r="F40" s="298" t="s">
        <v>262</v>
      </c>
      <c r="G40" s="316">
        <f>G26</f>
        <v>335.9</v>
      </c>
      <c r="H40" s="281"/>
      <c r="I40" s="281"/>
      <c r="J40" s="281"/>
      <c r="K40" s="281"/>
      <c r="L40" s="281"/>
      <c r="M40" s="281"/>
      <c r="N40" s="281"/>
    </row>
    <row r="41" spans="1:14" ht="15.75" thickBot="1" x14ac:dyDescent="0.35">
      <c r="B41" s="320" t="s">
        <v>30</v>
      </c>
      <c r="C41" s="321"/>
      <c r="D41" s="322">
        <f>D39/D40</f>
        <v>19.400116327744744</v>
      </c>
      <c r="E41" s="304"/>
      <c r="F41" s="320" t="s">
        <v>30</v>
      </c>
      <c r="G41" s="322">
        <f>G39/G40</f>
        <v>1.012445455644297</v>
      </c>
      <c r="H41" s="281"/>
      <c r="I41" s="281"/>
      <c r="J41" s="281"/>
      <c r="K41" s="281"/>
      <c r="L41" s="281"/>
      <c r="M41" s="281"/>
      <c r="N41" s="281"/>
    </row>
    <row r="42" spans="1:14" ht="15.75" thickBot="1" x14ac:dyDescent="0.35">
      <c r="B42" s="281"/>
      <c r="C42" s="281"/>
      <c r="D42" s="323"/>
      <c r="E42" s="304"/>
      <c r="F42" s="281"/>
      <c r="G42" s="323"/>
      <c r="H42" s="281"/>
      <c r="I42" s="281"/>
      <c r="J42" s="281"/>
      <c r="K42" s="281"/>
      <c r="L42" s="281"/>
      <c r="M42" s="281"/>
      <c r="N42" s="281"/>
    </row>
    <row r="43" spans="1:14" x14ac:dyDescent="0.3">
      <c r="A43" s="253" t="s">
        <v>78</v>
      </c>
      <c r="B43" s="431"/>
      <c r="C43" s="432"/>
      <c r="D43" s="433" t="s">
        <v>263</v>
      </c>
      <c r="E43" s="304" t="s">
        <v>78</v>
      </c>
      <c r="F43" s="431"/>
      <c r="G43" s="433" t="s">
        <v>263</v>
      </c>
      <c r="H43" s="281"/>
      <c r="I43" s="281"/>
      <c r="J43" s="281"/>
      <c r="K43" s="281"/>
      <c r="L43" s="281"/>
      <c r="M43" s="281"/>
      <c r="N43" s="281"/>
    </row>
    <row r="44" spans="1:14" x14ac:dyDescent="0.3">
      <c r="B44" s="434" t="s">
        <v>256</v>
      </c>
      <c r="C44" s="435"/>
      <c r="D44" s="436"/>
      <c r="E44" s="304"/>
      <c r="F44" s="434" t="s">
        <v>256</v>
      </c>
      <c r="G44" s="436"/>
      <c r="H44" s="281"/>
      <c r="I44" s="281"/>
      <c r="J44" s="281"/>
      <c r="K44" s="281"/>
      <c r="L44" s="281"/>
      <c r="M44" s="281"/>
      <c r="N44" s="281"/>
    </row>
    <row r="45" spans="1:14" x14ac:dyDescent="0.3">
      <c r="B45" s="298" t="s">
        <v>257</v>
      </c>
      <c r="C45" s="281"/>
      <c r="D45" s="324">
        <f>J11</f>
        <v>11.25</v>
      </c>
      <c r="E45" s="304"/>
      <c r="F45" s="294" t="s">
        <v>258</v>
      </c>
      <c r="G45" s="305">
        <f>H11</f>
        <v>1.45</v>
      </c>
      <c r="H45" s="281"/>
      <c r="I45" s="281"/>
      <c r="J45" s="281"/>
      <c r="K45" s="281"/>
      <c r="L45" s="281"/>
      <c r="M45" s="281"/>
      <c r="N45" s="281"/>
    </row>
    <row r="46" spans="1:14" x14ac:dyDescent="0.3">
      <c r="B46" s="298" t="s">
        <v>259</v>
      </c>
      <c r="C46" s="281"/>
      <c r="D46" s="307">
        <f>D32</f>
        <v>1914.7282724715899</v>
      </c>
      <c r="E46" s="304"/>
      <c r="F46" s="298" t="s">
        <v>259</v>
      </c>
      <c r="G46" s="307">
        <f>G32</f>
        <v>1914.7282724715899</v>
      </c>
      <c r="H46" s="281"/>
      <c r="I46" s="281"/>
      <c r="J46" s="281"/>
      <c r="K46" s="281"/>
      <c r="L46" s="281"/>
      <c r="M46" s="281"/>
      <c r="N46" s="281"/>
    </row>
    <row r="47" spans="1:14" x14ac:dyDescent="0.3">
      <c r="B47" s="298" t="s">
        <v>33</v>
      </c>
      <c r="C47" s="281"/>
      <c r="D47" s="306">
        <f>D45*('Model Output'!$J$10+'Model Output'!$J$13)</f>
        <v>9093.3228339762227</v>
      </c>
      <c r="E47" s="304"/>
      <c r="F47" s="298" t="s">
        <v>33</v>
      </c>
      <c r="G47" s="306">
        <f>G45*('Model Output'!$J$10+'Model Output'!$J$13)</f>
        <v>1172.0282763791574</v>
      </c>
      <c r="H47" s="281"/>
      <c r="I47" s="281"/>
      <c r="J47" s="281"/>
      <c r="K47" s="281"/>
      <c r="L47" s="281"/>
      <c r="M47" s="281"/>
      <c r="N47" s="281"/>
    </row>
    <row r="48" spans="1:14" x14ac:dyDescent="0.3">
      <c r="B48" s="298"/>
      <c r="C48" s="281"/>
      <c r="D48" s="307"/>
      <c r="E48" s="304"/>
      <c r="F48" s="298"/>
      <c r="G48" s="307"/>
      <c r="H48" s="281"/>
      <c r="I48" s="281"/>
      <c r="J48" s="281"/>
      <c r="K48" s="281"/>
      <c r="L48" s="281"/>
      <c r="M48" s="281"/>
      <c r="N48" s="281"/>
    </row>
    <row r="49" spans="1:14" x14ac:dyDescent="0.3">
      <c r="B49" s="298" t="s">
        <v>260</v>
      </c>
      <c r="C49" s="281"/>
      <c r="D49" s="60">
        <f>+-PV('Model Output'!$M$56,5,0,D47)</f>
        <v>5690.8034207050423</v>
      </c>
      <c r="E49" s="304"/>
      <c r="F49" s="298" t="s">
        <v>260</v>
      </c>
      <c r="G49" s="60">
        <f>+-PV('Model Output'!P70,5,0,G47)</f>
        <v>1172.0282763791574</v>
      </c>
      <c r="H49" s="281"/>
      <c r="I49" s="281"/>
      <c r="J49" s="281"/>
      <c r="K49" s="281"/>
      <c r="L49" s="281"/>
      <c r="M49" s="281"/>
      <c r="N49" s="281"/>
    </row>
    <row r="50" spans="1:14" x14ac:dyDescent="0.3">
      <c r="B50" s="298" t="s">
        <v>35</v>
      </c>
      <c r="C50" s="281"/>
      <c r="D50" s="310">
        <f>D46+D49</f>
        <v>7605.531693176632</v>
      </c>
      <c r="E50" s="304"/>
      <c r="F50" s="298" t="s">
        <v>35</v>
      </c>
      <c r="G50" s="310">
        <f>G46+G49</f>
        <v>3086.7565488507471</v>
      </c>
      <c r="H50" s="281"/>
      <c r="I50" s="281"/>
      <c r="J50" s="281"/>
      <c r="K50" s="281"/>
      <c r="L50" s="281"/>
      <c r="M50" s="281"/>
      <c r="N50" s="281"/>
    </row>
    <row r="51" spans="1:14" x14ac:dyDescent="0.3">
      <c r="B51" s="311" t="s">
        <v>261</v>
      </c>
      <c r="C51" s="312"/>
      <c r="D51" s="314">
        <f>D37</f>
        <v>2573.6999999999998</v>
      </c>
      <c r="E51" s="304"/>
      <c r="F51" s="311" t="s">
        <v>261</v>
      </c>
      <c r="G51" s="314">
        <f>G37</f>
        <v>2573.6999999999998</v>
      </c>
      <c r="H51" s="281"/>
      <c r="I51" s="281"/>
      <c r="J51" s="281"/>
      <c r="K51" s="281"/>
      <c r="L51" s="281"/>
      <c r="M51" s="281"/>
      <c r="N51" s="281"/>
    </row>
    <row r="52" spans="1:14" x14ac:dyDescent="0.3">
      <c r="B52" s="298"/>
      <c r="C52" s="281"/>
      <c r="D52" s="316"/>
      <c r="E52" s="304"/>
      <c r="F52" s="298"/>
      <c r="G52" s="316"/>
      <c r="H52" s="281"/>
      <c r="I52" s="281"/>
      <c r="J52" s="281"/>
      <c r="K52" s="281"/>
      <c r="L52" s="281"/>
      <c r="M52" s="281"/>
      <c r="N52" s="281"/>
    </row>
    <row r="53" spans="1:14" ht="15.75" thickBot="1" x14ac:dyDescent="0.35">
      <c r="B53" s="298" t="s">
        <v>38</v>
      </c>
      <c r="C53" s="281"/>
      <c r="D53" s="318">
        <f>D50-D51</f>
        <v>5031.8316931766321</v>
      </c>
      <c r="E53" s="304"/>
      <c r="F53" s="298" t="s">
        <v>38</v>
      </c>
      <c r="G53" s="318">
        <f>G50-G51</f>
        <v>513.05654885074728</v>
      </c>
      <c r="H53" s="281"/>
      <c r="I53" s="281"/>
      <c r="J53" s="281"/>
      <c r="K53" s="281"/>
      <c r="L53" s="281"/>
      <c r="M53" s="281"/>
      <c r="N53" s="281"/>
    </row>
    <row r="54" spans="1:14" ht="15.75" thickTop="1" x14ac:dyDescent="0.3">
      <c r="B54" s="298" t="s">
        <v>262</v>
      </c>
      <c r="C54" s="281"/>
      <c r="D54" s="316">
        <f>D40</f>
        <v>335.9</v>
      </c>
      <c r="E54" s="304"/>
      <c r="F54" s="298" t="s">
        <v>262</v>
      </c>
      <c r="G54" s="316">
        <f>G40</f>
        <v>335.9</v>
      </c>
      <c r="H54" s="281"/>
      <c r="I54" s="281"/>
      <c r="J54" s="281"/>
      <c r="K54" s="281"/>
      <c r="L54" s="281"/>
      <c r="M54" s="281"/>
      <c r="N54" s="281"/>
    </row>
    <row r="55" spans="1:14" ht="15.75" thickBot="1" x14ac:dyDescent="0.35">
      <c r="B55" s="325" t="s">
        <v>30</v>
      </c>
      <c r="C55" s="326"/>
      <c r="D55" s="327">
        <f>D53/D54</f>
        <v>14.980147940388903</v>
      </c>
      <c r="E55" s="304"/>
      <c r="F55" s="320" t="s">
        <v>30</v>
      </c>
      <c r="G55" s="322">
        <f>G53/G54</f>
        <v>1.5274086003297032</v>
      </c>
      <c r="H55" s="281"/>
      <c r="I55" s="281"/>
      <c r="J55" s="281"/>
      <c r="K55" s="281"/>
      <c r="L55" s="281"/>
      <c r="M55" s="281"/>
      <c r="N55" s="281"/>
    </row>
    <row r="56" spans="1:14" ht="15.75" thickBot="1" x14ac:dyDescent="0.35">
      <c r="B56" s="281"/>
      <c r="C56" s="281"/>
      <c r="D56" s="323"/>
      <c r="E56" s="304"/>
      <c r="F56" s="281"/>
      <c r="G56" s="323"/>
      <c r="H56" s="281"/>
      <c r="I56" s="281"/>
      <c r="J56" s="281"/>
      <c r="K56" s="281"/>
      <c r="L56" s="281"/>
      <c r="M56" s="281"/>
      <c r="N56" s="281"/>
    </row>
    <row r="57" spans="1:14" x14ac:dyDescent="0.3">
      <c r="A57" s="253" t="s">
        <v>78</v>
      </c>
      <c r="B57" s="431"/>
      <c r="C57" s="432"/>
      <c r="D57" s="433" t="s">
        <v>264</v>
      </c>
      <c r="E57" s="304" t="s">
        <v>78</v>
      </c>
      <c r="F57" s="431"/>
      <c r="G57" s="433" t="s">
        <v>264</v>
      </c>
      <c r="H57" s="281"/>
      <c r="I57" s="281"/>
      <c r="J57" s="281"/>
      <c r="K57" s="281"/>
      <c r="L57" s="281"/>
      <c r="M57" s="281"/>
      <c r="N57" s="281"/>
    </row>
    <row r="58" spans="1:14" x14ac:dyDescent="0.3">
      <c r="B58" s="434" t="s">
        <v>256</v>
      </c>
      <c r="C58" s="435"/>
      <c r="D58" s="436"/>
      <c r="E58" s="304"/>
      <c r="F58" s="434" t="s">
        <v>256</v>
      </c>
      <c r="G58" s="436"/>
      <c r="H58" s="281"/>
      <c r="I58" s="281"/>
      <c r="J58" s="281"/>
      <c r="K58" s="281"/>
      <c r="L58" s="281"/>
      <c r="M58" s="281"/>
      <c r="N58" s="281"/>
    </row>
    <row r="59" spans="1:14" x14ac:dyDescent="0.3">
      <c r="B59" s="298" t="s">
        <v>257</v>
      </c>
      <c r="C59" s="281"/>
      <c r="D59" s="328">
        <f>J12</f>
        <v>19.100000000000001</v>
      </c>
      <c r="E59" s="304"/>
      <c r="F59" s="294" t="s">
        <v>258</v>
      </c>
      <c r="G59" s="328">
        <f>H12</f>
        <v>4.43</v>
      </c>
      <c r="H59" s="281"/>
      <c r="I59" s="281"/>
      <c r="J59" s="281"/>
      <c r="K59" s="281"/>
      <c r="L59" s="281"/>
      <c r="M59" s="281"/>
      <c r="N59" s="281"/>
    </row>
    <row r="60" spans="1:14" x14ac:dyDescent="0.3">
      <c r="B60" s="298" t="s">
        <v>259</v>
      </c>
      <c r="C60" s="281"/>
      <c r="D60" s="307">
        <f>D46</f>
        <v>1914.7282724715899</v>
      </c>
      <c r="E60" s="304"/>
      <c r="F60" s="298" t="s">
        <v>259</v>
      </c>
      <c r="G60" s="307">
        <f>G46</f>
        <v>1914.7282724715899</v>
      </c>
      <c r="H60" s="281"/>
      <c r="I60" s="281"/>
      <c r="J60" s="281"/>
      <c r="K60" s="281"/>
      <c r="L60" s="281"/>
      <c r="M60" s="281"/>
      <c r="N60" s="281"/>
    </row>
    <row r="61" spans="1:14" x14ac:dyDescent="0.3">
      <c r="B61" s="298" t="s">
        <v>33</v>
      </c>
      <c r="C61" s="281"/>
      <c r="D61" s="306">
        <f>D59*('Model Output'!$J$10+'Model Output'!$J$13)</f>
        <v>15438.441433684076</v>
      </c>
      <c r="E61" s="304"/>
      <c r="F61" s="298" t="s">
        <v>33</v>
      </c>
      <c r="G61" s="306">
        <f>G59*('Model Output'!$J$10+'Model Output'!$J$13)</f>
        <v>3580.7484581790809</v>
      </c>
      <c r="H61" s="281"/>
      <c r="I61" s="281"/>
      <c r="J61" s="281"/>
      <c r="K61" s="281"/>
      <c r="L61" s="281"/>
      <c r="M61" s="281"/>
      <c r="N61" s="281"/>
    </row>
    <row r="62" spans="1:14" x14ac:dyDescent="0.3">
      <c r="B62" s="298"/>
      <c r="C62" s="281"/>
      <c r="D62" s="307"/>
      <c r="E62" s="304"/>
      <c r="F62" s="298"/>
      <c r="G62" s="307"/>
      <c r="H62" s="281"/>
      <c r="I62" s="281"/>
      <c r="J62" s="281"/>
      <c r="K62" s="281"/>
      <c r="L62" s="281"/>
      <c r="M62" s="281"/>
      <c r="N62" s="281"/>
    </row>
    <row r="63" spans="1:14" x14ac:dyDescent="0.3">
      <c r="B63" s="298" t="s">
        <v>260</v>
      </c>
      <c r="C63" s="281"/>
      <c r="D63" s="60">
        <f>+-PV('Model Output'!$M$56,5,0,D61)</f>
        <v>9661.7195853747835</v>
      </c>
      <c r="E63" s="304"/>
      <c r="F63" s="298" t="s">
        <v>260</v>
      </c>
      <c r="G63" s="60">
        <f>+-PV('Model Output'!$M$56,5,0,G61)</f>
        <v>2240.9119247754074</v>
      </c>
      <c r="H63" s="281"/>
      <c r="I63" s="281"/>
      <c r="J63" s="281"/>
      <c r="K63" s="281"/>
      <c r="L63" s="281"/>
      <c r="M63" s="281"/>
      <c r="N63" s="281"/>
    </row>
    <row r="64" spans="1:14" x14ac:dyDescent="0.3">
      <c r="B64" s="298" t="s">
        <v>35</v>
      </c>
      <c r="C64" s="281"/>
      <c r="D64" s="310">
        <f>D60+D63</f>
        <v>11576.447857846373</v>
      </c>
      <c r="E64" s="304"/>
      <c r="F64" s="298" t="s">
        <v>35</v>
      </c>
      <c r="G64" s="310">
        <f>G60+G63</f>
        <v>4155.6401972469976</v>
      </c>
      <c r="H64" s="281"/>
      <c r="I64" s="281"/>
      <c r="J64" s="281"/>
      <c r="K64" s="281"/>
      <c r="L64" s="281"/>
      <c r="M64" s="281"/>
      <c r="N64" s="281"/>
    </row>
    <row r="65" spans="2:14" x14ac:dyDescent="0.3">
      <c r="B65" s="311" t="s">
        <v>261</v>
      </c>
      <c r="C65" s="312"/>
      <c r="D65" s="314">
        <f>D51</f>
        <v>2573.6999999999998</v>
      </c>
      <c r="E65" s="304"/>
      <c r="F65" s="311" t="s">
        <v>261</v>
      </c>
      <c r="G65" s="314">
        <f>G51</f>
        <v>2573.6999999999998</v>
      </c>
      <c r="H65" s="281"/>
      <c r="I65" s="281"/>
      <c r="J65" s="281"/>
      <c r="K65" s="281"/>
      <c r="L65" s="281"/>
      <c r="M65" s="281"/>
      <c r="N65" s="281"/>
    </row>
    <row r="66" spans="2:14" x14ac:dyDescent="0.3">
      <c r="B66" s="298"/>
      <c r="C66" s="281"/>
      <c r="D66" s="316"/>
      <c r="E66" s="304"/>
      <c r="F66" s="298"/>
      <c r="G66" s="316"/>
      <c r="H66" s="281"/>
      <c r="I66" s="281"/>
      <c r="J66" s="281"/>
      <c r="K66" s="281"/>
      <c r="L66" s="281"/>
      <c r="M66" s="281"/>
      <c r="N66" s="281"/>
    </row>
    <row r="67" spans="2:14" ht="15.75" thickBot="1" x14ac:dyDescent="0.35">
      <c r="B67" s="298" t="s">
        <v>38</v>
      </c>
      <c r="C67" s="281"/>
      <c r="D67" s="318">
        <f>D64-D65</f>
        <v>9002.7478578463742</v>
      </c>
      <c r="E67" s="304"/>
      <c r="F67" s="298" t="s">
        <v>38</v>
      </c>
      <c r="G67" s="318">
        <f>G64-G65</f>
        <v>1581.9401972469977</v>
      </c>
      <c r="H67" s="281"/>
      <c r="I67" s="281"/>
      <c r="J67" s="281"/>
      <c r="K67" s="281"/>
      <c r="L67" s="281"/>
      <c r="M67" s="281"/>
      <c r="N67" s="281"/>
    </row>
    <row r="68" spans="2:14" ht="15.75" thickTop="1" x14ac:dyDescent="0.3">
      <c r="B68" s="298" t="s">
        <v>262</v>
      </c>
      <c r="C68" s="281"/>
      <c r="D68" s="316">
        <f>D54</f>
        <v>335.9</v>
      </c>
      <c r="E68" s="304"/>
      <c r="F68" s="298" t="s">
        <v>262</v>
      </c>
      <c r="G68" s="316">
        <f>G54</f>
        <v>335.9</v>
      </c>
      <c r="H68" s="281"/>
      <c r="I68" s="281"/>
      <c r="J68" s="281"/>
      <c r="K68" s="281"/>
      <c r="L68" s="281"/>
      <c r="M68" s="281"/>
      <c r="N68" s="281"/>
    </row>
    <row r="69" spans="2:14" ht="15.75" thickBot="1" x14ac:dyDescent="0.35">
      <c r="B69" s="320" t="s">
        <v>30</v>
      </c>
      <c r="C69" s="321"/>
      <c r="D69" s="322">
        <f>D67/D68</f>
        <v>26.801869180846605</v>
      </c>
      <c r="E69" s="304"/>
      <c r="F69" s="320" t="s">
        <v>30</v>
      </c>
      <c r="G69" s="322">
        <f>G67/G68</f>
        <v>4.7095570028192855</v>
      </c>
      <c r="H69" s="281"/>
      <c r="I69" s="281"/>
      <c r="J69" s="281"/>
      <c r="K69" s="281"/>
      <c r="L69" s="281"/>
      <c r="M69" s="281"/>
      <c r="N69" s="281"/>
    </row>
    <row r="70" spans="2:14" x14ac:dyDescent="0.3">
      <c r="H70" s="253"/>
    </row>
    <row r="71" spans="2:14" x14ac:dyDescent="0.3">
      <c r="H71" s="253"/>
    </row>
  </sheetData>
  <pageMargins left="0.7" right="0.7" top="0.75" bottom="0.75" header="0.3" footer="0.3"/>
  <pageSetup scale="66" orientation="portrait" r:id="rId1"/>
  <ignoredErrors>
    <ignoredError sqref="D54 G53:G55 D65 D68" evalError="1"/>
    <ignoredError sqref="D50 G36 G22 D64 G5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Cover</vt:lpstr>
      <vt:lpstr>Calculations &gt;&gt;</vt:lpstr>
      <vt:lpstr>Inputs</vt:lpstr>
      <vt:lpstr>Outputs &gt;&gt;</vt:lpstr>
      <vt:lpstr>Model Output</vt:lpstr>
      <vt:lpstr>Comps</vt:lpstr>
      <vt:lpstr>WACC</vt:lpstr>
      <vt:lpstr>Valuation Summary</vt:lpstr>
      <vt:lpstr>Precedent Transactions</vt:lpstr>
      <vt:lpstr>Raw Data &gt;&gt;</vt:lpstr>
      <vt:lpstr>Income Statement</vt:lpstr>
      <vt:lpstr>Balance Sheet</vt:lpstr>
      <vt:lpstr>Cash Flow</vt:lpstr>
      <vt:lpstr>'Balance Sheet'!Print_Area</vt:lpstr>
      <vt:lpstr>'Cash Flow'!Print_Area</vt:lpstr>
      <vt:lpstr>Comps!Print_Area</vt:lpstr>
      <vt:lpstr>Cover!Print_Area</vt:lpstr>
      <vt:lpstr>'Income Statement'!Print_Area</vt:lpstr>
      <vt:lpstr>Inputs!Print_Area</vt:lpstr>
      <vt:lpstr>'Model Output'!Print_Area</vt:lpstr>
      <vt:lpstr>'Precedent Transactions'!Print_Area</vt:lpstr>
      <vt:lpstr>'Valuation Summary'!Print_Area</vt:lpstr>
      <vt:lpstr>WACC!Print_Area</vt:lpstr>
      <vt:lpstr>'Balance Sheet'!Print_Titles</vt:lpstr>
      <vt:lpstr>'Cash Flow'!Print_Titles</vt:lpstr>
      <vt:lpstr>'Income Statement'!Print_Titles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Vertiv_DCF</dc:title>
  <dc:creator/>
  <cp:lastModifiedBy/>
  <dcterms:created xsi:type="dcterms:W3CDTF">2020-10-19T23:42:56Z</dcterms:created>
  <dcterms:modified xsi:type="dcterms:W3CDTF">2020-10-22T04:20:17Z</dcterms:modified>
</cp:coreProperties>
</file>