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esktop\"/>
    </mc:Choice>
  </mc:AlternateContent>
  <xr:revisionPtr revIDLastSave="0" documentId="13_ncr:1_{FDEFCA74-5208-4447-BB9C-50013E16143B}" xr6:coauthVersionLast="46" xr6:coauthVersionMax="46" xr10:uidLastSave="{00000000-0000-0000-0000-000000000000}"/>
  <bookViews>
    <workbookView xWindow="-108" yWindow="-108" windowWidth="23256" windowHeight="12576" tabRatio="1000" xr2:uid="{578233FF-EED0-472C-94E0-2868760F9530}"/>
  </bookViews>
  <sheets>
    <sheet name="Cover" sheetId="14" r:id="rId1"/>
    <sheet name="Outputs &gt;&gt;" sheetId="8" r:id="rId2"/>
    <sheet name="Comps" sheetId="6" r:id="rId3"/>
    <sheet name="DCF Output" sheetId="16" r:id="rId4"/>
    <sheet name="Calculations &gt;&gt;" sheetId="9" r:id="rId5"/>
    <sheet name="Assumptions" sheetId="11" r:id="rId6"/>
    <sheet name="Inputs" sheetId="10" r:id="rId7"/>
    <sheet name="NWC" sheetId="12" r:id="rId8"/>
    <sheet name="EV Walk-Through" sheetId="7" r:id="rId9"/>
    <sheet name="Beta" sheetId="13" r:id="rId10"/>
    <sheet name="WACC" sheetId="15" r:id="rId11"/>
    <sheet name="Shares Outstanding" sheetId="17" r:id="rId12"/>
    <sheet name="Cost of Debt" sheetId="19" r:id="rId13"/>
    <sheet name="Financial Statements Data &gt;&gt;" sheetId="1" r:id="rId14"/>
    <sheet name="Income Statement" sheetId="2" r:id="rId15"/>
    <sheet name="Balance Sheet" sheetId="3" r:id="rId16"/>
    <sheet name="Cash Flow" sheetId="4" r:id="rId17"/>
    <sheet name="Trading Multiples" sheetId="5" r:id="rId18"/>
    <sheet name="Capital Structure Details" sheetId="18" r:id="rId19"/>
  </sheets>
  <definedNames>
    <definedName name="_xlnm.Print_Area" localSheetId="5">Assumptions!$B$2:$K$22</definedName>
    <definedName name="_xlnm.Print_Area" localSheetId="15">'Balance Sheet'!$B$2:$H$66</definedName>
    <definedName name="_xlnm.Print_Area" localSheetId="9">Beta!$B$2:$H$12,Beta!$B$14:$C$14,Beta!$J$2:$O$38</definedName>
    <definedName name="_xlnm.Print_Area" localSheetId="18">'Capital Structure Details'!$A$2:$J$36</definedName>
    <definedName name="_xlnm.Print_Area" localSheetId="16">'Cash Flow'!$B$2:$H$78</definedName>
    <definedName name="_xlnm.Print_Area" localSheetId="2">Comps!$B$2:$N$17</definedName>
    <definedName name="_xlnm.Print_Area" localSheetId="12">'Cost of Debt'!$B$2:$E$31</definedName>
    <definedName name="_xlnm.Print_Area" localSheetId="0">Cover!$B$2:$B$5</definedName>
    <definedName name="_xlnm.Print_Area" localSheetId="3">'DCF Output'!$B$2:$K$21,'DCF Output'!$M$2:$N$18,'DCF Output'!$M$21:$N$23,'DCF Output'!$M$27:$N$30,'DCF Output'!$P$27:$Z$38</definedName>
    <definedName name="_xlnm.Print_Area" localSheetId="8">'EV Walk-Through'!$B$2:$C$11</definedName>
    <definedName name="_xlnm.Print_Area" localSheetId="14">'Income Statement'!$B$2:$H$39</definedName>
    <definedName name="_xlnm.Print_Area" localSheetId="6">Inputs!$B$2:$K$55</definedName>
    <definedName name="_xlnm.Print_Area" localSheetId="7">NWC!$B$2:$L$47,NWC!$N$4:$O$4</definedName>
    <definedName name="_xlnm.Print_Area" localSheetId="11">'Shares Outstanding'!$B$2:$C$15</definedName>
    <definedName name="_xlnm.Print_Area" localSheetId="17">'Trading Multiples'!$A$2:$X$18</definedName>
    <definedName name="_xlnm.Print_Area" localSheetId="10">WACC!$B$2:$C$14,WACC!$E$2:$F$5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6" l="1"/>
  <c r="N30" i="16"/>
  <c r="C8" i="7" l="1"/>
  <c r="C17" i="6"/>
  <c r="C4" i="7"/>
  <c r="D17" i="6"/>
  <c r="E10" i="19"/>
  <c r="N11" i="16"/>
  <c r="E5" i="19"/>
  <c r="E6" i="19"/>
  <c r="E7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8" i="19"/>
  <c r="E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4" i="19"/>
  <c r="C30" i="19" s="1"/>
  <c r="D19" i="19" s="1"/>
  <c r="D23" i="19" l="1"/>
  <c r="D22" i="19"/>
  <c r="D10" i="19"/>
  <c r="D9" i="19"/>
  <c r="D21" i="19"/>
  <c r="D20" i="19"/>
  <c r="D8" i="19"/>
  <c r="D7" i="19"/>
  <c r="D11" i="19"/>
  <c r="D18" i="19"/>
  <c r="D5" i="19"/>
  <c r="D30" i="19" s="1"/>
  <c r="D6" i="19"/>
  <c r="D27" i="19"/>
  <c r="D4" i="19"/>
  <c r="D15" i="19"/>
  <c r="D29" i="19"/>
  <c r="D17" i="19"/>
  <c r="D28" i="19"/>
  <c r="D26" i="19"/>
  <c r="D12" i="19"/>
  <c r="D14" i="19"/>
  <c r="D25" i="19"/>
  <c r="D24" i="19"/>
  <c r="D16" i="19"/>
  <c r="D13" i="19"/>
  <c r="E31" i="19" l="1"/>
  <c r="C8" i="15" s="1"/>
  <c r="D12" i="13" l="1"/>
  <c r="F4" i="15" s="1"/>
  <c r="D7" i="13" l="1"/>
  <c r="F7" i="13" s="1"/>
  <c r="H7" i="13" s="1"/>
  <c r="K30" i="13"/>
  <c r="G8" i="13"/>
  <c r="H8" i="13" s="1"/>
  <c r="G7" i="13"/>
  <c r="O33" i="13"/>
  <c r="N33" i="13"/>
  <c r="M33" i="13"/>
  <c r="L33" i="13"/>
  <c r="K33" i="13"/>
  <c r="E8" i="13"/>
  <c r="E7" i="13"/>
  <c r="D8" i="13"/>
  <c r="D6" i="13"/>
  <c r="F10" i="6"/>
  <c r="F11" i="6"/>
  <c r="N11" i="6"/>
  <c r="N10" i="6"/>
  <c r="L11" i="6"/>
  <c r="L10" i="6"/>
  <c r="K11" i="6"/>
  <c r="K10" i="6"/>
  <c r="J11" i="6"/>
  <c r="J10" i="6"/>
  <c r="H11" i="6"/>
  <c r="G11" i="6"/>
  <c r="H10" i="6"/>
  <c r="G10" i="6"/>
  <c r="D11" i="6"/>
  <c r="C11" i="6"/>
  <c r="D10" i="6"/>
  <c r="C10" i="6"/>
  <c r="V8" i="5"/>
  <c r="W8" i="5"/>
  <c r="V9" i="5"/>
  <c r="W9" i="5"/>
  <c r="U9" i="5"/>
  <c r="U8" i="5"/>
  <c r="X9" i="5"/>
  <c r="X8" i="5"/>
  <c r="T9" i="5"/>
  <c r="T8" i="5"/>
  <c r="S9" i="5"/>
  <c r="S8" i="5"/>
  <c r="R9" i="5"/>
  <c r="R8" i="5"/>
  <c r="K9" i="5"/>
  <c r="K8" i="5"/>
  <c r="C4" i="17"/>
  <c r="C9" i="7"/>
  <c r="C7" i="7"/>
  <c r="C6" i="7"/>
  <c r="C3" i="7"/>
  <c r="F8" i="13" l="1"/>
  <c r="C10" i="13"/>
  <c r="O28" i="13" l="1"/>
  <c r="N28" i="13"/>
  <c r="M28" i="13"/>
  <c r="L28" i="13"/>
  <c r="K28" i="13"/>
  <c r="C9" i="13"/>
  <c r="E5" i="13"/>
  <c r="D5" i="13"/>
  <c r="F5" i="13" s="1"/>
  <c r="V6" i="5"/>
  <c r="K8" i="6" s="1"/>
  <c r="W6" i="5"/>
  <c r="L8" i="6" s="1"/>
  <c r="U6" i="5"/>
  <c r="J8" i="6" s="1"/>
  <c r="X6" i="5"/>
  <c r="N8" i="6" s="1"/>
  <c r="C8" i="6"/>
  <c r="C9" i="6"/>
  <c r="K6" i="5"/>
  <c r="D8" i="6" s="1"/>
  <c r="V12" i="5"/>
  <c r="W12" i="5"/>
  <c r="V4" i="5"/>
  <c r="W4" i="5"/>
  <c r="V5" i="5"/>
  <c r="W5" i="5"/>
  <c r="V7" i="5"/>
  <c r="W7" i="5"/>
  <c r="U12" i="5"/>
  <c r="U7" i="5"/>
  <c r="U5" i="5"/>
  <c r="U4" i="5"/>
  <c r="N10" i="16"/>
  <c r="N12" i="16"/>
  <c r="R6" i="5" l="1"/>
  <c r="F8" i="6" s="1"/>
  <c r="S6" i="5"/>
  <c r="G8" i="6" s="1"/>
  <c r="T6" i="5"/>
  <c r="H8" i="6" s="1"/>
  <c r="K25" i="13"/>
  <c r="D4" i="16"/>
  <c r="E4" i="16" s="1"/>
  <c r="F4" i="16" s="1"/>
  <c r="G4" i="16" s="1"/>
  <c r="H4" i="16" l="1"/>
  <c r="I4" i="16" l="1"/>
  <c r="J4" i="16" l="1"/>
  <c r="K4" i="16" l="1"/>
  <c r="H52" i="10" l="1"/>
  <c r="I52" i="10"/>
  <c r="J52" i="10"/>
  <c r="K52" i="10"/>
  <c r="G52" i="10"/>
  <c r="C12" i="17"/>
  <c r="C9" i="17"/>
  <c r="C10" i="17" s="1"/>
  <c r="C13" i="17" s="1"/>
  <c r="C15" i="17" s="1"/>
  <c r="N16" i="16" s="1"/>
  <c r="C38" i="12" l="1"/>
  <c r="E39" i="12"/>
  <c r="F37" i="12" s="1"/>
  <c r="F39" i="12"/>
  <c r="G37" i="12" s="1"/>
  <c r="G38" i="12" s="1"/>
  <c r="G39" i="12"/>
  <c r="H37" i="12" s="1"/>
  <c r="E37" i="12"/>
  <c r="D39" i="12"/>
  <c r="D43" i="12" s="1"/>
  <c r="C39" i="12"/>
  <c r="D37" i="12" s="1"/>
  <c r="D38" i="12" s="1"/>
  <c r="C37" i="12"/>
  <c r="D31" i="12"/>
  <c r="E29" i="12" s="1"/>
  <c r="E30" i="12" s="1"/>
  <c r="E31" i="12"/>
  <c r="F29" i="12" s="1"/>
  <c r="F30" i="12" s="1"/>
  <c r="F31" i="12"/>
  <c r="G29" i="12" s="1"/>
  <c r="G31" i="12"/>
  <c r="H29" i="12" s="1"/>
  <c r="C31" i="12"/>
  <c r="C30" i="12" s="1"/>
  <c r="C29" i="12"/>
  <c r="D22" i="12"/>
  <c r="E20" i="12" s="1"/>
  <c r="E22" i="12"/>
  <c r="F22" i="12"/>
  <c r="G22" i="12"/>
  <c r="C22" i="12"/>
  <c r="D20" i="12" s="1"/>
  <c r="C20" i="12"/>
  <c r="D15" i="12"/>
  <c r="E15" i="12"/>
  <c r="F13" i="12" s="1"/>
  <c r="F15" i="12"/>
  <c r="G15" i="12"/>
  <c r="C15" i="12"/>
  <c r="D13" i="12" s="1"/>
  <c r="C13" i="12"/>
  <c r="D29" i="12" l="1"/>
  <c r="D30" i="12" s="1"/>
  <c r="C43" i="12"/>
  <c r="G30" i="12"/>
  <c r="C21" i="12"/>
  <c r="G43" i="12"/>
  <c r="D21" i="12"/>
  <c r="E38" i="12"/>
  <c r="F43" i="12"/>
  <c r="C14" i="12"/>
  <c r="E43" i="12"/>
  <c r="F38" i="12"/>
  <c r="E21" i="12"/>
  <c r="F14" i="12"/>
  <c r="D14" i="12"/>
  <c r="G13" i="12"/>
  <c r="G14" i="12" s="1"/>
  <c r="H13" i="12"/>
  <c r="G20" i="12"/>
  <c r="G21" i="12" s="1"/>
  <c r="F20" i="12"/>
  <c r="F21" i="12" s="1"/>
  <c r="E13" i="12"/>
  <c r="E14" i="12" s="1"/>
  <c r="H20" i="12"/>
  <c r="C10" i="12" l="1"/>
  <c r="G7" i="12"/>
  <c r="G26" i="12" s="1"/>
  <c r="G45" i="12" s="1"/>
  <c r="G47" i="12" s="1"/>
  <c r="F53" i="10" s="1"/>
  <c r="F17" i="16" s="1"/>
  <c r="F7" i="12"/>
  <c r="F26" i="12" s="1"/>
  <c r="F45" i="12" s="1"/>
  <c r="E7" i="12"/>
  <c r="D7" i="12"/>
  <c r="C7" i="12"/>
  <c r="C26" i="12" s="1"/>
  <c r="C45" i="12" s="1"/>
  <c r="C5" i="12"/>
  <c r="C6" i="12" s="1"/>
  <c r="D51" i="10"/>
  <c r="D16" i="16" s="1"/>
  <c r="E51" i="10"/>
  <c r="E16" i="16" s="1"/>
  <c r="F51" i="10"/>
  <c r="F16" i="16" s="1"/>
  <c r="C51" i="10"/>
  <c r="C16" i="16" s="1"/>
  <c r="J17" i="10"/>
  <c r="K12" i="10"/>
  <c r="I12" i="10"/>
  <c r="I10" i="10"/>
  <c r="H10" i="10"/>
  <c r="K8" i="10"/>
  <c r="J8" i="10"/>
  <c r="I8" i="10"/>
  <c r="H8" i="10"/>
  <c r="G8" i="10"/>
  <c r="I17" i="10"/>
  <c r="J12" i="10"/>
  <c r="K10" i="10"/>
  <c r="J10" i="10"/>
  <c r="K6" i="10"/>
  <c r="I6" i="10"/>
  <c r="H6" i="10"/>
  <c r="G6" i="10"/>
  <c r="D3" i="13"/>
  <c r="F5" i="12" l="1"/>
  <c r="F6" i="12" s="1"/>
  <c r="E26" i="12"/>
  <c r="E45" i="12" s="1"/>
  <c r="D5" i="12"/>
  <c r="E5" i="12"/>
  <c r="E6" i="12" s="1"/>
  <c r="D26" i="12"/>
  <c r="D45" i="12" s="1"/>
  <c r="D47" i="12" s="1"/>
  <c r="C53" i="10" s="1"/>
  <c r="C17" i="16" s="1"/>
  <c r="F47" i="12"/>
  <c r="E53" i="10" s="1"/>
  <c r="E17" i="16" s="1"/>
  <c r="H5" i="12"/>
  <c r="D6" i="12"/>
  <c r="G5" i="12"/>
  <c r="G6" i="12" s="1"/>
  <c r="G12" i="10"/>
  <c r="H17" i="10"/>
  <c r="I19" i="10"/>
  <c r="G10" i="10"/>
  <c r="J19" i="10"/>
  <c r="H12" i="10"/>
  <c r="E47" i="12" l="1"/>
  <c r="D53" i="10" s="1"/>
  <c r="D17" i="16" s="1"/>
  <c r="K17" i="10"/>
  <c r="H19" i="10"/>
  <c r="G17" i="10"/>
  <c r="K19" i="10" l="1"/>
  <c r="G19" i="10"/>
  <c r="J46" i="10" l="1"/>
  <c r="I46" i="10" l="1"/>
  <c r="H46" i="10" l="1"/>
  <c r="K46" i="10" l="1"/>
  <c r="G46" i="10"/>
  <c r="E12" i="13" l="1"/>
  <c r="F5" i="15" s="1"/>
  <c r="N38" i="13"/>
  <c r="K38" i="13"/>
  <c r="D34" i="10"/>
  <c r="C34" i="10"/>
  <c r="E34" i="10"/>
  <c r="F34" i="10"/>
  <c r="D18" i="10"/>
  <c r="E18" i="10"/>
  <c r="F18" i="10"/>
  <c r="C18" i="10"/>
  <c r="D22" i="10"/>
  <c r="E22" i="10"/>
  <c r="F22" i="10"/>
  <c r="F23" i="10" s="1"/>
  <c r="F10" i="11" s="1"/>
  <c r="C22" i="10"/>
  <c r="D20" i="10"/>
  <c r="E20" i="10"/>
  <c r="F20" i="10"/>
  <c r="C20" i="10"/>
  <c r="O23" i="13"/>
  <c r="N23" i="13"/>
  <c r="M23" i="13"/>
  <c r="L23" i="13"/>
  <c r="K23" i="13"/>
  <c r="O18" i="13"/>
  <c r="N18" i="13"/>
  <c r="M18" i="13"/>
  <c r="L18" i="13"/>
  <c r="K18" i="13"/>
  <c r="O13" i="13"/>
  <c r="N13" i="13"/>
  <c r="M13" i="13"/>
  <c r="L13" i="13"/>
  <c r="K13" i="13"/>
  <c r="O8" i="13"/>
  <c r="N8" i="13"/>
  <c r="M8" i="13"/>
  <c r="L8" i="13"/>
  <c r="K8" i="13"/>
  <c r="L6" i="6"/>
  <c r="K6" i="6"/>
  <c r="J6" i="6"/>
  <c r="C6" i="6"/>
  <c r="D4" i="13"/>
  <c r="E3" i="13"/>
  <c r="E4" i="13"/>
  <c r="E6" i="13"/>
  <c r="X4" i="5"/>
  <c r="N6" i="6" s="1"/>
  <c r="K4" i="5"/>
  <c r="T4" i="5" s="1"/>
  <c r="H6" i="6" s="1"/>
  <c r="E23" i="10" l="1"/>
  <c r="E10" i="11" s="1"/>
  <c r="D10" i="13"/>
  <c r="D9" i="13"/>
  <c r="E9" i="13"/>
  <c r="E10" i="13"/>
  <c r="F12" i="13"/>
  <c r="C12" i="15"/>
  <c r="C11" i="15"/>
  <c r="D6" i="6"/>
  <c r="F19" i="10"/>
  <c r="F8" i="11" s="1"/>
  <c r="G18" i="10"/>
  <c r="H18" i="10" s="1"/>
  <c r="I18" i="10" s="1"/>
  <c r="J18" i="10" s="1"/>
  <c r="K18" i="10" s="1"/>
  <c r="E19" i="10"/>
  <c r="E8" i="11" s="1"/>
  <c r="D23" i="10"/>
  <c r="D10" i="11" s="1"/>
  <c r="G23" i="10" s="1"/>
  <c r="G22" i="10" s="1"/>
  <c r="D19" i="10"/>
  <c r="D8" i="11" s="1"/>
  <c r="F21" i="10"/>
  <c r="F9" i="11" s="1"/>
  <c r="D21" i="10"/>
  <c r="D9" i="11" s="1"/>
  <c r="E21" i="10"/>
  <c r="E9" i="11" s="1"/>
  <c r="F6" i="13"/>
  <c r="F3" i="13"/>
  <c r="F4" i="13"/>
  <c r="K5" i="13"/>
  <c r="G3" i="13" s="1"/>
  <c r="K15" i="13"/>
  <c r="G5" i="13" s="1"/>
  <c r="H5" i="13" s="1"/>
  <c r="K20" i="13"/>
  <c r="G6" i="13" s="1"/>
  <c r="K10" i="13"/>
  <c r="G4" i="13" s="1"/>
  <c r="R4" i="5"/>
  <c r="F6" i="6" s="1"/>
  <c r="S4" i="5"/>
  <c r="G6" i="6" s="1"/>
  <c r="G10" i="13" l="1"/>
  <c r="G9" i="13"/>
  <c r="F9" i="13"/>
  <c r="F10" i="13"/>
  <c r="G9" i="11"/>
  <c r="G21" i="10" s="1"/>
  <c r="H6" i="13"/>
  <c r="H3" i="13"/>
  <c r="H4" i="13"/>
  <c r="D49" i="10"/>
  <c r="D15" i="16" s="1"/>
  <c r="E49" i="10"/>
  <c r="E15" i="16" s="1"/>
  <c r="F49" i="10"/>
  <c r="F15" i="16" s="1"/>
  <c r="C49" i="10"/>
  <c r="C15" i="16" s="1"/>
  <c r="D16" i="10"/>
  <c r="D24" i="10" s="1"/>
  <c r="E34" i="12" s="1"/>
  <c r="E16" i="10"/>
  <c r="E24" i="10" s="1"/>
  <c r="F34" i="12" s="1"/>
  <c r="F16" i="10"/>
  <c r="C16" i="10"/>
  <c r="C24" i="10" s="1"/>
  <c r="D34" i="12" s="1"/>
  <c r="D45" i="10"/>
  <c r="E45" i="10"/>
  <c r="F45" i="10"/>
  <c r="C45" i="10"/>
  <c r="D41" i="10"/>
  <c r="E41" i="10"/>
  <c r="F41" i="10"/>
  <c r="C41" i="10"/>
  <c r="D32" i="10"/>
  <c r="E32" i="10"/>
  <c r="F32" i="10"/>
  <c r="C32" i="10"/>
  <c r="D30" i="10"/>
  <c r="E30" i="10"/>
  <c r="F30" i="10"/>
  <c r="C30" i="10"/>
  <c r="D7" i="10"/>
  <c r="E5" i="10"/>
  <c r="E7" i="10"/>
  <c r="E9" i="10"/>
  <c r="E11" i="10"/>
  <c r="F7" i="10"/>
  <c r="G7" i="10" s="1"/>
  <c r="D9" i="10"/>
  <c r="F9" i="10"/>
  <c r="G9" i="10" s="1"/>
  <c r="H9" i="10" s="1"/>
  <c r="I9" i="10" s="1"/>
  <c r="J9" i="10" s="1"/>
  <c r="K9" i="10" s="1"/>
  <c r="D11" i="10"/>
  <c r="F11" i="10"/>
  <c r="G11" i="10" s="1"/>
  <c r="H11" i="10" s="1"/>
  <c r="I11" i="10" s="1"/>
  <c r="J11" i="10" s="1"/>
  <c r="K11" i="10" s="1"/>
  <c r="C7" i="10"/>
  <c r="C9" i="10"/>
  <c r="C11" i="10"/>
  <c r="D5" i="10"/>
  <c r="F5" i="10"/>
  <c r="G5" i="10" s="1"/>
  <c r="C5" i="10"/>
  <c r="H9" i="13" l="1"/>
  <c r="H10" i="13"/>
  <c r="H7" i="10"/>
  <c r="G13" i="10"/>
  <c r="J23" i="10"/>
  <c r="I23" i="10"/>
  <c r="F24" i="10"/>
  <c r="G16" i="10"/>
  <c r="H5" i="10"/>
  <c r="G20" i="10"/>
  <c r="H23" i="10"/>
  <c r="H22" i="10" s="1"/>
  <c r="H9" i="11"/>
  <c r="H21" i="10" s="1"/>
  <c r="C8" i="16"/>
  <c r="D33" i="12"/>
  <c r="D17" i="12"/>
  <c r="E8" i="16"/>
  <c r="F17" i="12"/>
  <c r="E19" i="11" s="1"/>
  <c r="F33" i="12"/>
  <c r="E21" i="11" s="1"/>
  <c r="D8" i="16"/>
  <c r="E33" i="12"/>
  <c r="D21" i="11" s="1"/>
  <c r="E17" i="12"/>
  <c r="D19" i="11" s="1"/>
  <c r="C36" i="10"/>
  <c r="C11" i="16" s="1"/>
  <c r="F36" i="10"/>
  <c r="F11" i="16" s="1"/>
  <c r="E36" i="10"/>
  <c r="E11" i="16" s="1"/>
  <c r="E6" i="10"/>
  <c r="E3" i="11" s="1"/>
  <c r="D36" i="10"/>
  <c r="D11" i="16" s="1"/>
  <c r="D17" i="10"/>
  <c r="D7" i="11" s="1"/>
  <c r="D13" i="10"/>
  <c r="D42" i="10" s="1"/>
  <c r="D14" i="11" s="1"/>
  <c r="F17" i="10"/>
  <c r="F7" i="11" s="1"/>
  <c r="C13" i="10"/>
  <c r="C50" i="10" s="1"/>
  <c r="F6" i="10"/>
  <c r="F3" i="11" s="1"/>
  <c r="E13" i="10"/>
  <c r="E25" i="10" s="1"/>
  <c r="E17" i="10"/>
  <c r="E7" i="11" s="1"/>
  <c r="F13" i="10"/>
  <c r="F42" i="10" s="1"/>
  <c r="F14" i="11" s="1"/>
  <c r="E12" i="10"/>
  <c r="E6" i="11" s="1"/>
  <c r="E10" i="10"/>
  <c r="E5" i="11" s="1"/>
  <c r="E8" i="10"/>
  <c r="E4" i="11" s="1"/>
  <c r="F10" i="10"/>
  <c r="F5" i="11" s="1"/>
  <c r="F12" i="10"/>
  <c r="F6" i="11" s="1"/>
  <c r="F8" i="10"/>
  <c r="F4" i="11" s="1"/>
  <c r="D10" i="10"/>
  <c r="D5" i="11" s="1"/>
  <c r="D6" i="10"/>
  <c r="D3" i="11" s="1"/>
  <c r="D8" i="10"/>
  <c r="D4" i="11" s="1"/>
  <c r="D12" i="10"/>
  <c r="D6" i="11" s="1"/>
  <c r="F8" i="16" l="1"/>
  <c r="G34" i="12"/>
  <c r="C42" i="10"/>
  <c r="E42" i="10"/>
  <c r="E14" i="11" s="1"/>
  <c r="I7" i="10"/>
  <c r="H13" i="10"/>
  <c r="G51" i="10"/>
  <c r="G16" i="16" s="1"/>
  <c r="I9" i="11"/>
  <c r="I21" i="10" s="1"/>
  <c r="I22" i="10"/>
  <c r="J22" i="10" s="1"/>
  <c r="F25" i="10"/>
  <c r="K23" i="10"/>
  <c r="G33" i="12"/>
  <c r="F21" i="11" s="1"/>
  <c r="G21" i="11" s="1"/>
  <c r="H33" i="12" s="1"/>
  <c r="G17" i="12"/>
  <c r="F19" i="11" s="1"/>
  <c r="G19" i="11" s="1"/>
  <c r="H19" i="11" s="1"/>
  <c r="H20" i="10"/>
  <c r="I5" i="10"/>
  <c r="G14" i="10"/>
  <c r="G6" i="16"/>
  <c r="G24" i="10"/>
  <c r="H16" i="10"/>
  <c r="C6" i="16"/>
  <c r="C9" i="16" s="1"/>
  <c r="C12" i="16" s="1"/>
  <c r="C27" i="10"/>
  <c r="D41" i="12"/>
  <c r="D24" i="12"/>
  <c r="C25" i="10"/>
  <c r="F6" i="16"/>
  <c r="G24" i="12"/>
  <c r="F20" i="11" s="1"/>
  <c r="G41" i="12"/>
  <c r="F22" i="11" s="1"/>
  <c r="F27" i="10"/>
  <c r="F39" i="10" s="1"/>
  <c r="O36" i="13" s="1"/>
  <c r="O38" i="13" s="1"/>
  <c r="E6" i="16"/>
  <c r="E9" i="16" s="1"/>
  <c r="E12" i="16" s="1"/>
  <c r="F41" i="12"/>
  <c r="E22" i="11" s="1"/>
  <c r="F24" i="12"/>
  <c r="E20" i="11" s="1"/>
  <c r="E27" i="10"/>
  <c r="E39" i="10" s="1"/>
  <c r="E44" i="10" s="1"/>
  <c r="E46" i="10" s="1"/>
  <c r="E15" i="11" s="1"/>
  <c r="D50" i="10"/>
  <c r="D16" i="11" s="1"/>
  <c r="D6" i="16"/>
  <c r="D9" i="16" s="1"/>
  <c r="D12" i="16" s="1"/>
  <c r="E24" i="12"/>
  <c r="D20" i="11" s="1"/>
  <c r="D27" i="10"/>
  <c r="D39" i="10" s="1"/>
  <c r="M36" i="13" s="1"/>
  <c r="M38" i="13" s="1"/>
  <c r="E41" i="12"/>
  <c r="D22" i="11" s="1"/>
  <c r="D25" i="10"/>
  <c r="F9" i="12"/>
  <c r="E52" i="10"/>
  <c r="E17" i="11" s="1"/>
  <c r="G9" i="12"/>
  <c r="F52" i="10"/>
  <c r="F17" i="11" s="1"/>
  <c r="F50" i="10"/>
  <c r="F16" i="11" s="1"/>
  <c r="C39" i="10"/>
  <c r="L36" i="13" s="1"/>
  <c r="L38" i="13" s="1"/>
  <c r="D9" i="12"/>
  <c r="D10" i="12" s="1"/>
  <c r="C52" i="10"/>
  <c r="E9" i="12"/>
  <c r="D52" i="10"/>
  <c r="D17" i="11" s="1"/>
  <c r="E50" i="10"/>
  <c r="E16" i="11" s="1"/>
  <c r="D37" i="10"/>
  <c r="C37" i="10"/>
  <c r="F37" i="10"/>
  <c r="E37" i="10"/>
  <c r="C35" i="10"/>
  <c r="F35" i="10"/>
  <c r="F13" i="11" s="1"/>
  <c r="E33" i="10"/>
  <c r="E12" i="11" s="1"/>
  <c r="F33" i="10"/>
  <c r="F12" i="11" s="1"/>
  <c r="C31" i="10"/>
  <c r="C33" i="10"/>
  <c r="D35" i="10"/>
  <c r="D13" i="11" s="1"/>
  <c r="D33" i="10"/>
  <c r="D12" i="11" s="1"/>
  <c r="G12" i="11" s="1"/>
  <c r="E31" i="10"/>
  <c r="E11" i="11" s="1"/>
  <c r="E35" i="10"/>
  <c r="E13" i="11" s="1"/>
  <c r="D31" i="10"/>
  <c r="D11" i="11" s="1"/>
  <c r="F31" i="10"/>
  <c r="F11" i="11" s="1"/>
  <c r="E14" i="10"/>
  <c r="D14" i="10"/>
  <c r="F14" i="10"/>
  <c r="F9" i="16" l="1"/>
  <c r="F12" i="16" s="1"/>
  <c r="H21" i="11"/>
  <c r="I33" i="12" s="1"/>
  <c r="G14" i="11"/>
  <c r="H12" i="11"/>
  <c r="J7" i="10"/>
  <c r="I13" i="10"/>
  <c r="H31" i="12"/>
  <c r="H34" i="12" s="1"/>
  <c r="H51" i="10"/>
  <c r="H16" i="16" s="1"/>
  <c r="J9" i="11"/>
  <c r="J21" i="10" s="1"/>
  <c r="I20" i="10"/>
  <c r="G16" i="11"/>
  <c r="G50" i="10" s="1"/>
  <c r="G49" i="10" s="1"/>
  <c r="G15" i="16" s="1"/>
  <c r="G11" i="11"/>
  <c r="G31" i="10" s="1"/>
  <c r="G30" i="10" s="1"/>
  <c r="K22" i="10"/>
  <c r="I16" i="10"/>
  <c r="H24" i="10"/>
  <c r="H25" i="10" s="1"/>
  <c r="G25" i="10"/>
  <c r="G8" i="16"/>
  <c r="G9" i="16" s="1"/>
  <c r="G27" i="10"/>
  <c r="I19" i="11"/>
  <c r="J17" i="12" s="1"/>
  <c r="I17" i="12"/>
  <c r="G13" i="11"/>
  <c r="H13" i="11" s="1"/>
  <c r="G22" i="11"/>
  <c r="H22" i="11" s="1"/>
  <c r="G20" i="11"/>
  <c r="H24" i="12" s="1"/>
  <c r="H22" i="12" s="1"/>
  <c r="I20" i="12" s="1"/>
  <c r="J5" i="10"/>
  <c r="H14" i="10"/>
  <c r="H6" i="16"/>
  <c r="H17" i="12"/>
  <c r="H15" i="12" s="1"/>
  <c r="G10" i="12"/>
  <c r="F18" i="11"/>
  <c r="F10" i="12"/>
  <c r="E18" i="11"/>
  <c r="E10" i="12"/>
  <c r="D18" i="11"/>
  <c r="K35" i="13"/>
  <c r="G12" i="13" s="1"/>
  <c r="C14" i="13" s="1"/>
  <c r="C40" i="10"/>
  <c r="C44" i="10"/>
  <c r="C46" i="10" s="1"/>
  <c r="E40" i="10"/>
  <c r="E47" i="10"/>
  <c r="F44" i="10"/>
  <c r="F40" i="10"/>
  <c r="D44" i="10"/>
  <c r="D46" i="10" s="1"/>
  <c r="D15" i="11" s="1"/>
  <c r="D40" i="10"/>
  <c r="I21" i="11" l="1"/>
  <c r="J21" i="11" s="1"/>
  <c r="K33" i="12" s="1"/>
  <c r="G42" i="10"/>
  <c r="G41" i="10" s="1"/>
  <c r="I12" i="11"/>
  <c r="J12" i="11" s="1"/>
  <c r="K12" i="11" s="1"/>
  <c r="H14" i="11"/>
  <c r="J20" i="10"/>
  <c r="K9" i="11"/>
  <c r="K21" i="10" s="1"/>
  <c r="K20" i="10" s="1"/>
  <c r="C4" i="15"/>
  <c r="C6" i="15" s="1"/>
  <c r="H21" i="12"/>
  <c r="K7" i="10"/>
  <c r="J13" i="10"/>
  <c r="I13" i="12"/>
  <c r="H14" i="12"/>
  <c r="I31" i="12"/>
  <c r="I15" i="12"/>
  <c r="J13" i="12" s="1"/>
  <c r="H27" i="10"/>
  <c r="I29" i="12"/>
  <c r="H30" i="12"/>
  <c r="I51" i="10"/>
  <c r="I16" i="16" s="1"/>
  <c r="H16" i="11"/>
  <c r="I16" i="11" s="1"/>
  <c r="I50" i="10" s="1"/>
  <c r="I49" i="10" s="1"/>
  <c r="I15" i="16" s="1"/>
  <c r="H11" i="11"/>
  <c r="H31" i="10" s="1"/>
  <c r="H30" i="10" s="1"/>
  <c r="J19" i="11"/>
  <c r="K19" i="11" s="1"/>
  <c r="L17" i="12" s="1"/>
  <c r="I11" i="11"/>
  <c r="J11" i="11" s="1"/>
  <c r="H20" i="11"/>
  <c r="I20" i="11" s="1"/>
  <c r="I22" i="11"/>
  <c r="I41" i="12"/>
  <c r="I39" i="12" s="1"/>
  <c r="I13" i="11"/>
  <c r="I35" i="10" s="1"/>
  <c r="I34" i="10" s="1"/>
  <c r="H35" i="10"/>
  <c r="H34" i="10" s="1"/>
  <c r="I33" i="10"/>
  <c r="I32" i="10" s="1"/>
  <c r="H33" i="10"/>
  <c r="H32" i="10" s="1"/>
  <c r="G18" i="11"/>
  <c r="I14" i="10"/>
  <c r="I6" i="16"/>
  <c r="K5" i="10"/>
  <c r="H41" i="12"/>
  <c r="H39" i="12" s="1"/>
  <c r="G35" i="10"/>
  <c r="G34" i="10" s="1"/>
  <c r="G33" i="10"/>
  <c r="G32" i="10" s="1"/>
  <c r="H8" i="16"/>
  <c r="H9" i="16" s="1"/>
  <c r="J16" i="10"/>
  <c r="I24" i="10"/>
  <c r="I25" i="10" s="1"/>
  <c r="E14" i="16"/>
  <c r="E19" i="16" s="1"/>
  <c r="E55" i="10"/>
  <c r="H12" i="13"/>
  <c r="C47" i="10"/>
  <c r="F46" i="10"/>
  <c r="F15" i="11" s="1"/>
  <c r="F47" i="10"/>
  <c r="D47" i="10"/>
  <c r="J33" i="12" l="1"/>
  <c r="J31" i="12" s="1"/>
  <c r="I24" i="12"/>
  <c r="I22" i="12" s="1"/>
  <c r="I21" i="12" s="1"/>
  <c r="K17" i="12"/>
  <c r="H42" i="10"/>
  <c r="H41" i="10" s="1"/>
  <c r="F3" i="15"/>
  <c r="I14" i="11"/>
  <c r="I42" i="10" s="1"/>
  <c r="I41" i="10" s="1"/>
  <c r="J29" i="12"/>
  <c r="I34" i="12"/>
  <c r="I30" i="12"/>
  <c r="J37" i="12"/>
  <c r="I43" i="12"/>
  <c r="J20" i="12"/>
  <c r="H43" i="12"/>
  <c r="I37" i="12"/>
  <c r="I38" i="12" s="1"/>
  <c r="H38" i="12"/>
  <c r="H50" i="10"/>
  <c r="H49" i="10" s="1"/>
  <c r="H15" i="16" s="1"/>
  <c r="J16" i="11"/>
  <c r="J50" i="10" s="1"/>
  <c r="J49" i="10" s="1"/>
  <c r="J15" i="16" s="1"/>
  <c r="K13" i="10"/>
  <c r="K14" i="10" s="1"/>
  <c r="I27" i="10"/>
  <c r="J15" i="12"/>
  <c r="K13" i="12" s="1"/>
  <c r="I14" i="12"/>
  <c r="J51" i="10"/>
  <c r="J16" i="16" s="1"/>
  <c r="I31" i="10"/>
  <c r="I30" i="10" s="1"/>
  <c r="I36" i="10" s="1"/>
  <c r="J33" i="10"/>
  <c r="J32" i="10" s="1"/>
  <c r="J13" i="11"/>
  <c r="J35" i="10" s="1"/>
  <c r="J34" i="10" s="1"/>
  <c r="H36" i="10"/>
  <c r="J20" i="11"/>
  <c r="J24" i="12"/>
  <c r="J22" i="12" s="1"/>
  <c r="K20" i="12" s="1"/>
  <c r="C9" i="15"/>
  <c r="C14" i="15" s="1"/>
  <c r="J22" i="11"/>
  <c r="K16" i="10"/>
  <c r="K24" i="10" s="1"/>
  <c r="J24" i="10"/>
  <c r="J25" i="10" s="1"/>
  <c r="K21" i="11"/>
  <c r="L33" i="12" s="1"/>
  <c r="J14" i="10"/>
  <c r="J6" i="16"/>
  <c r="G36" i="10"/>
  <c r="H18" i="11"/>
  <c r="I8" i="16"/>
  <c r="I9" i="16" s="1"/>
  <c r="K11" i="11"/>
  <c r="K31" i="10" s="1"/>
  <c r="J31" i="10"/>
  <c r="J30" i="10" s="1"/>
  <c r="J41" i="12"/>
  <c r="J39" i="12" s="1"/>
  <c r="F14" i="16"/>
  <c r="F19" i="16" s="1"/>
  <c r="F55" i="10"/>
  <c r="C14" i="16"/>
  <c r="C19" i="16" s="1"/>
  <c r="C55" i="10"/>
  <c r="D55" i="10"/>
  <c r="D14" i="16"/>
  <c r="D19" i="16" s="1"/>
  <c r="C5" i="7"/>
  <c r="J7" i="6"/>
  <c r="C7" i="6"/>
  <c r="X12" i="5"/>
  <c r="N17" i="6" s="1"/>
  <c r="X7" i="5"/>
  <c r="N9" i="6" s="1"/>
  <c r="X5" i="5"/>
  <c r="N7" i="6" s="1"/>
  <c r="L17" i="6"/>
  <c r="K17" i="6"/>
  <c r="J17" i="6"/>
  <c r="K7" i="6"/>
  <c r="L7" i="6"/>
  <c r="J9" i="6"/>
  <c r="K9" i="6"/>
  <c r="L9" i="6"/>
  <c r="K7" i="5"/>
  <c r="K5" i="5"/>
  <c r="S5" i="5" s="1"/>
  <c r="G7" i="6" s="1"/>
  <c r="K12" i="5"/>
  <c r="S12" i="5" s="1"/>
  <c r="G17" i="6" s="1"/>
  <c r="J14" i="11" l="1"/>
  <c r="J42" i="10" s="1"/>
  <c r="J41" i="10" s="1"/>
  <c r="K14" i="11"/>
  <c r="K42" i="10" s="1"/>
  <c r="K29" i="12"/>
  <c r="J34" i="12"/>
  <c r="K25" i="10"/>
  <c r="J14" i="6"/>
  <c r="J13" i="6"/>
  <c r="K14" i="6"/>
  <c r="K13" i="6"/>
  <c r="L14" i="6"/>
  <c r="L13" i="6"/>
  <c r="N14" i="6"/>
  <c r="N13" i="6"/>
  <c r="J14" i="12"/>
  <c r="J38" i="12"/>
  <c r="K37" i="12"/>
  <c r="J43" i="12"/>
  <c r="S7" i="5"/>
  <c r="G9" i="6" s="1"/>
  <c r="G13" i="6" s="1"/>
  <c r="D9" i="6"/>
  <c r="K16" i="11"/>
  <c r="K50" i="10" s="1"/>
  <c r="K49" i="10" s="1"/>
  <c r="K15" i="16" s="1"/>
  <c r="J21" i="12"/>
  <c r="K13" i="11"/>
  <c r="K35" i="10" s="1"/>
  <c r="K33" i="10"/>
  <c r="K32" i="10" s="1"/>
  <c r="K34" i="10"/>
  <c r="K51" i="10"/>
  <c r="K16" i="16" s="1"/>
  <c r="K6" i="16"/>
  <c r="K30" i="10"/>
  <c r="K41" i="10"/>
  <c r="I39" i="10"/>
  <c r="I44" i="10" s="1"/>
  <c r="L31" i="12"/>
  <c r="L15" i="12"/>
  <c r="J27" i="10"/>
  <c r="K31" i="12"/>
  <c r="K15" i="12"/>
  <c r="L13" i="12" s="1"/>
  <c r="K27" i="10"/>
  <c r="J30" i="12"/>
  <c r="J36" i="10"/>
  <c r="I18" i="11"/>
  <c r="J9" i="12" s="1"/>
  <c r="I9" i="12"/>
  <c r="I37" i="10"/>
  <c r="I11" i="16"/>
  <c r="I12" i="16" s="1"/>
  <c r="K41" i="12"/>
  <c r="K39" i="12" s="1"/>
  <c r="K24" i="12"/>
  <c r="K22" i="12" s="1"/>
  <c r="L20" i="12" s="1"/>
  <c r="K20" i="11"/>
  <c r="L24" i="12" s="1"/>
  <c r="L22" i="12" s="1"/>
  <c r="G37" i="10"/>
  <c r="G11" i="16"/>
  <c r="G12" i="16" s="1"/>
  <c r="G39" i="10"/>
  <c r="J8" i="16"/>
  <c r="J9" i="16" s="1"/>
  <c r="H37" i="10"/>
  <c r="H11" i="16"/>
  <c r="H12" i="16" s="1"/>
  <c r="H39" i="10"/>
  <c r="K8" i="16"/>
  <c r="K22" i="11"/>
  <c r="T12" i="5"/>
  <c r="H17" i="6" s="1"/>
  <c r="C11" i="7"/>
  <c r="D7" i="6"/>
  <c r="T7" i="5"/>
  <c r="H9" i="6" s="1"/>
  <c r="T5" i="5"/>
  <c r="H7" i="6" s="1"/>
  <c r="R7" i="5"/>
  <c r="F9" i="6" s="1"/>
  <c r="R5" i="5"/>
  <c r="F7" i="6" s="1"/>
  <c r="R12" i="5"/>
  <c r="F17" i="6" s="1"/>
  <c r="L29" i="12" l="1"/>
  <c r="L34" i="12" s="1"/>
  <c r="K34" i="12"/>
  <c r="G14" i="6"/>
  <c r="H14" i="6"/>
  <c r="H13" i="6"/>
  <c r="F14" i="6"/>
  <c r="F13" i="6"/>
  <c r="L14" i="12"/>
  <c r="K38" i="12"/>
  <c r="K21" i="12"/>
  <c r="L37" i="12"/>
  <c r="I10" i="12"/>
  <c r="I7" i="12"/>
  <c r="J10" i="12"/>
  <c r="J7" i="12"/>
  <c r="K43" i="12"/>
  <c r="K9" i="16"/>
  <c r="K36" i="10"/>
  <c r="K39" i="10" s="1"/>
  <c r="K44" i="10" s="1"/>
  <c r="L21" i="12"/>
  <c r="J39" i="10"/>
  <c r="J40" i="10" s="1"/>
  <c r="I40" i="10"/>
  <c r="K30" i="12"/>
  <c r="K14" i="12"/>
  <c r="J11" i="16"/>
  <c r="J12" i="16" s="1"/>
  <c r="J37" i="10"/>
  <c r="H40" i="10"/>
  <c r="H44" i="10"/>
  <c r="G40" i="10"/>
  <c r="G44" i="10"/>
  <c r="G45" i="10" s="1"/>
  <c r="I45" i="10"/>
  <c r="I47" i="10" s="1"/>
  <c r="J18" i="11"/>
  <c r="K9" i="12" s="1"/>
  <c r="L41" i="12"/>
  <c r="L39" i="12" s="1"/>
  <c r="L43" i="12" s="1"/>
  <c r="L30" i="12" l="1"/>
  <c r="L38" i="12"/>
  <c r="K5" i="12"/>
  <c r="J26" i="12"/>
  <c r="J45" i="12" s="1"/>
  <c r="K10" i="12"/>
  <c r="K7" i="12"/>
  <c r="J5" i="12"/>
  <c r="J6" i="12" s="1"/>
  <c r="I26" i="12"/>
  <c r="I45" i="12" s="1"/>
  <c r="K18" i="11"/>
  <c r="L9" i="12" s="1"/>
  <c r="K37" i="10"/>
  <c r="K11" i="16"/>
  <c r="K12" i="16" s="1"/>
  <c r="N5" i="16" s="1"/>
  <c r="K40" i="10"/>
  <c r="J44" i="10"/>
  <c r="J45" i="10" s="1"/>
  <c r="J47" i="10" s="1"/>
  <c r="I14" i="16"/>
  <c r="G47" i="10"/>
  <c r="H45" i="10"/>
  <c r="H47" i="10" s="1"/>
  <c r="K45" i="10"/>
  <c r="K47" i="10" s="1"/>
  <c r="H9" i="12"/>
  <c r="J47" i="12" l="1"/>
  <c r="I53" i="10" s="1"/>
  <c r="L10" i="12"/>
  <c r="L7" i="12"/>
  <c r="H10" i="12"/>
  <c r="H7" i="12"/>
  <c r="L5" i="12"/>
  <c r="K6" i="12"/>
  <c r="K26" i="12"/>
  <c r="K45" i="12" s="1"/>
  <c r="K47" i="12" s="1"/>
  <c r="J53" i="10" s="1"/>
  <c r="J17" i="16" s="1"/>
  <c r="K14" i="16"/>
  <c r="G14" i="16"/>
  <c r="J14" i="16"/>
  <c r="H14" i="16"/>
  <c r="H6" i="12" l="1"/>
  <c r="I5" i="12"/>
  <c r="I6" i="12" s="1"/>
  <c r="H26" i="12"/>
  <c r="H45" i="12" s="1"/>
  <c r="I17" i="16"/>
  <c r="I19" i="16" s="1"/>
  <c r="I21" i="16" s="1"/>
  <c r="I55" i="10"/>
  <c r="J19" i="16"/>
  <c r="J21" i="16" s="1"/>
  <c r="L6" i="12"/>
  <c r="L26" i="12"/>
  <c r="L45" i="12" s="1"/>
  <c r="L47" i="12" s="1"/>
  <c r="K53" i="10" s="1"/>
  <c r="J55" i="10"/>
  <c r="N7" i="16"/>
  <c r="K17" i="16" l="1"/>
  <c r="K19" i="16" s="1"/>
  <c r="K21" i="16" s="1"/>
  <c r="K55" i="10"/>
  <c r="H47" i="12"/>
  <c r="G53" i="10" s="1"/>
  <c r="I47" i="12"/>
  <c r="H53" i="10" s="1"/>
  <c r="H17" i="16" l="1"/>
  <c r="H19" i="16" s="1"/>
  <c r="H21" i="16" s="1"/>
  <c r="H55" i="10"/>
  <c r="G17" i="16"/>
  <c r="G19" i="16" s="1"/>
  <c r="G21" i="16" s="1"/>
  <c r="G55" i="10"/>
  <c r="N3" i="16" l="1"/>
  <c r="N8" i="16" s="1"/>
  <c r="N14" i="16" s="1"/>
  <c r="N18" i="16" s="1"/>
  <c r="N23" i="16" l="1"/>
  <c r="Q29" i="16"/>
  <c r="N22" i="16"/>
</calcChain>
</file>

<file path=xl/sharedStrings.xml><?xml version="1.0" encoding="utf-8"?>
<sst xmlns="http://schemas.openxmlformats.org/spreadsheetml/2006/main" count="1113" uniqueCount="418">
  <si>
    <t xml:space="preserve">
               </t>
  </si>
  <si>
    <t xml:space="preserve">  Diluted EPS - Continuing Operations</t>
  </si>
  <si>
    <t xml:space="preserve">  Basic EPS - Continuing Operations</t>
  </si>
  <si>
    <t xml:space="preserve">  Operating Income (Loss)</t>
  </si>
  <si>
    <t xml:space="preserve">  Gross Profit/loss</t>
  </si>
  <si>
    <t>Supplementary Info</t>
  </si>
  <si>
    <t>-</t>
  </si>
  <si>
    <t xml:space="preserve">  Net Income Available to Common Shareholders</t>
  </si>
  <si>
    <t xml:space="preserve">  Other Adjustments to Net Income</t>
  </si>
  <si>
    <t>Charges on Net Income</t>
  </si>
  <si>
    <t xml:space="preserve">  Net Income (Loss)</t>
  </si>
  <si>
    <t xml:space="preserve">  Minority Interest (After Tax)</t>
  </si>
  <si>
    <t xml:space="preserve">  Provision for Income Tax</t>
  </si>
  <si>
    <t>Taxes and Other Expenses</t>
  </si>
  <si>
    <t xml:space="preserve">  Earnings before Taxes</t>
  </si>
  <si>
    <t xml:space="preserve">  Other Income/expense-net</t>
  </si>
  <si>
    <t xml:space="preserve">  Interest Income</t>
  </si>
  <si>
    <t xml:space="preserve">  Interest Expense</t>
  </si>
  <si>
    <t xml:space="preserve">  Restructuring and Other</t>
  </si>
  <si>
    <t xml:space="preserve">  Research and Development</t>
  </si>
  <si>
    <t xml:space="preserve">  Selling, General and Administrative</t>
  </si>
  <si>
    <t xml:space="preserve">  Energy Generation and Storage</t>
  </si>
  <si>
    <t xml:space="preserve">  Automotive Leasing</t>
  </si>
  <si>
    <t xml:space="preserve">  Cost of Revenues Automotive Sales</t>
  </si>
  <si>
    <t xml:space="preserve">  Services and Other</t>
  </si>
  <si>
    <t>Expenses</t>
  </si>
  <si>
    <t xml:space="preserve">  Total Revenues</t>
  </si>
  <si>
    <t xml:space="preserve">  Automotive</t>
  </si>
  <si>
    <t>Revenues</t>
  </si>
  <si>
    <t>Millions</t>
  </si>
  <si>
    <t>Units</t>
  </si>
  <si>
    <t>USD</t>
  </si>
  <si>
    <t>Currency</t>
  </si>
  <si>
    <t>12 months
Dec-31-2020</t>
  </si>
  <si>
    <t>12 months
Dec-31-2019</t>
  </si>
  <si>
    <t>12 months
Dec-31-2018</t>
  </si>
  <si>
    <t>12 months
Dec-31-2017</t>
  </si>
  <si>
    <t>12 months
Dec-31-2016</t>
  </si>
  <si>
    <t>12 months
Dec-31-2015</t>
  </si>
  <si>
    <t xml:space="preserve">For the Fiscal Period Ending
</t>
  </si>
  <si>
    <t>Income Statement</t>
  </si>
  <si>
    <t xml:space="preserve">  Total Liabilities &amp; Shareholders Equity</t>
  </si>
  <si>
    <t xml:space="preserve">  Total Shareholders Equity</t>
  </si>
  <si>
    <t xml:space="preserve">  Accumulated Other Comprehensive Income (Loss)</t>
  </si>
  <si>
    <t xml:space="preserve">  Accumulated Other Comprehensive Loss</t>
  </si>
  <si>
    <t xml:space="preserve">  Accumulated Deficit</t>
  </si>
  <si>
    <t xml:space="preserve">  Additional Paid in Capital</t>
  </si>
  <si>
    <t xml:space="preserve">  Common Stock - Par Value</t>
  </si>
  <si>
    <t>Shareholders' Equity</t>
  </si>
  <si>
    <t xml:space="preserve">  Resale Value Guarantees, Net of Current Portion</t>
  </si>
  <si>
    <t xml:space="preserve">  Resale Value Guarantees, Less Current Portion</t>
  </si>
  <si>
    <t xml:space="preserve">  Other Long-term Liabilities</t>
  </si>
  <si>
    <t xml:space="preserve">  Redeemable Non-controlling Interests in Subsidiaries</t>
  </si>
  <si>
    <t xml:space="preserve">  Minority Interest</t>
  </si>
  <si>
    <t xml:space="preserve">  Deferred Revenue, Net of Current Portion</t>
  </si>
  <si>
    <t xml:space="preserve">  Deferred Revenues Less Current Portion</t>
  </si>
  <si>
    <t xml:space="preserve">  Debt and Finance Leases, Net of Current Portion</t>
  </si>
  <si>
    <t xml:space="preserve">  Convertible Senior Notes Issued to Related Parties</t>
  </si>
  <si>
    <t xml:space="preserve">  Solar Bonds Issued to Related Parties, Net of Current Portion</t>
  </si>
  <si>
    <t xml:space="preserve">  Convertible Senior Notes</t>
  </si>
  <si>
    <t xml:space="preserve">  Long-term Debt and Capital Leases-net of Current Portion</t>
  </si>
  <si>
    <t>Non Current Liabilities</t>
  </si>
  <si>
    <t xml:space="preserve">  Total Current Liabilities</t>
  </si>
  <si>
    <t xml:space="preserve">  Resale Value Guarantee</t>
  </si>
  <si>
    <t xml:space="preserve">  Customer Deposits</t>
  </si>
  <si>
    <t xml:space="preserve">  Deferred Revenue</t>
  </si>
  <si>
    <t xml:space="preserve">  Current Portion of Debt and Finance Leases</t>
  </si>
  <si>
    <t xml:space="preserve">  Current Portion of Promissory Notes Issued to Related Parties</t>
  </si>
  <si>
    <t xml:space="preserve">  Current Portion of Solar Bonds and Promissory Notes Issued to Related Parties</t>
  </si>
  <si>
    <t xml:space="preserve">  Current Portion of Long-term Debt and Capital Leases</t>
  </si>
  <si>
    <t xml:space="preserve">  Accrued Liabilities Other</t>
  </si>
  <si>
    <t xml:space="preserve">  Accrued Liabilities</t>
  </si>
  <si>
    <t xml:space="preserve">  Accounts Payable</t>
  </si>
  <si>
    <t>Current Liabilities</t>
  </si>
  <si>
    <t xml:space="preserve">  Total Assets</t>
  </si>
  <si>
    <t xml:space="preserve">  Other Non-current Assets</t>
  </si>
  <si>
    <t xml:space="preserve">  Other Assets</t>
  </si>
  <si>
    <t xml:space="preserve">  Restricted Cash, Net of Current Portion</t>
  </si>
  <si>
    <t xml:space="preserve">  Restricted Cash</t>
  </si>
  <si>
    <t xml:space="preserve">  Intangible Assets, Net</t>
  </si>
  <si>
    <t xml:space="preserve">  Goodwill</t>
  </si>
  <si>
    <t xml:space="preserve">  Mypower Customer Notes Receivable, Net of Current Portion</t>
  </si>
  <si>
    <t xml:space="preserve">  Solar Energy Systems, Leased and to be Leased Net</t>
  </si>
  <si>
    <t xml:space="preserve">  Solar Energy Systems</t>
  </si>
  <si>
    <t xml:space="preserve">  Operating Lease Vehicles</t>
  </si>
  <si>
    <t xml:space="preserve">  Operating Leases-net</t>
  </si>
  <si>
    <t xml:space="preserve">  Property, Plant and Equipment, Net</t>
  </si>
  <si>
    <t xml:space="preserve">  Property and Equipment, net</t>
  </si>
  <si>
    <t xml:space="preserve">  Operating Lease Right-of-use Assets</t>
  </si>
  <si>
    <t>Non Current Assets</t>
  </si>
  <si>
    <t xml:space="preserve">  Total Current Assets</t>
  </si>
  <si>
    <t xml:space="preserve">  Prepaid Expenses and Other Current Assets</t>
  </si>
  <si>
    <t xml:space="preserve">  Inventory</t>
  </si>
  <si>
    <t xml:space="preserve">  Accounts Receivables</t>
  </si>
  <si>
    <t xml:space="preserve">  Cash and Cash Equivalents</t>
  </si>
  <si>
    <t>Current Assets</t>
  </si>
  <si>
    <t xml:space="preserve">Balance Sheet as of:
</t>
  </si>
  <si>
    <t>Balance Sheet</t>
  </si>
  <si>
    <t xml:space="preserve">  Cash Flow Net Changes in Cash</t>
  </si>
  <si>
    <t xml:space="preserve">  Foreign Exchange Rate Effect on Cash and Cash Equivalents</t>
  </si>
  <si>
    <t>Other Adjustments</t>
  </si>
  <si>
    <t xml:space="preserve">  Cash Flow from Financing Activities</t>
  </si>
  <si>
    <t xml:space="preserve">  Payments for Buy-outs of Noncontrolling Interests in Subsidiaries</t>
  </si>
  <si>
    <t xml:space="preserve">  Proceeds from Settlement of Convertible Note Hedges</t>
  </si>
  <si>
    <t xml:space="preserve">  Distributions Paid to Non-controlling Interests in Subsidiaries</t>
  </si>
  <si>
    <t xml:space="preserve">  Purchase of Convertible Notes Hedge</t>
  </si>
  <si>
    <t xml:space="preserve">  Payment for Settlement of Warrants</t>
  </si>
  <si>
    <t xml:space="preserve">  Proceeds from Issuance of Warrants</t>
  </si>
  <si>
    <t xml:space="preserve">  Debt Issuance Costs</t>
  </si>
  <si>
    <t xml:space="preserve">  Common Stock and Debt Issuance Costs</t>
  </si>
  <si>
    <t xml:space="preserve">  Common Stock and Convertible Debt Issuance Costs</t>
  </si>
  <si>
    <t xml:space="preserve">  Proceeds from Investment By Noncontrolling Interests in Subsidiaries</t>
  </si>
  <si>
    <t xml:space="preserve">  Proceeds from Exercise of Stock Options and Other Stock Issuance</t>
  </si>
  <si>
    <t xml:space="preserve">  Proceeds from Issuances of Common Stock in Public Offerings, Net of Underwriting Discounts</t>
  </si>
  <si>
    <t xml:space="preserve">  Proceeds from Issuance of Common Stock in Public offering, Net of Issuance Costs</t>
  </si>
  <si>
    <t xml:space="preserve">  Proceeds from Issuance of Common Stock in Public offerings</t>
  </si>
  <si>
    <t xml:space="preserve">  Proceeds from Issuance of Common Stock in Pri-vate Placement</t>
  </si>
  <si>
    <t xml:space="preserve">  Collateralized Lease Repayments</t>
  </si>
  <si>
    <t xml:space="preserve">  Collateralized Lease Borrowings/payments</t>
  </si>
  <si>
    <t xml:space="preserve">  Principal Payments on Finance Lease</t>
  </si>
  <si>
    <t xml:space="preserve">  Principal Payments on Capital Leases and Other Debt</t>
  </si>
  <si>
    <t xml:space="preserve">  Repayments of Borrowings Issued to Related Parties</t>
  </si>
  <si>
    <t xml:space="preserve">  Repayments of Borrowings Under Solar Bonds Issued to Related Parties</t>
  </si>
  <si>
    <t xml:space="preserve">  Collateralized Lease Borrowing</t>
  </si>
  <si>
    <t xml:space="preserve">  Proceeds from Issuance of Convertible and Other Debt</t>
  </si>
  <si>
    <t xml:space="preserve">  Repayment of Convertible and Other Debt</t>
  </si>
  <si>
    <t>Financing Activities</t>
  </si>
  <si>
    <t xml:space="preserve">  Cash Flow from Investing Activities</t>
  </si>
  <si>
    <t xml:space="preserve">  Receipt of Government Grants</t>
  </si>
  <si>
    <t xml:space="preserve">  Maturities of Short-term Marketable Securities</t>
  </si>
  <si>
    <t xml:space="preserve">  (Purchases) of Intangible Assets</t>
  </si>
  <si>
    <t xml:space="preserve">  Cash Acquired through (used In) Business Combination</t>
  </si>
  <si>
    <t xml:space="preserve">  Business Combination-net of Cash Acquired</t>
  </si>
  <si>
    <t xml:space="preserve">  Purchases of Solar Energy Systems, Net of Sales</t>
  </si>
  <si>
    <t xml:space="preserve">  Purchases of Solar Energy Systems</t>
  </si>
  <si>
    <t xml:space="preserve">  Purchases of Property and Equipment Excluding Finance Leases, Net of Sales</t>
  </si>
  <si>
    <t xml:space="preserve">  Purchases of Property and Equipment Excluding Capital Leases, Net of Sales</t>
  </si>
  <si>
    <t xml:space="preserve">  Payments for the Cost of Solar Energy Systems, Leased and to be Leased</t>
  </si>
  <si>
    <t>Investing Activities</t>
  </si>
  <si>
    <t xml:space="preserve">  Cash Flow from Operating Activities</t>
  </si>
  <si>
    <t xml:space="preserve">  Mypower Customer Notes Receivable and Other Assets</t>
  </si>
  <si>
    <t xml:space="preserve">  Accounts Payable and Accrued Liabilities</t>
  </si>
  <si>
    <t xml:space="preserve">  Inventories</t>
  </si>
  <si>
    <t xml:space="preserve">  Accounts Receivable</t>
  </si>
  <si>
    <t xml:space="preserve">  Operating Cash Flow Related to Repayment of Discounted Convertible Senior Notes</t>
  </si>
  <si>
    <t xml:space="preserve">  Other Assets and Mypower Notes Receivable</t>
  </si>
  <si>
    <t xml:space="preserve">  Non-cash Interest and Other Operating Activities</t>
  </si>
  <si>
    <t xml:space="preserve">  Inventory and Purchase Commitment Write-down</t>
  </si>
  <si>
    <t xml:space="preserve">  Foreign Currency Transaction Net Gain/loss</t>
  </si>
  <si>
    <t xml:space="preserve">  Foreign Currency Transaction Gain/loss</t>
  </si>
  <si>
    <t xml:space="preserve">  Stock based Compensation</t>
  </si>
  <si>
    <t xml:space="preserve">  Loss Related to Solarcity Acquisition</t>
  </si>
  <si>
    <t xml:space="preserve">  Gain/loss Related to Solarcity Acquisition</t>
  </si>
  <si>
    <t xml:space="preserve">  Loss on Disposals of Fixed Assets</t>
  </si>
  <si>
    <t xml:space="preserve">  Amortization of Debt Discount and Issuance Costs</t>
  </si>
  <si>
    <t xml:space="preserve">  Depreciation, amortization and Impairment</t>
  </si>
  <si>
    <t xml:space="preserve">  Net Income</t>
  </si>
  <si>
    <t>Operating Activities</t>
  </si>
  <si>
    <t>Cash Flow</t>
  </si>
  <si>
    <t>Median</t>
  </si>
  <si>
    <t>Mean</t>
  </si>
  <si>
    <t>Low</t>
  </si>
  <si>
    <t>High</t>
  </si>
  <si>
    <t xml:space="preserve">CY2021 Net Income (GAAP) (Capital IQ) </t>
  </si>
  <si>
    <t xml:space="preserve">LTM Net Income </t>
  </si>
  <si>
    <t xml:space="preserve">CY2021 EBITDA (Capital IQ) </t>
  </si>
  <si>
    <t xml:space="preserve">LTM EBITDA </t>
  </si>
  <si>
    <t xml:space="preserve">FQ Equity Method Investments </t>
  </si>
  <si>
    <t xml:space="preserve">FQ Short Term Investments </t>
  </si>
  <si>
    <t xml:space="preserve">FQ Cash And Equivalents </t>
  </si>
  <si>
    <t xml:space="preserve">FQ Total Pref. Equity </t>
  </si>
  <si>
    <t xml:space="preserve">FQ Minority Interest </t>
  </si>
  <si>
    <t xml:space="preserve">FQ Total Short-Term Borrowings </t>
  </si>
  <si>
    <t xml:space="preserve">FQ Curr. Port. of Long Term Debt </t>
  </si>
  <si>
    <t xml:space="preserve">FQ Long-Term Debt </t>
  </si>
  <si>
    <t>Market Capitalization Latest</t>
  </si>
  <si>
    <t>Summary Statistics</t>
  </si>
  <si>
    <t>Tesla, Inc. (NasdaqGS:TSLA)</t>
  </si>
  <si>
    <t>General Motors Company (NYSE:GM)</t>
  </si>
  <si>
    <t>Ford Motor Company (NYSE:F)</t>
  </si>
  <si>
    <t>Company Name</t>
  </si>
  <si>
    <t>Company Comp Set</t>
  </si>
  <si>
    <t>Enterprise Value</t>
  </si>
  <si>
    <t>EV/EBITDA LTM</t>
  </si>
  <si>
    <t xml:space="preserve">CY2022 EBITDA (Capital IQ) </t>
  </si>
  <si>
    <t xml:space="preserve">CY2022 Net Income (GAAP) (Capital IQ) </t>
  </si>
  <si>
    <t>LTM</t>
  </si>
  <si>
    <t>P/E LTM</t>
  </si>
  <si>
    <t>LTM Debt/EBITDA</t>
  </si>
  <si>
    <t xml:space="preserve">Market Cap </t>
  </si>
  <si>
    <t>TEV</t>
  </si>
  <si>
    <t>TEV / EBITDA</t>
  </si>
  <si>
    <t>P / E</t>
  </si>
  <si>
    <t>Debt /</t>
  </si>
  <si>
    <t xml:space="preserve">Company </t>
  </si>
  <si>
    <t>(USD)</t>
  </si>
  <si>
    <t>LTM EBITDA</t>
  </si>
  <si>
    <t xml:space="preserve">General Motors Company </t>
  </si>
  <si>
    <t>Ford Motor Company</t>
  </si>
  <si>
    <t>Tesla, Inc.</t>
  </si>
  <si>
    <t>Enterprise Value Walk-Through</t>
  </si>
  <si>
    <t>Market Capitalization</t>
  </si>
  <si>
    <t>(+) Total Debt</t>
  </si>
  <si>
    <t>(+) Minority Interest</t>
  </si>
  <si>
    <t>(+) Total Pref. Equity</t>
  </si>
  <si>
    <t>(-) Cash &amp; Cash Equivalents</t>
  </si>
  <si>
    <t>(-) Short Term Investments</t>
  </si>
  <si>
    <t>(-) Equity Method Investments</t>
  </si>
  <si>
    <t>Volkswagen AG (XTRA:VOW3)</t>
  </si>
  <si>
    <t>In Millions</t>
  </si>
  <si>
    <t>From Income Statement</t>
  </si>
  <si>
    <t>Segment Revenues</t>
  </si>
  <si>
    <t>Automotive</t>
  </si>
  <si>
    <t>Energy Generation and Storage</t>
  </si>
  <si>
    <t>Services and Other</t>
  </si>
  <si>
    <t>Automotive Leasing</t>
  </si>
  <si>
    <t>Total Revenue</t>
  </si>
  <si>
    <t>Automotive Growth (%)</t>
  </si>
  <si>
    <t>Energy Generation and Storage Growth (%)</t>
  </si>
  <si>
    <t>Services and Other Growth (%)</t>
  </si>
  <si>
    <t>Automotive Leasing Growth (%)</t>
  </si>
  <si>
    <t>Revenue Growth (%)</t>
  </si>
  <si>
    <t>Cost of Revenues Automotive Sales</t>
  </si>
  <si>
    <t>Cost of Revenues Automotive Sales Growth (%)</t>
  </si>
  <si>
    <t>Gross Profit</t>
  </si>
  <si>
    <t>Selling, General and Administrative</t>
  </si>
  <si>
    <t>Research and Development</t>
  </si>
  <si>
    <t>Other Expenses</t>
  </si>
  <si>
    <t>Selling, General and Administrative (% of Revenue)</t>
  </si>
  <si>
    <t>Research and Development (% of Revenue)</t>
  </si>
  <si>
    <t>Other Expenses (% of Revenue)</t>
  </si>
  <si>
    <t>EBIT</t>
  </si>
  <si>
    <t>Total Operating Expense</t>
  </si>
  <si>
    <t>Total Operating Expenses (% of Revenue)</t>
  </si>
  <si>
    <t>Operating Margins (%)</t>
  </si>
  <si>
    <t>EBT</t>
  </si>
  <si>
    <t>Income Tax Expense</t>
  </si>
  <si>
    <t>Interest Expense (Net)</t>
  </si>
  <si>
    <t>Income Tax Rate</t>
  </si>
  <si>
    <t>NOPAT</t>
  </si>
  <si>
    <t>D&amp;A</t>
  </si>
  <si>
    <t>Changes in Working Capital</t>
  </si>
  <si>
    <t>Free Cash Flow</t>
  </si>
  <si>
    <t>Company</t>
  </si>
  <si>
    <t xml:space="preserve">Volkswagen AG </t>
  </si>
  <si>
    <t>Total Debt</t>
  </si>
  <si>
    <t>Total Equity</t>
  </si>
  <si>
    <t>Total Debt/Equity</t>
  </si>
  <si>
    <t>Volkswagen AG</t>
  </si>
  <si>
    <t>Tax Expense</t>
  </si>
  <si>
    <t xml:space="preserve">Effective Tax Rate </t>
  </si>
  <si>
    <t xml:space="preserve">Mean </t>
  </si>
  <si>
    <t>Tesla</t>
  </si>
  <si>
    <t>5 year levered Beta</t>
  </si>
  <si>
    <t>Tesla Relevered Beta</t>
  </si>
  <si>
    <t>D&amp;A (% of Revenue)</t>
  </si>
  <si>
    <t>CapEX</t>
  </si>
  <si>
    <t>CapEX (% of Revenue)</t>
  </si>
  <si>
    <t>Assumptions</t>
  </si>
  <si>
    <t>Nasdaq: TSLA</t>
  </si>
  <si>
    <t>Investor Model</t>
  </si>
  <si>
    <t>Working Capital Schedule</t>
  </si>
  <si>
    <t>Fiscal Year</t>
  </si>
  <si>
    <t xml:space="preserve">Beginning of period </t>
  </si>
  <si>
    <t xml:space="preserve">Increases/ (Decreases) </t>
  </si>
  <si>
    <t xml:space="preserve">End of period </t>
  </si>
  <si>
    <t>Days in a Year</t>
  </si>
  <si>
    <t>Inventory</t>
  </si>
  <si>
    <t>Total COGS</t>
  </si>
  <si>
    <t>Total COGS (% of revenue)</t>
  </si>
  <si>
    <t>Prepaid Expense &amp; Other Current Assets</t>
  </si>
  <si>
    <t>Prepaid Expense &amp; Other Current Assets (% of Revenue)</t>
  </si>
  <si>
    <t>AR (% of Revenue)</t>
  </si>
  <si>
    <t>Total Current Assets</t>
  </si>
  <si>
    <t>Accounts Payable</t>
  </si>
  <si>
    <t>AP (% of COGS)</t>
  </si>
  <si>
    <t xml:space="preserve">Days Payables Outstanding (DPO) </t>
  </si>
  <si>
    <t>Accured Liabilites (% of Revenue)</t>
  </si>
  <si>
    <t>Net Working Capital</t>
  </si>
  <si>
    <t>WACC</t>
  </si>
  <si>
    <t>WACC Calculation</t>
  </si>
  <si>
    <t>Data</t>
  </si>
  <si>
    <t>Tax Rate</t>
  </si>
  <si>
    <t>Debt</t>
  </si>
  <si>
    <t>Equity</t>
  </si>
  <si>
    <t>Risk Free Rate</t>
  </si>
  <si>
    <t>Beta</t>
  </si>
  <si>
    <t>Equity Risk Premium</t>
  </si>
  <si>
    <t>Cost of Equity</t>
  </si>
  <si>
    <t>After-Tax Cost of Debt</t>
  </si>
  <si>
    <t>Pre-Tax Cost of Debt</t>
  </si>
  <si>
    <t>Equity %</t>
  </si>
  <si>
    <t>Debt %</t>
  </si>
  <si>
    <t>Increase/(Decrease) in Net Working Capital</t>
  </si>
  <si>
    <t>Revenue</t>
  </si>
  <si>
    <t>(-) Cost of Goods Sold</t>
  </si>
  <si>
    <t>(-)  Operating Expenses</t>
  </si>
  <si>
    <t>EBIAT</t>
  </si>
  <si>
    <t xml:space="preserve">(+) Depreciation &amp; Amortization </t>
  </si>
  <si>
    <t>(+/-) Changes in Working Capital</t>
  </si>
  <si>
    <t>PV of Cash Flow</t>
  </si>
  <si>
    <t>Fiscal Year Ending Dec 31,</t>
  </si>
  <si>
    <t>(-) Capex</t>
  </si>
  <si>
    <t>Implied Share Price</t>
  </si>
  <si>
    <t>Sum of Free Cash Flow</t>
  </si>
  <si>
    <t>Terminal Value</t>
  </si>
  <si>
    <t>Discounted Terminal Value</t>
  </si>
  <si>
    <t>Implied Enterprise Value</t>
  </si>
  <si>
    <t>(-) Minority Interest</t>
  </si>
  <si>
    <t>Implied Equity Value</t>
  </si>
  <si>
    <t>Diluted Shares Outstanding</t>
  </si>
  <si>
    <t>Inventory (% of COGS)</t>
  </si>
  <si>
    <t>Days Sales Outstanding (DSO)</t>
  </si>
  <si>
    <t>Unlevered Beta</t>
  </si>
  <si>
    <t>5 Yr Effective Tax Rate</t>
  </si>
  <si>
    <t>Common Stock Outstanding</t>
  </si>
  <si>
    <t>Stock Option Outstanding</t>
  </si>
  <si>
    <t>Weighted-average exercise price</t>
  </si>
  <si>
    <t>Proceeds from stock options</t>
  </si>
  <si>
    <t>Hypothetical stocks bought back</t>
  </si>
  <si>
    <t>Total stocks outstanding</t>
  </si>
  <si>
    <t>(-) Stocks bought back</t>
  </si>
  <si>
    <t>Diluted Shared Outstanding</t>
  </si>
  <si>
    <t>Current Stock Price</t>
  </si>
  <si>
    <t>Interest Expense (Net) (% of Revenue)</t>
  </si>
  <si>
    <t>(-) Debt</t>
  </si>
  <si>
    <t xml:space="preserve">(+) Cash and Equivalents </t>
  </si>
  <si>
    <t>Current Price</t>
  </si>
  <si>
    <t>$ Increase</t>
  </si>
  <si>
    <t>Return</t>
  </si>
  <si>
    <t>Exit Multiple (EV/EBIDTA)</t>
  </si>
  <si>
    <t>BYD Company Limited (SEHK:1211)</t>
  </si>
  <si>
    <t>BYD Company Limited</t>
  </si>
  <si>
    <t>SolarEdge Technologies, Inc. (NasdaqGS:SEDG)</t>
  </si>
  <si>
    <t>SunPower Corporation (NasdaqGS:SPWR)</t>
  </si>
  <si>
    <t>SolarEdge Technologies, Inc.</t>
  </si>
  <si>
    <t>SunPower Corporation</t>
  </si>
  <si>
    <t>Automotive Leasing Expense</t>
  </si>
  <si>
    <t>Automotive Leasing Expense Growth (%)</t>
  </si>
  <si>
    <t>Convertible</t>
  </si>
  <si>
    <t>No</t>
  </si>
  <si>
    <t>Senior</t>
  </si>
  <si>
    <t>NA</t>
  </si>
  <si>
    <t>Bonds and Notes</t>
  </si>
  <si>
    <t>Yes</t>
  </si>
  <si>
    <t>Benchmark</t>
  </si>
  <si>
    <t>1.700% - 1.800%</t>
  </si>
  <si>
    <t>Revolving Credit</t>
  </si>
  <si>
    <t>Warehouse Facility Agreements</t>
  </si>
  <si>
    <t>3-Month LIBOR</t>
  </si>
  <si>
    <t>Term Loans</t>
  </si>
  <si>
    <t>Solar Term Loans from Bank</t>
  </si>
  <si>
    <t>6-2022 - 2033</t>
  </si>
  <si>
    <t>2.700% - 5.100%</t>
  </si>
  <si>
    <t>9-2048 - 2049</t>
  </si>
  <si>
    <t>Solar Loan Backed Notes</t>
  </si>
  <si>
    <t>3.600% - 5.800%</t>
  </si>
  <si>
    <t>Solar Bonds and Other Loans</t>
  </si>
  <si>
    <t>Solar Asset Backed Notes *</t>
  </si>
  <si>
    <t>6-2020 - 2023</t>
  </si>
  <si>
    <t>Senior Secured Asset Based Revolving Credit Agreement</t>
  </si>
  <si>
    <t>Capital Lease</t>
  </si>
  <si>
    <t>Operating Lease Liabilities</t>
  </si>
  <si>
    <t>Other Borrowings</t>
  </si>
  <si>
    <t>Financing Obligation</t>
  </si>
  <si>
    <t>Finance Leases</t>
  </si>
  <si>
    <t>Convertible Senior Notes</t>
  </si>
  <si>
    <t>CNY</t>
  </si>
  <si>
    <t>6-2021 - 2024</t>
  </si>
  <si>
    <t>Various Benchmarks</t>
  </si>
  <si>
    <t>China Loan Agreements from Bank</t>
  </si>
  <si>
    <t>Cash Equity Debt III *</t>
  </si>
  <si>
    <t>Cash Equity Debt II *</t>
  </si>
  <si>
    <t>Cash Equity Debt I *</t>
  </si>
  <si>
    <t>9-2022 - 2022</t>
  </si>
  <si>
    <t>1.900% - 5.900%</t>
  </si>
  <si>
    <t>Canada Credit Facility</t>
  </si>
  <si>
    <t>8-2021 - 2024</t>
  </si>
  <si>
    <t>0.600% - 7.900%</t>
  </si>
  <si>
    <t>Automotive Asset Backed Notes</t>
  </si>
  <si>
    <t>5.30% Senior Notes Due in 2025</t>
  </si>
  <si>
    <t>2.375% Convertible Senior Notes Due in 2022</t>
  </si>
  <si>
    <t>2.00% Convertible Senior Notes Due in 2024</t>
  </si>
  <si>
    <t>1.25% Convertible Senior Notes Due in 2021</t>
  </si>
  <si>
    <t>Repayment Currency</t>
  </si>
  <si>
    <t>Secured</t>
  </si>
  <si>
    <t>Seniority</t>
  </si>
  <si>
    <t>Maturity</t>
  </si>
  <si>
    <t>Floating Rate</t>
  </si>
  <si>
    <t>Coupon/Base Rate</t>
  </si>
  <si>
    <t>Principal Due (USD)</t>
  </si>
  <si>
    <t>Type</t>
  </si>
  <si>
    <t>Description</t>
  </si>
  <si>
    <t>Solar Revolving Credit Facility and Other Loans</t>
  </si>
  <si>
    <t>4.000% - 7.500%</t>
  </si>
  <si>
    <t>1-2021 - 2031</t>
  </si>
  <si>
    <t>China Loan Agreements</t>
  </si>
  <si>
    <t>FY 2020 (Dec-31-2020) Capital Structure As Reported Details</t>
  </si>
  <si>
    <t>Cost of Debt</t>
  </si>
  <si>
    <t>Debt Tranches</t>
  </si>
  <si>
    <t>Principal Due</t>
  </si>
  <si>
    <t>Percentage (%)</t>
  </si>
  <si>
    <t>Base/Coupon Rate</t>
  </si>
  <si>
    <t>Total</t>
  </si>
  <si>
    <t>Weighted Average Cost of Debt</t>
  </si>
  <si>
    <t xml:space="preserve">Sensitivity Assumptions </t>
  </si>
  <si>
    <t xml:space="preserve">Exit Multiple Step </t>
  </si>
  <si>
    <t xml:space="preserve">WACC Step </t>
  </si>
  <si>
    <t xml:space="preserve">WACC  </t>
  </si>
  <si>
    <t>Sensitivity Analysis</t>
  </si>
  <si>
    <t>Exit Multiple</t>
  </si>
  <si>
    <t>Weighted Average Cost of Capital</t>
  </si>
  <si>
    <t>Accrued Liabilities</t>
  </si>
  <si>
    <t>Accrued Liabilities (% of Revenue)</t>
  </si>
  <si>
    <t>Total Current Liabilities</t>
  </si>
  <si>
    <t>Accounts Receivable</t>
  </si>
  <si>
    <t>5 Year Average Effective Tax Rate</t>
  </si>
  <si>
    <t>Tesla (Nasdaq: TSLA)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</si>
</sst>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#_);_(* \(#,##0.0#\)_)\ ;_(* 0_)"/>
    <numFmt numFmtId="165" formatCode="_(* #,##0.0_);_(* \(#,##0.0\)_)\ ;_(* 0_)"/>
    <numFmt numFmtId="166" formatCode="mmm\-dd\-yyyy"/>
    <numFmt numFmtId="167" formatCode="_(\ #,##0.0#_);_(\(\ #,##0.0#\)_);_(\ &quot; - &quot;_)"/>
    <numFmt numFmtId="168" formatCode="_(\ #,##0.0_);_(\ \(#,##0.0\)_);_(\ &quot; - &quot;_)"/>
    <numFmt numFmtId="169" formatCode="0000&quot;E&quot;"/>
    <numFmt numFmtId="170" formatCode="&quot;$&quot;#,##0"/>
    <numFmt numFmtId="171" formatCode="0.0\x"/>
    <numFmt numFmtId="172" formatCode="&quot;$&quot;#,##0_);\(&quot;$&quot;#,##0\);&quot;–&quot;"/>
    <numFmt numFmtId="173" formatCode="#,##0_);\(#,##0\);&quot;–&quot;"/>
    <numFmt numFmtId="174" formatCode="0&quot;A&quot;"/>
    <numFmt numFmtId="175" formatCode="0&quot;E&quot;"/>
    <numFmt numFmtId="176" formatCode="0%;\(0%\)"/>
    <numFmt numFmtId="177" formatCode="0.00%;\(0.00%\)"/>
    <numFmt numFmtId="178" formatCode="#,##0.0_);\(#,##0.0\)"/>
    <numFmt numFmtId="179" formatCode="0\ &quot;days&quot;"/>
    <numFmt numFmtId="180" formatCode="yyyy&quot;A&quot;"/>
    <numFmt numFmtId="181" formatCode="yyyy&quot;E&quot;"/>
    <numFmt numFmtId="182" formatCode="0_);\(0\)"/>
    <numFmt numFmtId="187" formatCode="0.0%"/>
    <numFmt numFmtId="201" formatCode="&quot;$&quot;#,##0.0_);[Red]\(&quot;$&quot;#,##0.0\)"/>
    <numFmt numFmtId="202" formatCode="#,##0.0_);[Red]\(#,##0.0\)"/>
  </numFmts>
  <fonts count="5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sz val="8"/>
      <color indexed="8"/>
      <name val="Arial"/>
    </font>
    <font>
      <b/>
      <sz val="8"/>
      <color indexed="8"/>
      <name val="Arial"/>
    </font>
    <font>
      <b/>
      <i/>
      <sz val="8"/>
      <color indexed="8"/>
      <name val="Arial"/>
    </font>
    <font>
      <sz val="1"/>
      <color indexed="9"/>
      <name val="Symbol"/>
    </font>
    <font>
      <b/>
      <sz val="8"/>
      <color indexed="9"/>
      <name val="Verdana"/>
    </font>
    <font>
      <sz val="11"/>
      <color theme="1"/>
      <name val="Bookman Old Style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Bookman Old Style"/>
      <family val="1"/>
    </font>
    <font>
      <i/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sz val="50"/>
      <color theme="1"/>
      <name val="Bookman Old Style"/>
      <family val="1"/>
    </font>
    <font>
      <b/>
      <sz val="11"/>
      <color theme="0"/>
      <name val="Bookman Old Style"/>
      <family val="1"/>
    </font>
    <font>
      <sz val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11"/>
      <name val="Bookman Old Style"/>
      <family val="1"/>
    </font>
    <font>
      <sz val="11"/>
      <color rgb="FF008000"/>
      <name val="Bookman Old Style"/>
      <family val="1"/>
    </font>
    <font>
      <sz val="11"/>
      <color rgb="FF0000FF"/>
      <name val="Bookman Old Style"/>
      <family val="1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u val="singleAccounting"/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b/>
      <sz val="8"/>
      <color indexed="8"/>
      <name val="Verdana"/>
    </font>
    <font>
      <sz val="8"/>
      <name val="Arial"/>
      <family val="2"/>
    </font>
    <font>
      <sz val="11"/>
      <color rgb="FFFF0000"/>
      <name val="Bookman Old Style"/>
      <family val="1"/>
    </font>
    <font>
      <u/>
      <sz val="11"/>
      <color theme="0"/>
      <name val="Bookman Old Style"/>
      <family val="1"/>
    </font>
    <font>
      <i/>
      <sz val="11"/>
      <name val="Bookman Old Style"/>
      <family val="1"/>
    </font>
    <font>
      <i/>
      <sz val="11"/>
      <color rgb="FF008000"/>
      <name val="Bookman Old Style"/>
      <family val="1"/>
    </font>
    <font>
      <i/>
      <sz val="11"/>
      <color rgb="FF0000FF"/>
      <name val="Bookman Old Style"/>
      <family val="1"/>
    </font>
    <font>
      <b/>
      <sz val="11"/>
      <name val="Bookman Old Style"/>
      <family val="1"/>
    </font>
    <font>
      <b/>
      <i/>
      <sz val="11"/>
      <color theme="0"/>
      <name val="Bookman Old Style"/>
      <family val="1"/>
    </font>
  </fonts>
  <fills count="12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21205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4">
    <xf numFmtId="0" fontId="0" fillId="0" borderId="0"/>
    <xf numFmtId="0" fontId="1" fillId="0" borderId="0"/>
    <xf numFmtId="0" fontId="6" fillId="0" borderId="0" applyAlignment="0"/>
    <xf numFmtId="0" fontId="9" fillId="0" borderId="0"/>
    <xf numFmtId="9" fontId="10" fillId="0" borderId="0" applyFont="0" applyFill="0" applyBorder="0" applyAlignment="0" applyProtection="0"/>
    <xf numFmtId="0" fontId="17" fillId="0" borderId="0"/>
    <xf numFmtId="0" fontId="18" fillId="0" borderId="0" applyAlignment="0"/>
    <xf numFmtId="0" fontId="19" fillId="0" borderId="0" applyAlignment="0"/>
    <xf numFmtId="0" fontId="20" fillId="9" borderId="0" applyAlignment="0"/>
    <xf numFmtId="0" fontId="21" fillId="10" borderId="0" applyAlignment="0"/>
    <xf numFmtId="0" fontId="22" fillId="3" borderId="0" applyAlignment="0"/>
    <xf numFmtId="0" fontId="23" fillId="2" borderId="0" applyAlignment="0"/>
    <xf numFmtId="0" fontId="24" fillId="0" borderId="0" applyAlignment="0"/>
    <xf numFmtId="0" fontId="25" fillId="0" borderId="0" applyAlignment="0"/>
    <xf numFmtId="0" fontId="26" fillId="0" borderId="0" applyAlignment="0"/>
    <xf numFmtId="0" fontId="27" fillId="0" borderId="0" applyAlignment="0"/>
    <xf numFmtId="0" fontId="28" fillId="0" borderId="0" applyAlignment="0"/>
    <xf numFmtId="0" fontId="27" fillId="0" borderId="0" applyAlignment="0">
      <alignment wrapText="1"/>
    </xf>
    <xf numFmtId="0" fontId="29" fillId="0" borderId="0" applyAlignment="0"/>
    <xf numFmtId="0" fontId="30" fillId="0" borderId="0" applyAlignment="0"/>
    <xf numFmtId="0" fontId="31" fillId="0" borderId="0" applyAlignment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0" fillId="0" borderId="0"/>
    <xf numFmtId="43" fontId="10" fillId="0" borderId="0" applyFont="0" applyFill="0" applyBorder="0" applyAlignment="0" applyProtection="0"/>
    <xf numFmtId="0" fontId="17" fillId="0" borderId="0"/>
    <xf numFmtId="0" fontId="29" fillId="0" borderId="0" applyAlignment="0"/>
    <xf numFmtId="0" fontId="17" fillId="0" borderId="0"/>
    <xf numFmtId="0" fontId="10" fillId="7" borderId="0" applyNumberFormat="0" applyBorder="0" applyAlignment="0" applyProtection="0"/>
    <xf numFmtId="0" fontId="27" fillId="0" borderId="0" applyAlignment="0">
      <alignment wrapText="1"/>
    </xf>
    <xf numFmtId="0" fontId="10" fillId="8" borderId="0" applyNumberFormat="0" applyBorder="0" applyAlignment="0" applyProtection="0"/>
    <xf numFmtId="0" fontId="10" fillId="0" borderId="0"/>
    <xf numFmtId="0" fontId="10" fillId="0" borderId="0"/>
    <xf numFmtId="0" fontId="10" fillId="8" borderId="0" applyNumberFormat="0" applyBorder="0" applyAlignment="0" applyProtection="0"/>
    <xf numFmtId="0" fontId="10" fillId="7" borderId="0" applyNumberFormat="0" applyBorder="0" applyAlignment="0" applyProtection="0"/>
    <xf numFmtId="9" fontId="9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0" borderId="0"/>
    <xf numFmtId="0" fontId="35" fillId="0" borderId="0" applyAlignment="0"/>
    <xf numFmtId="0" fontId="36" fillId="0" borderId="0" applyAlignment="0"/>
    <xf numFmtId="0" fontId="37" fillId="9" borderId="0" applyAlignment="0"/>
    <xf numFmtId="0" fontId="38" fillId="10" borderId="0" applyAlignment="0"/>
    <xf numFmtId="0" fontId="7" fillId="3" borderId="0" applyAlignment="0"/>
    <xf numFmtId="0" fontId="39" fillId="2" borderId="0" applyAlignment="0"/>
    <xf numFmtId="0" fontId="3" fillId="0" borderId="0" applyAlignment="0"/>
    <xf numFmtId="0" fontId="40" fillId="0" borderId="0" applyAlignment="0"/>
    <xf numFmtId="0" fontId="41" fillId="0" borderId="0" applyAlignment="0"/>
    <xf numFmtId="0" fontId="4" fillId="0" borderId="0" applyAlignment="0"/>
    <xf numFmtId="0" fontId="42" fillId="0" borderId="0" applyAlignment="0"/>
    <xf numFmtId="0" fontId="4" fillId="0" borderId="0" applyAlignment="0">
      <alignment wrapText="1"/>
    </xf>
    <xf numFmtId="0" fontId="43" fillId="0" borderId="0" applyAlignment="0"/>
    <xf numFmtId="0" fontId="44" fillId="0" borderId="0" applyAlignment="0"/>
  </cellStyleXfs>
  <cellXfs count="32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vertical="top" wrapText="1"/>
    </xf>
    <xf numFmtId="164" fontId="3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165" fontId="4" fillId="0" borderId="0" xfId="1" applyNumberFormat="1" applyFont="1" applyAlignment="1">
      <alignment horizontal="right" vertical="top" wrapText="1"/>
    </xf>
    <xf numFmtId="165" fontId="3" fillId="0" borderId="0" xfId="1" applyNumberFormat="1" applyFont="1" applyAlignment="1">
      <alignment horizontal="right" vertical="top" wrapText="1"/>
    </xf>
    <xf numFmtId="0" fontId="4" fillId="2" borderId="0" xfId="1" applyFont="1" applyFill="1" applyAlignment="1">
      <alignment horizontal="right" wrapText="1"/>
    </xf>
    <xf numFmtId="0" fontId="4" fillId="2" borderId="0" xfId="1" applyFont="1" applyFill="1" applyAlignment="1">
      <alignment wrapText="1"/>
    </xf>
    <xf numFmtId="0" fontId="5" fillId="2" borderId="0" xfId="1" applyFont="1" applyFill="1" applyAlignment="1">
      <alignment horizontal="right" wrapText="1"/>
    </xf>
    <xf numFmtId="0" fontId="5" fillId="2" borderId="0" xfId="1" applyFont="1" applyFill="1" applyAlignment="1">
      <alignment wrapText="1"/>
    </xf>
    <xf numFmtId="0" fontId="6" fillId="0" borderId="0" xfId="2" applyAlignment="1"/>
    <xf numFmtId="0" fontId="7" fillId="3" borderId="0" xfId="1" applyFont="1" applyFill="1"/>
    <xf numFmtId="166" fontId="4" fillId="2" borderId="0" xfId="1" applyNumberFormat="1" applyFont="1" applyFill="1" applyAlignment="1">
      <alignment horizontal="right" wrapText="1"/>
    </xf>
    <xf numFmtId="0" fontId="3" fillId="0" borderId="0" xfId="1" applyFont="1" applyAlignment="1">
      <alignment horizontal="center" vertical="center" wrapText="1"/>
    </xf>
    <xf numFmtId="167" fontId="3" fillId="0" borderId="0" xfId="1" applyNumberFormat="1" applyFont="1" applyAlignment="1">
      <alignment horizontal="right" vertical="top" wrapText="1"/>
    </xf>
    <xf numFmtId="168" fontId="3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right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4" fillId="0" borderId="0" xfId="1" applyFont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8" fillId="0" borderId="0" xfId="0" applyFont="1"/>
    <xf numFmtId="0" fontId="8" fillId="0" borderId="1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7" xfId="0" applyFont="1" applyBorder="1"/>
    <xf numFmtId="0" fontId="8" fillId="0" borderId="6" xfId="0" applyFont="1" applyBorder="1"/>
    <xf numFmtId="0" fontId="12" fillId="0" borderId="4" xfId="0" applyFont="1" applyBorder="1" applyAlignment="1">
      <alignment horizontal="left" indent="1"/>
    </xf>
    <xf numFmtId="0" fontId="12" fillId="0" borderId="4" xfId="0" applyFont="1" applyBorder="1"/>
    <xf numFmtId="0" fontId="12" fillId="0" borderId="4" xfId="0" applyFont="1" applyFill="1" applyBorder="1" applyAlignment="1">
      <alignment horizontal="left" indent="1"/>
    </xf>
    <xf numFmtId="0" fontId="13" fillId="5" borderId="7" xfId="0" applyFont="1" applyFill="1" applyBorder="1"/>
    <xf numFmtId="0" fontId="8" fillId="0" borderId="10" xfId="0" applyFont="1" applyBorder="1"/>
    <xf numFmtId="0" fontId="8" fillId="5" borderId="4" xfId="0" applyFont="1" applyFill="1" applyBorder="1"/>
    <xf numFmtId="0" fontId="13" fillId="0" borderId="4" xfId="0" applyFont="1" applyBorder="1"/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5" fillId="0" borderId="0" xfId="0" applyFont="1"/>
    <xf numFmtId="168" fontId="3" fillId="0" borderId="0" xfId="1" applyNumberFormat="1" applyFont="1" applyFill="1" applyAlignment="1">
      <alignment horizontal="right" vertical="top" wrapText="1"/>
    </xf>
    <xf numFmtId="167" fontId="3" fillId="0" borderId="0" xfId="1" applyNumberFormat="1" applyFont="1" applyFill="1" applyAlignment="1">
      <alignment horizontal="right" vertical="top" wrapText="1"/>
    </xf>
    <xf numFmtId="0" fontId="3" fillId="0" borderId="0" xfId="1" applyFont="1" applyFill="1" applyAlignment="1">
      <alignment horizontal="right" vertical="top" wrapText="1"/>
    </xf>
    <xf numFmtId="0" fontId="2" fillId="0" borderId="0" xfId="1" applyFont="1" applyFill="1"/>
    <xf numFmtId="0" fontId="11" fillId="0" borderId="0" xfId="0" applyFont="1"/>
    <xf numFmtId="0" fontId="8" fillId="0" borderId="4" xfId="0" applyFont="1" applyBorder="1" applyAlignment="1">
      <alignment horizontal="left" indent="1"/>
    </xf>
    <xf numFmtId="0" fontId="8" fillId="0" borderId="0" xfId="0" applyFont="1" applyBorder="1" applyAlignment="1">
      <alignment horizontal="left"/>
    </xf>
    <xf numFmtId="175" fontId="8" fillId="0" borderId="0" xfId="0" applyNumberFormat="1" applyFont="1"/>
    <xf numFmtId="8" fontId="8" fillId="0" borderId="6" xfId="0" applyNumberFormat="1" applyFont="1" applyBorder="1"/>
    <xf numFmtId="10" fontId="8" fillId="0" borderId="0" xfId="0" applyNumberFormat="1" applyFont="1"/>
    <xf numFmtId="0" fontId="4" fillId="2" borderId="0" xfId="0" applyFont="1" applyFill="1" applyAlignment="1">
      <alignment horizontal="left" vertical="top" wrapText="1"/>
    </xf>
    <xf numFmtId="168" fontId="3" fillId="0" borderId="0" xfId="0" applyNumberFormat="1" applyFont="1" applyAlignment="1">
      <alignment horizontal="right" vertical="top" wrapText="1"/>
    </xf>
    <xf numFmtId="167" fontId="3" fillId="0" borderId="0" xfId="0" applyNumberFormat="1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11" fillId="11" borderId="7" xfId="0" applyFont="1" applyFill="1" applyBorder="1"/>
    <xf numFmtId="0" fontId="11" fillId="11" borderId="8" xfId="0" applyFont="1" applyFill="1" applyBorder="1"/>
    <xf numFmtId="0" fontId="11" fillId="11" borderId="1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11" fillId="11" borderId="4" xfId="0" applyFont="1" applyFill="1" applyBorder="1"/>
    <xf numFmtId="0" fontId="11" fillId="11" borderId="0" xfId="0" applyFont="1" applyFill="1" applyBorder="1"/>
    <xf numFmtId="0" fontId="11" fillId="11" borderId="6" xfId="0" applyFont="1" applyFill="1" applyBorder="1"/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38" fontId="8" fillId="0" borderId="6" xfId="0" applyNumberFormat="1" applyFont="1" applyBorder="1" applyAlignment="1">
      <alignment horizontal="center"/>
    </xf>
    <xf numFmtId="37" fontId="8" fillId="0" borderId="0" xfId="0" applyNumberFormat="1" applyFont="1" applyBorder="1" applyAlignment="1">
      <alignment horizontal="center"/>
    </xf>
    <xf numFmtId="37" fontId="8" fillId="0" borderId="6" xfId="0" applyNumberFormat="1" applyFont="1" applyBorder="1" applyAlignment="1">
      <alignment horizontal="center"/>
    </xf>
    <xf numFmtId="7" fontId="32" fillId="0" borderId="6" xfId="0" applyNumberFormat="1" applyFont="1" applyBorder="1"/>
    <xf numFmtId="0" fontId="16" fillId="11" borderId="1" xfId="0" applyFont="1" applyFill="1" applyBorder="1" applyAlignment="1"/>
    <xf numFmtId="0" fontId="16" fillId="11" borderId="2" xfId="0" applyFont="1" applyFill="1" applyBorder="1" applyAlignmen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37" fontId="8" fillId="0" borderId="0" xfId="0" applyNumberFormat="1" applyFont="1" applyBorder="1" applyAlignment="1">
      <alignment horizontal="center" vertical="center"/>
    </xf>
    <xf numFmtId="37" fontId="8" fillId="0" borderId="6" xfId="0" applyNumberFormat="1" applyFont="1" applyBorder="1" applyAlignment="1">
      <alignment horizontal="center" vertical="center"/>
    </xf>
    <xf numFmtId="37" fontId="8" fillId="5" borderId="8" xfId="0" applyNumberFormat="1" applyFont="1" applyFill="1" applyBorder="1" applyAlignment="1">
      <alignment horizontal="center" vertical="center"/>
    </xf>
    <xf numFmtId="37" fontId="8" fillId="5" borderId="9" xfId="0" applyNumberFormat="1" applyFont="1" applyFill="1" applyBorder="1" applyAlignment="1">
      <alignment horizontal="center" vertical="center"/>
    </xf>
    <xf numFmtId="0" fontId="16" fillId="11" borderId="7" xfId="0" applyFont="1" applyFill="1" applyBorder="1"/>
    <xf numFmtId="6" fontId="8" fillId="0" borderId="6" xfId="0" applyNumberFormat="1" applyFont="1" applyBorder="1"/>
    <xf numFmtId="0" fontId="16" fillId="11" borderId="1" xfId="0" applyFont="1" applyFill="1" applyBorder="1"/>
    <xf numFmtId="6" fontId="33" fillId="0" borderId="0" xfId="0" applyNumberFormat="1" applyFont="1" applyBorder="1" applyAlignment="1">
      <alignment horizontal="center"/>
    </xf>
    <xf numFmtId="6" fontId="33" fillId="0" borderId="6" xfId="0" applyNumberFormat="1" applyFont="1" applyBorder="1" applyAlignment="1">
      <alignment horizontal="center"/>
    </xf>
    <xf numFmtId="37" fontId="33" fillId="0" borderId="0" xfId="0" applyNumberFormat="1" applyFont="1" applyBorder="1" applyAlignment="1">
      <alignment horizontal="center"/>
    </xf>
    <xf numFmtId="37" fontId="33" fillId="0" borderId="6" xfId="0" applyNumberFormat="1" applyFont="1" applyBorder="1" applyAlignment="1">
      <alignment horizontal="center"/>
    </xf>
    <xf numFmtId="182" fontId="33" fillId="0" borderId="6" xfId="0" applyNumberFormat="1" applyFont="1" applyBorder="1"/>
    <xf numFmtId="8" fontId="34" fillId="0" borderId="3" xfId="0" applyNumberFormat="1" applyFont="1" applyBorder="1"/>
    <xf numFmtId="0" fontId="16" fillId="11" borderId="4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2" fillId="0" borderId="0" xfId="1" applyFont="1"/>
    <xf numFmtId="0" fontId="4" fillId="2" borderId="0" xfId="1" applyFont="1" applyFill="1" applyAlignment="1">
      <alignment horizontal="left" vertical="top" wrapText="1"/>
    </xf>
    <xf numFmtId="168" fontId="3" fillId="0" borderId="0" xfId="1" applyNumberFormat="1" applyFont="1" applyAlignment="1">
      <alignment horizontal="right" vertical="top" wrapText="1"/>
    </xf>
    <xf numFmtId="167" fontId="3" fillId="0" borderId="0" xfId="1" applyNumberFormat="1" applyFont="1" applyAlignment="1">
      <alignment horizontal="right" vertical="top" wrapText="1"/>
    </xf>
    <xf numFmtId="0" fontId="3" fillId="0" borderId="0" xfId="1" applyNumberFormat="1" applyFont="1" applyAlignment="1">
      <alignment horizontal="right" vertical="top" wrapText="1"/>
    </xf>
    <xf numFmtId="0" fontId="11" fillId="11" borderId="1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left"/>
    </xf>
    <xf numFmtId="0" fontId="16" fillId="11" borderId="3" xfId="0" applyFont="1" applyFill="1" applyBorder="1" applyAlignment="1">
      <alignment horizontal="left"/>
    </xf>
    <xf numFmtId="0" fontId="45" fillId="0" borderId="0" xfId="27" applyFont="1"/>
    <xf numFmtId="0" fontId="45" fillId="0" borderId="0" xfId="27" applyFont="1" applyAlignment="1">
      <alignment wrapText="1"/>
    </xf>
    <xf numFmtId="0" fontId="24" fillId="0" borderId="0" xfId="27" applyFont="1" applyAlignment="1">
      <alignment horizontal="center" vertical="top" wrapText="1"/>
    </xf>
    <xf numFmtId="166" fontId="24" fillId="0" borderId="0" xfId="27" applyNumberFormat="1" applyFont="1" applyAlignment="1">
      <alignment horizontal="center" vertical="top" wrapText="1"/>
    </xf>
    <xf numFmtId="168" fontId="24" fillId="0" borderId="0" xfId="27" applyNumberFormat="1" applyFont="1" applyAlignment="1">
      <alignment horizontal="center" vertical="top" wrapText="1"/>
    </xf>
    <xf numFmtId="0" fontId="24" fillId="0" borderId="0" xfId="27" applyFont="1" applyAlignment="1">
      <alignment vertical="top" wrapText="1"/>
    </xf>
    <xf numFmtId="0" fontId="23" fillId="2" borderId="0" xfId="27" applyFont="1" applyFill="1" applyAlignment="1">
      <alignment wrapText="1"/>
    </xf>
    <xf numFmtId="0" fontId="23" fillId="2" borderId="0" xfId="27" applyFont="1" applyFill="1" applyAlignment="1">
      <alignment horizontal="left" wrapText="1"/>
    </xf>
    <xf numFmtId="0" fontId="29" fillId="0" borderId="0" xfId="28" applyAlignment="1"/>
    <xf numFmtId="0" fontId="22" fillId="3" borderId="0" xfId="27" applyFont="1" applyFill="1"/>
    <xf numFmtId="10" fontId="24" fillId="0" borderId="0" xfId="27" applyNumberFormat="1" applyFont="1" applyAlignment="1">
      <alignment horizontal="center" vertical="top" wrapText="1"/>
    </xf>
    <xf numFmtId="0" fontId="8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0" fontId="11" fillId="11" borderId="9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10" fontId="8" fillId="5" borderId="0" xfId="0" applyNumberFormat="1" applyFont="1" applyFill="1" applyBorder="1" applyAlignment="1">
      <alignment horizontal="center" vertical="center"/>
    </xf>
    <xf numFmtId="0" fontId="8" fillId="5" borderId="6" xfId="0" applyFont="1" applyFill="1" applyBorder="1"/>
    <xf numFmtId="0" fontId="8" fillId="5" borderId="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0" fontId="33" fillId="0" borderId="6" xfId="0" applyNumberFormat="1" applyFont="1" applyBorder="1" applyAlignment="1">
      <alignment horizontal="center" vertical="center"/>
    </xf>
    <xf numFmtId="0" fontId="34" fillId="0" borderId="6" xfId="0" applyFont="1" applyBorder="1"/>
    <xf numFmtId="187" fontId="34" fillId="0" borderId="6" xfId="0" applyNumberFormat="1" applyFont="1" applyBorder="1"/>
    <xf numFmtId="10" fontId="8" fillId="0" borderId="9" xfId="0" applyNumberFormat="1" applyFont="1" applyBorder="1"/>
    <xf numFmtId="171" fontId="8" fillId="0" borderId="0" xfId="0" applyNumberFormat="1" applyFont="1" applyBorder="1" applyAlignment="1">
      <alignment horizontal="center" vertical="center"/>
    </xf>
    <xf numFmtId="202" fontId="32" fillId="4" borderId="0" xfId="0" applyNumberFormat="1" applyFont="1" applyFill="1" applyBorder="1" applyAlignment="1">
      <alignment horizontal="center" vertical="center"/>
    </xf>
    <xf numFmtId="202" fontId="32" fillId="4" borderId="4" xfId="0" applyNumberFormat="1" applyFont="1" applyFill="1" applyBorder="1" applyAlignment="1">
      <alignment horizontal="center" vertical="center"/>
    </xf>
    <xf numFmtId="202" fontId="32" fillId="4" borderId="6" xfId="0" applyNumberFormat="1" applyFont="1" applyFill="1" applyBorder="1" applyAlignment="1">
      <alignment horizontal="center" vertical="center"/>
    </xf>
    <xf numFmtId="202" fontId="32" fillId="4" borderId="7" xfId="0" applyNumberFormat="1" applyFont="1" applyFill="1" applyBorder="1" applyAlignment="1">
      <alignment horizontal="center" vertical="center"/>
    </xf>
    <xf numFmtId="202" fontId="32" fillId="4" borderId="8" xfId="0" applyNumberFormat="1" applyFont="1" applyFill="1" applyBorder="1" applyAlignment="1">
      <alignment horizontal="center" vertical="center"/>
    </xf>
    <xf numFmtId="202" fontId="32" fillId="4" borderId="9" xfId="0" applyNumberFormat="1" applyFont="1" applyFill="1" applyBorder="1" applyAlignment="1">
      <alignment horizontal="center" vertical="center"/>
    </xf>
    <xf numFmtId="201" fontId="32" fillId="4" borderId="1" xfId="0" applyNumberFormat="1" applyFont="1" applyFill="1" applyBorder="1" applyAlignment="1">
      <alignment horizontal="center" vertical="center"/>
    </xf>
    <xf numFmtId="201" fontId="32" fillId="4" borderId="2" xfId="0" applyNumberFormat="1" applyFont="1" applyFill="1" applyBorder="1" applyAlignment="1">
      <alignment horizontal="center" vertical="center"/>
    </xf>
    <xf numFmtId="201" fontId="32" fillId="4" borderId="3" xfId="0" applyNumberFormat="1" applyFont="1" applyFill="1" applyBorder="1" applyAlignment="1">
      <alignment horizontal="center" vertical="center"/>
    </xf>
    <xf numFmtId="202" fontId="32" fillId="5" borderId="1" xfId="0" applyNumberFormat="1" applyFont="1" applyFill="1" applyBorder="1" applyAlignment="1">
      <alignment horizontal="center" vertical="center"/>
    </xf>
    <xf numFmtId="202" fontId="32" fillId="5" borderId="2" xfId="0" applyNumberFormat="1" applyFont="1" applyFill="1" applyBorder="1" applyAlignment="1">
      <alignment horizontal="center" vertical="center"/>
    </xf>
    <xf numFmtId="202" fontId="32" fillId="5" borderId="3" xfId="0" applyNumberFormat="1" applyFont="1" applyFill="1" applyBorder="1" applyAlignment="1">
      <alignment horizontal="center" vertical="center"/>
    </xf>
    <xf numFmtId="202" fontId="32" fillId="5" borderId="4" xfId="0" applyNumberFormat="1" applyFont="1" applyFill="1" applyBorder="1" applyAlignment="1">
      <alignment horizontal="center" vertical="center"/>
    </xf>
    <xf numFmtId="202" fontId="32" fillId="5" borderId="0" xfId="0" applyNumberFormat="1" applyFont="1" applyFill="1" applyBorder="1" applyAlignment="1">
      <alignment horizontal="center" vertical="center"/>
    </xf>
    <xf numFmtId="202" fontId="32" fillId="5" borderId="6" xfId="0" applyNumberFormat="1" applyFont="1" applyFill="1" applyBorder="1" applyAlignment="1">
      <alignment horizontal="center" vertical="center"/>
    </xf>
    <xf numFmtId="202" fontId="32" fillId="5" borderId="7" xfId="0" applyNumberFormat="1" applyFont="1" applyFill="1" applyBorder="1" applyAlignment="1">
      <alignment horizontal="center" vertical="center"/>
    </xf>
    <xf numFmtId="202" fontId="32" fillId="5" borderId="8" xfId="0" applyNumberFormat="1" applyFont="1" applyFill="1" applyBorder="1" applyAlignment="1">
      <alignment horizontal="center" vertical="center"/>
    </xf>
    <xf numFmtId="202" fontId="32" fillId="5" borderId="9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3" xfId="0" applyNumberFormat="1" applyFont="1" applyFill="1" applyBorder="1" applyAlignment="1">
      <alignment horizontal="center" vertical="center"/>
    </xf>
    <xf numFmtId="0" fontId="8" fillId="5" borderId="0" xfId="0" applyFont="1" applyFill="1" applyBorder="1"/>
    <xf numFmtId="0" fontId="8" fillId="5" borderId="0" xfId="0" applyFont="1" applyFill="1" applyBorder="1" applyAlignment="1">
      <alignment horizontal="center"/>
    </xf>
    <xf numFmtId="8" fontId="11" fillId="0" borderId="0" xfId="0" applyNumberFormat="1" applyFont="1" applyBorder="1" applyAlignment="1">
      <alignment horizontal="center" vertical="center"/>
    </xf>
    <xf numFmtId="171" fontId="8" fillId="0" borderId="6" xfId="0" applyNumberFormat="1" applyFont="1" applyBorder="1" applyAlignment="1">
      <alignment horizontal="center" vertical="center"/>
    </xf>
    <xf numFmtId="0" fontId="8" fillId="5" borderId="7" xfId="0" applyFont="1" applyFill="1" applyBorder="1"/>
    <xf numFmtId="10" fontId="8" fillId="0" borderId="8" xfId="0" applyNumberFormat="1" applyFont="1" applyBorder="1" applyAlignment="1">
      <alignment horizontal="center" vertical="center"/>
    </xf>
    <xf numFmtId="0" fontId="16" fillId="11" borderId="8" xfId="0" applyFont="1" applyFill="1" applyBorder="1" applyAlignment="1">
      <alignment horizontal="center"/>
    </xf>
    <xf numFmtId="6" fontId="16" fillId="11" borderId="8" xfId="0" applyNumberFormat="1" applyFont="1" applyFill="1" applyBorder="1" applyAlignment="1">
      <alignment horizontal="center"/>
    </xf>
    <xf numFmtId="6" fontId="16" fillId="11" borderId="9" xfId="0" applyNumberFormat="1" applyFont="1" applyFill="1" applyBorder="1" applyAlignment="1">
      <alignment horizontal="center"/>
    </xf>
    <xf numFmtId="8" fontId="16" fillId="11" borderId="9" xfId="0" applyNumberFormat="1" applyFont="1" applyFill="1" applyBorder="1"/>
    <xf numFmtId="10" fontId="16" fillId="11" borderId="9" xfId="0" applyNumberFormat="1" applyFont="1" applyFill="1" applyBorder="1"/>
    <xf numFmtId="14" fontId="15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left" vertical="center" indent="1"/>
    </xf>
    <xf numFmtId="170" fontId="11" fillId="11" borderId="8" xfId="1" applyNumberFormat="1" applyFont="1" applyFill="1" applyBorder="1" applyAlignment="1">
      <alignment horizontal="center"/>
    </xf>
    <xf numFmtId="170" fontId="33" fillId="4" borderId="0" xfId="1" applyNumberFormat="1" applyFont="1" applyFill="1" applyBorder="1" applyAlignment="1">
      <alignment horizontal="center"/>
    </xf>
    <xf numFmtId="3" fontId="33" fillId="4" borderId="0" xfId="1" applyNumberFormat="1" applyFont="1" applyFill="1" applyBorder="1" applyAlignment="1">
      <alignment horizontal="center"/>
    </xf>
    <xf numFmtId="171" fontId="32" fillId="0" borderId="0" xfId="1" applyNumberFormat="1" applyFont="1" applyBorder="1" applyAlignment="1">
      <alignment horizontal="center"/>
    </xf>
    <xf numFmtId="171" fontId="11" fillId="11" borderId="8" xfId="1" applyNumberFormat="1" applyFont="1" applyFill="1" applyBorder="1" applyAlignment="1">
      <alignment horizontal="center"/>
    </xf>
    <xf numFmtId="0" fontId="48" fillId="0" borderId="4" xfId="24" applyFont="1" applyBorder="1"/>
    <xf numFmtId="180" fontId="13" fillId="0" borderId="0" xfId="1" applyNumberFormat="1" applyFont="1" applyFill="1" applyBorder="1" applyAlignment="1">
      <alignment horizontal="center"/>
    </xf>
    <xf numFmtId="181" fontId="13" fillId="0" borderId="0" xfId="1" applyNumberFormat="1" applyFont="1" applyFill="1" applyBorder="1" applyAlignment="1">
      <alignment horizontal="center"/>
    </xf>
    <xf numFmtId="181" fontId="13" fillId="0" borderId="6" xfId="1" applyNumberFormat="1" applyFont="1" applyFill="1" applyBorder="1" applyAlignment="1">
      <alignment horizontal="center"/>
    </xf>
    <xf numFmtId="171" fontId="33" fillId="0" borderId="6" xfId="1" applyNumberFormat="1" applyFont="1" applyBorder="1" applyAlignment="1">
      <alignment horizontal="right"/>
    </xf>
    <xf numFmtId="171" fontId="33" fillId="0" borderId="0" xfId="1" applyNumberFormat="1" applyFont="1" applyBorder="1" applyAlignment="1">
      <alignment horizontal="right"/>
    </xf>
    <xf numFmtId="171" fontId="33" fillId="5" borderId="4" xfId="1" applyNumberFormat="1" applyFont="1" applyFill="1" applyBorder="1" applyAlignment="1">
      <alignment horizontal="right"/>
    </xf>
    <xf numFmtId="0" fontId="0" fillId="0" borderId="0" xfId="0" applyFont="1"/>
    <xf numFmtId="174" fontId="16" fillId="11" borderId="2" xfId="1" applyNumberFormat="1" applyFont="1" applyFill="1" applyBorder="1" applyAlignment="1">
      <alignment horizontal="center"/>
    </xf>
    <xf numFmtId="175" fontId="16" fillId="11" borderId="2" xfId="1" applyNumberFormat="1" applyFont="1" applyFill="1" applyBorder="1" applyAlignment="1">
      <alignment horizontal="center"/>
    </xf>
    <xf numFmtId="175" fontId="16" fillId="11" borderId="3" xfId="1" applyNumberFormat="1" applyFont="1" applyFill="1" applyBorder="1" applyAlignment="1">
      <alignment horizontal="center"/>
    </xf>
    <xf numFmtId="0" fontId="0" fillId="0" borderId="0" xfId="0" applyFont="1" applyBorder="1"/>
    <xf numFmtId="176" fontId="48" fillId="4" borderId="0" xfId="1" applyNumberFormat="1" applyFont="1" applyFill="1" applyBorder="1" applyAlignment="1">
      <alignment horizontal="center"/>
    </xf>
    <xf numFmtId="0" fontId="0" fillId="0" borderId="8" xfId="0" applyFont="1" applyBorder="1"/>
    <xf numFmtId="176" fontId="49" fillId="4" borderId="0" xfId="1" applyNumberFormat="1" applyFont="1" applyFill="1" applyBorder="1"/>
    <xf numFmtId="0" fontId="16" fillId="11" borderId="10" xfId="1" applyFont="1" applyFill="1" applyBorder="1"/>
    <xf numFmtId="174" fontId="16" fillId="11" borderId="11" xfId="1" applyNumberFormat="1" applyFont="1" applyFill="1" applyBorder="1" applyAlignment="1">
      <alignment horizontal="center" vertical="center"/>
    </xf>
    <xf numFmtId="175" fontId="16" fillId="11" borderId="11" xfId="1" applyNumberFormat="1" applyFont="1" applyFill="1" applyBorder="1" applyAlignment="1">
      <alignment horizontal="center" vertical="center"/>
    </xf>
    <xf numFmtId="175" fontId="16" fillId="11" borderId="12" xfId="1" applyNumberFormat="1" applyFont="1" applyFill="1" applyBorder="1" applyAlignment="1">
      <alignment horizontal="center" vertical="center"/>
    </xf>
    <xf numFmtId="0" fontId="48" fillId="0" borderId="1" xfId="1" applyFont="1" applyBorder="1"/>
    <xf numFmtId="0" fontId="51" fillId="0" borderId="4" xfId="1" applyFont="1" applyBorder="1"/>
    <xf numFmtId="6" fontId="33" fillId="4" borderId="0" xfId="1" applyNumberFormat="1" applyFont="1" applyFill="1" applyBorder="1" applyAlignment="1">
      <alignment horizontal="center" vertical="center"/>
    </xf>
    <xf numFmtId="6" fontId="32" fillId="4" borderId="0" xfId="1" applyNumberFormat="1" applyFont="1" applyFill="1" applyBorder="1" applyAlignment="1">
      <alignment horizontal="center" vertical="center"/>
    </xf>
    <xf numFmtId="6" fontId="32" fillId="4" borderId="6" xfId="1" applyNumberFormat="1" applyFont="1" applyFill="1" applyBorder="1" applyAlignment="1">
      <alignment horizontal="center" vertical="center"/>
    </xf>
    <xf numFmtId="176" fontId="48" fillId="4" borderId="0" xfId="1" applyNumberFormat="1" applyFont="1" applyFill="1" applyAlignment="1">
      <alignment horizontal="center" vertical="center"/>
    </xf>
    <xf numFmtId="176" fontId="49" fillId="4" borderId="0" xfId="1" applyNumberFormat="1" applyFont="1" applyFill="1" applyAlignment="1">
      <alignment horizontal="center" vertical="center"/>
    </xf>
    <xf numFmtId="176" fontId="49" fillId="4" borderId="6" xfId="1" applyNumberFormat="1" applyFont="1" applyFill="1" applyBorder="1" applyAlignment="1">
      <alignment horizontal="center" vertical="center"/>
    </xf>
    <xf numFmtId="1" fontId="33" fillId="4" borderId="0" xfId="1" applyNumberFormat="1" applyFont="1" applyFill="1" applyAlignment="1">
      <alignment horizontal="center" vertical="center"/>
    </xf>
    <xf numFmtId="1" fontId="32" fillId="4" borderId="0" xfId="1" applyNumberFormat="1" applyFont="1" applyFill="1" applyAlignment="1">
      <alignment horizontal="center" vertical="center"/>
    </xf>
    <xf numFmtId="1" fontId="32" fillId="4" borderId="6" xfId="1" applyNumberFormat="1" applyFont="1" applyFill="1" applyBorder="1" applyAlignment="1">
      <alignment horizontal="center" vertical="center"/>
    </xf>
    <xf numFmtId="0" fontId="51" fillId="5" borderId="4" xfId="1" applyFont="1" applyFill="1" applyBorder="1"/>
    <xf numFmtId="38" fontId="51" fillId="5" borderId="0" xfId="1" applyNumberFormat="1" applyFont="1" applyFill="1" applyAlignment="1">
      <alignment horizontal="center" vertical="center"/>
    </xf>
    <xf numFmtId="38" fontId="51" fillId="5" borderId="6" xfId="1" applyNumberFormat="1" applyFont="1" applyFill="1" applyBorder="1" applyAlignment="1">
      <alignment horizontal="center" vertical="center"/>
    </xf>
    <xf numFmtId="176" fontId="48" fillId="4" borderId="6" xfId="1" applyNumberFormat="1" applyFont="1" applyFill="1" applyBorder="1" applyAlignment="1">
      <alignment horizontal="center" vertical="center"/>
    </xf>
    <xf numFmtId="176" fontId="32" fillId="4" borderId="0" xfId="1" applyNumberFormat="1" applyFont="1" applyFill="1" applyBorder="1" applyAlignment="1">
      <alignment horizontal="center" vertical="center"/>
    </xf>
    <xf numFmtId="37" fontId="33" fillId="4" borderId="0" xfId="1" applyNumberFormat="1" applyFont="1" applyFill="1" applyAlignment="1">
      <alignment horizontal="center" vertical="center"/>
    </xf>
    <xf numFmtId="37" fontId="32" fillId="4" borderId="0" xfId="1" applyNumberFormat="1" applyFont="1" applyFill="1" applyAlignment="1">
      <alignment horizontal="center" vertical="center"/>
    </xf>
    <xf numFmtId="37" fontId="32" fillId="4" borderId="6" xfId="1" applyNumberFormat="1" applyFont="1" applyFill="1" applyBorder="1" applyAlignment="1">
      <alignment horizontal="center" vertical="center"/>
    </xf>
    <xf numFmtId="37" fontId="13" fillId="5" borderId="0" xfId="1" applyNumberFormat="1" applyFont="1" applyFill="1" applyAlignment="1">
      <alignment horizontal="center" vertical="center"/>
    </xf>
    <xf numFmtId="37" fontId="13" fillId="5" borderId="6" xfId="1" applyNumberFormat="1" applyFont="1" applyFill="1" applyBorder="1" applyAlignment="1">
      <alignment horizontal="center" vertical="center"/>
    </xf>
    <xf numFmtId="176" fontId="32" fillId="4" borderId="6" xfId="1" applyNumberFormat="1" applyFont="1" applyFill="1" applyBorder="1" applyAlignment="1">
      <alignment horizontal="center" vertical="center"/>
    </xf>
    <xf numFmtId="9" fontId="48" fillId="4" borderId="0" xfId="4" applyFont="1" applyFill="1" applyBorder="1" applyAlignment="1">
      <alignment horizontal="center" vertical="center"/>
    </xf>
    <xf numFmtId="0" fontId="51" fillId="4" borderId="4" xfId="1" applyFont="1" applyFill="1" applyBorder="1"/>
    <xf numFmtId="37" fontId="13" fillId="4" borderId="0" xfId="1" applyNumberFormat="1" applyFont="1" applyFill="1" applyAlignment="1">
      <alignment horizontal="center" vertical="center"/>
    </xf>
    <xf numFmtId="37" fontId="13" fillId="4" borderId="6" xfId="1" applyNumberFormat="1" applyFont="1" applyFill="1" applyBorder="1" applyAlignment="1">
      <alignment horizontal="center" vertical="center"/>
    </xf>
    <xf numFmtId="9" fontId="48" fillId="4" borderId="6" xfId="4" applyFont="1" applyFill="1" applyBorder="1" applyAlignment="1">
      <alignment horizontal="center" vertical="center"/>
    </xf>
    <xf numFmtId="176" fontId="33" fillId="4" borderId="0" xfId="1" applyNumberFormat="1" applyFont="1" applyFill="1" applyBorder="1" applyAlignment="1">
      <alignment horizontal="center" vertical="center"/>
    </xf>
    <xf numFmtId="176" fontId="33" fillId="4" borderId="6" xfId="1" applyNumberFormat="1" applyFont="1" applyFill="1" applyBorder="1" applyAlignment="1">
      <alignment horizontal="center" vertical="center"/>
    </xf>
    <xf numFmtId="37" fontId="8" fillId="4" borderId="0" xfId="1" applyNumberFormat="1" applyFont="1" applyFill="1" applyAlignment="1">
      <alignment horizontal="center" vertical="center"/>
    </xf>
    <xf numFmtId="37" fontId="8" fillId="4" borderId="6" xfId="1" applyNumberFormat="1" applyFont="1" applyFill="1" applyBorder="1" applyAlignment="1">
      <alignment horizontal="center" vertical="center"/>
    </xf>
    <xf numFmtId="174" fontId="16" fillId="11" borderId="0" xfId="1" applyNumberFormat="1" applyFont="1" applyFill="1" applyBorder="1" applyAlignment="1">
      <alignment horizontal="center"/>
    </xf>
    <xf numFmtId="175" fontId="16" fillId="11" borderId="0" xfId="1" applyNumberFormat="1" applyFont="1" applyFill="1" applyBorder="1" applyAlignment="1">
      <alignment horizontal="center"/>
    </xf>
    <xf numFmtId="175" fontId="16" fillId="11" borderId="6" xfId="1" applyNumberFormat="1" applyFont="1" applyFill="1" applyBorder="1" applyAlignment="1">
      <alignment horizontal="center"/>
    </xf>
    <xf numFmtId="179" fontId="34" fillId="0" borderId="12" xfId="0" applyNumberFormat="1" applyFont="1" applyBorder="1" applyAlignment="1">
      <alignment horizontal="center" vertical="center"/>
    </xf>
    <xf numFmtId="37" fontId="33" fillId="4" borderId="0" xfId="1" applyNumberFormat="1" applyFont="1" applyFill="1" applyBorder="1" applyAlignment="1">
      <alignment horizontal="center"/>
    </xf>
    <xf numFmtId="5" fontId="8" fillId="4" borderId="0" xfId="1" applyNumberFormat="1" applyFont="1" applyFill="1" applyBorder="1" applyAlignment="1">
      <alignment horizontal="center"/>
    </xf>
    <xf numFmtId="5" fontId="8" fillId="4" borderId="6" xfId="1" applyNumberFormat="1" applyFont="1" applyFill="1" applyBorder="1" applyAlignment="1">
      <alignment horizontal="center"/>
    </xf>
    <xf numFmtId="37" fontId="8" fillId="4" borderId="0" xfId="1" applyNumberFormat="1" applyFont="1" applyFill="1" applyBorder="1" applyAlignment="1">
      <alignment horizontal="center"/>
    </xf>
    <xf numFmtId="37" fontId="8" fillId="4" borderId="6" xfId="1" applyNumberFormat="1" applyFont="1" applyFill="1" applyBorder="1" applyAlignment="1">
      <alignment horizontal="center"/>
    </xf>
    <xf numFmtId="37" fontId="33" fillId="4" borderId="6" xfId="1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left" indent="1"/>
    </xf>
    <xf numFmtId="176" fontId="49" fillId="4" borderId="0" xfId="1" applyNumberFormat="1" applyFont="1" applyFill="1" applyBorder="1" applyAlignment="1">
      <alignment horizontal="center"/>
    </xf>
    <xf numFmtId="176" fontId="49" fillId="4" borderId="6" xfId="1" applyNumberFormat="1" applyFont="1" applyFill="1" applyBorder="1" applyAlignment="1">
      <alignment horizontal="center"/>
    </xf>
    <xf numFmtId="179" fontId="8" fillId="0" borderId="0" xfId="0" applyNumberFormat="1" applyFont="1" applyBorder="1" applyAlignment="1">
      <alignment horizontal="center" vertical="center"/>
    </xf>
    <xf numFmtId="179" fontId="8" fillId="0" borderId="6" xfId="0" applyNumberFormat="1" applyFont="1" applyBorder="1" applyAlignment="1">
      <alignment horizontal="center" vertical="center"/>
    </xf>
    <xf numFmtId="0" fontId="13" fillId="0" borderId="4" xfId="0" applyFont="1" applyFill="1" applyBorder="1"/>
    <xf numFmtId="0" fontId="13" fillId="0" borderId="4" xfId="0" applyFont="1" applyFill="1" applyBorder="1" applyAlignment="1">
      <alignment horizontal="left" indent="1"/>
    </xf>
    <xf numFmtId="0" fontId="51" fillId="5" borderId="4" xfId="0" applyFont="1" applyFill="1" applyBorder="1" applyAlignment="1">
      <alignment horizontal="left"/>
    </xf>
    <xf numFmtId="1" fontId="32" fillId="5" borderId="0" xfId="1" applyNumberFormat="1" applyFont="1" applyFill="1" applyBorder="1" applyAlignment="1">
      <alignment horizontal="center"/>
    </xf>
    <xf numFmtId="37" fontId="51" fillId="5" borderId="0" xfId="1" applyNumberFormat="1" applyFont="1" applyFill="1" applyBorder="1" applyAlignment="1">
      <alignment horizontal="center"/>
    </xf>
    <xf numFmtId="37" fontId="51" fillId="5" borderId="6" xfId="1" applyNumberFormat="1" applyFont="1" applyFill="1" applyBorder="1" applyAlignment="1">
      <alignment horizontal="center"/>
    </xf>
    <xf numFmtId="37" fontId="32" fillId="5" borderId="0" xfId="1" applyNumberFormat="1" applyFont="1" applyFill="1" applyBorder="1" applyAlignment="1">
      <alignment horizontal="center"/>
    </xf>
    <xf numFmtId="37" fontId="11" fillId="11" borderId="8" xfId="1" applyNumberFormat="1" applyFont="1" applyFill="1" applyBorder="1" applyAlignment="1">
      <alignment horizontal="center"/>
    </xf>
    <xf numFmtId="5" fontId="11" fillId="11" borderId="8" xfId="1" applyNumberFormat="1" applyFont="1" applyFill="1" applyBorder="1" applyAlignment="1">
      <alignment horizontal="center"/>
    </xf>
    <xf numFmtId="5" fontId="11" fillId="11" borderId="9" xfId="1" applyNumberFormat="1" applyFont="1" applyFill="1" applyBorder="1" applyAlignment="1">
      <alignment horizontal="center"/>
    </xf>
    <xf numFmtId="0" fontId="16" fillId="11" borderId="1" xfId="3" applyFont="1" applyFill="1" applyBorder="1" applyAlignment="1">
      <alignment horizontal="center"/>
    </xf>
    <xf numFmtId="0" fontId="16" fillId="11" borderId="3" xfId="3" applyFont="1" applyFill="1" applyBorder="1" applyAlignment="1">
      <alignment horizontal="center"/>
    </xf>
    <xf numFmtId="0" fontId="8" fillId="0" borderId="4" xfId="3" applyFont="1" applyBorder="1"/>
    <xf numFmtId="172" fontId="33" fillId="0" borderId="6" xfId="3" applyNumberFormat="1" applyFont="1" applyBorder="1" applyAlignment="1">
      <alignment horizontal="center"/>
    </xf>
    <xf numFmtId="0" fontId="8" fillId="0" borderId="4" xfId="3" applyFont="1" applyBorder="1" applyAlignment="1">
      <alignment horizontal="left" indent="1"/>
    </xf>
    <xf numFmtId="173" fontId="33" fillId="0" borderId="6" xfId="3" applyNumberFormat="1" applyFont="1" applyBorder="1" applyAlignment="1">
      <alignment horizontal="center"/>
    </xf>
    <xf numFmtId="0" fontId="16" fillId="11" borderId="7" xfId="3" applyFont="1" applyFill="1" applyBorder="1"/>
    <xf numFmtId="172" fontId="16" fillId="11" borderId="9" xfId="3" applyNumberFormat="1" applyFont="1" applyFill="1" applyBorder="1"/>
    <xf numFmtId="2" fontId="34" fillId="0" borderId="0" xfId="0" applyNumberFormat="1" applyFont="1" applyBorder="1" applyAlignment="1">
      <alignment horizontal="center"/>
    </xf>
    <xf numFmtId="177" fontId="8" fillId="0" borderId="0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8" fontId="34" fillId="4" borderId="0" xfId="1" applyNumberFormat="1" applyFont="1" applyFill="1" applyBorder="1" applyAlignment="1">
      <alignment horizontal="center"/>
    </xf>
    <xf numFmtId="178" fontId="34" fillId="4" borderId="6" xfId="1" applyNumberFormat="1" applyFont="1" applyFill="1" applyBorder="1" applyAlignment="1">
      <alignment horizontal="center"/>
    </xf>
    <xf numFmtId="177" fontId="8" fillId="0" borderId="6" xfId="0" applyNumberFormat="1" applyFont="1" applyBorder="1" applyAlignment="1">
      <alignment horizontal="center"/>
    </xf>
    <xf numFmtId="2" fontId="8" fillId="5" borderId="0" xfId="0" applyNumberFormat="1" applyFont="1" applyFill="1" applyBorder="1" applyAlignment="1">
      <alignment horizontal="center"/>
    </xf>
    <xf numFmtId="3" fontId="32" fillId="5" borderId="0" xfId="1" applyNumberFormat="1" applyFont="1" applyFill="1" applyBorder="1" applyAlignment="1">
      <alignment horizontal="center"/>
    </xf>
    <xf numFmtId="171" fontId="32" fillId="5" borderId="0" xfId="1" applyNumberFormat="1" applyFont="1" applyFill="1" applyBorder="1" applyAlignment="1">
      <alignment horizontal="center"/>
    </xf>
    <xf numFmtId="177" fontId="8" fillId="5" borderId="0" xfId="0" applyNumberFormat="1" applyFont="1" applyFill="1" applyBorder="1" applyAlignment="1">
      <alignment horizontal="center"/>
    </xf>
    <xf numFmtId="2" fontId="8" fillId="5" borderId="6" xfId="0" applyNumberFormat="1" applyFont="1" applyFill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11" fillId="11" borderId="8" xfId="0" applyNumberFormat="1" applyFont="1" applyFill="1" applyBorder="1" applyAlignment="1">
      <alignment horizontal="center"/>
    </xf>
    <xf numFmtId="177" fontId="11" fillId="11" borderId="8" xfId="0" applyNumberFormat="1" applyFont="1" applyFill="1" applyBorder="1" applyAlignment="1">
      <alignment horizontal="center"/>
    </xf>
    <xf numFmtId="2" fontId="11" fillId="11" borderId="9" xfId="0" applyNumberFormat="1" applyFont="1" applyFill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7" fontId="8" fillId="0" borderId="8" xfId="0" applyNumberFormat="1" applyFont="1" applyBorder="1" applyAlignment="1">
      <alignment horizontal="center"/>
    </xf>
    <xf numFmtId="177" fontId="8" fillId="0" borderId="9" xfId="0" applyNumberFormat="1" applyFont="1" applyBorder="1" applyAlignment="1">
      <alignment horizontal="center"/>
    </xf>
    <xf numFmtId="177" fontId="50" fillId="4" borderId="6" xfId="1" applyNumberFormat="1" applyFont="1" applyFill="1" applyBorder="1"/>
    <xf numFmtId="177" fontId="49" fillId="4" borderId="6" xfId="1" applyNumberFormat="1" applyFont="1" applyFill="1" applyBorder="1"/>
    <xf numFmtId="39" fontId="33" fillId="4" borderId="6" xfId="1" applyNumberFormat="1" applyFont="1" applyFill="1" applyBorder="1"/>
    <xf numFmtId="5" fontId="33" fillId="4" borderId="6" xfId="1" applyNumberFormat="1" applyFont="1" applyFill="1" applyBorder="1"/>
    <xf numFmtId="5" fontId="33" fillId="4" borderId="9" xfId="1" applyNumberFormat="1" applyFont="1" applyFill="1" applyBorder="1"/>
    <xf numFmtId="177" fontId="48" fillId="4" borderId="6" xfId="1" applyNumberFormat="1" applyFont="1" applyFill="1" applyBorder="1"/>
    <xf numFmtId="37" fontId="34" fillId="4" borderId="6" xfId="1" applyNumberFormat="1" applyFont="1" applyFill="1" applyBorder="1"/>
    <xf numFmtId="8" fontId="33" fillId="4" borderId="6" xfId="1" applyNumberFormat="1" applyFont="1" applyFill="1" applyBorder="1"/>
    <xf numFmtId="37" fontId="33" fillId="4" borderId="6" xfId="1" applyNumberFormat="1" applyFont="1" applyFill="1" applyBorder="1"/>
    <xf numFmtId="8" fontId="34" fillId="4" borderId="6" xfId="1" applyNumberFormat="1" applyFont="1" applyFill="1" applyBorder="1"/>
    <xf numFmtId="37" fontId="32" fillId="4" borderId="6" xfId="1" applyNumberFormat="1" applyFont="1" applyFill="1" applyBorder="1"/>
    <xf numFmtId="37" fontId="11" fillId="11" borderId="9" xfId="1" applyNumberFormat="1" applyFont="1" applyFill="1" applyBorder="1"/>
    <xf numFmtId="40" fontId="11" fillId="11" borderId="0" xfId="0" applyNumberFormat="1" applyFont="1" applyFill="1" applyBorder="1" applyAlignment="1">
      <alignment horizontal="center" vertical="center"/>
    </xf>
    <xf numFmtId="0" fontId="32" fillId="11" borderId="1" xfId="1" applyFont="1" applyFill="1" applyBorder="1" applyAlignment="1">
      <alignment vertical="center"/>
    </xf>
    <xf numFmtId="0" fontId="32" fillId="11" borderId="2" xfId="1" applyFont="1" applyFill="1" applyBorder="1" applyAlignment="1">
      <alignment vertical="center"/>
    </xf>
    <xf numFmtId="0" fontId="32" fillId="11" borderId="3" xfId="1" applyFont="1" applyFill="1" applyBorder="1" applyAlignment="1">
      <alignment vertical="center"/>
    </xf>
    <xf numFmtId="0" fontId="46" fillId="11" borderId="4" xfId="1" applyFont="1" applyFill="1" applyBorder="1" applyAlignment="1">
      <alignment vertical="center"/>
    </xf>
    <xf numFmtId="0" fontId="11" fillId="11" borderId="0" xfId="1" applyFont="1" applyFill="1" applyAlignment="1">
      <alignment horizontal="center" vertical="center"/>
    </xf>
    <xf numFmtId="0" fontId="11" fillId="11" borderId="5" xfId="1" applyFont="1" applyFill="1" applyBorder="1" applyAlignment="1">
      <alignment horizontal="center" vertical="center"/>
    </xf>
    <xf numFmtId="0" fontId="47" fillId="11" borderId="0" xfId="1" applyFont="1" applyFill="1" applyAlignment="1">
      <alignment horizontal="center" vertical="center"/>
    </xf>
    <xf numFmtId="0" fontId="11" fillId="11" borderId="6" xfId="1" applyFont="1" applyFill="1" applyBorder="1" applyAlignment="1">
      <alignment horizontal="center" vertical="center"/>
    </xf>
    <xf numFmtId="0" fontId="11" fillId="11" borderId="4" xfId="1" applyFont="1" applyFill="1" applyBorder="1" applyAlignment="1">
      <alignment vertical="center"/>
    </xf>
    <xf numFmtId="169" fontId="11" fillId="11" borderId="0" xfId="1" applyNumberFormat="1" applyFont="1" applyFill="1" applyAlignment="1">
      <alignment horizontal="center" vertical="center"/>
    </xf>
    <xf numFmtId="0" fontId="11" fillId="11" borderId="7" xfId="1" applyFont="1" applyFill="1" applyBorder="1" applyAlignment="1">
      <alignment vertical="center"/>
    </xf>
    <xf numFmtId="170" fontId="11" fillId="11" borderId="8" xfId="1" applyNumberFormat="1" applyFont="1" applyFill="1" applyBorder="1" applyAlignment="1">
      <alignment horizontal="center" vertical="center"/>
    </xf>
    <xf numFmtId="0" fontId="11" fillId="11" borderId="8" xfId="1" applyFont="1" applyFill="1" applyBorder="1" applyAlignment="1">
      <alignment horizontal="center" vertical="center"/>
    </xf>
    <xf numFmtId="169" fontId="11" fillId="11" borderId="8" xfId="1" applyNumberFormat="1" applyFont="1" applyFill="1" applyBorder="1" applyAlignment="1">
      <alignment horizontal="center" vertical="center"/>
    </xf>
    <xf numFmtId="0" fontId="11" fillId="11" borderId="9" xfId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171" fontId="32" fillId="0" borderId="0" xfId="1" applyNumberFormat="1" applyFont="1" applyBorder="1" applyAlignment="1">
      <alignment horizontal="center" vertical="center"/>
    </xf>
    <xf numFmtId="171" fontId="32" fillId="0" borderId="6" xfId="1" applyNumberFormat="1" applyFont="1" applyBorder="1" applyAlignment="1">
      <alignment horizontal="center" vertical="center"/>
    </xf>
    <xf numFmtId="3" fontId="32" fillId="4" borderId="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3" fontId="32" fillId="6" borderId="0" xfId="1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vertical="center"/>
    </xf>
    <xf numFmtId="171" fontId="32" fillId="6" borderId="0" xfId="1" applyNumberFormat="1" applyFont="1" applyFill="1" applyBorder="1" applyAlignment="1">
      <alignment horizontal="center" vertical="center"/>
    </xf>
    <xf numFmtId="171" fontId="32" fillId="6" borderId="6" xfId="1" applyNumberFormat="1" applyFont="1" applyFill="1" applyBorder="1" applyAlignment="1">
      <alignment horizontal="center" vertical="center"/>
    </xf>
    <xf numFmtId="171" fontId="32" fillId="6" borderId="13" xfId="1" applyNumberFormat="1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vertical="center"/>
    </xf>
    <xf numFmtId="0" fontId="11" fillId="11" borderId="8" xfId="0" applyFont="1" applyFill="1" applyBorder="1" applyAlignment="1">
      <alignment vertical="center"/>
    </xf>
    <xf numFmtId="171" fontId="11" fillId="11" borderId="8" xfId="1" applyNumberFormat="1" applyFont="1" applyFill="1" applyBorder="1" applyAlignment="1">
      <alignment horizontal="center" vertical="center"/>
    </xf>
    <xf numFmtId="171" fontId="11" fillId="11" borderId="9" xfId="1" applyNumberFormat="1" applyFont="1" applyFill="1" applyBorder="1" applyAlignment="1">
      <alignment horizontal="center" vertical="center"/>
    </xf>
    <xf numFmtId="176" fontId="50" fillId="4" borderId="0" xfId="1" applyNumberFormat="1" applyFont="1" applyFill="1" applyBorder="1" applyAlignment="1">
      <alignment horizontal="center" vertical="center"/>
    </xf>
    <xf numFmtId="176" fontId="50" fillId="4" borderId="6" xfId="1" applyNumberFormat="1" applyFont="1" applyFill="1" applyBorder="1" applyAlignment="1">
      <alignment horizontal="center" vertical="center"/>
    </xf>
    <xf numFmtId="176" fontId="48" fillId="4" borderId="0" xfId="1" applyNumberFormat="1" applyFont="1" applyFill="1" applyBorder="1" applyAlignment="1">
      <alignment horizontal="center" vertical="center"/>
    </xf>
    <xf numFmtId="176" fontId="49" fillId="4" borderId="8" xfId="1" applyNumberFormat="1" applyFont="1" applyFill="1" applyBorder="1" applyAlignment="1">
      <alignment horizontal="center" vertical="center"/>
    </xf>
    <xf numFmtId="176" fontId="48" fillId="4" borderId="8" xfId="1" applyNumberFormat="1" applyFont="1" applyFill="1" applyBorder="1" applyAlignment="1">
      <alignment horizontal="center" vertical="center"/>
    </xf>
    <xf numFmtId="176" fontId="48" fillId="4" borderId="9" xfId="1" applyNumberFormat="1" applyFont="1" applyFill="1" applyBorder="1" applyAlignment="1">
      <alignment horizontal="center" vertical="center"/>
    </xf>
    <xf numFmtId="170" fontId="33" fillId="4" borderId="0" xfId="1" applyNumberFormat="1" applyFont="1" applyFill="1" applyBorder="1" applyAlignment="1">
      <alignment horizontal="center" vertical="center"/>
    </xf>
    <xf numFmtId="3" fontId="33" fillId="4" borderId="0" xfId="1" applyNumberFormat="1" applyFont="1" applyFill="1" applyBorder="1" applyAlignment="1">
      <alignment horizontal="center" vertical="center"/>
    </xf>
    <xf numFmtId="171" fontId="33" fillId="0" borderId="0" xfId="1" applyNumberFormat="1" applyFont="1" applyBorder="1" applyAlignment="1">
      <alignment horizontal="center" vertical="center"/>
    </xf>
    <xf numFmtId="171" fontId="33" fillId="0" borderId="6" xfId="1" applyNumberFormat="1" applyFont="1" applyBorder="1" applyAlignment="1">
      <alignment horizontal="center" vertical="center"/>
    </xf>
    <xf numFmtId="177" fontId="52" fillId="11" borderId="9" xfId="1" applyNumberFormat="1" applyFont="1" applyFill="1" applyBorder="1"/>
  </cellXfs>
  <cellStyles count="60">
    <cellStyle name="40% - Accent2 2" xfId="30" xr:uid="{109F2F23-4A9A-4FF5-A8B3-ED44A02AB4FF}"/>
    <cellStyle name="40% - Accent2 3" xfId="36" xr:uid="{D7DF6E7E-9F6B-4D16-B063-79EB5619FD34}"/>
    <cellStyle name="40% - Accent2 3 2" xfId="38" xr:uid="{A04F5E14-08E3-4A5E-B409-BB7D170547B9}"/>
    <cellStyle name="40% - Accent4 2" xfId="32" xr:uid="{11869924-4ED8-4870-BF4C-6FA7190DB83F}"/>
    <cellStyle name="40% - Accent4 2 2" xfId="35" xr:uid="{F285CD2A-F8BD-4326-995A-6305A2DF4581}"/>
    <cellStyle name="ChartingText" xfId="19" xr:uid="{0BC362D4-CCF4-4449-BF43-FDC6C0C641FA}"/>
    <cellStyle name="ChartingText 2" xfId="52" xr:uid="{165C4C01-1AA3-493C-8F01-A50874305B30}"/>
    <cellStyle name="CHPAboveAverage" xfId="20" xr:uid="{186DA05E-D2F8-4667-AC18-19B1803F90BE}"/>
    <cellStyle name="CHPAboveAverage 2" xfId="53" xr:uid="{35B9CFCB-42D4-48D3-8E7E-CA1A204F717E}"/>
    <cellStyle name="CHPBelowAverage" xfId="20" xr:uid="{3C65E53E-156D-4329-A9F9-9B1D08A691FC}"/>
    <cellStyle name="CHPBelowAverage 2" xfId="53" xr:uid="{599A4424-764E-4FD6-A3D7-4D0EB53F8A14}"/>
    <cellStyle name="CHPBottom" xfId="20" xr:uid="{4C63D47E-3CCC-4E0E-8C91-74CB290C222D}"/>
    <cellStyle name="CHPBottom 2" xfId="53" xr:uid="{750FB69F-350D-4448-9C98-041581B2DE3E}"/>
    <cellStyle name="CHPTop" xfId="20" xr:uid="{26858FD6-D02E-486D-88D2-F0066CB3DFB3}"/>
    <cellStyle name="CHPTop 2" xfId="53" xr:uid="{94A2FB28-C57C-42F0-8DD1-57B477ACD998}"/>
    <cellStyle name="ColumnHeaderNormal" xfId="11" xr:uid="{8C353647-E83A-4C8D-9920-42475945EE59}"/>
    <cellStyle name="ColumnHeaderNormal 2" xfId="45" xr:uid="{656C4E7E-6B40-4A61-9DF1-FF041DFA526F}"/>
    <cellStyle name="Comma 2" xfId="21" xr:uid="{113F0A67-BC72-428F-B591-FE16D116F80E}"/>
    <cellStyle name="Comma 3" xfId="26" xr:uid="{7ABA010A-6EF7-4272-850A-9D3AFBA79E6F}"/>
    <cellStyle name="Currency 2" xfId="22" xr:uid="{DEA24B10-D616-422E-845B-7C05B50876BC}"/>
    <cellStyle name="Invisible" xfId="2" xr:uid="{5C1D9C0A-87E7-4278-823D-3C2858A83B04}"/>
    <cellStyle name="Invisible 2" xfId="28" xr:uid="{2BF08D0D-07DD-4A09-B9CC-865E5147EC5E}"/>
    <cellStyle name="Invisible 3" xfId="18" xr:uid="{3A9CD8BC-873D-4FAC-A0C3-2393E046BE29}"/>
    <cellStyle name="NewColumnHeaderNormal" xfId="9" xr:uid="{C53586F4-A209-4D69-AD8D-042CC6ED740D}"/>
    <cellStyle name="NewColumnHeaderNormal 2" xfId="43" xr:uid="{A7FB7BF8-53F4-4F0F-BE75-19492AD38C3D}"/>
    <cellStyle name="NewSectionHeaderNormal" xfId="8" xr:uid="{034DE533-0830-410B-B801-F3171F49CE19}"/>
    <cellStyle name="NewSectionHeaderNormal 2" xfId="42" xr:uid="{64A5EA45-C52F-4148-B8A8-B44C055796D0}"/>
    <cellStyle name="NewTitleNormal" xfId="7" xr:uid="{D55F125D-3A5B-4082-983B-DB1C55EFC8A5}"/>
    <cellStyle name="NewTitleNormal 2" xfId="41" xr:uid="{09F2864C-EE42-471C-9354-3A383EFAB850}"/>
    <cellStyle name="Normal" xfId="0" builtinId="0"/>
    <cellStyle name="Normal 2" xfId="1" xr:uid="{83E38D4A-EA60-4108-BA1B-478A81DABA13}"/>
    <cellStyle name="Normal 2 2" xfId="27" xr:uid="{87C11A0F-7922-4445-9C5E-9584AA6B9525}"/>
    <cellStyle name="Normal 2 3" xfId="24" xr:uid="{3BEAE11B-F88E-490C-B6CB-6237BB0B48B5}"/>
    <cellStyle name="Normal 3" xfId="29" xr:uid="{4EEFF5A6-416A-4369-A77A-CFC87001C117}"/>
    <cellStyle name="Normal 4" xfId="25" xr:uid="{E417CEE4-F42C-4185-82F7-FB2FA3F2C0C6}"/>
    <cellStyle name="Normal 5" xfId="33" xr:uid="{E9CEB46A-F232-48DA-A701-A39D8CB5B183}"/>
    <cellStyle name="Normal 6" xfId="34" xr:uid="{C7837F18-B0E5-436E-953F-53AC684B38F7}"/>
    <cellStyle name="Normal 7" xfId="3" xr:uid="{91E95A5C-97D2-4674-9166-26D93C3EE9C3}"/>
    <cellStyle name="Normal 7 2" xfId="39" xr:uid="{266E97CC-4089-4283-B13F-715D35D06557}"/>
    <cellStyle name="Normal 8" xfId="5" xr:uid="{F642F14B-BF8E-4EBB-9AFC-DD4341A0F4AD}"/>
    <cellStyle name="Percent" xfId="4" builtinId="5"/>
    <cellStyle name="Percent 2" xfId="37" xr:uid="{48B47D85-F80C-4F8D-8997-5D8E7F039B75}"/>
    <cellStyle name="Percent 3" xfId="23" xr:uid="{EB99A30D-A20B-4DFE-91C7-B33C92E2549E}"/>
    <cellStyle name="SectionHeaderNormal" xfId="10" xr:uid="{B2C56E68-8D05-4D0D-A227-B29CBEDAB38C}"/>
    <cellStyle name="SectionHeaderNormal 2" xfId="44" xr:uid="{9E79DE56-CD60-4670-ADFF-C67F72145A45}"/>
    <cellStyle name="SubScript" xfId="14" xr:uid="{03DF3C8F-4090-4F72-A803-8D0FC7F193AB}"/>
    <cellStyle name="SubScript 2" xfId="48" xr:uid="{F7E0DB51-B601-479C-A94A-322D257721D7}"/>
    <cellStyle name="SuperScript" xfId="13" xr:uid="{989AD6CD-3DDE-4490-95A8-BA0A15ECEE85}"/>
    <cellStyle name="SuperScript 2" xfId="47" xr:uid="{F27E3CF8-A3A5-4257-9371-012F18DA7287}"/>
    <cellStyle name="TextBold" xfId="15" xr:uid="{8F2635E4-F664-4B9A-A0C1-16CB871FD1DD}"/>
    <cellStyle name="TextBold 2" xfId="49" xr:uid="{6325107F-2D07-40A9-B735-42808275E7F0}"/>
    <cellStyle name="TextItalic" xfId="16" xr:uid="{90D45385-A943-4701-B39B-DB92407783E6}"/>
    <cellStyle name="TextItalic 2" xfId="50" xr:uid="{8C457BF9-60E7-48E3-8904-C685FC0EF051}"/>
    <cellStyle name="TextNormal" xfId="12" xr:uid="{970C2695-C33F-48FB-91D2-46C2DB7ABF89}"/>
    <cellStyle name="TextNormal 2" xfId="46" xr:uid="{2C79C251-925F-4E40-9F48-5C6322F9547B}"/>
    <cellStyle name="TitleNormal" xfId="6" xr:uid="{963731B6-59F2-4D11-9D13-E935C1B80E31}"/>
    <cellStyle name="TitleNormal 2" xfId="40" xr:uid="{0B212D05-C874-4F47-9573-50A139DA21DD}"/>
    <cellStyle name="Total 2" xfId="31" xr:uid="{552F21D0-8BF2-4FAE-9B37-3363714440C3}"/>
    <cellStyle name="Total 3" xfId="17" xr:uid="{75089269-3BDA-40AD-94E7-6A00B4062775}"/>
    <cellStyle name="Total 4" xfId="51" xr:uid="{F2B73000-4511-463C-8AF1-4A49DCEB542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79A6F8-7A44-4ED5-9676-C705ED60BBD8}">
      <tableStyleElement type="wholeTable" dxfId="1"/>
      <tableStyleElement type="headerRow" dxfId="0"/>
    </tableStyle>
  </tableStyles>
  <colors>
    <mruColors>
      <color rgb="FF008000"/>
      <color rgb="FF21205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8F26-4A8C-4207-A9A0-D02CE366763F}">
  <dimension ref="B2:B5"/>
  <sheetViews>
    <sheetView showGridLines="0" tabSelected="1" view="pageBreakPreview" zoomScaleNormal="100" zoomScaleSheetLayoutView="100" workbookViewId="0"/>
  </sheetViews>
  <sheetFormatPr defaultRowHeight="14.4" x14ac:dyDescent="0.3"/>
  <cols>
    <col min="1" max="1" width="2.77734375" customWidth="1"/>
    <col min="2" max="2" width="71.109375" bestFit="1" customWidth="1"/>
  </cols>
  <sheetData>
    <row r="2" spans="2:2" ht="63" x14ac:dyDescent="1.05">
      <c r="B2" s="41" t="s">
        <v>252</v>
      </c>
    </row>
    <row r="3" spans="2:2" ht="63" x14ac:dyDescent="1.05">
      <c r="B3" s="41" t="s">
        <v>259</v>
      </c>
    </row>
    <row r="4" spans="2:2" ht="63" x14ac:dyDescent="1.05">
      <c r="B4" s="41" t="s">
        <v>260</v>
      </c>
    </row>
    <row r="5" spans="2:2" ht="63" x14ac:dyDescent="1.05">
      <c r="B5" s="161">
        <v>44307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F1E6-6C3D-4C5A-84C2-8FFA365B81AB}">
  <sheetPr>
    <tabColor theme="5" tint="0.59999389629810485"/>
  </sheetPr>
  <dimension ref="A1"/>
  <sheetViews>
    <sheetView showGridLines="0" view="pageBreakPreview" zoomScaleNormal="100" zoomScaleSheetLayoutView="100"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D2A5-4107-4EDE-A1E2-BAF5E86E3C12}">
  <sheetPr>
    <tabColor theme="5"/>
    <pageSetUpPr fitToPage="1"/>
  </sheetPr>
  <dimension ref="B1:N17"/>
  <sheetViews>
    <sheetView showGridLines="0" view="pageBreakPreview" zoomScaleNormal="100" zoomScaleSheetLayoutView="100" workbookViewId="0"/>
  </sheetViews>
  <sheetFormatPr defaultColWidth="15.77734375" defaultRowHeight="13.8" x14ac:dyDescent="0.25"/>
  <cols>
    <col min="1" max="1" width="2.77734375" style="24" customWidth="1"/>
    <col min="2" max="2" width="29.88671875" style="24" bestFit="1" customWidth="1"/>
    <col min="3" max="4" width="15.77734375" style="24"/>
    <col min="5" max="5" width="3.77734375" style="24" customWidth="1"/>
    <col min="6" max="8" width="15.77734375" style="24"/>
    <col min="9" max="9" width="3.77734375" style="24" customWidth="1"/>
    <col min="10" max="12" width="15.77734375" style="24"/>
    <col min="13" max="13" width="3.77734375" style="24" customWidth="1"/>
    <col min="14" max="16384" width="15.77734375" style="24"/>
  </cols>
  <sheetData>
    <row r="1" spans="2:14" ht="14.4" thickBot="1" x14ac:dyDescent="0.3"/>
    <row r="2" spans="2:14" ht="4.95" customHeight="1" x14ac:dyDescent="0.25">
      <c r="B2" s="284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6"/>
    </row>
    <row r="3" spans="2:14" ht="15" customHeight="1" x14ac:dyDescent="0.25">
      <c r="B3" s="287"/>
      <c r="C3" s="288" t="s">
        <v>189</v>
      </c>
      <c r="D3" s="288" t="s">
        <v>190</v>
      </c>
      <c r="E3" s="288"/>
      <c r="F3" s="289" t="s">
        <v>191</v>
      </c>
      <c r="G3" s="289"/>
      <c r="H3" s="289"/>
      <c r="I3" s="288"/>
      <c r="J3" s="289" t="s">
        <v>192</v>
      </c>
      <c r="K3" s="289"/>
      <c r="L3" s="289"/>
      <c r="M3" s="290"/>
      <c r="N3" s="291" t="s">
        <v>193</v>
      </c>
    </row>
    <row r="4" spans="2:14" ht="15" customHeight="1" x14ac:dyDescent="0.25">
      <c r="B4" s="292" t="s">
        <v>194</v>
      </c>
      <c r="C4" s="288" t="s">
        <v>195</v>
      </c>
      <c r="D4" s="288" t="s">
        <v>195</v>
      </c>
      <c r="E4" s="288"/>
      <c r="F4" s="288" t="s">
        <v>186</v>
      </c>
      <c r="G4" s="293">
        <v>2021</v>
      </c>
      <c r="H4" s="293">
        <v>2022</v>
      </c>
      <c r="I4" s="293"/>
      <c r="J4" s="288" t="s">
        <v>186</v>
      </c>
      <c r="K4" s="293">
        <v>2021</v>
      </c>
      <c r="L4" s="293">
        <v>2022</v>
      </c>
      <c r="M4" s="293"/>
      <c r="N4" s="291" t="s">
        <v>196</v>
      </c>
    </row>
    <row r="5" spans="2:14" ht="7.95" customHeight="1" thickBot="1" x14ac:dyDescent="0.3">
      <c r="B5" s="294"/>
      <c r="C5" s="295"/>
      <c r="D5" s="295"/>
      <c r="E5" s="295"/>
      <c r="F5" s="296"/>
      <c r="G5" s="297"/>
      <c r="H5" s="297"/>
      <c r="I5" s="297"/>
      <c r="J5" s="296"/>
      <c r="K5" s="297"/>
      <c r="L5" s="297"/>
      <c r="M5" s="297"/>
      <c r="N5" s="298"/>
    </row>
    <row r="6" spans="2:14" ht="15" customHeight="1" x14ac:dyDescent="0.25">
      <c r="B6" s="299" t="s">
        <v>248</v>
      </c>
      <c r="C6" s="321">
        <f>'Trading Multiples'!B4</f>
        <v>157524.5</v>
      </c>
      <c r="D6" s="321">
        <f>'Trading Multiples'!K4</f>
        <v>296490.73</v>
      </c>
      <c r="E6" s="300"/>
      <c r="F6" s="323">
        <f>IF('Trading Multiples'!R4&gt;0,'Trading Multiples'!R4,"NM")</f>
        <v>10.802614933943495</v>
      </c>
      <c r="G6" s="323">
        <f>IF('Trading Multiples'!S4&gt;0,'Trading Multiples'!S4,"NM")</f>
        <v>7.1629267691653533</v>
      </c>
      <c r="H6" s="323">
        <f>IF('Trading Multiples'!T4&gt;0,'Trading Multiples'!T4,"NM")</f>
        <v>6.4511486993838245</v>
      </c>
      <c r="I6" s="300"/>
      <c r="J6" s="323">
        <f>IF('Trading Multiples'!U4&gt;0,'Trading Multiples'!U4,"NM")</f>
        <v>14.949511725237494</v>
      </c>
      <c r="K6" s="323">
        <f>IF('Trading Multiples'!V4&gt;0,'Trading Multiples'!V4,"NM")</f>
        <v>10.143428306130637</v>
      </c>
      <c r="L6" s="323">
        <f>IF('Trading Multiples'!W4&gt;0,'Trading Multiples'!W4,"NM")</f>
        <v>8.79954350041114</v>
      </c>
      <c r="M6" s="300"/>
      <c r="N6" s="324">
        <f>IF('Trading Multiples'!X4&gt;0,'Trading Multiples'!X4,"NM")</f>
        <v>7.412938767479651</v>
      </c>
    </row>
    <row r="7" spans="2:14" ht="15" customHeight="1" x14ac:dyDescent="0.25">
      <c r="B7" s="299" t="s">
        <v>197</v>
      </c>
      <c r="C7" s="322">
        <f>'Trading Multiples'!B5</f>
        <v>82838.100000000006</v>
      </c>
      <c r="D7" s="322">
        <f>'Trading Multiples'!K5</f>
        <v>166379.1</v>
      </c>
      <c r="E7" s="300"/>
      <c r="F7" s="323">
        <f>IF('Trading Multiples'!R5&gt;0,'Trading Multiples'!R5,"NM")</f>
        <v>12.186266754559439</v>
      </c>
      <c r="G7" s="323">
        <f>IF('Trading Multiples'!S5&gt;0,'Trading Multiples'!S5,"NM")</f>
        <v>7.0296384647267667</v>
      </c>
      <c r="H7" s="323">
        <f>IF('Trading Multiples'!T5&gt;0,'Trading Multiples'!T5,"NM")</f>
        <v>6.4189021835496511</v>
      </c>
      <c r="I7" s="300"/>
      <c r="J7" s="323">
        <f>IF('Trading Multiples'!U5&gt;0,'Trading Multiples'!U5,"NM")</f>
        <v>12.889077330014004</v>
      </c>
      <c r="K7" s="323">
        <f>IF('Trading Multiples'!V5&gt;0,'Trading Multiples'!V5,"NM")</f>
        <v>11.338319169234182</v>
      </c>
      <c r="L7" s="323">
        <f>IF('Trading Multiples'!W5&gt;0,'Trading Multiples'!W5,"NM")</f>
        <v>9.6904120742215571</v>
      </c>
      <c r="M7" s="300"/>
      <c r="N7" s="324">
        <f>IF('Trading Multiples'!X5&gt;0,'Trading Multiples'!X5,"NM")</f>
        <v>8.0317146414707388</v>
      </c>
    </row>
    <row r="8" spans="2:14" ht="15" customHeight="1" x14ac:dyDescent="0.25">
      <c r="B8" s="299" t="s">
        <v>332</v>
      </c>
      <c r="C8" s="322">
        <f>'Trading Multiples'!B6</f>
        <v>71097.2</v>
      </c>
      <c r="D8" s="322">
        <f>'Trading Multiples'!K6</f>
        <v>77088.63</v>
      </c>
      <c r="E8" s="300"/>
      <c r="F8" s="323">
        <f>IF('Trading Multiples'!R6&gt;0,'Trading Multiples'!R6,"NM")</f>
        <v>22.733302860513124</v>
      </c>
      <c r="G8" s="323">
        <f>IF('Trading Multiples'!S6&gt;0,'Trading Multiples'!S6,"NM")</f>
        <v>21.683101562763699</v>
      </c>
      <c r="H8" s="323">
        <f>IF('Trading Multiples'!T6&gt;0,'Trading Multiples'!T6,"NM")</f>
        <v>18.966885478227923</v>
      </c>
      <c r="I8" s="300"/>
      <c r="J8" s="323">
        <f>IF('Trading Multiples'!U6&gt;0,'Trading Multiples'!U6,"NM")</f>
        <v>109.12847275518035</v>
      </c>
      <c r="K8" s="323">
        <f>IF('Trading Multiples'!V6&gt;0,'Trading Multiples'!V6,"NM")</f>
        <v>86.938211521295202</v>
      </c>
      <c r="L8" s="323">
        <f>IF('Trading Multiples'!W6&gt;0,'Trading Multiples'!W6,"NM")</f>
        <v>66.920050450857474</v>
      </c>
      <c r="M8" s="300"/>
      <c r="N8" s="324">
        <f>IF('Trading Multiples'!X6&gt;0,'Trading Multiples'!X6,"NM")</f>
        <v>2.3263786493659686</v>
      </c>
    </row>
    <row r="9" spans="2:14" ht="15" customHeight="1" x14ac:dyDescent="0.25">
      <c r="B9" s="299" t="s">
        <v>198</v>
      </c>
      <c r="C9" s="322">
        <f>'Trading Multiples'!B7</f>
        <v>46816.800000000003</v>
      </c>
      <c r="D9" s="322">
        <f>'Trading Multiples'!K7</f>
        <v>172677.8</v>
      </c>
      <c r="E9" s="300"/>
      <c r="F9" s="323">
        <f>IF('Trading Multiples'!R7&gt;0,'Trading Multiples'!R7,"NM")</f>
        <v>35.922155190347411</v>
      </c>
      <c r="G9" s="323">
        <f>IF('Trading Multiples'!S7&gt;0,'Trading Multiples'!S7,"NM")</f>
        <v>14.078138413963524</v>
      </c>
      <c r="H9" s="323">
        <f>IF('Trading Multiples'!T7&gt;0,'Trading Multiples'!T7,"NM")</f>
        <v>14.083684315267142</v>
      </c>
      <c r="I9" s="300"/>
      <c r="J9" s="323" t="str">
        <f>IF('Trading Multiples'!U7&gt;0,'Trading Multiples'!U7,"NM")</f>
        <v>NM</v>
      </c>
      <c r="K9" s="323">
        <f>IF('Trading Multiples'!V7&gt;0,'Trading Multiples'!V7,"NM")</f>
        <v>12.001230453729814</v>
      </c>
      <c r="L9" s="323">
        <f>IF('Trading Multiples'!W7&gt;0,'Trading Multiples'!W7,"NM")</f>
        <v>7.7995501874219082</v>
      </c>
      <c r="M9" s="300"/>
      <c r="N9" s="324">
        <f>IF('Trading Multiples'!X7&gt;0,'Trading Multiples'!X7,"NM")</f>
        <v>33.548991054711877</v>
      </c>
    </row>
    <row r="10" spans="2:14" ht="15" customHeight="1" x14ac:dyDescent="0.25">
      <c r="B10" s="299" t="s">
        <v>335</v>
      </c>
      <c r="C10" s="322">
        <f>'Trading Multiples'!B8</f>
        <v>13157.9</v>
      </c>
      <c r="D10" s="322">
        <f>'Trading Multiples'!K8</f>
        <v>12717.259999999998</v>
      </c>
      <c r="E10" s="300"/>
      <c r="F10" s="323">
        <f>IF('Trading Multiples'!R8&gt;0,'Trading Multiples'!R8,"NM")</f>
        <v>74.369941520467833</v>
      </c>
      <c r="G10" s="323">
        <f>IF('Trading Multiples'!S8&gt;0,'Trading Multiples'!S8,"NM")</f>
        <v>35.594659650694133</v>
      </c>
      <c r="H10" s="323">
        <f>IF('Trading Multiples'!T8&gt;0,'Trading Multiples'!T8,"NM")</f>
        <v>26.829096432564711</v>
      </c>
      <c r="I10" s="300"/>
      <c r="J10" s="323">
        <f>IF('Trading Multiples'!U8&gt;0,'Trading Multiples'!U8,"NM")</f>
        <v>93.784034212401991</v>
      </c>
      <c r="K10" s="323">
        <f>IF('Trading Multiples'!V8&gt;0,'Trading Multiples'!V8,"NM")</f>
        <v>69.636940989679815</v>
      </c>
      <c r="L10" s="323">
        <f>IF('Trading Multiples'!W8&gt;0,'Trading Multiples'!W8,"NM")</f>
        <v>47.592505515969179</v>
      </c>
      <c r="M10" s="300"/>
      <c r="N10" s="324">
        <f>IF('Trading Multiples'!X8&gt;0,'Trading Multiples'!X8,"NM")</f>
        <v>3.4516959064327484</v>
      </c>
    </row>
    <row r="11" spans="2:14" ht="15" customHeight="1" x14ac:dyDescent="0.25">
      <c r="B11" s="299" t="s">
        <v>336</v>
      </c>
      <c r="C11" s="322">
        <f>'Trading Multiples'!B9</f>
        <v>4716.6000000000004</v>
      </c>
      <c r="D11" s="322">
        <f>'Trading Multiples'!K9</f>
        <v>5125.2</v>
      </c>
      <c r="E11" s="300"/>
      <c r="F11" s="323">
        <f>IF('Trading Multiples'!R9&gt;0,'Trading Multiples'!R9,"NM")</f>
        <v>184.35971223021582</v>
      </c>
      <c r="G11" s="323">
        <f>IF('Trading Multiples'!S9&gt;0,'Trading Multiples'!S9,"NM")</f>
        <v>41.133226324237562</v>
      </c>
      <c r="H11" s="323">
        <f>IF('Trading Multiples'!T9&gt;0,'Trading Multiples'!T9,"NM")</f>
        <v>28.848362039851402</v>
      </c>
      <c r="I11" s="300"/>
      <c r="J11" s="323">
        <f>IF('Trading Multiples'!U9&gt;0,'Trading Multiples'!U9,"NM")</f>
        <v>9.9296842105263163</v>
      </c>
      <c r="K11" s="323">
        <f>IF('Trading Multiples'!V9&gt;0,'Trading Multiples'!V9,"NM")</f>
        <v>100.01272264631045</v>
      </c>
      <c r="L11" s="323">
        <f>IF('Trading Multiples'!W9&gt;0,'Trading Multiples'!W9,"NM")</f>
        <v>45.943892460549392</v>
      </c>
      <c r="M11" s="300"/>
      <c r="N11" s="324">
        <f>IF('Trading Multiples'!X9&gt;0,'Trading Multiples'!X9,"NM")</f>
        <v>22.988489208633091</v>
      </c>
    </row>
    <row r="12" spans="2:14" ht="4.95" customHeight="1" x14ac:dyDescent="0.25">
      <c r="B12" s="299"/>
      <c r="C12" s="303"/>
      <c r="D12" s="303"/>
      <c r="E12" s="304"/>
      <c r="F12" s="301"/>
      <c r="G12" s="301"/>
      <c r="H12" s="301"/>
      <c r="I12" s="304"/>
      <c r="J12" s="301"/>
      <c r="K12" s="301"/>
      <c r="L12" s="301"/>
      <c r="M12" s="304"/>
      <c r="N12" s="302"/>
    </row>
    <row r="13" spans="2:14" ht="15" customHeight="1" x14ac:dyDescent="0.25">
      <c r="B13" s="305" t="s">
        <v>160</v>
      </c>
      <c r="C13" s="306"/>
      <c r="D13" s="306"/>
      <c r="E13" s="307"/>
      <c r="F13" s="308">
        <f>AVERAGE(F6:F11)</f>
        <v>56.728998915007857</v>
      </c>
      <c r="G13" s="308">
        <f t="shared" ref="G13:N13" si="0">AVERAGE(G6:G11)</f>
        <v>21.113615197591841</v>
      </c>
      <c r="H13" s="308">
        <f t="shared" si="0"/>
        <v>16.933013191474107</v>
      </c>
      <c r="I13" s="307"/>
      <c r="J13" s="308">
        <f t="shared" si="0"/>
        <v>48.136156046672035</v>
      </c>
      <c r="K13" s="308">
        <f t="shared" si="0"/>
        <v>48.345142181063352</v>
      </c>
      <c r="L13" s="308">
        <f t="shared" si="0"/>
        <v>31.12432569823844</v>
      </c>
      <c r="M13" s="308"/>
      <c r="N13" s="309">
        <f t="shared" si="0"/>
        <v>12.960034704682345</v>
      </c>
    </row>
    <row r="14" spans="2:14" ht="15" customHeight="1" x14ac:dyDescent="0.25">
      <c r="B14" s="305" t="s">
        <v>159</v>
      </c>
      <c r="C14" s="306"/>
      <c r="D14" s="306"/>
      <c r="E14" s="307"/>
      <c r="F14" s="310">
        <f>MEDIAN(F6:F11)</f>
        <v>29.327729025430266</v>
      </c>
      <c r="G14" s="308">
        <f t="shared" ref="G14:N14" si="1">MEDIAN(G6:G11)</f>
        <v>17.880619988363613</v>
      </c>
      <c r="H14" s="308">
        <f t="shared" si="1"/>
        <v>16.525284896747532</v>
      </c>
      <c r="I14" s="307"/>
      <c r="J14" s="308">
        <f t="shared" si="1"/>
        <v>14.949511725237494</v>
      </c>
      <c r="K14" s="308">
        <f t="shared" si="1"/>
        <v>40.819085721704809</v>
      </c>
      <c r="L14" s="308">
        <f t="shared" si="1"/>
        <v>27.817152267385474</v>
      </c>
      <c r="M14" s="308"/>
      <c r="N14" s="309">
        <f t="shared" si="1"/>
        <v>7.7223267044751953</v>
      </c>
    </row>
    <row r="15" spans="2:14" ht="3" customHeight="1" x14ac:dyDescent="0.25">
      <c r="B15" s="305"/>
      <c r="C15" s="306"/>
      <c r="D15" s="306"/>
      <c r="E15" s="307"/>
      <c r="F15" s="308"/>
      <c r="G15" s="308"/>
      <c r="H15" s="308"/>
      <c r="I15" s="307"/>
      <c r="J15" s="308"/>
      <c r="K15" s="308"/>
      <c r="L15" s="308"/>
      <c r="M15" s="308"/>
      <c r="N15" s="309"/>
    </row>
    <row r="16" spans="2:14" ht="4.95" customHeight="1" x14ac:dyDescent="0.25">
      <c r="B16" s="299"/>
      <c r="C16" s="304"/>
      <c r="D16" s="304"/>
      <c r="E16" s="304"/>
      <c r="F16" s="301"/>
      <c r="G16" s="301"/>
      <c r="H16" s="301"/>
      <c r="I16" s="304"/>
      <c r="J16" s="301"/>
      <c r="K16" s="301"/>
      <c r="L16" s="301"/>
      <c r="M16" s="304"/>
      <c r="N16" s="302"/>
    </row>
    <row r="17" spans="2:14" ht="15" customHeight="1" thickBot="1" x14ac:dyDescent="0.3">
      <c r="B17" s="311" t="s">
        <v>199</v>
      </c>
      <c r="C17" s="295">
        <f>'Trading Multiples'!B12</f>
        <v>714246.2</v>
      </c>
      <c r="D17" s="295">
        <f>'Trading Multiples'!K12</f>
        <v>706645.2</v>
      </c>
      <c r="E17" s="312"/>
      <c r="F17" s="313">
        <f>IF('Trading Multiples'!R12&gt;0,'Trading Multiples'!R12,"NM")</f>
        <v>165.37449098993679</v>
      </c>
      <c r="G17" s="313">
        <f>IF('Trading Multiples'!S12&gt;0,'Trading Multiples'!S12,"NM")</f>
        <v>74.597525327860794</v>
      </c>
      <c r="H17" s="313">
        <f>IF('Trading Multiples'!T12&gt;0,'Trading Multiples'!T12,"NM")</f>
        <v>56.103790931869931</v>
      </c>
      <c r="I17" s="312"/>
      <c r="J17" s="313">
        <f>IF('Trading Multiples'!U12&gt;0,'Trading Multiples'!U12,"NM")</f>
        <v>990.63273231622736</v>
      </c>
      <c r="K17" s="313">
        <f>IF('Trading Multiples'!V12&gt;0,'Trading Multiples'!V12,"NM")</f>
        <v>215.16550585626837</v>
      </c>
      <c r="L17" s="313">
        <f>IF('Trading Multiples'!W12&gt;0,'Trading Multiples'!W12,"NM")</f>
        <v>134.05672736554843</v>
      </c>
      <c r="M17" s="312"/>
      <c r="N17" s="314">
        <f>IF('Trading Multiples'!X12&gt;0,'Trading Multiples'!X12,"NM")</f>
        <v>2.4172712380060846</v>
      </c>
    </row>
  </sheetData>
  <mergeCells count="2">
    <mergeCell ref="F3:H3"/>
    <mergeCell ref="J3:L3"/>
  </mergeCells>
  <pageMargins left="0.7" right="0.7" top="0.75" bottom="0.75" header="0.3" footer="0.3"/>
  <pageSetup scale="5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9DA-1545-4C9A-8108-0979D8D2984B}">
  <sheetPr>
    <tabColor theme="5"/>
    <pageSetUpPr fitToPage="1"/>
  </sheetPr>
  <dimension ref="B1:Z38"/>
  <sheetViews>
    <sheetView showGridLines="0" view="pageBreakPreview" zoomScaleNormal="100" zoomScaleSheetLayoutView="100" workbookViewId="0"/>
  </sheetViews>
  <sheetFormatPr defaultRowHeight="15" customHeight="1" x14ac:dyDescent="0.25"/>
  <cols>
    <col min="1" max="1" width="2.77734375" style="24" customWidth="1"/>
    <col min="2" max="2" width="34.21875" style="24" customWidth="1"/>
    <col min="3" max="11" width="11.77734375" style="24" customWidth="1"/>
    <col min="12" max="12" width="8.88671875" style="24"/>
    <col min="13" max="13" width="34.5546875" style="24" bestFit="1" customWidth="1"/>
    <col min="14" max="14" width="15.77734375" style="24" customWidth="1"/>
    <col min="15" max="15" width="8.88671875" style="24"/>
    <col min="16" max="16" width="34.109375" style="24" bestFit="1" customWidth="1"/>
    <col min="17" max="17" width="9.88671875" style="24" bestFit="1" customWidth="1"/>
    <col min="18" max="26" width="10.77734375" style="24" customWidth="1"/>
    <col min="27" max="16384" width="8.88671875" style="24"/>
  </cols>
  <sheetData>
    <row r="1" spans="2:17" ht="15" customHeight="1" thickBot="1" x14ac:dyDescent="0.3"/>
    <row r="2" spans="2:17" ht="15" customHeight="1" x14ac:dyDescent="0.25">
      <c r="B2" s="84" t="s">
        <v>417</v>
      </c>
      <c r="C2" s="60"/>
      <c r="D2" s="60"/>
      <c r="E2" s="60"/>
      <c r="F2" s="60"/>
      <c r="G2" s="60"/>
      <c r="H2" s="60"/>
      <c r="I2" s="60"/>
      <c r="J2" s="60"/>
      <c r="K2" s="61"/>
      <c r="M2" s="102" t="s">
        <v>303</v>
      </c>
      <c r="N2" s="103"/>
    </row>
    <row r="3" spans="2:17" ht="15" customHeight="1" x14ac:dyDescent="0.25">
      <c r="B3" s="62" t="s">
        <v>209</v>
      </c>
      <c r="C3" s="63"/>
      <c r="D3" s="63"/>
      <c r="E3" s="63"/>
      <c r="F3" s="63"/>
      <c r="G3" s="63"/>
      <c r="H3" s="63"/>
      <c r="I3" s="63"/>
      <c r="J3" s="63"/>
      <c r="K3" s="64"/>
      <c r="M3" s="26" t="s">
        <v>304</v>
      </c>
      <c r="N3" s="83">
        <f ca="1">SUM(G21:K21)</f>
        <v>36165.055891887809</v>
      </c>
    </row>
    <row r="4" spans="2:17" ht="15" customHeight="1" x14ac:dyDescent="0.3">
      <c r="B4" s="168" t="s">
        <v>301</v>
      </c>
      <c r="C4" s="169">
        <v>43100</v>
      </c>
      <c r="D4" s="169">
        <f>EOMONTH(C4,12)</f>
        <v>43465</v>
      </c>
      <c r="E4" s="169">
        <f t="shared" ref="E4:K4" si="0">EOMONTH(D4,12)</f>
        <v>43830</v>
      </c>
      <c r="F4" s="169">
        <f t="shared" si="0"/>
        <v>44196</v>
      </c>
      <c r="G4" s="170">
        <f t="shared" si="0"/>
        <v>44561</v>
      </c>
      <c r="H4" s="170">
        <f t="shared" si="0"/>
        <v>44926</v>
      </c>
      <c r="I4" s="170">
        <f t="shared" si="0"/>
        <v>45291</v>
      </c>
      <c r="J4" s="170">
        <f t="shared" si="0"/>
        <v>45657</v>
      </c>
      <c r="K4" s="171">
        <f t="shared" si="0"/>
        <v>46022</v>
      </c>
      <c r="M4" s="26" t="s">
        <v>330</v>
      </c>
      <c r="N4" s="172">
        <f>Comps!F14</f>
        <v>29.327729025430266</v>
      </c>
    </row>
    <row r="5" spans="2:17" ht="15" customHeight="1" x14ac:dyDescent="0.25">
      <c r="B5" s="26" t="s">
        <v>294</v>
      </c>
      <c r="C5" s="65"/>
      <c r="D5" s="65"/>
      <c r="E5" s="65"/>
      <c r="F5" s="65"/>
      <c r="G5" s="65"/>
      <c r="H5" s="65"/>
      <c r="I5" s="65"/>
      <c r="J5" s="65"/>
      <c r="K5" s="66"/>
      <c r="M5" s="26" t="s">
        <v>305</v>
      </c>
      <c r="N5" s="83">
        <f>N4*(K12+K15)</f>
        <v>1381289.3294441649</v>
      </c>
    </row>
    <row r="6" spans="2:17" ht="15" customHeight="1" x14ac:dyDescent="0.25">
      <c r="B6" s="26" t="s">
        <v>216</v>
      </c>
      <c r="C6" s="85">
        <f>Inputs!C13</f>
        <v>11759</v>
      </c>
      <c r="D6" s="85">
        <f>Inputs!D13</f>
        <v>21461</v>
      </c>
      <c r="E6" s="85">
        <f>Inputs!E13</f>
        <v>24578</v>
      </c>
      <c r="F6" s="85">
        <f>Inputs!F13</f>
        <v>31536</v>
      </c>
      <c r="G6" s="85">
        <f>Inputs!G13</f>
        <v>40928.600000000006</v>
      </c>
      <c r="H6" s="85">
        <f>Inputs!H13</f>
        <v>57080.635000000002</v>
      </c>
      <c r="I6" s="85">
        <f>Inputs!I13</f>
        <v>76887.095249999998</v>
      </c>
      <c r="J6" s="85">
        <f>Inputs!J13</f>
        <v>98341.344225000008</v>
      </c>
      <c r="K6" s="86">
        <f>Inputs!K13</f>
        <v>122633.46994500002</v>
      </c>
      <c r="M6" s="26"/>
      <c r="N6" s="29"/>
    </row>
    <row r="7" spans="2:17" ht="15" customHeight="1" x14ac:dyDescent="0.25">
      <c r="B7" s="26"/>
      <c r="C7" s="65"/>
      <c r="D7" s="65"/>
      <c r="E7" s="65"/>
      <c r="F7" s="65"/>
      <c r="G7" s="65"/>
      <c r="H7" s="65"/>
      <c r="I7" s="65"/>
      <c r="J7" s="65"/>
      <c r="K7" s="66"/>
      <c r="M7" s="26" t="s">
        <v>306</v>
      </c>
      <c r="N7" s="83">
        <f>-PV(WACC!C14,5,0,'DCF Output'!N5)</f>
        <v>959879.60368249041</v>
      </c>
    </row>
    <row r="8" spans="2:17" ht="15" customHeight="1" x14ac:dyDescent="0.25">
      <c r="B8" s="47" t="s">
        <v>295</v>
      </c>
      <c r="C8" s="87">
        <f>Inputs!C24</f>
        <v>-9536</v>
      </c>
      <c r="D8" s="87">
        <f>Inputs!D24</f>
        <v>-17419</v>
      </c>
      <c r="E8" s="87">
        <f>Inputs!E24</f>
        <v>-20509</v>
      </c>
      <c r="F8" s="87">
        <f>Inputs!F24</f>
        <v>-24906</v>
      </c>
      <c r="G8" s="87">
        <f>Inputs!G24</f>
        <v>-29846.454600038178</v>
      </c>
      <c r="H8" s="87">
        <f>Inputs!H24</f>
        <v>-37094.506436058567</v>
      </c>
      <c r="I8" s="87">
        <f>Inputs!I24</f>
        <v>-45313.118904306226</v>
      </c>
      <c r="J8" s="87">
        <f>Inputs!J24</f>
        <v>-54260.294744677667</v>
      </c>
      <c r="K8" s="88">
        <f>Inputs!K24</f>
        <v>-62345.829012195034</v>
      </c>
      <c r="M8" s="26" t="s">
        <v>307</v>
      </c>
      <c r="N8" s="83">
        <f ca="1">N7+N3</f>
        <v>996044.65957437828</v>
      </c>
      <c r="Q8" s="51"/>
    </row>
    <row r="9" spans="2:17" ht="15" customHeight="1" x14ac:dyDescent="0.25">
      <c r="B9" s="26" t="s">
        <v>224</v>
      </c>
      <c r="C9" s="67">
        <f>C6+C8</f>
        <v>2223</v>
      </c>
      <c r="D9" s="67">
        <f t="shared" ref="D9:K9" si="1">D6+D8</f>
        <v>4042</v>
      </c>
      <c r="E9" s="67">
        <f t="shared" si="1"/>
        <v>4069</v>
      </c>
      <c r="F9" s="67">
        <f t="shared" si="1"/>
        <v>6630</v>
      </c>
      <c r="G9" s="67">
        <f t="shared" si="1"/>
        <v>11082.145399961828</v>
      </c>
      <c r="H9" s="67">
        <f t="shared" si="1"/>
        <v>19986.128563941435</v>
      </c>
      <c r="I9" s="67">
        <f t="shared" si="1"/>
        <v>31573.976345693773</v>
      </c>
      <c r="J9" s="67">
        <f t="shared" si="1"/>
        <v>44081.049480322341</v>
      </c>
      <c r="K9" s="68">
        <f t="shared" si="1"/>
        <v>60287.640932804985</v>
      </c>
      <c r="M9" s="26"/>
      <c r="N9" s="29"/>
    </row>
    <row r="10" spans="2:17" ht="15" customHeight="1" x14ac:dyDescent="0.25">
      <c r="B10" s="26"/>
      <c r="C10" s="65"/>
      <c r="D10" s="65"/>
      <c r="E10" s="65"/>
      <c r="F10" s="65"/>
      <c r="G10" s="65"/>
      <c r="H10" s="65"/>
      <c r="I10" s="65"/>
      <c r="J10" s="65"/>
      <c r="K10" s="66"/>
      <c r="M10" s="47" t="s">
        <v>325</v>
      </c>
      <c r="N10" s="89">
        <f>-('Trading Multiples'!C12+'Trading Multiples'!D12)</f>
        <v>-10329</v>
      </c>
    </row>
    <row r="11" spans="2:17" ht="15" customHeight="1" x14ac:dyDescent="0.25">
      <c r="B11" s="47" t="s">
        <v>296</v>
      </c>
      <c r="C11" s="87">
        <f>Inputs!C36</f>
        <v>-3980</v>
      </c>
      <c r="D11" s="87">
        <f>Inputs!D36</f>
        <v>-4408</v>
      </c>
      <c r="E11" s="87">
        <f>Inputs!E36</f>
        <v>-4093</v>
      </c>
      <c r="F11" s="87">
        <f>Inputs!F36</f>
        <v>-4758</v>
      </c>
      <c r="G11" s="87">
        <f>Inputs!G36</f>
        <v>-7132.5189147756182</v>
      </c>
      <c r="H11" s="87">
        <f>Inputs!H36</f>
        <v>-9925.8199357224275</v>
      </c>
      <c r="I11" s="87">
        <f>Inputs!I36</f>
        <v>-13558.62260333919</v>
      </c>
      <c r="J11" s="87">
        <f>Inputs!J36</f>
        <v>-18176.861195258803</v>
      </c>
      <c r="K11" s="88">
        <f>Inputs!K36</f>
        <v>-23098.837995793547</v>
      </c>
      <c r="M11" s="47" t="s">
        <v>326</v>
      </c>
      <c r="N11" s="89">
        <f>-'Trading Multiples'!H12</f>
        <v>19384</v>
      </c>
    </row>
    <row r="12" spans="2:17" ht="15" customHeight="1" x14ac:dyDescent="0.25">
      <c r="B12" s="26" t="s">
        <v>231</v>
      </c>
      <c r="C12" s="69">
        <f>C9+C11</f>
        <v>-1757</v>
      </c>
      <c r="D12" s="69">
        <f t="shared" ref="D12:K12" si="2">D9+D11</f>
        <v>-366</v>
      </c>
      <c r="E12" s="69">
        <f t="shared" si="2"/>
        <v>-24</v>
      </c>
      <c r="F12" s="69">
        <f t="shared" si="2"/>
        <v>1872</v>
      </c>
      <c r="G12" s="67">
        <f t="shared" si="2"/>
        <v>3949.6264851862097</v>
      </c>
      <c r="H12" s="67">
        <f t="shared" si="2"/>
        <v>10060.308628219007</v>
      </c>
      <c r="I12" s="67">
        <f t="shared" si="2"/>
        <v>18015.353742354582</v>
      </c>
      <c r="J12" s="67">
        <f t="shared" si="2"/>
        <v>25904.188285063537</v>
      </c>
      <c r="K12" s="68">
        <f t="shared" si="2"/>
        <v>37188.802937011438</v>
      </c>
      <c r="M12" s="47" t="s">
        <v>308</v>
      </c>
      <c r="N12" s="89">
        <f>-'Trading Multiples'!F12</f>
        <v>-1454</v>
      </c>
    </row>
    <row r="13" spans="2:17" ht="15" customHeight="1" x14ac:dyDescent="0.25">
      <c r="B13" s="26"/>
      <c r="C13" s="65"/>
      <c r="D13" s="65"/>
      <c r="E13" s="65"/>
      <c r="F13" s="65"/>
      <c r="G13" s="65"/>
      <c r="H13" s="65"/>
      <c r="I13" s="65"/>
      <c r="J13" s="65"/>
      <c r="K13" s="66"/>
      <c r="M13" s="26"/>
      <c r="N13" s="50"/>
    </row>
    <row r="14" spans="2:17" ht="15" customHeight="1" x14ac:dyDescent="0.25">
      <c r="B14" s="26" t="s">
        <v>297</v>
      </c>
      <c r="C14" s="87">
        <f>Inputs!C47</f>
        <v>-2241</v>
      </c>
      <c r="D14" s="87">
        <f>Inputs!D47</f>
        <v>-1063</v>
      </c>
      <c r="E14" s="87">
        <f>Inputs!E47</f>
        <v>-775</v>
      </c>
      <c r="F14" s="87">
        <f>Inputs!F47</f>
        <v>862</v>
      </c>
      <c r="G14" s="87">
        <f>Inputs!G47</f>
        <v>3481.1530981877841</v>
      </c>
      <c r="H14" s="87">
        <f>Inputs!H47</f>
        <v>6819.4675396425091</v>
      </c>
      <c r="I14" s="87">
        <f>Inputs!I47</f>
        <v>12733.98338150054</v>
      </c>
      <c r="J14" s="87">
        <f>Inputs!J47</f>
        <v>18499.002051862662</v>
      </c>
      <c r="K14" s="88">
        <f>Inputs!K47</f>
        <v>26957.790741194567</v>
      </c>
      <c r="M14" s="26" t="s">
        <v>309</v>
      </c>
      <c r="N14" s="83">
        <f ca="1">N8+N10+N11+N12</f>
        <v>1003645.6595743783</v>
      </c>
    </row>
    <row r="15" spans="2:17" ht="15" customHeight="1" x14ac:dyDescent="0.25">
      <c r="B15" s="162" t="s">
        <v>298</v>
      </c>
      <c r="C15" s="87">
        <f>Inputs!C49</f>
        <v>1636</v>
      </c>
      <c r="D15" s="87">
        <f>Inputs!D49</f>
        <v>1901</v>
      </c>
      <c r="E15" s="87">
        <f>Inputs!E49</f>
        <v>2154</v>
      </c>
      <c r="F15" s="87">
        <f>Inputs!F49</f>
        <v>2322</v>
      </c>
      <c r="G15" s="87">
        <f>Inputs!G49</f>
        <v>3408.6534914632944</v>
      </c>
      <c r="H15" s="87">
        <f>Inputs!H49</f>
        <v>4653.0690169085974</v>
      </c>
      <c r="I15" s="87">
        <f>Inputs!I49</f>
        <v>6110.7436834810296</v>
      </c>
      <c r="J15" s="87">
        <f>Inputs!J49</f>
        <v>8007.5173642018253</v>
      </c>
      <c r="K15" s="88">
        <f>Inputs!K49</f>
        <v>9909.604452338066</v>
      </c>
      <c r="M15" s="26"/>
      <c r="N15" s="29"/>
    </row>
    <row r="16" spans="2:17" ht="15" customHeight="1" x14ac:dyDescent="0.25">
      <c r="B16" s="162" t="s">
        <v>302</v>
      </c>
      <c r="C16" s="87">
        <f>Inputs!C51</f>
        <v>-4081</v>
      </c>
      <c r="D16" s="87">
        <f>Inputs!D51</f>
        <v>-2319</v>
      </c>
      <c r="E16" s="87">
        <f>Inputs!E51</f>
        <v>-1432</v>
      </c>
      <c r="F16" s="87">
        <f>Inputs!F51</f>
        <v>-3232</v>
      </c>
      <c r="G16" s="87">
        <f>Inputs!G51</f>
        <v>-4092.8600000000006</v>
      </c>
      <c r="H16" s="87">
        <f>Inputs!H51</f>
        <v>-8562.0952500000003</v>
      </c>
      <c r="I16" s="87">
        <f>Inputs!I51</f>
        <v>-11533.064287499999</v>
      </c>
      <c r="J16" s="87">
        <f>Inputs!J51</f>
        <v>-14751.201633750001</v>
      </c>
      <c r="K16" s="88">
        <f>Inputs!K51</f>
        <v>-18395.020491750001</v>
      </c>
      <c r="M16" s="26" t="s">
        <v>310</v>
      </c>
      <c r="N16" s="89">
        <f>'Shares Outstanding'!C15/1000000</f>
        <v>1021.8875498528195</v>
      </c>
    </row>
    <row r="17" spans="2:26" ht="15" customHeight="1" x14ac:dyDescent="0.25">
      <c r="B17" s="162" t="s">
        <v>299</v>
      </c>
      <c r="C17" s="87">
        <f>Inputs!C53</f>
        <v>715.22100000000046</v>
      </c>
      <c r="D17" s="87">
        <f>Inputs!D53</f>
        <v>-41.010000000000218</v>
      </c>
      <c r="E17" s="87">
        <f>Inputs!E53</f>
        <v>280</v>
      </c>
      <c r="F17" s="87">
        <f>Inputs!F53</f>
        <v>1415</v>
      </c>
      <c r="G17" s="87">
        <f>Inputs!G53</f>
        <v>-357.78737436198389</v>
      </c>
      <c r="H17" s="87">
        <f>Inputs!H53</f>
        <v>964.29987493013869</v>
      </c>
      <c r="I17" s="87">
        <f>Inputs!I53</f>
        <v>1133.5366212016197</v>
      </c>
      <c r="J17" s="87">
        <f>Inputs!J53</f>
        <v>724.08695227336648</v>
      </c>
      <c r="K17" s="88">
        <f>Inputs!K53</f>
        <v>1140.5480105083298</v>
      </c>
      <c r="M17" s="26"/>
      <c r="N17" s="29"/>
    </row>
    <row r="18" spans="2:26" ht="15" customHeight="1" thickBot="1" x14ac:dyDescent="0.3">
      <c r="B18" s="26"/>
      <c r="C18" s="65"/>
      <c r="D18" s="65"/>
      <c r="E18" s="65"/>
      <c r="F18" s="65"/>
      <c r="G18" s="65"/>
      <c r="H18" s="65"/>
      <c r="I18" s="65"/>
      <c r="J18" s="65"/>
      <c r="K18" s="66"/>
      <c r="M18" s="82" t="s">
        <v>303</v>
      </c>
      <c r="N18" s="159">
        <f ca="1">N14/N16</f>
        <v>982.14882813567056</v>
      </c>
    </row>
    <row r="19" spans="2:26" ht="15" customHeight="1" x14ac:dyDescent="0.25">
      <c r="B19" s="26" t="s">
        <v>242</v>
      </c>
      <c r="C19" s="69">
        <f>C14+C15+C16+C17</f>
        <v>-3970.7789999999995</v>
      </c>
      <c r="D19" s="69">
        <f t="shared" ref="D19:K19" si="3">D14+D15+D16+D17</f>
        <v>-1522.0100000000002</v>
      </c>
      <c r="E19" s="69">
        <f t="shared" si="3"/>
        <v>227</v>
      </c>
      <c r="F19" s="69">
        <f t="shared" si="3"/>
        <v>1367</v>
      </c>
      <c r="G19" s="69">
        <f t="shared" si="3"/>
        <v>2439.1592152890935</v>
      </c>
      <c r="H19" s="69">
        <f t="shared" si="3"/>
        <v>3874.741181481244</v>
      </c>
      <c r="I19" s="69">
        <f t="shared" si="3"/>
        <v>8445.1993986831894</v>
      </c>
      <c r="J19" s="69">
        <f t="shared" si="3"/>
        <v>12479.404734587855</v>
      </c>
      <c r="K19" s="70">
        <f t="shared" si="3"/>
        <v>19612.922712290961</v>
      </c>
    </row>
    <row r="20" spans="2:26" ht="4.95" customHeight="1" thickBot="1" x14ac:dyDescent="0.3">
      <c r="B20" s="26"/>
      <c r="C20" s="69"/>
      <c r="D20" s="69"/>
      <c r="E20" s="69"/>
      <c r="F20" s="69"/>
      <c r="G20" s="69"/>
      <c r="H20" s="69"/>
      <c r="I20" s="69"/>
      <c r="J20" s="69"/>
      <c r="K20" s="70"/>
    </row>
    <row r="21" spans="2:26" ht="15" customHeight="1" thickBot="1" x14ac:dyDescent="0.3">
      <c r="B21" s="82" t="s">
        <v>300</v>
      </c>
      <c r="C21" s="156"/>
      <c r="D21" s="156"/>
      <c r="E21" s="156"/>
      <c r="F21" s="156"/>
      <c r="G21" s="157">
        <f ca="1">-PV($N$30,YEARFRAC('DCF Output'!G4,TODAY()),0,'DCF Output'!G19)</f>
        <v>2319.3916593510257</v>
      </c>
      <c r="H21" s="157">
        <f ca="1">-PV($N$30,YEARFRAC('DCF Output'!H4,TODAY()),0,'DCF Output'!H19)</f>
        <v>3425.8083319298371</v>
      </c>
      <c r="I21" s="157">
        <f ca="1">-PV($N$30,YEARFRAC('DCF Output'!I4,TODAY()),0,'DCF Output'!I19)</f>
        <v>6942.5128487942693</v>
      </c>
      <c r="J21" s="157">
        <f ca="1">-PV($N$30,YEARFRAC('DCF Output'!J4,TODAY()),0,'DCF Output'!J19)</f>
        <v>9538.6535557605439</v>
      </c>
      <c r="K21" s="158">
        <f ca="1">-PV($N$30,YEARFRAC('DCF Output'!K4,TODAY()),0,'DCF Output'!K19)</f>
        <v>13938.689496052135</v>
      </c>
      <c r="M21" s="25" t="s">
        <v>327</v>
      </c>
      <c r="N21" s="90">
        <v>744.12</v>
      </c>
    </row>
    <row r="22" spans="2:26" ht="15" customHeight="1" x14ac:dyDescent="0.25">
      <c r="G22" s="49"/>
      <c r="M22" s="26" t="s">
        <v>328</v>
      </c>
      <c r="N22" s="71">
        <f ca="1">N18-N21</f>
        <v>238.02882813567055</v>
      </c>
    </row>
    <row r="23" spans="2:26" ht="15" customHeight="1" thickBot="1" x14ac:dyDescent="0.3">
      <c r="G23" s="49"/>
      <c r="M23" s="82" t="s">
        <v>329</v>
      </c>
      <c r="N23" s="160">
        <f ca="1">1-(N21/N18)</f>
        <v>0.24235515159907117</v>
      </c>
    </row>
    <row r="26" spans="2:26" ht="15" customHeight="1" thickBot="1" x14ac:dyDescent="0.3"/>
    <row r="27" spans="2:26" ht="15" customHeight="1" x14ac:dyDescent="0.25">
      <c r="M27" s="59" t="s">
        <v>405</v>
      </c>
      <c r="N27" s="61"/>
      <c r="P27" s="84" t="s">
        <v>409</v>
      </c>
      <c r="Q27" s="60"/>
      <c r="R27" s="148"/>
      <c r="S27" s="148"/>
      <c r="T27" s="148"/>
      <c r="U27" s="148"/>
      <c r="V27" s="148"/>
      <c r="W27" s="148"/>
      <c r="X27" s="148"/>
      <c r="Y27" s="148"/>
      <c r="Z27" s="149"/>
    </row>
    <row r="28" spans="2:26" ht="15" customHeight="1" x14ac:dyDescent="0.25">
      <c r="M28" s="26" t="s">
        <v>406</v>
      </c>
      <c r="N28" s="126">
        <v>0.1</v>
      </c>
      <c r="P28" s="35"/>
      <c r="Q28" s="150"/>
      <c r="R28" s="150"/>
      <c r="S28" s="150"/>
      <c r="T28" s="150"/>
      <c r="U28" s="151" t="s">
        <v>410</v>
      </c>
      <c r="V28" s="151"/>
      <c r="W28" s="151"/>
      <c r="X28" s="150"/>
      <c r="Y28" s="150"/>
      <c r="Z28" s="121"/>
    </row>
    <row r="29" spans="2:26" ht="15" customHeight="1" thickBot="1" x14ac:dyDescent="0.3">
      <c r="M29" s="26" t="s">
        <v>407</v>
      </c>
      <c r="N29" s="127">
        <v>5.0000000000000001E-3</v>
      </c>
      <c r="P29" s="35"/>
      <c r="Q29" s="152">
        <f ca="1">N18</f>
        <v>982.14882813567056</v>
      </c>
      <c r="R29" s="129">
        <v>28.92772902543026</v>
      </c>
      <c r="S29" s="129">
        <v>29.027729025430261</v>
      </c>
      <c r="T29" s="129">
        <v>29.127729025430263</v>
      </c>
      <c r="U29" s="129">
        <v>29.227729025430264</v>
      </c>
      <c r="V29" s="129">
        <v>29.327729025430266</v>
      </c>
      <c r="W29" s="129">
        <v>29.427729025430267</v>
      </c>
      <c r="X29" s="129">
        <v>29.527729025430268</v>
      </c>
      <c r="Y29" s="129">
        <v>29.62772902543027</v>
      </c>
      <c r="Z29" s="153">
        <v>29.727729025430271</v>
      </c>
    </row>
    <row r="30" spans="2:26" ht="15" customHeight="1" thickBot="1" x14ac:dyDescent="0.3">
      <c r="M30" s="28" t="s">
        <v>408</v>
      </c>
      <c r="N30" s="128">
        <f>WACC!C14</f>
        <v>7.5507835319624045E-2</v>
      </c>
      <c r="P30" s="35"/>
      <c r="Q30" s="117">
        <v>5.4292523858361447E-2</v>
      </c>
      <c r="R30" s="136">
        <f t="dataTable" ref="R30:Z38" dt2D="1" dtr="1" r1="N4" r2="N30" ca="1"/>
        <v>971.90701723118673</v>
      </c>
      <c r="S30" s="137">
        <v>975.10985706056169</v>
      </c>
      <c r="T30" s="137">
        <v>978.31269688993632</v>
      </c>
      <c r="U30" s="137">
        <v>981.51553671931117</v>
      </c>
      <c r="V30" s="137">
        <v>984.71837654868591</v>
      </c>
      <c r="W30" s="137">
        <v>987.92121637806076</v>
      </c>
      <c r="X30" s="137">
        <v>991.12405620743561</v>
      </c>
      <c r="Y30" s="137">
        <v>994.32689603681035</v>
      </c>
      <c r="Z30" s="138">
        <v>997.52973586618498</v>
      </c>
    </row>
    <row r="31" spans="2:26" ht="15" customHeight="1" thickBot="1" x14ac:dyDescent="0.3">
      <c r="P31" s="35"/>
      <c r="Q31" s="117">
        <v>5.9292523858361444E-2</v>
      </c>
      <c r="R31" s="131">
        <v>971.27840947129744</v>
      </c>
      <c r="S31" s="130">
        <v>974.4812493006724</v>
      </c>
      <c r="T31" s="130">
        <v>977.68408913004714</v>
      </c>
      <c r="U31" s="130">
        <v>980.88692895942199</v>
      </c>
      <c r="V31" s="130">
        <v>984.08976878879662</v>
      </c>
      <c r="W31" s="130">
        <v>987.29260861817147</v>
      </c>
      <c r="X31" s="130">
        <v>990.49544844754632</v>
      </c>
      <c r="Y31" s="130">
        <v>993.69828827692106</v>
      </c>
      <c r="Z31" s="132">
        <v>996.9011281062958</v>
      </c>
    </row>
    <row r="32" spans="2:26" ht="15" customHeight="1" x14ac:dyDescent="0.25">
      <c r="P32" s="35"/>
      <c r="Q32" s="117">
        <v>6.4292523858361442E-2</v>
      </c>
      <c r="R32" s="131">
        <v>970.66430285763863</v>
      </c>
      <c r="S32" s="130">
        <v>973.86714268701348</v>
      </c>
      <c r="T32" s="139">
        <v>977.06998251638834</v>
      </c>
      <c r="U32" s="140">
        <v>980.27282234576319</v>
      </c>
      <c r="V32" s="140">
        <v>983.47566217513781</v>
      </c>
      <c r="W32" s="140">
        <v>986.67850200451267</v>
      </c>
      <c r="X32" s="141">
        <v>989.88134183388752</v>
      </c>
      <c r="Y32" s="130">
        <v>993.08418166326226</v>
      </c>
      <c r="Z32" s="132">
        <v>996.287021492637</v>
      </c>
    </row>
    <row r="33" spans="15:26" ht="15" customHeight="1" x14ac:dyDescent="0.25">
      <c r="P33" s="35"/>
      <c r="Q33" s="117">
        <v>6.9292523858361446E-2</v>
      </c>
      <c r="R33" s="131">
        <v>970.06428526039269</v>
      </c>
      <c r="S33" s="130">
        <v>973.26712508976755</v>
      </c>
      <c r="T33" s="142">
        <v>976.46996491914228</v>
      </c>
      <c r="U33" s="143">
        <v>979.67280474851725</v>
      </c>
      <c r="V33" s="143">
        <v>982.87564457789188</v>
      </c>
      <c r="W33" s="143">
        <v>986.07848440726661</v>
      </c>
      <c r="X33" s="144">
        <v>989.28132423664158</v>
      </c>
      <c r="Y33" s="130">
        <v>992.48416406601632</v>
      </c>
      <c r="Z33" s="132">
        <v>995.68700389539094</v>
      </c>
    </row>
    <row r="34" spans="15:26" ht="15" customHeight="1" x14ac:dyDescent="0.25">
      <c r="P34" s="35" t="s">
        <v>411</v>
      </c>
      <c r="Q34" s="117">
        <v>7.5507835319624045E-2</v>
      </c>
      <c r="R34" s="131">
        <v>969.33746881817126</v>
      </c>
      <c r="S34" s="130">
        <v>972.54030864754611</v>
      </c>
      <c r="T34" s="142">
        <v>975.74314847692108</v>
      </c>
      <c r="U34" s="143">
        <v>978.94598830629593</v>
      </c>
      <c r="V34" s="283">
        <v>982.14882813567056</v>
      </c>
      <c r="W34" s="143">
        <v>985.35166796504529</v>
      </c>
      <c r="X34" s="144">
        <v>988.55450779442015</v>
      </c>
      <c r="Y34" s="130">
        <v>991.757347623795</v>
      </c>
      <c r="Z34" s="132">
        <v>994.96018745316974</v>
      </c>
    </row>
    <row r="35" spans="15:26" ht="15" customHeight="1" x14ac:dyDescent="0.25">
      <c r="O35" s="173"/>
      <c r="P35" s="174"/>
      <c r="Q35" s="117">
        <v>7.9292523858361455E-2</v>
      </c>
      <c r="R35" s="131">
        <v>968.90493687885953</v>
      </c>
      <c r="S35" s="130">
        <v>972.10777670823438</v>
      </c>
      <c r="T35" s="142">
        <v>975.31061653760912</v>
      </c>
      <c r="U35" s="143">
        <v>978.51345636698409</v>
      </c>
      <c r="V35" s="143">
        <v>981.71629619635871</v>
      </c>
      <c r="W35" s="143">
        <v>984.91913602573345</v>
      </c>
      <c r="X35" s="144">
        <v>988.12197585510842</v>
      </c>
      <c r="Y35" s="130">
        <v>991.32481568448316</v>
      </c>
      <c r="Z35" s="132">
        <v>994.52765551385778</v>
      </c>
    </row>
    <row r="36" spans="15:26" ht="15" customHeight="1" thickBot="1" x14ac:dyDescent="0.3">
      <c r="P36" s="35"/>
      <c r="Q36" s="117">
        <v>8.4292523858361459E-2</v>
      </c>
      <c r="R36" s="131">
        <v>968.34484856500683</v>
      </c>
      <c r="S36" s="130">
        <v>971.54768839438179</v>
      </c>
      <c r="T36" s="145">
        <v>974.75052822375653</v>
      </c>
      <c r="U36" s="146">
        <v>977.95336805313138</v>
      </c>
      <c r="V36" s="146">
        <v>981.15620788250612</v>
      </c>
      <c r="W36" s="146">
        <v>984.35904771188086</v>
      </c>
      <c r="X36" s="147">
        <v>987.56188754125571</v>
      </c>
      <c r="Y36" s="130">
        <v>990.76472737063057</v>
      </c>
      <c r="Z36" s="132">
        <v>993.96756720000519</v>
      </c>
    </row>
    <row r="37" spans="15:26" ht="15" customHeight="1" x14ac:dyDescent="0.25">
      <c r="P37" s="35"/>
      <c r="Q37" s="117">
        <v>8.9292523858361464E-2</v>
      </c>
      <c r="R37" s="131">
        <v>967.79733322452796</v>
      </c>
      <c r="S37" s="130">
        <v>971.00017305390281</v>
      </c>
      <c r="T37" s="130">
        <v>974.20301288327767</v>
      </c>
      <c r="U37" s="130">
        <v>977.40585271265252</v>
      </c>
      <c r="V37" s="130">
        <v>980.60869254202714</v>
      </c>
      <c r="W37" s="130">
        <v>983.811532371402</v>
      </c>
      <c r="X37" s="130">
        <v>987.01437220077685</v>
      </c>
      <c r="Y37" s="130">
        <v>990.21721203015159</v>
      </c>
      <c r="Z37" s="132">
        <v>993.42005185952632</v>
      </c>
    </row>
    <row r="38" spans="15:26" ht="15" customHeight="1" thickBot="1" x14ac:dyDescent="0.3">
      <c r="P38" s="154"/>
      <c r="Q38" s="155">
        <v>9.4292523858361468E-2</v>
      </c>
      <c r="R38" s="133">
        <v>967.26204250387696</v>
      </c>
      <c r="S38" s="134">
        <v>970.46488233325181</v>
      </c>
      <c r="T38" s="134">
        <v>973.66772216262655</v>
      </c>
      <c r="U38" s="134">
        <v>976.87056199200151</v>
      </c>
      <c r="V38" s="134">
        <v>980.07340182137614</v>
      </c>
      <c r="W38" s="134">
        <v>983.27624165075088</v>
      </c>
      <c r="X38" s="134">
        <v>986.47908148012584</v>
      </c>
      <c r="Y38" s="134">
        <v>989.68192130950058</v>
      </c>
      <c r="Z38" s="135">
        <v>992.88476113887521</v>
      </c>
    </row>
  </sheetData>
  <mergeCells count="2">
    <mergeCell ref="M2:N2"/>
    <mergeCell ref="U28:W28"/>
  </mergeCells>
  <pageMargins left="0.7" right="0.7" top="0.75" bottom="0.75" header="0.3" footer="0.3"/>
  <pageSetup scale="65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879-00AA-451A-806C-6E51C8D46D87}">
  <sheetPr>
    <tabColor theme="9" tint="0.79998168889431442"/>
  </sheetPr>
  <dimension ref="A1"/>
  <sheetViews>
    <sheetView showGridLines="0" view="pageBreakPreview" zoomScale="110" zoomScaleNormal="100" zoomScaleSheetLayoutView="110"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FA6D-A954-44C7-B9F6-2B7E6B640F75}">
  <sheetPr>
    <tabColor theme="9"/>
    <pageSetUpPr fitToPage="1"/>
  </sheetPr>
  <dimension ref="B1:K24"/>
  <sheetViews>
    <sheetView showGridLines="0" view="pageBreakPreview" zoomScaleNormal="100" zoomScaleSheetLayoutView="100" workbookViewId="0"/>
  </sheetViews>
  <sheetFormatPr defaultRowHeight="15" customHeight="1" x14ac:dyDescent="0.3"/>
  <cols>
    <col min="1" max="1" width="2.77734375" style="175" customWidth="1"/>
    <col min="2" max="2" width="58.33203125" style="175" bestFit="1" customWidth="1"/>
    <col min="3" max="3" width="0" style="175" hidden="1" customWidth="1"/>
    <col min="4" max="11" width="11.77734375" style="175" customWidth="1"/>
    <col min="12" max="16384" width="8.88671875" style="175"/>
  </cols>
  <sheetData>
    <row r="1" spans="2:11" ht="15" customHeight="1" thickBot="1" x14ac:dyDescent="0.35"/>
    <row r="2" spans="2:11" ht="15" customHeight="1" x14ac:dyDescent="0.3">
      <c r="B2" s="72" t="s">
        <v>258</v>
      </c>
      <c r="C2" s="73"/>
      <c r="D2" s="176">
        <v>2018</v>
      </c>
      <c r="E2" s="176">
        <v>2019</v>
      </c>
      <c r="F2" s="176">
        <v>2020</v>
      </c>
      <c r="G2" s="177">
        <v>2021</v>
      </c>
      <c r="H2" s="177">
        <v>2022</v>
      </c>
      <c r="I2" s="177">
        <v>2023</v>
      </c>
      <c r="J2" s="177">
        <v>2024</v>
      </c>
      <c r="K2" s="178">
        <v>2025</v>
      </c>
    </row>
    <row r="3" spans="2:11" ht="15" customHeight="1" x14ac:dyDescent="0.3">
      <c r="B3" s="39" t="s">
        <v>217</v>
      </c>
      <c r="C3" s="27"/>
      <c r="D3" s="193">
        <f>Inputs!D6</f>
        <v>1.0658465143526654</v>
      </c>
      <c r="E3" s="193">
        <f>Inputs!E6</f>
        <v>0.13157894736842105</v>
      </c>
      <c r="F3" s="193">
        <f>Inputs!F6</f>
        <v>0.31234963913392139</v>
      </c>
      <c r="G3" s="315">
        <v>0.3</v>
      </c>
      <c r="H3" s="315">
        <v>0.4</v>
      </c>
      <c r="I3" s="315">
        <v>0.35</v>
      </c>
      <c r="J3" s="315">
        <v>0.3</v>
      </c>
      <c r="K3" s="316">
        <v>0.25</v>
      </c>
    </row>
    <row r="4" spans="2:11" ht="15" customHeight="1" x14ac:dyDescent="0.3">
      <c r="B4" s="39" t="s">
        <v>218</v>
      </c>
      <c r="C4" s="179"/>
      <c r="D4" s="193">
        <f>Inputs!D8</f>
        <v>0.39336917562724016</v>
      </c>
      <c r="E4" s="193">
        <f>Inputs!E8</f>
        <v>-1.5434083601286173E-2</v>
      </c>
      <c r="F4" s="193">
        <f>Inputs!F8</f>
        <v>0.30241672109732204</v>
      </c>
      <c r="G4" s="315">
        <v>0.35</v>
      </c>
      <c r="H4" s="315">
        <v>0.45</v>
      </c>
      <c r="I4" s="315">
        <v>0.45</v>
      </c>
      <c r="J4" s="315">
        <v>0.4</v>
      </c>
      <c r="K4" s="316">
        <v>0.3</v>
      </c>
    </row>
    <row r="5" spans="2:11" ht="15" customHeight="1" x14ac:dyDescent="0.3">
      <c r="B5" s="39" t="s">
        <v>219</v>
      </c>
      <c r="C5" s="179"/>
      <c r="D5" s="193">
        <f>Inputs!D10</f>
        <v>0.38961038961038963</v>
      </c>
      <c r="E5" s="193">
        <f>Inputs!E10</f>
        <v>0.60028756290438534</v>
      </c>
      <c r="F5" s="193">
        <f>Inputs!F10</f>
        <v>3.5938903863432167E-2</v>
      </c>
      <c r="G5" s="315">
        <v>0.25</v>
      </c>
      <c r="H5" s="315">
        <v>0.3</v>
      </c>
      <c r="I5" s="315">
        <v>0.2</v>
      </c>
      <c r="J5" s="315">
        <v>0.2</v>
      </c>
      <c r="K5" s="316">
        <v>0.15</v>
      </c>
    </row>
    <row r="6" spans="2:11" ht="15" customHeight="1" x14ac:dyDescent="0.3">
      <c r="B6" s="39" t="s">
        <v>220</v>
      </c>
      <c r="C6" s="179"/>
      <c r="D6" s="193">
        <f>Inputs!D12</f>
        <v>-0.20234869015356821</v>
      </c>
      <c r="E6" s="193">
        <f>Inputs!E12</f>
        <v>-1.5855039637599093E-2</v>
      </c>
      <c r="F6" s="193">
        <f>Inputs!F12</f>
        <v>0.21058688147295743</v>
      </c>
      <c r="G6" s="315">
        <v>0.25</v>
      </c>
      <c r="H6" s="315">
        <v>0.35</v>
      </c>
      <c r="I6" s="315">
        <v>0.35</v>
      </c>
      <c r="J6" s="315">
        <v>0.25</v>
      </c>
      <c r="K6" s="316">
        <v>0.2</v>
      </c>
    </row>
    <row r="7" spans="2:11" ht="15" customHeight="1" x14ac:dyDescent="0.3">
      <c r="B7" s="39" t="s">
        <v>223</v>
      </c>
      <c r="C7" s="179"/>
      <c r="D7" s="193">
        <f>Inputs!D17</f>
        <v>1.035092936802974</v>
      </c>
      <c r="E7" s="193">
        <f>Inputs!E17</f>
        <v>0.16462078035949146</v>
      </c>
      <c r="F7" s="193">
        <f>Inputs!F17</f>
        <v>0.23571114875462701</v>
      </c>
      <c r="G7" s="315">
        <v>0.2</v>
      </c>
      <c r="H7" s="315">
        <v>0.25</v>
      </c>
      <c r="I7" s="315">
        <v>0.22500000000000001</v>
      </c>
      <c r="J7" s="315">
        <v>0.2</v>
      </c>
      <c r="K7" s="316">
        <v>0.15</v>
      </c>
    </row>
    <row r="8" spans="2:11" ht="15" customHeight="1" x14ac:dyDescent="0.3">
      <c r="B8" s="39" t="s">
        <v>219</v>
      </c>
      <c r="C8" s="179"/>
      <c r="D8" s="193">
        <f>Inputs!D19</f>
        <v>0.52969894222945479</v>
      </c>
      <c r="E8" s="193">
        <f>Inputs!E19</f>
        <v>0.47340425531914893</v>
      </c>
      <c r="F8" s="193">
        <f>Inputs!F19</f>
        <v>-3.5740072202166066E-2</v>
      </c>
      <c r="G8" s="315">
        <v>0.2</v>
      </c>
      <c r="H8" s="315">
        <v>0.18</v>
      </c>
      <c r="I8" s="315">
        <v>0.15</v>
      </c>
      <c r="J8" s="315">
        <v>0.15</v>
      </c>
      <c r="K8" s="316">
        <v>0.1</v>
      </c>
    </row>
    <row r="9" spans="2:11" ht="15" customHeight="1" x14ac:dyDescent="0.3">
      <c r="B9" s="39" t="s">
        <v>338</v>
      </c>
      <c r="C9" s="179"/>
      <c r="D9" s="193">
        <f>Inputs!D21</f>
        <v>-0.31073446327683618</v>
      </c>
      <c r="E9" s="193">
        <f>Inputs!E21</f>
        <v>-5.9426229508196718E-2</v>
      </c>
      <c r="F9" s="193">
        <f>Inputs!F21</f>
        <v>0.22657952069716775</v>
      </c>
      <c r="G9" s="317">
        <f t="shared" ref="G9:G14" si="0">AVERAGE(D9:F9)</f>
        <v>-4.7860390695955046E-2</v>
      </c>
      <c r="H9" s="317">
        <f t="shared" ref="H9:H10" si="1">AVERAGE(E9:G9)</f>
        <v>3.9764300164338663E-2</v>
      </c>
      <c r="I9" s="317">
        <f t="shared" ref="I9:I10" si="2">AVERAGE(F9:H9)</f>
        <v>7.2827810055183781E-2</v>
      </c>
      <c r="J9" s="317">
        <f t="shared" ref="J9:J10" si="3">AVERAGE(G9:I9)</f>
        <v>2.1577239841189134E-2</v>
      </c>
      <c r="K9" s="201">
        <f t="shared" ref="K9:K10" si="4">AVERAGE(H9:J9)</f>
        <v>4.4723116686903867E-2</v>
      </c>
    </row>
    <row r="10" spans="2:11" ht="15" customHeight="1" x14ac:dyDescent="0.3">
      <c r="B10" s="39" t="s">
        <v>218</v>
      </c>
      <c r="C10" s="179"/>
      <c r="D10" s="193">
        <f>Inputs!D23</f>
        <v>0.56178489702517165</v>
      </c>
      <c r="E10" s="193">
        <f>Inputs!E23</f>
        <v>-1.7582417582417582E-2</v>
      </c>
      <c r="F10" s="193">
        <f>Inputs!F23</f>
        <v>0.47352721849366147</v>
      </c>
      <c r="G10" s="315">
        <v>0.25</v>
      </c>
      <c r="H10" s="315">
        <v>0.3</v>
      </c>
      <c r="I10" s="315">
        <v>0.3</v>
      </c>
      <c r="J10" s="315">
        <v>0.25</v>
      </c>
      <c r="K10" s="316">
        <v>0.2</v>
      </c>
    </row>
    <row r="11" spans="2:11" ht="15" customHeight="1" x14ac:dyDescent="0.3">
      <c r="B11" s="39" t="s">
        <v>228</v>
      </c>
      <c r="C11" s="179"/>
      <c r="D11" s="193">
        <f>Inputs!D31</f>
        <v>0.1321000885326872</v>
      </c>
      <c r="E11" s="193">
        <f>Inputs!E31</f>
        <v>0.10765725445520384</v>
      </c>
      <c r="F11" s="193">
        <f>Inputs!F31</f>
        <v>9.9727295788939629E-2</v>
      </c>
      <c r="G11" s="317">
        <f t="shared" si="0"/>
        <v>0.11316154625894355</v>
      </c>
      <c r="H11" s="317">
        <f t="shared" ref="H11:K12" si="5">AVERAGE(E11:G11)</f>
        <v>0.10684869883436234</v>
      </c>
      <c r="I11" s="317">
        <f t="shared" si="5"/>
        <v>0.10657918029408182</v>
      </c>
      <c r="J11" s="317">
        <f t="shared" si="5"/>
        <v>0.10886314179579591</v>
      </c>
      <c r="K11" s="201">
        <f t="shared" si="5"/>
        <v>0.10743034030808002</v>
      </c>
    </row>
    <row r="12" spans="2:11" ht="15" customHeight="1" x14ac:dyDescent="0.3">
      <c r="B12" s="39" t="s">
        <v>229</v>
      </c>
      <c r="C12" s="179"/>
      <c r="D12" s="193">
        <f>Inputs!D33</f>
        <v>6.8030380690554962E-2</v>
      </c>
      <c r="E12" s="193">
        <f>Inputs!E33</f>
        <v>5.4642363088941333E-2</v>
      </c>
      <c r="F12" s="193">
        <f>Inputs!F33</f>
        <v>4.7279299847792999E-2</v>
      </c>
      <c r="G12" s="315">
        <f>AVERAGE(D12:F12)</f>
        <v>5.6650681209096436E-2</v>
      </c>
      <c r="H12" s="315">
        <f>AVERAGE(E12:G12)+0.01</f>
        <v>6.2857448048610251E-2</v>
      </c>
      <c r="I12" s="315">
        <f>AVERAGE(F12:H12)+0.01</f>
        <v>6.5595809701833235E-2</v>
      </c>
      <c r="J12" s="315">
        <f>AVERAGE(G12:I12)+0.01</f>
        <v>7.1701312986513305E-2</v>
      </c>
      <c r="K12" s="316">
        <f>AVERAGE(H12:J12)+0.01</f>
        <v>7.6718190245652254E-2</v>
      </c>
    </row>
    <row r="13" spans="2:11" ht="15" customHeight="1" x14ac:dyDescent="0.3">
      <c r="B13" s="39" t="s">
        <v>230</v>
      </c>
      <c r="C13" s="179"/>
      <c r="D13" s="193">
        <f>Inputs!D35</f>
        <v>5.2653650808443218E-3</v>
      </c>
      <c r="E13" s="193">
        <f>Inputs!E35</f>
        <v>4.2314264789649276E-3</v>
      </c>
      <c r="F13" s="193">
        <f>Inputs!F35</f>
        <v>3.8685946220192793E-3</v>
      </c>
      <c r="G13" s="317">
        <f t="shared" si="0"/>
        <v>4.455128727276176E-3</v>
      </c>
      <c r="H13" s="317">
        <f t="shared" ref="H13:K13" si="6">AVERAGE(E13:G13)</f>
        <v>4.1850499427534609E-3</v>
      </c>
      <c r="I13" s="317">
        <f t="shared" si="6"/>
        <v>4.169591097349639E-3</v>
      </c>
      <c r="J13" s="317">
        <f t="shared" si="6"/>
        <v>4.2699232557930926E-3</v>
      </c>
      <c r="K13" s="201">
        <f t="shared" si="6"/>
        <v>4.208188098632065E-3</v>
      </c>
    </row>
    <row r="14" spans="2:11" ht="15" customHeight="1" x14ac:dyDescent="0.3">
      <c r="B14" s="39" t="s">
        <v>324</v>
      </c>
      <c r="C14" s="179"/>
      <c r="D14" s="193">
        <f>Inputs!D42</f>
        <v>2.9774940589907272E-2</v>
      </c>
      <c r="E14" s="193">
        <f>Inputs!E42</f>
        <v>2.6080234355928066E-2</v>
      </c>
      <c r="F14" s="193">
        <f>Inputs!F42</f>
        <v>2.2767630644342972E-2</v>
      </c>
      <c r="G14" s="317">
        <f t="shared" si="0"/>
        <v>2.6207601863392771E-2</v>
      </c>
      <c r="H14" s="317">
        <f t="shared" ref="H14" si="7">AVERAGE(E14:G14)</f>
        <v>2.5018488954554604E-2</v>
      </c>
      <c r="I14" s="317">
        <f t="shared" ref="I14" si="8">AVERAGE(F14:H14)</f>
        <v>2.4664573820763449E-2</v>
      </c>
      <c r="J14" s="317">
        <f t="shared" ref="J14" si="9">AVERAGE(G14:I14)</f>
        <v>2.5296888212903611E-2</v>
      </c>
      <c r="K14" s="201">
        <f t="shared" ref="K14" si="10">AVERAGE(H14:J14)</f>
        <v>2.4993316996073888E-2</v>
      </c>
    </row>
    <row r="15" spans="2:11" ht="15" customHeight="1" x14ac:dyDescent="0.3">
      <c r="B15" s="39" t="s">
        <v>238</v>
      </c>
      <c r="C15" s="179"/>
      <c r="D15" s="193">
        <f>Inputs!D46</f>
        <v>5.7711442786069649E-2</v>
      </c>
      <c r="E15" s="193">
        <f>Inputs!E46</f>
        <v>0.16541353383458646</v>
      </c>
      <c r="F15" s="193">
        <f>Inputs!F46</f>
        <v>0.2530329289428076</v>
      </c>
      <c r="G15" s="315">
        <v>0.21</v>
      </c>
      <c r="H15" s="315">
        <v>0.21</v>
      </c>
      <c r="I15" s="315">
        <v>0.21</v>
      </c>
      <c r="J15" s="315">
        <v>0.21</v>
      </c>
      <c r="K15" s="316">
        <v>0.21</v>
      </c>
    </row>
    <row r="16" spans="2:11" ht="15" customHeight="1" x14ac:dyDescent="0.3">
      <c r="B16" s="39" t="s">
        <v>255</v>
      </c>
      <c r="C16" s="179"/>
      <c r="D16" s="193">
        <f>Inputs!D50</f>
        <v>8.8579283351195193E-2</v>
      </c>
      <c r="E16" s="193">
        <f>Inputs!E50</f>
        <v>8.7639352266254369E-2</v>
      </c>
      <c r="F16" s="193">
        <f>Inputs!F50</f>
        <v>7.3630136986301373E-2</v>
      </c>
      <c r="G16" s="317">
        <f>AVERAGE(D16:F16)</f>
        <v>8.3282924201250316E-2</v>
      </c>
      <c r="H16" s="317">
        <f t="shared" ref="H16:K16" si="11">AVERAGE(E16:G16)</f>
        <v>8.1517471151268686E-2</v>
      </c>
      <c r="I16" s="317">
        <f t="shared" si="11"/>
        <v>7.9476844112940134E-2</v>
      </c>
      <c r="J16" s="317">
        <f t="shared" si="11"/>
        <v>8.1425746488486384E-2</v>
      </c>
      <c r="K16" s="201">
        <f t="shared" si="11"/>
        <v>8.0806687250898401E-2</v>
      </c>
    </row>
    <row r="17" spans="2:11" ht="15" customHeight="1" x14ac:dyDescent="0.3">
      <c r="B17" s="39" t="s">
        <v>257</v>
      </c>
      <c r="C17" s="179"/>
      <c r="D17" s="193">
        <f>Inputs!D52</f>
        <v>0.1080564745352034</v>
      </c>
      <c r="E17" s="193">
        <f>Inputs!E52</f>
        <v>5.8263487671901704E-2</v>
      </c>
      <c r="F17" s="193">
        <f>Inputs!F52</f>
        <v>0.10248604769152714</v>
      </c>
      <c r="G17" s="315">
        <v>0.1</v>
      </c>
      <c r="H17" s="315">
        <v>0.15</v>
      </c>
      <c r="I17" s="315">
        <v>0.15</v>
      </c>
      <c r="J17" s="315">
        <v>0.15</v>
      </c>
      <c r="K17" s="316">
        <v>0.15</v>
      </c>
    </row>
    <row r="18" spans="2:11" ht="15" customHeight="1" x14ac:dyDescent="0.3">
      <c r="B18" s="39" t="s">
        <v>272</v>
      </c>
      <c r="C18" s="179"/>
      <c r="D18" s="193">
        <f>NWC!E9</f>
        <v>4.4219747448860723E-2</v>
      </c>
      <c r="E18" s="193">
        <f>NWC!F9</f>
        <v>5.3869314020668892E-2</v>
      </c>
      <c r="F18" s="193">
        <f>NWC!G9</f>
        <v>5.9804667681380007E-2</v>
      </c>
      <c r="G18" s="317">
        <f>AVERAGE(D18:F18)</f>
        <v>5.2631243050303207E-2</v>
      </c>
      <c r="H18" s="317">
        <f t="shared" ref="H18:K22" si="12">AVERAGE(E18:G18)</f>
        <v>5.54350749174507E-2</v>
      </c>
      <c r="I18" s="317">
        <f t="shared" si="12"/>
        <v>5.5956995216377974E-2</v>
      </c>
      <c r="J18" s="317">
        <f t="shared" si="12"/>
        <v>5.4674437728043958E-2</v>
      </c>
      <c r="K18" s="201">
        <f t="shared" si="12"/>
        <v>5.5355502620624213E-2</v>
      </c>
    </row>
    <row r="19" spans="2:11" ht="15" customHeight="1" x14ac:dyDescent="0.3">
      <c r="B19" s="39" t="s">
        <v>311</v>
      </c>
      <c r="C19" s="179"/>
      <c r="D19" s="193">
        <f>NWC!E17</f>
        <v>0.17871289970721627</v>
      </c>
      <c r="E19" s="193">
        <f>NWC!F17</f>
        <v>0.17319225705787702</v>
      </c>
      <c r="F19" s="193">
        <f>NWC!G17</f>
        <v>0.16465911828475066</v>
      </c>
      <c r="G19" s="317">
        <f t="shared" ref="G19:G22" si="13">AVERAGE(D19:F19)</f>
        <v>0.17218809168328131</v>
      </c>
      <c r="H19" s="317">
        <f t="shared" si="12"/>
        <v>0.17001315567530298</v>
      </c>
      <c r="I19" s="317">
        <f t="shared" si="12"/>
        <v>0.16895345521444496</v>
      </c>
      <c r="J19" s="317">
        <f t="shared" si="12"/>
        <v>0.17038490085767641</v>
      </c>
      <c r="K19" s="201">
        <f t="shared" si="12"/>
        <v>0.16978383724914145</v>
      </c>
    </row>
    <row r="20" spans="2:11" ht="15" customHeight="1" x14ac:dyDescent="0.3">
      <c r="B20" s="39" t="s">
        <v>271</v>
      </c>
      <c r="C20" s="179"/>
      <c r="D20" s="193">
        <f>NWC!E24</f>
        <v>2.6047248497274127E-2</v>
      </c>
      <c r="E20" s="193">
        <f>NWC!F24</f>
        <v>3.9018634551224674E-2</v>
      </c>
      <c r="F20" s="193">
        <f>NWC!G24</f>
        <v>4.2681380010147131E-2</v>
      </c>
      <c r="G20" s="317">
        <f t="shared" si="13"/>
        <v>3.5915754352881975E-2</v>
      </c>
      <c r="H20" s="317">
        <f t="shared" si="12"/>
        <v>3.9205256304751253E-2</v>
      </c>
      <c r="I20" s="317">
        <f t="shared" si="12"/>
        <v>3.9267463555926786E-2</v>
      </c>
      <c r="J20" s="317">
        <f t="shared" si="12"/>
        <v>3.8129491404520009E-2</v>
      </c>
      <c r="K20" s="201">
        <f t="shared" si="12"/>
        <v>3.8867403755066011E-2</v>
      </c>
    </row>
    <row r="21" spans="2:11" ht="15" customHeight="1" x14ac:dyDescent="0.3">
      <c r="B21" s="39" t="s">
        <v>275</v>
      </c>
      <c r="C21" s="179"/>
      <c r="D21" s="193">
        <f>NWC!E33</f>
        <v>0.19547620414489925</v>
      </c>
      <c r="E21" s="193">
        <f>NWC!F33</f>
        <v>0.18387049587985763</v>
      </c>
      <c r="F21" s="193">
        <f>NWC!G33</f>
        <v>0.24295350517947484</v>
      </c>
      <c r="G21" s="317">
        <f t="shared" si="13"/>
        <v>0.20743340173474389</v>
      </c>
      <c r="H21" s="317">
        <f t="shared" si="12"/>
        <v>0.21141913426469214</v>
      </c>
      <c r="I21" s="317">
        <f t="shared" si="12"/>
        <v>0.22060201372630361</v>
      </c>
      <c r="J21" s="317">
        <f t="shared" si="12"/>
        <v>0.21315151657524656</v>
      </c>
      <c r="K21" s="201">
        <f t="shared" si="12"/>
        <v>0.21505755485541411</v>
      </c>
    </row>
    <row r="22" spans="2:11" ht="15" customHeight="1" thickBot="1" x14ac:dyDescent="0.35">
      <c r="B22" s="40" t="s">
        <v>277</v>
      </c>
      <c r="C22" s="181"/>
      <c r="D22" s="318">
        <f>NWC!E41</f>
        <v>9.757234052467266E-2</v>
      </c>
      <c r="E22" s="318">
        <f>NWC!F41</f>
        <v>0.13109284726177883</v>
      </c>
      <c r="F22" s="318">
        <f>NWC!G41</f>
        <v>0.12224124809741248</v>
      </c>
      <c r="G22" s="319">
        <f t="shared" si="13"/>
        <v>0.116968811961288</v>
      </c>
      <c r="H22" s="319">
        <f t="shared" si="12"/>
        <v>0.12343430244015978</v>
      </c>
      <c r="I22" s="319">
        <f t="shared" si="12"/>
        <v>0.12088145416628676</v>
      </c>
      <c r="J22" s="319">
        <f t="shared" si="12"/>
        <v>0.12042818952257818</v>
      </c>
      <c r="K22" s="320">
        <f t="shared" si="12"/>
        <v>0.12158131537634158</v>
      </c>
    </row>
    <row r="23" spans="2:11" ht="15" customHeight="1" x14ac:dyDescent="0.3">
      <c r="B23" s="48"/>
      <c r="C23" s="179"/>
      <c r="D23" s="182"/>
      <c r="E23" s="182"/>
      <c r="F23" s="182"/>
      <c r="G23" s="179"/>
      <c r="H23" s="179"/>
      <c r="I23" s="179"/>
      <c r="J23" s="179"/>
      <c r="K23" s="179"/>
    </row>
    <row r="24" spans="2:11" ht="15" customHeight="1" x14ac:dyDescent="0.3">
      <c r="B24" s="48"/>
      <c r="C24" s="179"/>
      <c r="D24" s="182"/>
      <c r="E24" s="182"/>
      <c r="F24" s="182"/>
      <c r="G24" s="179"/>
      <c r="H24" s="179"/>
      <c r="I24" s="179"/>
      <c r="J24" s="179"/>
      <c r="K24" s="179"/>
    </row>
  </sheetData>
  <pageMargins left="0.7" right="0.7" top="0.75" bottom="0.75" header="0.3" footer="0.3"/>
  <pageSetup scale="60" orientation="portrait" horizontalDpi="300" verticalDpi="300" r:id="rId1"/>
  <ignoredErrors>
    <ignoredError sqref="H12:K1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6B8B-CE25-41CC-ADD9-9E8935CE3A72}">
  <sheetPr>
    <tabColor theme="9"/>
    <pageSetUpPr fitToPage="1"/>
  </sheetPr>
  <dimension ref="B1:K56"/>
  <sheetViews>
    <sheetView showGridLines="0" view="pageBreakPreview" zoomScaleNormal="100" zoomScaleSheetLayoutView="100" workbookViewId="0"/>
  </sheetViews>
  <sheetFormatPr defaultRowHeight="13.8" x14ac:dyDescent="0.25"/>
  <cols>
    <col min="1" max="1" width="2.77734375" style="24" customWidth="1"/>
    <col min="2" max="2" width="53.5546875" style="24" bestFit="1" customWidth="1"/>
    <col min="3" max="11" width="11.77734375" style="24" customWidth="1"/>
    <col min="12" max="16384" width="8.88671875" style="24"/>
  </cols>
  <sheetData>
    <row r="1" spans="2:11" ht="15" customHeight="1" thickBot="1" x14ac:dyDescent="0.3"/>
    <row r="2" spans="2:11" ht="15" customHeight="1" thickBot="1" x14ac:dyDescent="0.3">
      <c r="B2" s="183" t="s">
        <v>209</v>
      </c>
      <c r="C2" s="184">
        <v>2017</v>
      </c>
      <c r="D2" s="184">
        <v>2018</v>
      </c>
      <c r="E2" s="184">
        <v>2019</v>
      </c>
      <c r="F2" s="184">
        <v>2020</v>
      </c>
      <c r="G2" s="185">
        <v>2021</v>
      </c>
      <c r="H2" s="185">
        <v>2022</v>
      </c>
      <c r="I2" s="185">
        <v>2023</v>
      </c>
      <c r="J2" s="185">
        <v>2024</v>
      </c>
      <c r="K2" s="186">
        <v>2025</v>
      </c>
    </row>
    <row r="3" spans="2:11" ht="15" customHeight="1" x14ac:dyDescent="0.3">
      <c r="B3" s="187" t="s">
        <v>210</v>
      </c>
      <c r="C3" s="74"/>
      <c r="D3" s="74"/>
      <c r="E3" s="74"/>
      <c r="F3" s="74"/>
      <c r="G3" s="74"/>
      <c r="H3" s="74"/>
      <c r="I3" s="74"/>
      <c r="J3" s="74"/>
      <c r="K3" s="75"/>
    </row>
    <row r="4" spans="2:11" ht="15" customHeight="1" x14ac:dyDescent="0.25">
      <c r="B4" s="188" t="s">
        <v>211</v>
      </c>
      <c r="C4" s="76"/>
      <c r="D4" s="76"/>
      <c r="E4" s="76"/>
      <c r="F4" s="76"/>
      <c r="G4" s="76"/>
      <c r="H4" s="76"/>
      <c r="I4" s="76"/>
      <c r="J4" s="76"/>
      <c r="K4" s="77"/>
    </row>
    <row r="5" spans="2:11" ht="15" customHeight="1" x14ac:dyDescent="0.25">
      <c r="B5" s="26" t="s">
        <v>212</v>
      </c>
      <c r="C5" s="189">
        <f>'Income Statement'!E7</f>
        <v>8535</v>
      </c>
      <c r="D5" s="189">
        <f>'Income Statement'!F7</f>
        <v>17632</v>
      </c>
      <c r="E5" s="189">
        <f>'Income Statement'!G7</f>
        <v>19952</v>
      </c>
      <c r="F5" s="189">
        <f>'Income Statement'!H7</f>
        <v>26184</v>
      </c>
      <c r="G5" s="190">
        <f>(1+G6)*F5</f>
        <v>34039.200000000004</v>
      </c>
      <c r="H5" s="190">
        <f t="shared" ref="H5:K5" si="0">(1+H6)*G5</f>
        <v>47654.880000000005</v>
      </c>
      <c r="I5" s="190">
        <f t="shared" si="0"/>
        <v>64334.088000000011</v>
      </c>
      <c r="J5" s="190">
        <f t="shared" si="0"/>
        <v>82025.962200000009</v>
      </c>
      <c r="K5" s="191">
        <f t="shared" si="0"/>
        <v>102532.45275000001</v>
      </c>
    </row>
    <row r="6" spans="2:11" ht="15" customHeight="1" x14ac:dyDescent="0.3">
      <c r="B6" s="30" t="s">
        <v>217</v>
      </c>
      <c r="C6" s="76"/>
      <c r="D6" s="192">
        <f>(D5-C5)/C5</f>
        <v>1.0658465143526654</v>
      </c>
      <c r="E6" s="192">
        <f>(E5-D5)/D5</f>
        <v>0.13157894736842105</v>
      </c>
      <c r="F6" s="192">
        <f>(F5-E5)/E5</f>
        <v>0.31234963913392139</v>
      </c>
      <c r="G6" s="193">
        <f>Assumptions!G3</f>
        <v>0.3</v>
      </c>
      <c r="H6" s="193">
        <f>Assumptions!H3</f>
        <v>0.4</v>
      </c>
      <c r="I6" s="193">
        <f>Assumptions!I3</f>
        <v>0.35</v>
      </c>
      <c r="J6" s="193">
        <v>0.27500000000000002</v>
      </c>
      <c r="K6" s="194">
        <f>Assumptions!K3</f>
        <v>0.25</v>
      </c>
    </row>
    <row r="7" spans="2:11" ht="15" customHeight="1" x14ac:dyDescent="0.3">
      <c r="B7" s="31" t="s">
        <v>213</v>
      </c>
      <c r="C7" s="195">
        <f>'Income Statement'!E8</f>
        <v>1116</v>
      </c>
      <c r="D7" s="195">
        <f>'Income Statement'!F8</f>
        <v>1555</v>
      </c>
      <c r="E7" s="195">
        <f>'Income Statement'!G8</f>
        <v>1531</v>
      </c>
      <c r="F7" s="195">
        <f>'Income Statement'!H8</f>
        <v>1994</v>
      </c>
      <c r="G7" s="196">
        <f>(1+G8)*F7</f>
        <v>2691.9</v>
      </c>
      <c r="H7" s="196">
        <f t="shared" ref="H7:K7" si="1">(1+H8)*G7</f>
        <v>3903.2550000000001</v>
      </c>
      <c r="I7" s="196">
        <f t="shared" si="1"/>
        <v>5659.7197500000002</v>
      </c>
      <c r="J7" s="196">
        <f t="shared" si="1"/>
        <v>7923.6076499999999</v>
      </c>
      <c r="K7" s="197">
        <f t="shared" si="1"/>
        <v>10300.689945</v>
      </c>
    </row>
    <row r="8" spans="2:11" ht="15" customHeight="1" x14ac:dyDescent="0.3">
      <c r="B8" s="30" t="s">
        <v>218</v>
      </c>
      <c r="C8" s="76"/>
      <c r="D8" s="192">
        <f>(D7-C7)/C7</f>
        <v>0.39336917562724016</v>
      </c>
      <c r="E8" s="192">
        <f>(E7-D7)/D7</f>
        <v>-1.5434083601286173E-2</v>
      </c>
      <c r="F8" s="192">
        <f>(F7-E7)/E7</f>
        <v>0.30241672109732204</v>
      </c>
      <c r="G8" s="193">
        <f>Assumptions!G4</f>
        <v>0.35</v>
      </c>
      <c r="H8" s="193">
        <f>Assumptions!H4</f>
        <v>0.45</v>
      </c>
      <c r="I8" s="193">
        <f>Assumptions!I4</f>
        <v>0.45</v>
      </c>
      <c r="J8" s="193">
        <f>Assumptions!J4</f>
        <v>0.4</v>
      </c>
      <c r="K8" s="194">
        <f>Assumptions!K4</f>
        <v>0.3</v>
      </c>
    </row>
    <row r="9" spans="2:11" ht="15" customHeight="1" x14ac:dyDescent="0.25">
      <c r="B9" s="26" t="s">
        <v>214</v>
      </c>
      <c r="C9" s="195">
        <f>'Income Statement'!E9</f>
        <v>1001</v>
      </c>
      <c r="D9" s="195">
        <f>'Income Statement'!F9</f>
        <v>1391</v>
      </c>
      <c r="E9" s="195">
        <f>'Income Statement'!G9</f>
        <v>2226</v>
      </c>
      <c r="F9" s="195">
        <f>'Income Statement'!H9</f>
        <v>2306</v>
      </c>
      <c r="G9" s="196">
        <f>(1+G10)*F9</f>
        <v>2882.5</v>
      </c>
      <c r="H9" s="196">
        <f t="shared" ref="H9" si="2">(1+H10)*G9</f>
        <v>3747.25</v>
      </c>
      <c r="I9" s="196">
        <f t="shared" ref="I9" si="3">(1+I10)*H9</f>
        <v>4496.7</v>
      </c>
      <c r="J9" s="196">
        <f t="shared" ref="J9" si="4">(1+J10)*I9</f>
        <v>5396.04</v>
      </c>
      <c r="K9" s="197">
        <f t="shared" ref="K9" si="5">(1+K10)*J9</f>
        <v>6205.4459999999999</v>
      </c>
    </row>
    <row r="10" spans="2:11" ht="15" customHeight="1" x14ac:dyDescent="0.3">
      <c r="B10" s="30" t="s">
        <v>219</v>
      </c>
      <c r="C10" s="76"/>
      <c r="D10" s="192">
        <f>(D9-C9)/C9</f>
        <v>0.38961038961038963</v>
      </c>
      <c r="E10" s="192">
        <f>(E9-D9)/D9</f>
        <v>0.60028756290438534</v>
      </c>
      <c r="F10" s="192">
        <f>(F9-E9)/E9</f>
        <v>3.5938903863432167E-2</v>
      </c>
      <c r="G10" s="193">
        <f>Assumptions!G5</f>
        <v>0.25</v>
      </c>
      <c r="H10" s="193">
        <f>Assumptions!H5</f>
        <v>0.3</v>
      </c>
      <c r="I10" s="193">
        <f>Assumptions!I5</f>
        <v>0.2</v>
      </c>
      <c r="J10" s="193">
        <f>Assumptions!J5</f>
        <v>0.2</v>
      </c>
      <c r="K10" s="194">
        <f>Assumptions!K5</f>
        <v>0.15</v>
      </c>
    </row>
    <row r="11" spans="2:11" ht="15" customHeight="1" x14ac:dyDescent="0.25">
      <c r="B11" s="26" t="s">
        <v>215</v>
      </c>
      <c r="C11" s="195">
        <f>'Income Statement'!E10</f>
        <v>1107</v>
      </c>
      <c r="D11" s="195">
        <f>'Income Statement'!F10</f>
        <v>883</v>
      </c>
      <c r="E11" s="195">
        <f>'Income Statement'!G10</f>
        <v>869</v>
      </c>
      <c r="F11" s="195">
        <f>'Income Statement'!H10</f>
        <v>1052</v>
      </c>
      <c r="G11" s="196">
        <f>(1+G12)*F11</f>
        <v>1315</v>
      </c>
      <c r="H11" s="196">
        <f t="shared" ref="H11" si="6">(1+H12)*G11</f>
        <v>1775.2500000000002</v>
      </c>
      <c r="I11" s="196">
        <f t="shared" ref="I11" si="7">(1+I12)*H11</f>
        <v>2396.5875000000005</v>
      </c>
      <c r="J11" s="196">
        <f t="shared" ref="J11" si="8">(1+J12)*I11</f>
        <v>2995.7343750000009</v>
      </c>
      <c r="K11" s="197">
        <f t="shared" ref="K11" si="9">(1+K12)*J11</f>
        <v>3594.8812500000008</v>
      </c>
    </row>
    <row r="12" spans="2:11" ht="15" customHeight="1" x14ac:dyDescent="0.3">
      <c r="B12" s="30" t="s">
        <v>220</v>
      </c>
      <c r="C12" s="76"/>
      <c r="D12" s="192">
        <f>(D11-C11)/C11</f>
        <v>-0.20234869015356821</v>
      </c>
      <c r="E12" s="192">
        <f>(E11-D11)/D11</f>
        <v>-1.5855039637599093E-2</v>
      </c>
      <c r="F12" s="192">
        <f>(F11-E11)/E11</f>
        <v>0.21058688147295743</v>
      </c>
      <c r="G12" s="193">
        <f>Assumptions!G6</f>
        <v>0.25</v>
      </c>
      <c r="H12" s="193">
        <f>Assumptions!H6</f>
        <v>0.35</v>
      </c>
      <c r="I12" s="193">
        <f>Assumptions!I6</f>
        <v>0.35</v>
      </c>
      <c r="J12" s="193">
        <f>Assumptions!J6</f>
        <v>0.25</v>
      </c>
      <c r="K12" s="194">
        <f>Assumptions!K6</f>
        <v>0.2</v>
      </c>
    </row>
    <row r="13" spans="2:11" ht="15" customHeight="1" x14ac:dyDescent="0.25">
      <c r="B13" s="198" t="s">
        <v>216</v>
      </c>
      <c r="C13" s="199">
        <f>C5+C7+C9+C11</f>
        <v>11759</v>
      </c>
      <c r="D13" s="199">
        <f t="shared" ref="D13:K13" si="10">D5+D7+D9+D11</f>
        <v>21461</v>
      </c>
      <c r="E13" s="199">
        <f t="shared" si="10"/>
        <v>24578</v>
      </c>
      <c r="F13" s="199">
        <f t="shared" si="10"/>
        <v>31536</v>
      </c>
      <c r="G13" s="199">
        <f t="shared" si="10"/>
        <v>40928.600000000006</v>
      </c>
      <c r="H13" s="199">
        <f t="shared" si="10"/>
        <v>57080.635000000002</v>
      </c>
      <c r="I13" s="199">
        <f t="shared" si="10"/>
        <v>76887.095249999998</v>
      </c>
      <c r="J13" s="199">
        <f t="shared" si="10"/>
        <v>98341.344225000008</v>
      </c>
      <c r="K13" s="200">
        <f t="shared" si="10"/>
        <v>122633.46994500002</v>
      </c>
    </row>
    <row r="14" spans="2:11" ht="15" customHeight="1" x14ac:dyDescent="0.3">
      <c r="B14" s="30" t="s">
        <v>221</v>
      </c>
      <c r="C14" s="76"/>
      <c r="D14" s="192">
        <f>(D13-C13)/C13</f>
        <v>0.8250701590271281</v>
      </c>
      <c r="E14" s="192">
        <f>(E13-D13)/D13</f>
        <v>0.14524020315921904</v>
      </c>
      <c r="F14" s="192">
        <f>(F13-E13)/E13</f>
        <v>0.28309870615998045</v>
      </c>
      <c r="G14" s="192">
        <f t="shared" ref="G14:K14" si="11">(G13-F13)/F13</f>
        <v>0.29783739218670746</v>
      </c>
      <c r="H14" s="192">
        <f t="shared" si="11"/>
        <v>0.39463932311391042</v>
      </c>
      <c r="I14" s="192">
        <f t="shared" si="11"/>
        <v>0.34699088841601</v>
      </c>
      <c r="J14" s="192">
        <f t="shared" si="11"/>
        <v>0.27903575892990978</v>
      </c>
      <c r="K14" s="201">
        <f t="shared" si="11"/>
        <v>0.24701844286794433</v>
      </c>
    </row>
    <row r="15" spans="2:11" ht="15" customHeight="1" x14ac:dyDescent="0.3">
      <c r="B15" s="30"/>
      <c r="C15" s="76"/>
      <c r="D15" s="202"/>
      <c r="E15" s="202"/>
      <c r="F15" s="202"/>
      <c r="G15" s="76"/>
      <c r="H15" s="76"/>
      <c r="I15" s="76"/>
      <c r="J15" s="76"/>
      <c r="K15" s="77"/>
    </row>
    <row r="16" spans="2:11" ht="15" customHeight="1" x14ac:dyDescent="0.25">
      <c r="B16" s="26" t="s">
        <v>222</v>
      </c>
      <c r="C16" s="203">
        <f>'Income Statement'!E15</f>
        <v>-6725</v>
      </c>
      <c r="D16" s="203">
        <f>'Income Statement'!F15</f>
        <v>-13686</v>
      </c>
      <c r="E16" s="203">
        <f>'Income Statement'!G15</f>
        <v>-15939</v>
      </c>
      <c r="F16" s="203">
        <f>'Income Statement'!H15</f>
        <v>-19696</v>
      </c>
      <c r="G16" s="204">
        <f>(1+G17)*F16</f>
        <v>-23635.200000000001</v>
      </c>
      <c r="H16" s="204">
        <f t="shared" ref="H16:K16" si="12">(1+H17)*G16</f>
        <v>-29544</v>
      </c>
      <c r="I16" s="204">
        <f t="shared" si="12"/>
        <v>-36191.4</v>
      </c>
      <c r="J16" s="204">
        <f t="shared" si="12"/>
        <v>-43429.68</v>
      </c>
      <c r="K16" s="205">
        <f t="shared" si="12"/>
        <v>-49944.131999999998</v>
      </c>
    </row>
    <row r="17" spans="2:11" ht="15" customHeight="1" x14ac:dyDescent="0.3">
      <c r="B17" s="30" t="s">
        <v>223</v>
      </c>
      <c r="C17" s="76"/>
      <c r="D17" s="192">
        <f>(D16-C16)/C16</f>
        <v>1.035092936802974</v>
      </c>
      <c r="E17" s="192">
        <f>(E16-D16)/D16</f>
        <v>0.16462078035949146</v>
      </c>
      <c r="F17" s="192">
        <f>(F16-E16)/E16</f>
        <v>0.23571114875462701</v>
      </c>
      <c r="G17" s="193">
        <f>Assumptions!G7</f>
        <v>0.2</v>
      </c>
      <c r="H17" s="193">
        <f>Assumptions!H7</f>
        <v>0.25</v>
      </c>
      <c r="I17" s="193">
        <f>Assumptions!I7</f>
        <v>0.22500000000000001</v>
      </c>
      <c r="J17" s="193">
        <f>Assumptions!J7</f>
        <v>0.2</v>
      </c>
      <c r="K17" s="194">
        <f>Assumptions!K7</f>
        <v>0.15</v>
      </c>
    </row>
    <row r="18" spans="2:11" ht="15" customHeight="1" x14ac:dyDescent="0.25">
      <c r="B18" s="26" t="s">
        <v>214</v>
      </c>
      <c r="C18" s="203">
        <f>'Income Statement'!E14</f>
        <v>-1229</v>
      </c>
      <c r="D18" s="203">
        <f>'Income Statement'!F14</f>
        <v>-1880</v>
      </c>
      <c r="E18" s="203">
        <f>'Income Statement'!G14</f>
        <v>-2770</v>
      </c>
      <c r="F18" s="203">
        <f>'Income Statement'!H14</f>
        <v>-2671</v>
      </c>
      <c r="G18" s="204">
        <f>(1+G19)*F18</f>
        <v>-3205.2</v>
      </c>
      <c r="H18" s="204">
        <f t="shared" ref="H18" si="13">(1+H19)*G18</f>
        <v>-3782.1359999999995</v>
      </c>
      <c r="I18" s="204">
        <f t="shared" ref="I18" si="14">(1+I19)*H18</f>
        <v>-4349.4563999999991</v>
      </c>
      <c r="J18" s="204">
        <f t="shared" ref="J18" si="15">(1+J19)*I18</f>
        <v>-5001.874859999999</v>
      </c>
      <c r="K18" s="205">
        <f t="shared" ref="K18" si="16">(1+K19)*J18</f>
        <v>-5502.0623459999997</v>
      </c>
    </row>
    <row r="19" spans="2:11" ht="15" customHeight="1" x14ac:dyDescent="0.3">
      <c r="B19" s="30" t="s">
        <v>219</v>
      </c>
      <c r="C19" s="202"/>
      <c r="D19" s="192">
        <f>(D18-C18)/C18</f>
        <v>0.52969894222945479</v>
      </c>
      <c r="E19" s="192">
        <f>(E18-D18)/D18</f>
        <v>0.47340425531914893</v>
      </c>
      <c r="F19" s="192">
        <f>(F18-E18)/E18</f>
        <v>-3.5740072202166066E-2</v>
      </c>
      <c r="G19" s="193">
        <f>Assumptions!G8</f>
        <v>0.2</v>
      </c>
      <c r="H19" s="193">
        <f>Assumptions!H8</f>
        <v>0.18</v>
      </c>
      <c r="I19" s="193">
        <f>Assumptions!I8</f>
        <v>0.15</v>
      </c>
      <c r="J19" s="193">
        <f>Assumptions!J8</f>
        <v>0.15</v>
      </c>
      <c r="K19" s="194">
        <f>Assumptions!K8</f>
        <v>0.1</v>
      </c>
    </row>
    <row r="20" spans="2:11" ht="15" customHeight="1" x14ac:dyDescent="0.25">
      <c r="B20" s="26" t="s">
        <v>337</v>
      </c>
      <c r="C20" s="203">
        <f>'Income Statement'!E16</f>
        <v>-708</v>
      </c>
      <c r="D20" s="203">
        <f>'Income Statement'!F16</f>
        <v>-488</v>
      </c>
      <c r="E20" s="203">
        <f>'Income Statement'!G16</f>
        <v>-459</v>
      </c>
      <c r="F20" s="203">
        <f>'Income Statement'!H16</f>
        <v>-563</v>
      </c>
      <c r="G20" s="204">
        <f>(1+G21)*F20</f>
        <v>-536.05460003817734</v>
      </c>
      <c r="H20" s="204">
        <f t="shared" ref="H20" si="17">(1+H21)*G20</f>
        <v>-557.37043605856991</v>
      </c>
      <c r="I20" s="204">
        <f t="shared" ref="I20" si="18">(1+I21)*H20</f>
        <v>-597.96250430621842</v>
      </c>
      <c r="J20" s="204">
        <f t="shared" ref="J20" si="19">(1+J21)*I20</f>
        <v>-610.86488467767174</v>
      </c>
      <c r="K20" s="205">
        <f t="shared" ref="K20" si="20">(1+K21)*J20</f>
        <v>-638.18466619504329</v>
      </c>
    </row>
    <row r="21" spans="2:11" ht="15" customHeight="1" x14ac:dyDescent="0.3">
      <c r="B21" s="30" t="s">
        <v>338</v>
      </c>
      <c r="C21" s="202"/>
      <c r="D21" s="192">
        <f>(D20-C20)/C20</f>
        <v>-0.31073446327683618</v>
      </c>
      <c r="E21" s="192">
        <f>(E20-D20)/D20</f>
        <v>-5.9426229508196718E-2</v>
      </c>
      <c r="F21" s="192">
        <f>(F20-E20)/E20</f>
        <v>0.22657952069716775</v>
      </c>
      <c r="G21" s="193">
        <f>Assumptions!G9</f>
        <v>-4.7860390695955046E-2</v>
      </c>
      <c r="H21" s="193">
        <f>Assumptions!H9</f>
        <v>3.9764300164338663E-2</v>
      </c>
      <c r="I21" s="193">
        <f>Assumptions!I9</f>
        <v>7.2827810055183781E-2</v>
      </c>
      <c r="J21" s="193">
        <f>Assumptions!J9</f>
        <v>2.1577239841189134E-2</v>
      </c>
      <c r="K21" s="194">
        <f>Assumptions!K9</f>
        <v>4.4723116686903867E-2</v>
      </c>
    </row>
    <row r="22" spans="2:11" ht="15" customHeight="1" x14ac:dyDescent="0.25">
      <c r="B22" s="26" t="s">
        <v>213</v>
      </c>
      <c r="C22" s="203">
        <f>'Income Statement'!E17</f>
        <v>-874</v>
      </c>
      <c r="D22" s="203">
        <f>'Income Statement'!F17</f>
        <v>-1365</v>
      </c>
      <c r="E22" s="203">
        <f>'Income Statement'!G17</f>
        <v>-1341</v>
      </c>
      <c r="F22" s="203">
        <f>'Income Statement'!H17</f>
        <v>-1976</v>
      </c>
      <c r="G22" s="204">
        <f>(1+G23)*F22</f>
        <v>-2470</v>
      </c>
      <c r="H22" s="204">
        <f t="shared" ref="H22" si="21">(1+H23)*G22</f>
        <v>-3211</v>
      </c>
      <c r="I22" s="204">
        <f t="shared" ref="I22" si="22">(1+I23)*H22</f>
        <v>-4174.3</v>
      </c>
      <c r="J22" s="204">
        <f t="shared" ref="J22" si="23">(1+J23)*I22</f>
        <v>-5217.875</v>
      </c>
      <c r="K22" s="205">
        <f t="shared" ref="K22" si="24">(1+K23)*J22</f>
        <v>-6261.45</v>
      </c>
    </row>
    <row r="23" spans="2:11" ht="15" customHeight="1" x14ac:dyDescent="0.3">
      <c r="B23" s="30" t="s">
        <v>218</v>
      </c>
      <c r="C23" s="202"/>
      <c r="D23" s="192">
        <f>(D22-C22)/C22</f>
        <v>0.56178489702517165</v>
      </c>
      <c r="E23" s="192">
        <f>(E22-D22)/D22</f>
        <v>-1.7582417582417582E-2</v>
      </c>
      <c r="F23" s="192">
        <f>(F22-E22)/E22</f>
        <v>0.47352721849366147</v>
      </c>
      <c r="G23" s="193">
        <f>Assumptions!G10</f>
        <v>0.25</v>
      </c>
      <c r="H23" s="193">
        <f>Assumptions!H10</f>
        <v>0.3</v>
      </c>
      <c r="I23" s="193">
        <f>Assumptions!I10</f>
        <v>0.3</v>
      </c>
      <c r="J23" s="193">
        <f>Assumptions!J10</f>
        <v>0.25</v>
      </c>
      <c r="K23" s="194">
        <f>Assumptions!K10</f>
        <v>0.2</v>
      </c>
    </row>
    <row r="24" spans="2:11" ht="15" customHeight="1" x14ac:dyDescent="0.25">
      <c r="B24" s="198" t="s">
        <v>268</v>
      </c>
      <c r="C24" s="206">
        <f>C16+C18+C20+C22</f>
        <v>-9536</v>
      </c>
      <c r="D24" s="206">
        <f t="shared" ref="D24:K24" si="25">D16+D18+D20+D22</f>
        <v>-17419</v>
      </c>
      <c r="E24" s="206">
        <f t="shared" si="25"/>
        <v>-20509</v>
      </c>
      <c r="F24" s="206">
        <f t="shared" si="25"/>
        <v>-24906</v>
      </c>
      <c r="G24" s="206">
        <f t="shared" si="25"/>
        <v>-29846.454600038178</v>
      </c>
      <c r="H24" s="206">
        <f t="shared" si="25"/>
        <v>-37094.506436058567</v>
      </c>
      <c r="I24" s="206">
        <f t="shared" si="25"/>
        <v>-45313.118904306226</v>
      </c>
      <c r="J24" s="206">
        <f t="shared" si="25"/>
        <v>-54260.294744677667</v>
      </c>
      <c r="K24" s="207">
        <f t="shared" si="25"/>
        <v>-62345.829012195034</v>
      </c>
    </row>
    <row r="25" spans="2:11" ht="15" customHeight="1" x14ac:dyDescent="0.3">
      <c r="B25" s="30" t="s">
        <v>269</v>
      </c>
      <c r="C25" s="202">
        <f>-C24/C13</f>
        <v>0.81095331235649293</v>
      </c>
      <c r="D25" s="202">
        <f t="shared" ref="D25:K25" si="26">-D24/D13</f>
        <v>0.81165835701971012</v>
      </c>
      <c r="E25" s="202">
        <f t="shared" si="26"/>
        <v>0.83444543901049717</v>
      </c>
      <c r="F25" s="202">
        <f t="shared" si="26"/>
        <v>0.7897640791476408</v>
      </c>
      <c r="G25" s="202">
        <f t="shared" si="26"/>
        <v>0.72923223858226704</v>
      </c>
      <c r="H25" s="202">
        <f t="shared" si="26"/>
        <v>0.64986148868278293</v>
      </c>
      <c r="I25" s="202">
        <f t="shared" si="26"/>
        <v>0.58934621937491161</v>
      </c>
      <c r="J25" s="202">
        <f t="shared" si="26"/>
        <v>0.55175465794460632</v>
      </c>
      <c r="K25" s="208">
        <f t="shared" si="26"/>
        <v>0.50839162457163256</v>
      </c>
    </row>
    <row r="26" spans="2:11" ht="15" customHeight="1" x14ac:dyDescent="0.3">
      <c r="B26" s="30"/>
      <c r="C26" s="76"/>
      <c r="D26" s="202"/>
      <c r="E26" s="202"/>
      <c r="F26" s="202"/>
      <c r="G26" s="76"/>
      <c r="H26" s="76"/>
      <c r="I26" s="76"/>
      <c r="J26" s="76"/>
      <c r="K26" s="77"/>
    </row>
    <row r="27" spans="2:11" ht="15" customHeight="1" x14ac:dyDescent="0.25">
      <c r="B27" s="198" t="s">
        <v>224</v>
      </c>
      <c r="C27" s="199">
        <f>C13+C24</f>
        <v>2223</v>
      </c>
      <c r="D27" s="199">
        <f t="shared" ref="D27:K27" si="27">D13+D24</f>
        <v>4042</v>
      </c>
      <c r="E27" s="199">
        <f t="shared" si="27"/>
        <v>4069</v>
      </c>
      <c r="F27" s="199">
        <f t="shared" si="27"/>
        <v>6630</v>
      </c>
      <c r="G27" s="199">
        <f t="shared" si="27"/>
        <v>11082.145399961828</v>
      </c>
      <c r="H27" s="199">
        <f t="shared" si="27"/>
        <v>19986.128563941435</v>
      </c>
      <c r="I27" s="199">
        <f t="shared" si="27"/>
        <v>31573.976345693773</v>
      </c>
      <c r="J27" s="199">
        <f t="shared" si="27"/>
        <v>44081.049480322341</v>
      </c>
      <c r="K27" s="200">
        <f t="shared" si="27"/>
        <v>60287.640932804985</v>
      </c>
    </row>
    <row r="28" spans="2:11" ht="15" customHeight="1" x14ac:dyDescent="0.25">
      <c r="B28" s="26"/>
      <c r="C28" s="76"/>
      <c r="D28" s="76"/>
      <c r="E28" s="76"/>
      <c r="F28" s="76"/>
      <c r="G28" s="76"/>
      <c r="H28" s="76"/>
      <c r="I28" s="76"/>
      <c r="J28" s="76"/>
      <c r="K28" s="77"/>
    </row>
    <row r="29" spans="2:11" ht="15" customHeight="1" x14ac:dyDescent="0.25">
      <c r="B29" s="188" t="s">
        <v>25</v>
      </c>
      <c r="C29" s="76"/>
      <c r="D29" s="76"/>
      <c r="E29" s="76"/>
      <c r="F29" s="76"/>
      <c r="G29" s="76"/>
      <c r="H29" s="76"/>
      <c r="I29" s="76"/>
      <c r="J29" s="76"/>
      <c r="K29" s="77"/>
    </row>
    <row r="30" spans="2:11" ht="15" customHeight="1" x14ac:dyDescent="0.25">
      <c r="B30" s="26" t="s">
        <v>225</v>
      </c>
      <c r="C30" s="203">
        <f>'Income Statement'!E18</f>
        <v>-2477</v>
      </c>
      <c r="D30" s="203">
        <f>'Income Statement'!F18</f>
        <v>-2835</v>
      </c>
      <c r="E30" s="203">
        <f>'Income Statement'!G18</f>
        <v>-2646</v>
      </c>
      <c r="F30" s="203">
        <f>'Income Statement'!H18</f>
        <v>-3145</v>
      </c>
      <c r="G30" s="204">
        <f>G31*-G$13</f>
        <v>-4631.5436622137977</v>
      </c>
      <c r="H30" s="204">
        <f t="shared" ref="H30:K30" si="28">H31*-H$13</f>
        <v>-6098.991578389162</v>
      </c>
      <c r="I30" s="204">
        <f t="shared" si="28"/>
        <v>-8194.5635869379912</v>
      </c>
      <c r="J30" s="204">
        <f t="shared" si="28"/>
        <v>-10705.747700755352</v>
      </c>
      <c r="K30" s="205">
        <f t="shared" si="28"/>
        <v>-13174.555409352055</v>
      </c>
    </row>
    <row r="31" spans="2:11" ht="15" customHeight="1" x14ac:dyDescent="0.3">
      <c r="B31" s="30" t="s">
        <v>228</v>
      </c>
      <c r="C31" s="209">
        <f>-C30/$C$13</f>
        <v>0.21064716387447913</v>
      </c>
      <c r="D31" s="209">
        <f>-D30/$D$13</f>
        <v>0.1321000885326872</v>
      </c>
      <c r="E31" s="209">
        <f>-E30/$E$13</f>
        <v>0.10765725445520384</v>
      </c>
      <c r="F31" s="209">
        <f>-F30/$F$13</f>
        <v>9.9727295788939629E-2</v>
      </c>
      <c r="G31" s="193">
        <f>Assumptions!G11</f>
        <v>0.11316154625894355</v>
      </c>
      <c r="H31" s="193">
        <f>Assumptions!H11</f>
        <v>0.10684869883436234</v>
      </c>
      <c r="I31" s="193">
        <f>Assumptions!I11</f>
        <v>0.10657918029408182</v>
      </c>
      <c r="J31" s="193">
        <f>Assumptions!J11</f>
        <v>0.10886314179579591</v>
      </c>
      <c r="K31" s="194">
        <f>Assumptions!K11</f>
        <v>0.10743034030808002</v>
      </c>
    </row>
    <row r="32" spans="2:11" ht="15" customHeight="1" x14ac:dyDescent="0.25">
      <c r="B32" s="26" t="s">
        <v>226</v>
      </c>
      <c r="C32" s="203">
        <f>'Income Statement'!E19</f>
        <v>-1378</v>
      </c>
      <c r="D32" s="203">
        <f>'Income Statement'!F19</f>
        <v>-1460</v>
      </c>
      <c r="E32" s="203">
        <f>'Income Statement'!G19</f>
        <v>-1343</v>
      </c>
      <c r="F32" s="203">
        <f>'Income Statement'!H19</f>
        <v>-1491</v>
      </c>
      <c r="G32" s="204">
        <f>G33*-G$13</f>
        <v>-2318.6330709346248</v>
      </c>
      <c r="H32" s="204">
        <f t="shared" ref="H32" si="29">H33*-H$13</f>
        <v>-3587.9430490941841</v>
      </c>
      <c r="I32" s="204">
        <f t="shared" ref="I32" si="30">I33*-I$13</f>
        <v>-5043.4712685457262</v>
      </c>
      <c r="J32" s="204">
        <f t="shared" ref="J32" si="31">J33*-J$13</f>
        <v>-7051.2035017911685</v>
      </c>
      <c r="K32" s="205">
        <f t="shared" ref="K32" si="32">K33*-K$13</f>
        <v>-9408.2178777249901</v>
      </c>
    </row>
    <row r="33" spans="2:11" ht="15" customHeight="1" x14ac:dyDescent="0.3">
      <c r="B33" s="30" t="s">
        <v>229</v>
      </c>
      <c r="C33" s="209">
        <f>-C32/$C$13</f>
        <v>0.1171868356152734</v>
      </c>
      <c r="D33" s="209">
        <f>-D32/$D$13</f>
        <v>6.8030380690554962E-2</v>
      </c>
      <c r="E33" s="209">
        <f>-E32/$E$13</f>
        <v>5.4642363088941333E-2</v>
      </c>
      <c r="F33" s="209">
        <f>-F32/$F$13</f>
        <v>4.7279299847792999E-2</v>
      </c>
      <c r="G33" s="193">
        <f>Assumptions!G12</f>
        <v>5.6650681209096436E-2</v>
      </c>
      <c r="H33" s="193">
        <f>Assumptions!H12</f>
        <v>6.2857448048610251E-2</v>
      </c>
      <c r="I33" s="193">
        <f>Assumptions!I12</f>
        <v>6.5595809701833235E-2</v>
      </c>
      <c r="J33" s="193">
        <f>Assumptions!J12</f>
        <v>7.1701312986513305E-2</v>
      </c>
      <c r="K33" s="194">
        <f>Assumptions!K12</f>
        <v>7.6718190245652254E-2</v>
      </c>
    </row>
    <row r="34" spans="2:11" ht="15" customHeight="1" x14ac:dyDescent="0.25">
      <c r="B34" s="26" t="s">
        <v>227</v>
      </c>
      <c r="C34" s="203">
        <f>'Income Statement'!E20+'Income Statement'!E23</f>
        <v>-125</v>
      </c>
      <c r="D34" s="203">
        <f>'Income Statement'!F20+'Income Statement'!F23</f>
        <v>-113</v>
      </c>
      <c r="E34" s="203">
        <f>'Income Statement'!G20+'Income Statement'!G23</f>
        <v>-104</v>
      </c>
      <c r="F34" s="203">
        <f>'Income Statement'!H20+'Income Statement'!H23</f>
        <v>-122</v>
      </c>
      <c r="G34" s="204">
        <f>G35*-G$13</f>
        <v>-182.34218162719571</v>
      </c>
      <c r="H34" s="204">
        <f t="shared" ref="H34" si="33">H35*-H$13</f>
        <v>-238.88530823908121</v>
      </c>
      <c r="I34" s="204">
        <f t="shared" ref="I34" si="34">I35*-I$13</f>
        <v>-320.58774785547371</v>
      </c>
      <c r="J34" s="204">
        <f t="shared" ref="J34" si="35">J35*-J$13</f>
        <v>-419.90999271228128</v>
      </c>
      <c r="K34" s="205">
        <f t="shared" ref="K34" si="36">K35*-K$13</f>
        <v>-516.06470871650208</v>
      </c>
    </row>
    <row r="35" spans="2:11" ht="15" customHeight="1" x14ac:dyDescent="0.3">
      <c r="B35" s="30" t="s">
        <v>230</v>
      </c>
      <c r="C35" s="209">
        <f>-C34/$C$13</f>
        <v>1.0630155625478357E-2</v>
      </c>
      <c r="D35" s="209">
        <f>-D34/$D$13</f>
        <v>5.2653650808443218E-3</v>
      </c>
      <c r="E35" s="209">
        <f>-E34/$E$13</f>
        <v>4.2314264789649276E-3</v>
      </c>
      <c r="F35" s="209">
        <f>-F34/$F$13</f>
        <v>3.8685946220192793E-3</v>
      </c>
      <c r="G35" s="193">
        <f>Assumptions!G13</f>
        <v>4.455128727276176E-3</v>
      </c>
      <c r="H35" s="193">
        <f>Assumptions!H13</f>
        <v>4.1850499427534609E-3</v>
      </c>
      <c r="I35" s="193">
        <f>Assumptions!I13</f>
        <v>4.169591097349639E-3</v>
      </c>
      <c r="J35" s="193">
        <f>Assumptions!J13</f>
        <v>4.2699232557930926E-3</v>
      </c>
      <c r="K35" s="194">
        <f>Assumptions!K13</f>
        <v>4.208188098632065E-3</v>
      </c>
    </row>
    <row r="36" spans="2:11" ht="15" customHeight="1" x14ac:dyDescent="0.25">
      <c r="B36" s="210" t="s">
        <v>232</v>
      </c>
      <c r="C36" s="211">
        <f>C34+C32+C30</f>
        <v>-3980</v>
      </c>
      <c r="D36" s="211">
        <f t="shared" ref="D36:K36" si="37">D34+D32+D30</f>
        <v>-4408</v>
      </c>
      <c r="E36" s="211">
        <f t="shared" si="37"/>
        <v>-4093</v>
      </c>
      <c r="F36" s="211">
        <f t="shared" si="37"/>
        <v>-4758</v>
      </c>
      <c r="G36" s="211">
        <f t="shared" si="37"/>
        <v>-7132.5189147756182</v>
      </c>
      <c r="H36" s="211">
        <f t="shared" si="37"/>
        <v>-9925.8199357224275</v>
      </c>
      <c r="I36" s="211">
        <f t="shared" si="37"/>
        <v>-13558.62260333919</v>
      </c>
      <c r="J36" s="211">
        <f t="shared" si="37"/>
        <v>-18176.861195258803</v>
      </c>
      <c r="K36" s="212">
        <f t="shared" si="37"/>
        <v>-23098.837995793547</v>
      </c>
    </row>
    <row r="37" spans="2:11" ht="15" customHeight="1" x14ac:dyDescent="0.3">
      <c r="B37" s="30" t="s">
        <v>233</v>
      </c>
      <c r="C37" s="209">
        <f>-C36/C13</f>
        <v>0.33846415511523087</v>
      </c>
      <c r="D37" s="209">
        <f>-D36/D13</f>
        <v>0.20539583430408648</v>
      </c>
      <c r="E37" s="209">
        <f>-E36/E13</f>
        <v>0.16653104402311009</v>
      </c>
      <c r="F37" s="209">
        <f>-F36/F13</f>
        <v>0.1508751902587519</v>
      </c>
      <c r="G37" s="209">
        <f t="shared" ref="G37:K37" si="38">-G36/G13</f>
        <v>0.17426735619531616</v>
      </c>
      <c r="H37" s="209">
        <f t="shared" si="38"/>
        <v>0.17389119682572604</v>
      </c>
      <c r="I37" s="209">
        <f t="shared" si="38"/>
        <v>0.17634458109326467</v>
      </c>
      <c r="J37" s="209">
        <f t="shared" si="38"/>
        <v>0.18483437803810235</v>
      </c>
      <c r="K37" s="213">
        <f t="shared" si="38"/>
        <v>0.18835671865236434</v>
      </c>
    </row>
    <row r="38" spans="2:11" ht="15" customHeight="1" x14ac:dyDescent="0.3">
      <c r="B38" s="30"/>
      <c r="C38" s="202"/>
      <c r="D38" s="202"/>
      <c r="E38" s="202"/>
      <c r="F38" s="202"/>
      <c r="G38" s="76"/>
      <c r="H38" s="76"/>
      <c r="I38" s="76"/>
      <c r="J38" s="76"/>
      <c r="K38" s="77"/>
    </row>
    <row r="39" spans="2:11" ht="15" customHeight="1" x14ac:dyDescent="0.25">
      <c r="B39" s="198" t="s">
        <v>231</v>
      </c>
      <c r="C39" s="206">
        <f>C27+C36</f>
        <v>-1757</v>
      </c>
      <c r="D39" s="206">
        <f>D27+D36</f>
        <v>-366</v>
      </c>
      <c r="E39" s="206">
        <f>E27+E36</f>
        <v>-24</v>
      </c>
      <c r="F39" s="206">
        <f>F27+F36</f>
        <v>1872</v>
      </c>
      <c r="G39" s="206">
        <f t="shared" ref="G39:K39" si="39">G27+G36</f>
        <v>3949.6264851862097</v>
      </c>
      <c r="H39" s="206">
        <f t="shared" si="39"/>
        <v>10060.308628219007</v>
      </c>
      <c r="I39" s="206">
        <f t="shared" si="39"/>
        <v>18015.353742354582</v>
      </c>
      <c r="J39" s="206">
        <f t="shared" si="39"/>
        <v>25904.188285063537</v>
      </c>
      <c r="K39" s="207">
        <f t="shared" si="39"/>
        <v>37188.802937011438</v>
      </c>
    </row>
    <row r="40" spans="2:11" ht="15" customHeight="1" x14ac:dyDescent="0.3">
      <c r="B40" s="32" t="s">
        <v>234</v>
      </c>
      <c r="C40" s="202">
        <f>C39/C13</f>
        <v>-0.1494174674717238</v>
      </c>
      <c r="D40" s="202">
        <f>D39/D13</f>
        <v>-1.7054191323796656E-2</v>
      </c>
      <c r="E40" s="202">
        <f>E39/E13</f>
        <v>-9.764830336072911E-4</v>
      </c>
      <c r="F40" s="202">
        <f>F39/F13</f>
        <v>5.9360730593607303E-2</v>
      </c>
      <c r="G40" s="202">
        <f t="shared" ref="G40:K40" si="40">G39/G13</f>
        <v>9.6500405222416819E-2</v>
      </c>
      <c r="H40" s="202">
        <f t="shared" si="40"/>
        <v>0.17624731449149098</v>
      </c>
      <c r="I40" s="202">
        <f t="shared" si="40"/>
        <v>0.23430919953182369</v>
      </c>
      <c r="J40" s="202">
        <f t="shared" si="40"/>
        <v>0.2634109640172913</v>
      </c>
      <c r="K40" s="208">
        <f t="shared" si="40"/>
        <v>0.30325165677600313</v>
      </c>
    </row>
    <row r="41" spans="2:11" ht="15" customHeight="1" x14ac:dyDescent="0.25">
      <c r="B41" s="26" t="s">
        <v>237</v>
      </c>
      <c r="C41" s="203">
        <f>'Income Statement'!E21+'Income Statement'!E22</f>
        <v>-452</v>
      </c>
      <c r="D41" s="203">
        <f>'Income Statement'!F21+'Income Statement'!F22</f>
        <v>-639</v>
      </c>
      <c r="E41" s="203">
        <f>'Income Statement'!G21+'Income Statement'!G22</f>
        <v>-641</v>
      </c>
      <c r="F41" s="203">
        <f>'Income Statement'!H21+'Income Statement'!H22</f>
        <v>-718</v>
      </c>
      <c r="G41" s="204">
        <f>G42*-G13</f>
        <v>-1072.6404536260575</v>
      </c>
      <c r="H41" s="204">
        <f t="shared" ref="H41:K41" si="41">H42*-H13</f>
        <v>-1428.0712362664631</v>
      </c>
      <c r="I41" s="204">
        <f t="shared" si="41"/>
        <v>-1896.3874366576956</v>
      </c>
      <c r="J41" s="204">
        <f t="shared" si="41"/>
        <v>-2487.7299915664994</v>
      </c>
      <c r="K41" s="205">
        <f t="shared" si="41"/>
        <v>-3065.0171886638855</v>
      </c>
    </row>
    <row r="42" spans="2:11" ht="15" customHeight="1" x14ac:dyDescent="0.3">
      <c r="B42" s="30" t="s">
        <v>324</v>
      </c>
      <c r="C42" s="209">
        <f>C41/-C13</f>
        <v>3.8438642741729742E-2</v>
      </c>
      <c r="D42" s="209">
        <f t="shared" ref="D42:F42" si="42">D41/-D13</f>
        <v>2.9774940589907272E-2</v>
      </c>
      <c r="E42" s="209">
        <f t="shared" si="42"/>
        <v>2.6080234355928066E-2</v>
      </c>
      <c r="F42" s="209">
        <f t="shared" si="42"/>
        <v>2.2767630644342972E-2</v>
      </c>
      <c r="G42" s="214">
        <f>Assumptions!G14</f>
        <v>2.6207601863392771E-2</v>
      </c>
      <c r="H42" s="214">
        <f>Assumptions!H14</f>
        <v>2.5018488954554604E-2</v>
      </c>
      <c r="I42" s="214">
        <f>Assumptions!I14</f>
        <v>2.4664573820763449E-2</v>
      </c>
      <c r="J42" s="214">
        <f>Assumptions!J14</f>
        <v>2.5296888212903611E-2</v>
      </c>
      <c r="K42" s="215">
        <f>Assumptions!K14</f>
        <v>2.4993316996073888E-2</v>
      </c>
    </row>
    <row r="43" spans="2:11" ht="15" customHeight="1" x14ac:dyDescent="0.25">
      <c r="B43" s="26"/>
      <c r="C43" s="203"/>
      <c r="D43" s="203"/>
      <c r="E43" s="203"/>
      <c r="F43" s="203"/>
      <c r="G43" s="76"/>
      <c r="H43" s="76"/>
      <c r="I43" s="76"/>
      <c r="J43" s="76"/>
      <c r="K43" s="77"/>
    </row>
    <row r="44" spans="2:11" ht="15" customHeight="1" x14ac:dyDescent="0.25">
      <c r="B44" s="188" t="s">
        <v>235</v>
      </c>
      <c r="C44" s="216">
        <f>C39+C41</f>
        <v>-2209</v>
      </c>
      <c r="D44" s="216">
        <f t="shared" ref="D44:K44" si="43">D39+D41</f>
        <v>-1005</v>
      </c>
      <c r="E44" s="216">
        <f t="shared" si="43"/>
        <v>-665</v>
      </c>
      <c r="F44" s="216">
        <f t="shared" si="43"/>
        <v>1154</v>
      </c>
      <c r="G44" s="216">
        <f t="shared" si="43"/>
        <v>2876.9860315601522</v>
      </c>
      <c r="H44" s="216">
        <f t="shared" si="43"/>
        <v>8632.2373919525435</v>
      </c>
      <c r="I44" s="216">
        <f t="shared" si="43"/>
        <v>16118.966305696886</v>
      </c>
      <c r="J44" s="216">
        <f t="shared" si="43"/>
        <v>23416.458293497039</v>
      </c>
      <c r="K44" s="217">
        <f t="shared" si="43"/>
        <v>34123.785748347553</v>
      </c>
    </row>
    <row r="45" spans="2:11" ht="15" customHeight="1" x14ac:dyDescent="0.25">
      <c r="B45" s="26" t="s">
        <v>236</v>
      </c>
      <c r="C45" s="203">
        <f>'Income Statement'!E27</f>
        <v>-32</v>
      </c>
      <c r="D45" s="203">
        <f>'Income Statement'!F27</f>
        <v>-58</v>
      </c>
      <c r="E45" s="203">
        <f>'Income Statement'!G27</f>
        <v>-110</v>
      </c>
      <c r="F45" s="203">
        <f>'Income Statement'!H27</f>
        <v>-292</v>
      </c>
      <c r="G45" s="204">
        <f>G44*G46</f>
        <v>604.16706662763193</v>
      </c>
      <c r="H45" s="204">
        <f t="shared" ref="H45:K45" si="44">H44*-H46</f>
        <v>-1812.7698523100341</v>
      </c>
      <c r="I45" s="204">
        <f t="shared" si="44"/>
        <v>-3384.9829241963457</v>
      </c>
      <c r="J45" s="204">
        <f t="shared" si="44"/>
        <v>-4917.4562416343779</v>
      </c>
      <c r="K45" s="205">
        <f t="shared" si="44"/>
        <v>-7165.9950071529856</v>
      </c>
    </row>
    <row r="46" spans="2:11" ht="15" customHeight="1" x14ac:dyDescent="0.3">
      <c r="B46" s="30" t="s">
        <v>238</v>
      </c>
      <c r="C46" s="202">
        <f>C45/C44</f>
        <v>1.4486192847442281E-2</v>
      </c>
      <c r="D46" s="202">
        <f t="shared" ref="D46" si="45">D45/D44</f>
        <v>5.7711442786069649E-2</v>
      </c>
      <c r="E46" s="202">
        <f>E45/E44</f>
        <v>0.16541353383458646</v>
      </c>
      <c r="F46" s="202">
        <f t="shared" ref="F46" si="46">-F45/F44</f>
        <v>0.2530329289428076</v>
      </c>
      <c r="G46" s="193">
        <f>Assumptions!G15</f>
        <v>0.21</v>
      </c>
      <c r="H46" s="193">
        <f>Assumptions!H15</f>
        <v>0.21</v>
      </c>
      <c r="I46" s="193">
        <f>Assumptions!I15</f>
        <v>0.21</v>
      </c>
      <c r="J46" s="193">
        <f>Assumptions!J15</f>
        <v>0.21</v>
      </c>
      <c r="K46" s="194">
        <f>Assumptions!K15</f>
        <v>0.21</v>
      </c>
    </row>
    <row r="47" spans="2:11" ht="15" customHeight="1" x14ac:dyDescent="0.25">
      <c r="B47" s="188" t="s">
        <v>239</v>
      </c>
      <c r="C47" s="216">
        <f>C44+C45</f>
        <v>-2241</v>
      </c>
      <c r="D47" s="216">
        <f t="shared" ref="D47:K47" si="47">D44+D45</f>
        <v>-1063</v>
      </c>
      <c r="E47" s="216">
        <f t="shared" si="47"/>
        <v>-775</v>
      </c>
      <c r="F47" s="216">
        <f t="shared" si="47"/>
        <v>862</v>
      </c>
      <c r="G47" s="216">
        <f t="shared" si="47"/>
        <v>3481.1530981877841</v>
      </c>
      <c r="H47" s="216">
        <f t="shared" si="47"/>
        <v>6819.4675396425091</v>
      </c>
      <c r="I47" s="216">
        <f t="shared" si="47"/>
        <v>12733.98338150054</v>
      </c>
      <c r="J47" s="216">
        <f t="shared" si="47"/>
        <v>18499.002051862662</v>
      </c>
      <c r="K47" s="217">
        <f t="shared" si="47"/>
        <v>26957.790741194567</v>
      </c>
    </row>
    <row r="48" spans="2:11" ht="15" customHeight="1" x14ac:dyDescent="0.25">
      <c r="B48" s="26"/>
      <c r="C48" s="76"/>
      <c r="D48" s="76"/>
      <c r="E48" s="76"/>
      <c r="F48" s="76"/>
      <c r="G48" s="76"/>
      <c r="H48" s="76"/>
      <c r="I48" s="76"/>
      <c r="J48" s="76"/>
      <c r="K48" s="77"/>
    </row>
    <row r="49" spans="2:11" ht="15" customHeight="1" x14ac:dyDescent="0.25">
      <c r="B49" s="26" t="s">
        <v>240</v>
      </c>
      <c r="C49" s="203">
        <f>'Cash Flow'!E9</f>
        <v>1636</v>
      </c>
      <c r="D49" s="203">
        <f>'Cash Flow'!F9</f>
        <v>1901</v>
      </c>
      <c r="E49" s="203">
        <f>'Cash Flow'!G9</f>
        <v>2154</v>
      </c>
      <c r="F49" s="203">
        <f>'Cash Flow'!H9</f>
        <v>2322</v>
      </c>
      <c r="G49" s="204">
        <f>G50*G13</f>
        <v>3408.6534914632944</v>
      </c>
      <c r="H49" s="204">
        <f t="shared" ref="H49:K49" si="48">H50*H13</f>
        <v>4653.0690169085974</v>
      </c>
      <c r="I49" s="204">
        <f t="shared" si="48"/>
        <v>6110.7436834810296</v>
      </c>
      <c r="J49" s="204">
        <f t="shared" si="48"/>
        <v>8007.5173642018253</v>
      </c>
      <c r="K49" s="205">
        <f t="shared" si="48"/>
        <v>9909.604452338066</v>
      </c>
    </row>
    <row r="50" spans="2:11" ht="15" customHeight="1" x14ac:dyDescent="0.3">
      <c r="B50" s="30" t="s">
        <v>255</v>
      </c>
      <c r="C50" s="202">
        <f>C49/C13</f>
        <v>0.13912747682626073</v>
      </c>
      <c r="D50" s="202">
        <f t="shared" ref="D50:F50" si="49">D49/D13</f>
        <v>8.8579283351195193E-2</v>
      </c>
      <c r="E50" s="202">
        <f t="shared" si="49"/>
        <v>8.7639352266254369E-2</v>
      </c>
      <c r="F50" s="202">
        <f t="shared" si="49"/>
        <v>7.3630136986301373E-2</v>
      </c>
      <c r="G50" s="193">
        <f>Assumptions!G16</f>
        <v>8.3282924201250316E-2</v>
      </c>
      <c r="H50" s="193">
        <f>Assumptions!H16</f>
        <v>8.1517471151268686E-2</v>
      </c>
      <c r="I50" s="193">
        <f>Assumptions!I16</f>
        <v>7.9476844112940134E-2</v>
      </c>
      <c r="J50" s="193">
        <f>Assumptions!J16</f>
        <v>8.1425746488486384E-2</v>
      </c>
      <c r="K50" s="194">
        <f>Assumptions!K16</f>
        <v>8.0806687250898401E-2</v>
      </c>
    </row>
    <row r="51" spans="2:11" ht="15" customHeight="1" x14ac:dyDescent="0.25">
      <c r="B51" s="26" t="s">
        <v>256</v>
      </c>
      <c r="C51" s="203">
        <f>'Cash Flow'!E40+'Cash Flow'!E36+'Cash Flow'!E37+'Cash Flow'!E38+'Cash Flow'!E39</f>
        <v>-4081</v>
      </c>
      <c r="D51" s="203">
        <f>'Cash Flow'!F40+'Cash Flow'!F36+'Cash Flow'!F37+'Cash Flow'!F38+'Cash Flow'!F39</f>
        <v>-2319</v>
      </c>
      <c r="E51" s="203">
        <f>'Cash Flow'!G40+'Cash Flow'!G36+'Cash Flow'!G37+'Cash Flow'!G38+'Cash Flow'!G39</f>
        <v>-1432</v>
      </c>
      <c r="F51" s="203">
        <f>'Cash Flow'!H40+'Cash Flow'!H36+'Cash Flow'!H37+'Cash Flow'!H38+'Cash Flow'!H39</f>
        <v>-3232</v>
      </c>
      <c r="G51" s="204">
        <f>G52*-G13</f>
        <v>-4092.8600000000006</v>
      </c>
      <c r="H51" s="204">
        <f t="shared" ref="H51:K51" si="50">H52*-H13</f>
        <v>-8562.0952500000003</v>
      </c>
      <c r="I51" s="204">
        <f t="shared" si="50"/>
        <v>-11533.064287499999</v>
      </c>
      <c r="J51" s="204">
        <f t="shared" si="50"/>
        <v>-14751.201633750001</v>
      </c>
      <c r="K51" s="205">
        <f t="shared" si="50"/>
        <v>-18395.020491750001</v>
      </c>
    </row>
    <row r="52" spans="2:11" ht="15" customHeight="1" x14ac:dyDescent="0.3">
      <c r="B52" s="30" t="s">
        <v>257</v>
      </c>
      <c r="C52" s="192">
        <f>-C51/C13</f>
        <v>0.34705332086061741</v>
      </c>
      <c r="D52" s="192">
        <f t="shared" ref="D52:F52" si="51">-D51/D13</f>
        <v>0.1080564745352034</v>
      </c>
      <c r="E52" s="192">
        <f t="shared" si="51"/>
        <v>5.8263487671901704E-2</v>
      </c>
      <c r="F52" s="192">
        <f t="shared" si="51"/>
        <v>0.10248604769152714</v>
      </c>
      <c r="G52" s="193">
        <f>Assumptions!G17</f>
        <v>0.1</v>
      </c>
      <c r="H52" s="193">
        <f>Assumptions!H17</f>
        <v>0.15</v>
      </c>
      <c r="I52" s="193">
        <f>Assumptions!I17</f>
        <v>0.15</v>
      </c>
      <c r="J52" s="193">
        <f>Assumptions!J17</f>
        <v>0.15</v>
      </c>
      <c r="K52" s="194">
        <f>Assumptions!K17</f>
        <v>0.15</v>
      </c>
    </row>
    <row r="53" spans="2:11" ht="15" customHeight="1" x14ac:dyDescent="0.25">
      <c r="B53" s="26" t="s">
        <v>241</v>
      </c>
      <c r="C53" s="78">
        <f>NWC!D47</f>
        <v>715.22100000000046</v>
      </c>
      <c r="D53" s="78">
        <f>NWC!E47</f>
        <v>-41.010000000000218</v>
      </c>
      <c r="E53" s="78">
        <f>NWC!F47</f>
        <v>280</v>
      </c>
      <c r="F53" s="78">
        <f>NWC!G47</f>
        <v>1415</v>
      </c>
      <c r="G53" s="78">
        <f>NWC!H47</f>
        <v>-357.78737436198389</v>
      </c>
      <c r="H53" s="78">
        <f>NWC!I47</f>
        <v>964.29987493013869</v>
      </c>
      <c r="I53" s="78">
        <f>NWC!J47</f>
        <v>1133.5366212016197</v>
      </c>
      <c r="J53" s="78">
        <f>NWC!K47</f>
        <v>724.08695227336648</v>
      </c>
      <c r="K53" s="79">
        <f>NWC!L47</f>
        <v>1140.5480105083298</v>
      </c>
    </row>
    <row r="54" spans="2:11" ht="15" customHeight="1" x14ac:dyDescent="0.25">
      <c r="B54" s="26"/>
      <c r="C54" s="76"/>
      <c r="D54" s="76"/>
      <c r="E54" s="76"/>
      <c r="F54" s="76"/>
      <c r="G54" s="76"/>
      <c r="H54" s="76"/>
      <c r="I54" s="76"/>
      <c r="J54" s="76"/>
      <c r="K54" s="77"/>
    </row>
    <row r="55" spans="2:11" ht="15" customHeight="1" thickBot="1" x14ac:dyDescent="0.3">
      <c r="B55" s="33" t="s">
        <v>242</v>
      </c>
      <c r="C55" s="80">
        <f>C47+C49+C51+C53</f>
        <v>-3970.7789999999995</v>
      </c>
      <c r="D55" s="80">
        <f t="shared" ref="D55:K55" si="52">D47+D49+D51+D53</f>
        <v>-1522.0100000000002</v>
      </c>
      <c r="E55" s="80">
        <f t="shared" si="52"/>
        <v>227</v>
      </c>
      <c r="F55" s="80">
        <f t="shared" si="52"/>
        <v>1367</v>
      </c>
      <c r="G55" s="80">
        <f t="shared" si="52"/>
        <v>2439.1592152890935</v>
      </c>
      <c r="H55" s="80">
        <f t="shared" si="52"/>
        <v>3874.741181481244</v>
      </c>
      <c r="I55" s="80">
        <f t="shared" si="52"/>
        <v>8445.1993986831894</v>
      </c>
      <c r="J55" s="80">
        <f t="shared" si="52"/>
        <v>12479.404734587855</v>
      </c>
      <c r="K55" s="81">
        <f t="shared" si="52"/>
        <v>19612.922712290961</v>
      </c>
    </row>
    <row r="56" spans="2:11" ht="15" customHeight="1" x14ac:dyDescent="0.25"/>
  </sheetData>
  <pageMargins left="0.7" right="0.7" top="0.75" bottom="0.75" header="0.3" footer="0.3"/>
  <pageSetup scale="57" orientation="portrait" horizontalDpi="300" verticalDpi="300" r:id="rId1"/>
  <ignoredErrors>
    <ignoredError sqref="D7:F22 G6:K2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B35-E180-45A8-A1D2-E9755809B717}">
  <sheetPr>
    <tabColor theme="9"/>
    <pageSetUpPr fitToPage="1"/>
  </sheetPr>
  <dimension ref="B1:O47"/>
  <sheetViews>
    <sheetView showGridLines="0" view="pageBreakPreview" zoomScaleNormal="100" zoomScaleSheetLayoutView="100" workbookViewId="0"/>
  </sheetViews>
  <sheetFormatPr defaultRowHeight="15" customHeight="1" x14ac:dyDescent="0.25"/>
  <cols>
    <col min="1" max="1" width="2.77734375" style="24" customWidth="1"/>
    <col min="2" max="2" width="56.77734375" style="24" customWidth="1"/>
    <col min="3" max="3" width="10.77734375" style="24" hidden="1" customWidth="1"/>
    <col min="4" max="12" width="11.77734375" style="24" customWidth="1"/>
    <col min="13" max="13" width="8.88671875" style="24"/>
    <col min="14" max="14" width="15.44140625" style="24" bestFit="1" customWidth="1"/>
    <col min="15" max="15" width="9.88671875" style="24" bestFit="1" customWidth="1"/>
    <col min="16" max="16384" width="8.88671875" style="24"/>
  </cols>
  <sheetData>
    <row r="1" spans="2:15" ht="15" customHeight="1" thickBot="1" x14ac:dyDescent="0.3"/>
    <row r="2" spans="2:15" ht="15" customHeight="1" x14ac:dyDescent="0.25">
      <c r="B2" s="84" t="s">
        <v>261</v>
      </c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2:15" ht="15" customHeight="1" thickBot="1" x14ac:dyDescent="0.3">
      <c r="B3" s="91" t="s">
        <v>262</v>
      </c>
      <c r="C3" s="218">
        <v>2016</v>
      </c>
      <c r="D3" s="218">
        <v>2017</v>
      </c>
      <c r="E3" s="218">
        <v>2018</v>
      </c>
      <c r="F3" s="218">
        <v>2019</v>
      </c>
      <c r="G3" s="218">
        <v>2020</v>
      </c>
      <c r="H3" s="219">
        <v>2021</v>
      </c>
      <c r="I3" s="219">
        <v>2022</v>
      </c>
      <c r="J3" s="219">
        <v>2023</v>
      </c>
      <c r="K3" s="219">
        <v>2024</v>
      </c>
      <c r="L3" s="220">
        <v>2025</v>
      </c>
    </row>
    <row r="4" spans="2:15" ht="15" customHeight="1" thickBot="1" x14ac:dyDescent="0.3">
      <c r="B4" s="36" t="s">
        <v>415</v>
      </c>
      <c r="C4" s="65"/>
      <c r="D4" s="65"/>
      <c r="E4" s="65"/>
      <c r="F4" s="65"/>
      <c r="G4" s="65"/>
      <c r="H4" s="65"/>
      <c r="I4" s="65"/>
      <c r="J4" s="65"/>
      <c r="K4" s="65"/>
      <c r="L4" s="66"/>
      <c r="N4" s="34" t="s">
        <v>266</v>
      </c>
      <c r="O4" s="221">
        <v>365</v>
      </c>
    </row>
    <row r="5" spans="2:15" ht="15" customHeight="1" x14ac:dyDescent="0.25">
      <c r="B5" s="47" t="s">
        <v>263</v>
      </c>
      <c r="C5" s="222">
        <f>'Balance Sheet'!C8</f>
        <v>168.965</v>
      </c>
      <c r="D5" s="223">
        <f>C7</f>
        <v>499.142</v>
      </c>
      <c r="E5" s="223">
        <f>D7</f>
        <v>515.38099999999997</v>
      </c>
      <c r="F5" s="223">
        <f>E7</f>
        <v>949</v>
      </c>
      <c r="G5" s="223">
        <f>F7</f>
        <v>1324</v>
      </c>
      <c r="H5" s="223">
        <f>G7</f>
        <v>1886</v>
      </c>
      <c r="I5" s="223">
        <f t="shared" ref="I5:L5" si="0">H7</f>
        <v>2154.1230943086402</v>
      </c>
      <c r="J5" s="223">
        <f t="shared" si="0"/>
        <v>3164.2692775606588</v>
      </c>
      <c r="K5" s="223">
        <f t="shared" si="0"/>
        <v>4302.3708211054472</v>
      </c>
      <c r="L5" s="224">
        <f t="shared" si="0"/>
        <v>5376.7577009218985</v>
      </c>
    </row>
    <row r="6" spans="2:15" ht="15" customHeight="1" x14ac:dyDescent="0.25">
      <c r="B6" s="47" t="s">
        <v>264</v>
      </c>
      <c r="C6" s="225">
        <f>C7-C5</f>
        <v>330.17700000000002</v>
      </c>
      <c r="D6" s="225">
        <f t="shared" ref="D6:G6" si="1">D7-D5</f>
        <v>16.238999999999976</v>
      </c>
      <c r="E6" s="225">
        <f t="shared" si="1"/>
        <v>433.61900000000003</v>
      </c>
      <c r="F6" s="225">
        <f t="shared" si="1"/>
        <v>375</v>
      </c>
      <c r="G6" s="225">
        <f t="shared" si="1"/>
        <v>562</v>
      </c>
      <c r="H6" s="225">
        <f t="shared" ref="H6" si="2">H7-H5</f>
        <v>268.12309430864025</v>
      </c>
      <c r="I6" s="225">
        <f t="shared" ref="I6" si="3">I7-I5</f>
        <v>1010.1461832520185</v>
      </c>
      <c r="J6" s="225">
        <f t="shared" ref="J6" si="4">J7-J5</f>
        <v>1138.1015435447885</v>
      </c>
      <c r="K6" s="225">
        <f t="shared" ref="K6" si="5">K7-K5</f>
        <v>1074.3868798164513</v>
      </c>
      <c r="L6" s="226">
        <f t="shared" ref="L6" si="6">L7-L5</f>
        <v>1411.6796659947904</v>
      </c>
    </row>
    <row r="7" spans="2:15" ht="15" customHeight="1" x14ac:dyDescent="0.25">
      <c r="B7" s="47" t="s">
        <v>265</v>
      </c>
      <c r="C7" s="222">
        <f>'Balance Sheet'!D8</f>
        <v>499.142</v>
      </c>
      <c r="D7" s="222">
        <f>'Balance Sheet'!E8</f>
        <v>515.38099999999997</v>
      </c>
      <c r="E7" s="222">
        <f>'Balance Sheet'!F8</f>
        <v>949</v>
      </c>
      <c r="F7" s="222">
        <f>'Balance Sheet'!G8</f>
        <v>1324</v>
      </c>
      <c r="G7" s="222">
        <f>'Balance Sheet'!H8</f>
        <v>1886</v>
      </c>
      <c r="H7" s="222">
        <f>H9*Inputs!G13</f>
        <v>2154.1230943086402</v>
      </c>
      <c r="I7" s="222">
        <f>I9*Inputs!H13</f>
        <v>3164.2692775606588</v>
      </c>
      <c r="J7" s="222">
        <f>J9*Inputs!I13</f>
        <v>4302.3708211054472</v>
      </c>
      <c r="K7" s="222">
        <f>K9*Inputs!J13</f>
        <v>5376.7577009218985</v>
      </c>
      <c r="L7" s="227">
        <f>L9*Inputs!K13</f>
        <v>6788.4373669166889</v>
      </c>
    </row>
    <row r="8" spans="2:15" ht="15" customHeight="1" x14ac:dyDescent="0.25">
      <c r="B8" s="47"/>
      <c r="C8" s="65"/>
      <c r="D8" s="65"/>
      <c r="E8" s="65"/>
      <c r="F8" s="65"/>
      <c r="G8" s="65"/>
      <c r="H8" s="65"/>
      <c r="I8" s="65"/>
      <c r="J8" s="65"/>
      <c r="K8" s="65"/>
      <c r="L8" s="66"/>
    </row>
    <row r="9" spans="2:15" ht="15" customHeight="1" x14ac:dyDescent="0.3">
      <c r="B9" s="228" t="s">
        <v>272</v>
      </c>
      <c r="C9" s="180"/>
      <c r="D9" s="229">
        <f>D7/Inputs!C13</f>
        <v>4.3828641891317285E-2</v>
      </c>
      <c r="E9" s="229">
        <f>E7/Inputs!D13</f>
        <v>4.4219747448860723E-2</v>
      </c>
      <c r="F9" s="229">
        <f>F7/Inputs!E13</f>
        <v>5.3869314020668892E-2</v>
      </c>
      <c r="G9" s="229">
        <f>G7/Inputs!F13</f>
        <v>5.9804667681380007E-2</v>
      </c>
      <c r="H9" s="229">
        <f>Assumptions!G18</f>
        <v>5.2631243050303207E-2</v>
      </c>
      <c r="I9" s="229">
        <f>Assumptions!H18</f>
        <v>5.54350749174507E-2</v>
      </c>
      <c r="J9" s="229">
        <f>Assumptions!I18</f>
        <v>5.5956995216377974E-2</v>
      </c>
      <c r="K9" s="229">
        <f>Assumptions!J18</f>
        <v>5.4674437728043958E-2</v>
      </c>
      <c r="L9" s="230">
        <f>Assumptions!K18</f>
        <v>5.5355502620624213E-2</v>
      </c>
    </row>
    <row r="10" spans="2:15" ht="15" customHeight="1" x14ac:dyDescent="0.25">
      <c r="B10" s="47" t="s">
        <v>312</v>
      </c>
      <c r="C10" s="231">
        <f>C9*$O$4</f>
        <v>0</v>
      </c>
      <c r="D10" s="231">
        <f t="shared" ref="D10:L10" si="7">D9*$O$4</f>
        <v>15.997454290330809</v>
      </c>
      <c r="E10" s="231">
        <f t="shared" si="7"/>
        <v>16.140207818834163</v>
      </c>
      <c r="F10" s="231">
        <f t="shared" si="7"/>
        <v>19.662299617544146</v>
      </c>
      <c r="G10" s="231">
        <f t="shared" si="7"/>
        <v>21.828703703703702</v>
      </c>
      <c r="H10" s="231">
        <f t="shared" si="7"/>
        <v>19.21040371336067</v>
      </c>
      <c r="I10" s="231">
        <f t="shared" si="7"/>
        <v>20.233802344869506</v>
      </c>
      <c r="J10" s="231">
        <f t="shared" si="7"/>
        <v>20.424303253977961</v>
      </c>
      <c r="K10" s="231">
        <f t="shared" si="7"/>
        <v>19.956169770736043</v>
      </c>
      <c r="L10" s="232">
        <f t="shared" si="7"/>
        <v>20.204758456527838</v>
      </c>
      <c r="M10" s="27"/>
    </row>
    <row r="11" spans="2:15" ht="15" customHeight="1" x14ac:dyDescent="0.25">
      <c r="B11" s="26"/>
      <c r="C11" s="65"/>
      <c r="D11" s="65"/>
      <c r="E11" s="65"/>
      <c r="F11" s="65"/>
      <c r="G11" s="65"/>
      <c r="H11" s="65"/>
      <c r="I11" s="65"/>
      <c r="J11" s="65"/>
      <c r="K11" s="65"/>
      <c r="L11" s="66"/>
    </row>
    <row r="12" spans="2:15" ht="15" customHeight="1" x14ac:dyDescent="0.25">
      <c r="B12" s="233" t="s">
        <v>267</v>
      </c>
      <c r="C12" s="65"/>
      <c r="D12" s="65"/>
      <c r="E12" s="65"/>
      <c r="F12" s="65"/>
      <c r="G12" s="65"/>
      <c r="H12" s="65"/>
      <c r="I12" s="65"/>
      <c r="J12" s="65"/>
      <c r="K12" s="65"/>
      <c r="L12" s="66"/>
    </row>
    <row r="13" spans="2:15" ht="15" customHeight="1" x14ac:dyDescent="0.25">
      <c r="B13" s="47" t="s">
        <v>263</v>
      </c>
      <c r="C13" s="222">
        <f>'Balance Sheet'!C9</f>
        <v>1277.838</v>
      </c>
      <c r="D13" s="225">
        <f>C15</f>
        <v>2067.4540000000002</v>
      </c>
      <c r="E13" s="225">
        <f t="shared" ref="E13:L13" si="8">D15</f>
        <v>2263.5369999999998</v>
      </c>
      <c r="F13" s="225">
        <f t="shared" si="8"/>
        <v>3113</v>
      </c>
      <c r="G13" s="225">
        <f t="shared" si="8"/>
        <v>3552</v>
      </c>
      <c r="H13" s="225">
        <f t="shared" si="8"/>
        <v>4101</v>
      </c>
      <c r="I13" s="225">
        <f t="shared" si="8"/>
        <v>5139.2040610922668</v>
      </c>
      <c r="J13" s="225">
        <f t="shared" si="8"/>
        <v>6306.5540974121532</v>
      </c>
      <c r="K13" s="225">
        <f t="shared" si="8"/>
        <v>7655.8080054255215</v>
      </c>
      <c r="L13" s="226">
        <f t="shared" si="8"/>
        <v>9245.1349405802048</v>
      </c>
    </row>
    <row r="14" spans="2:15" ht="15" customHeight="1" x14ac:dyDescent="0.25">
      <c r="B14" s="47" t="s">
        <v>264</v>
      </c>
      <c r="C14" s="225">
        <f>C15-C13</f>
        <v>789.61600000000021</v>
      </c>
      <c r="D14" s="225">
        <f t="shared" ref="D14:G14" si="9">D15-D13</f>
        <v>196.08299999999963</v>
      </c>
      <c r="E14" s="225">
        <f t="shared" si="9"/>
        <v>849.46300000000019</v>
      </c>
      <c r="F14" s="225">
        <f t="shared" si="9"/>
        <v>439</v>
      </c>
      <c r="G14" s="225">
        <f t="shared" si="9"/>
        <v>549</v>
      </c>
      <c r="H14" s="225">
        <f t="shared" ref="H14" si="10">H15-H13</f>
        <v>1038.2040610922668</v>
      </c>
      <c r="I14" s="225">
        <f t="shared" ref="I14" si="11">I15-I13</f>
        <v>1167.3500363198864</v>
      </c>
      <c r="J14" s="225">
        <f t="shared" ref="J14" si="12">J15-J13</f>
        <v>1349.2539080133683</v>
      </c>
      <c r="K14" s="225">
        <f t="shared" ref="K14" si="13">K15-K13</f>
        <v>1589.3269351546833</v>
      </c>
      <c r="L14" s="226">
        <f t="shared" ref="L14" si="14">L15-L13</f>
        <v>1340.179145589118</v>
      </c>
    </row>
    <row r="15" spans="2:15" ht="15" customHeight="1" x14ac:dyDescent="0.25">
      <c r="B15" s="47" t="s">
        <v>265</v>
      </c>
      <c r="C15" s="222">
        <f>'Balance Sheet'!D9</f>
        <v>2067.4540000000002</v>
      </c>
      <c r="D15" s="222">
        <f>'Balance Sheet'!E9</f>
        <v>2263.5369999999998</v>
      </c>
      <c r="E15" s="222">
        <f>'Balance Sheet'!F9</f>
        <v>3113</v>
      </c>
      <c r="F15" s="222">
        <f>'Balance Sheet'!G9</f>
        <v>3552</v>
      </c>
      <c r="G15" s="222">
        <f>'Balance Sheet'!H9</f>
        <v>4101</v>
      </c>
      <c r="H15" s="222">
        <f>-H17*Inputs!G24</f>
        <v>5139.2040610922668</v>
      </c>
      <c r="I15" s="222">
        <f>-I17*Inputs!H24</f>
        <v>6306.5540974121532</v>
      </c>
      <c r="J15" s="222">
        <f>-J17*Inputs!I24</f>
        <v>7655.8080054255215</v>
      </c>
      <c r="K15" s="222">
        <f>-K17*Inputs!J24</f>
        <v>9245.1349405802048</v>
      </c>
      <c r="L15" s="227">
        <f>-L17*Inputs!K24</f>
        <v>10585.314086169323</v>
      </c>
    </row>
    <row r="16" spans="2:15" ht="15" customHeight="1" x14ac:dyDescent="0.25">
      <c r="B16" s="26"/>
      <c r="C16" s="65"/>
      <c r="D16" s="65"/>
      <c r="E16" s="65"/>
      <c r="F16" s="65"/>
      <c r="G16" s="65"/>
      <c r="H16" s="65"/>
      <c r="I16" s="65"/>
      <c r="J16" s="65"/>
      <c r="K16" s="65"/>
      <c r="L16" s="66"/>
    </row>
    <row r="17" spans="2:12" ht="15" customHeight="1" x14ac:dyDescent="0.3">
      <c r="B17" s="228" t="s">
        <v>311</v>
      </c>
      <c r="C17" s="180"/>
      <c r="D17" s="229">
        <f>-D15/Inputs!C24</f>
        <v>0.23736755453020134</v>
      </c>
      <c r="E17" s="229">
        <f>-E15/Inputs!D24</f>
        <v>0.17871289970721627</v>
      </c>
      <c r="F17" s="229">
        <f>-F15/Inputs!E24</f>
        <v>0.17319225705787702</v>
      </c>
      <c r="G17" s="229">
        <f>-G15/Inputs!F24</f>
        <v>0.16465911828475066</v>
      </c>
      <c r="H17" s="229">
        <f>Assumptions!G19</f>
        <v>0.17218809168328131</v>
      </c>
      <c r="I17" s="229">
        <f>Assumptions!H19</f>
        <v>0.17001315567530298</v>
      </c>
      <c r="J17" s="229">
        <f>Assumptions!I19</f>
        <v>0.16895345521444496</v>
      </c>
      <c r="K17" s="229">
        <f>Assumptions!J19</f>
        <v>0.17038490085767641</v>
      </c>
      <c r="L17" s="230">
        <f>Assumptions!K19</f>
        <v>0.16978383724914145</v>
      </c>
    </row>
    <row r="18" spans="2:12" ht="15" customHeight="1" x14ac:dyDescent="0.25">
      <c r="B18" s="26"/>
      <c r="C18" s="65"/>
      <c r="D18" s="65"/>
      <c r="E18" s="65"/>
      <c r="F18" s="65"/>
      <c r="G18" s="65"/>
      <c r="H18" s="65"/>
      <c r="I18" s="65"/>
      <c r="J18" s="65"/>
      <c r="K18" s="65"/>
      <c r="L18" s="66"/>
    </row>
    <row r="19" spans="2:12" ht="15" customHeight="1" x14ac:dyDescent="0.25">
      <c r="B19" s="234" t="s">
        <v>270</v>
      </c>
      <c r="C19" s="65"/>
      <c r="D19" s="65"/>
      <c r="E19" s="65"/>
      <c r="F19" s="65"/>
      <c r="G19" s="65"/>
      <c r="H19" s="65"/>
      <c r="I19" s="65"/>
      <c r="J19" s="65"/>
      <c r="K19" s="65"/>
      <c r="L19" s="66"/>
    </row>
    <row r="20" spans="2:12" ht="15" customHeight="1" x14ac:dyDescent="0.25">
      <c r="B20" s="47" t="s">
        <v>263</v>
      </c>
      <c r="C20" s="222">
        <f>SUM('Balance Sheet'!C10:C11)</f>
        <v>138.29500000000002</v>
      </c>
      <c r="D20" s="225">
        <f>C22</f>
        <v>299.98400000000004</v>
      </c>
      <c r="E20" s="225">
        <f t="shared" ref="E20:H20" si="15">D22</f>
        <v>423.68799999999999</v>
      </c>
      <c r="F20" s="225">
        <f t="shared" si="15"/>
        <v>559</v>
      </c>
      <c r="G20" s="225">
        <f t="shared" si="15"/>
        <v>959</v>
      </c>
      <c r="H20" s="225">
        <f t="shared" si="15"/>
        <v>1346</v>
      </c>
      <c r="I20" s="225">
        <f t="shared" ref="I20" si="16">H22</f>
        <v>1469.9815436073654</v>
      </c>
      <c r="J20" s="225">
        <f t="shared" ref="J20" si="17">I22</f>
        <v>2237.860925212955</v>
      </c>
      <c r="K20" s="225">
        <f t="shared" ref="K20" si="18">J22</f>
        <v>3019.1612106504463</v>
      </c>
      <c r="L20" s="226">
        <f t="shared" ref="L20" si="19">K22</f>
        <v>3749.7054393360813</v>
      </c>
    </row>
    <row r="21" spans="2:12" ht="15" customHeight="1" x14ac:dyDescent="0.25">
      <c r="B21" s="47" t="s">
        <v>264</v>
      </c>
      <c r="C21" s="225">
        <f>C22-C20</f>
        <v>161.68900000000002</v>
      </c>
      <c r="D21" s="225">
        <f t="shared" ref="D21:G21" si="20">D22-D20</f>
        <v>123.70399999999995</v>
      </c>
      <c r="E21" s="225">
        <f t="shared" si="20"/>
        <v>135.31200000000001</v>
      </c>
      <c r="F21" s="225">
        <f t="shared" si="20"/>
        <v>400</v>
      </c>
      <c r="G21" s="225">
        <f t="shared" si="20"/>
        <v>387</v>
      </c>
      <c r="H21" s="225">
        <f t="shared" ref="H21" si="21">H22-H20</f>
        <v>123.98154360736544</v>
      </c>
      <c r="I21" s="225">
        <f t="shared" ref="I21" si="22">I22-I20</f>
        <v>767.87938160558951</v>
      </c>
      <c r="J21" s="225">
        <f t="shared" ref="J21" si="23">J22-J20</f>
        <v>781.30028543749131</v>
      </c>
      <c r="K21" s="225">
        <f t="shared" ref="K21" si="24">K22-K20</f>
        <v>730.54422868563506</v>
      </c>
      <c r="L21" s="226">
        <f t="shared" ref="L21" si="25">L22-L20</f>
        <v>1016.7391509009876</v>
      </c>
    </row>
    <row r="22" spans="2:12" ht="15" customHeight="1" x14ac:dyDescent="0.25">
      <c r="B22" s="47" t="s">
        <v>265</v>
      </c>
      <c r="C22" s="222">
        <f>SUM('Balance Sheet'!D10:D11)</f>
        <v>299.98400000000004</v>
      </c>
      <c r="D22" s="222">
        <f>SUM('Balance Sheet'!E10:E11)</f>
        <v>423.68799999999999</v>
      </c>
      <c r="E22" s="222">
        <f>SUM('Balance Sheet'!F10:F11)</f>
        <v>559</v>
      </c>
      <c r="F22" s="222">
        <f>SUM('Balance Sheet'!G10:G11)</f>
        <v>959</v>
      </c>
      <c r="G22" s="222">
        <f>SUM('Balance Sheet'!H10:H11)</f>
        <v>1346</v>
      </c>
      <c r="H22" s="222">
        <f>H24*Inputs!G13</f>
        <v>1469.9815436073654</v>
      </c>
      <c r="I22" s="222">
        <f>I24*Inputs!H13</f>
        <v>2237.860925212955</v>
      </c>
      <c r="J22" s="222">
        <f>J24*Inputs!I13</f>
        <v>3019.1612106504463</v>
      </c>
      <c r="K22" s="222">
        <f>K24*Inputs!J13</f>
        <v>3749.7054393360813</v>
      </c>
      <c r="L22" s="227">
        <f>L24*Inputs!K13</f>
        <v>4766.444590237069</v>
      </c>
    </row>
    <row r="23" spans="2:12" ht="15" customHeight="1" x14ac:dyDescent="0.25">
      <c r="B23" s="47"/>
      <c r="C23" s="65"/>
      <c r="D23" s="65"/>
      <c r="E23" s="65"/>
      <c r="F23" s="65"/>
      <c r="G23" s="65"/>
      <c r="H23" s="65"/>
      <c r="I23" s="65"/>
      <c r="J23" s="65"/>
      <c r="K23" s="65"/>
      <c r="L23" s="66"/>
    </row>
    <row r="24" spans="2:12" ht="15" customHeight="1" x14ac:dyDescent="0.3">
      <c r="B24" s="228" t="s">
        <v>271</v>
      </c>
      <c r="C24" s="180"/>
      <c r="D24" s="229">
        <f>D22/Inputs!C13</f>
        <v>3.603095501318139E-2</v>
      </c>
      <c r="E24" s="229">
        <f>E22/Inputs!D13</f>
        <v>2.6047248497274127E-2</v>
      </c>
      <c r="F24" s="229">
        <f>F22/Inputs!E13</f>
        <v>3.9018634551224674E-2</v>
      </c>
      <c r="G24" s="229">
        <f>G22/Inputs!F13</f>
        <v>4.2681380010147131E-2</v>
      </c>
      <c r="H24" s="229">
        <f>Assumptions!G20</f>
        <v>3.5915754352881975E-2</v>
      </c>
      <c r="I24" s="229">
        <f>Assumptions!H20</f>
        <v>3.9205256304751253E-2</v>
      </c>
      <c r="J24" s="229">
        <f>Assumptions!I20</f>
        <v>3.9267463555926786E-2</v>
      </c>
      <c r="K24" s="229">
        <f>Assumptions!J20</f>
        <v>3.8129491404520009E-2</v>
      </c>
      <c r="L24" s="230">
        <f>Assumptions!K20</f>
        <v>3.8867403755066011E-2</v>
      </c>
    </row>
    <row r="25" spans="2:12" ht="15" customHeight="1" x14ac:dyDescent="0.25">
      <c r="B25" s="26"/>
      <c r="C25" s="65"/>
      <c r="D25" s="65"/>
      <c r="E25" s="65"/>
      <c r="F25" s="65"/>
      <c r="G25" s="65"/>
      <c r="H25" s="65"/>
      <c r="I25" s="65"/>
      <c r="J25" s="65"/>
      <c r="K25" s="65"/>
      <c r="L25" s="66"/>
    </row>
    <row r="26" spans="2:12" ht="15" customHeight="1" x14ac:dyDescent="0.25">
      <c r="B26" s="235" t="s">
        <v>273</v>
      </c>
      <c r="C26" s="236">
        <f>C7+C15+C22</f>
        <v>2866.58</v>
      </c>
      <c r="D26" s="237">
        <f t="shared" ref="D26:L26" si="26">D7+D15+D22</f>
        <v>3202.6059999999998</v>
      </c>
      <c r="E26" s="237">
        <f t="shared" si="26"/>
        <v>4621</v>
      </c>
      <c r="F26" s="237">
        <f t="shared" si="26"/>
        <v>5835</v>
      </c>
      <c r="G26" s="237">
        <f t="shared" si="26"/>
        <v>7333</v>
      </c>
      <c r="H26" s="237">
        <f t="shared" si="26"/>
        <v>8763.308699008272</v>
      </c>
      <c r="I26" s="237">
        <f t="shared" si="26"/>
        <v>11708.684300185767</v>
      </c>
      <c r="J26" s="237">
        <f t="shared" si="26"/>
        <v>14977.340037181417</v>
      </c>
      <c r="K26" s="237">
        <f t="shared" si="26"/>
        <v>18371.598080838186</v>
      </c>
      <c r="L26" s="238">
        <f t="shared" si="26"/>
        <v>22140.196043323082</v>
      </c>
    </row>
    <row r="27" spans="2:12" ht="15" customHeight="1" x14ac:dyDescent="0.25">
      <c r="B27" s="26"/>
      <c r="C27" s="65"/>
      <c r="D27" s="65"/>
      <c r="E27" s="65"/>
      <c r="F27" s="65"/>
      <c r="G27" s="65"/>
      <c r="H27" s="65"/>
      <c r="I27" s="65"/>
      <c r="J27" s="65"/>
      <c r="K27" s="65"/>
      <c r="L27" s="66"/>
    </row>
    <row r="28" spans="2:12" ht="15" customHeight="1" x14ac:dyDescent="0.25">
      <c r="B28" s="36" t="s">
        <v>274</v>
      </c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2:12" ht="15" customHeight="1" x14ac:dyDescent="0.25">
      <c r="B29" s="47" t="s">
        <v>263</v>
      </c>
      <c r="C29" s="222">
        <f>'Balance Sheet'!C32</f>
        <v>916.14800000000002</v>
      </c>
      <c r="D29" s="225">
        <f>C31</f>
        <v>1860.3409999999999</v>
      </c>
      <c r="E29" s="225">
        <f t="shared" ref="E29:L29" si="27">D31</f>
        <v>2390.25</v>
      </c>
      <c r="F29" s="225">
        <f t="shared" si="27"/>
        <v>3405</v>
      </c>
      <c r="G29" s="225">
        <f t="shared" si="27"/>
        <v>3771</v>
      </c>
      <c r="H29" s="225">
        <f t="shared" si="27"/>
        <v>6051</v>
      </c>
      <c r="I29" s="225">
        <f t="shared" si="27"/>
        <v>6191.1516074075143</v>
      </c>
      <c r="J29" s="225">
        <f t="shared" si="27"/>
        <v>7842.4884366875531</v>
      </c>
      <c r="K29" s="225">
        <f t="shared" si="27"/>
        <v>9996.1652785093902</v>
      </c>
      <c r="L29" s="226">
        <f t="shared" si="27"/>
        <v>11565.664114647925</v>
      </c>
    </row>
    <row r="30" spans="2:12" ht="15" customHeight="1" x14ac:dyDescent="0.25">
      <c r="B30" s="47" t="s">
        <v>264</v>
      </c>
      <c r="C30" s="225">
        <f>C31-C29</f>
        <v>944.19299999999987</v>
      </c>
      <c r="D30" s="225">
        <f t="shared" ref="D30:G30" si="28">D31-D29</f>
        <v>529.90900000000011</v>
      </c>
      <c r="E30" s="225">
        <f t="shared" si="28"/>
        <v>1014.75</v>
      </c>
      <c r="F30" s="225">
        <f t="shared" si="28"/>
        <v>366</v>
      </c>
      <c r="G30" s="225">
        <f t="shared" si="28"/>
        <v>2280</v>
      </c>
      <c r="H30" s="225">
        <f t="shared" ref="H30" si="29">H31-H29</f>
        <v>140.15160740751435</v>
      </c>
      <c r="I30" s="225">
        <f t="shared" ref="I30" si="30">I31-I29</f>
        <v>1651.3368292800387</v>
      </c>
      <c r="J30" s="225">
        <f t="shared" ref="J30" si="31">J31-J29</f>
        <v>2153.6768418218371</v>
      </c>
      <c r="K30" s="225">
        <f t="shared" ref="K30" si="32">K31-K29</f>
        <v>1569.4988361385349</v>
      </c>
      <c r="L30" s="226">
        <f t="shared" ref="L30" si="33">L31-L29</f>
        <v>1842.2774281484762</v>
      </c>
    </row>
    <row r="31" spans="2:12" ht="15" customHeight="1" x14ac:dyDescent="0.25">
      <c r="B31" s="47" t="s">
        <v>265</v>
      </c>
      <c r="C31" s="222">
        <f>'Balance Sheet'!D32</f>
        <v>1860.3409999999999</v>
      </c>
      <c r="D31" s="222">
        <f>'Balance Sheet'!E32</f>
        <v>2390.25</v>
      </c>
      <c r="E31" s="222">
        <f>'Balance Sheet'!F32</f>
        <v>3405</v>
      </c>
      <c r="F31" s="222">
        <f>'Balance Sheet'!G32</f>
        <v>3771</v>
      </c>
      <c r="G31" s="222">
        <f>'Balance Sheet'!H32</f>
        <v>6051</v>
      </c>
      <c r="H31" s="222">
        <f>-H33*Inputs!G24</f>
        <v>6191.1516074075143</v>
      </c>
      <c r="I31" s="222">
        <f>-I33*Inputs!H24</f>
        <v>7842.4884366875531</v>
      </c>
      <c r="J31" s="222">
        <f>-J33*Inputs!I24</f>
        <v>9996.1652785093902</v>
      </c>
      <c r="K31" s="222">
        <f>-K33*Inputs!J24</f>
        <v>11565.664114647925</v>
      </c>
      <c r="L31" s="227">
        <f>-L33*Inputs!K24</f>
        <v>13407.941542796401</v>
      </c>
    </row>
    <row r="32" spans="2:12" ht="15" customHeight="1" x14ac:dyDescent="0.25">
      <c r="B32" s="26"/>
      <c r="C32" s="65"/>
      <c r="D32" s="65"/>
      <c r="E32" s="65"/>
      <c r="F32" s="65"/>
      <c r="G32" s="65"/>
      <c r="H32" s="65"/>
      <c r="I32" s="65"/>
      <c r="J32" s="65"/>
      <c r="K32" s="65"/>
      <c r="L32" s="66"/>
    </row>
    <row r="33" spans="2:12" ht="15" customHeight="1" x14ac:dyDescent="0.3">
      <c r="B33" s="228" t="s">
        <v>275</v>
      </c>
      <c r="C33" s="65"/>
      <c r="D33" s="229">
        <f>-D31/Inputs!C24</f>
        <v>0.2506554110738255</v>
      </c>
      <c r="E33" s="229">
        <f>-E31/Inputs!D24</f>
        <v>0.19547620414489925</v>
      </c>
      <c r="F33" s="229">
        <f>-F31/Inputs!E24</f>
        <v>0.18387049587985763</v>
      </c>
      <c r="G33" s="229">
        <f>-G31/Inputs!F24</f>
        <v>0.24295350517947484</v>
      </c>
      <c r="H33" s="229">
        <f>Assumptions!G21</f>
        <v>0.20743340173474389</v>
      </c>
      <c r="I33" s="229">
        <f>Assumptions!H21</f>
        <v>0.21141913426469214</v>
      </c>
      <c r="J33" s="229">
        <f>Assumptions!I21</f>
        <v>0.22060201372630361</v>
      </c>
      <c r="K33" s="229">
        <f>Assumptions!J21</f>
        <v>0.21315151657524656</v>
      </c>
      <c r="L33" s="230">
        <f>Assumptions!K21</f>
        <v>0.21505755485541411</v>
      </c>
    </row>
    <row r="34" spans="2:12" ht="15" customHeight="1" x14ac:dyDescent="0.25">
      <c r="B34" s="47" t="s">
        <v>276</v>
      </c>
      <c r="C34" s="65"/>
      <c r="D34" s="231">
        <f>((AVERAGE(D31,D29))/-Inputs!C24)*$O$4</f>
        <v>81.347824821728196</v>
      </c>
      <c r="E34" s="231">
        <f>(AVERAGE(E31,E29))/-Inputs!D24*$O$4</f>
        <v>60.717212526551471</v>
      </c>
      <c r="F34" s="231">
        <f>(AVERAGE(F31,F29))/-Inputs!E24*$O$4</f>
        <v>63.85586815544395</v>
      </c>
      <c r="G34" s="231">
        <f>(AVERAGE(G31,G29))/-Inputs!F24*$O$4</f>
        <v>71.971211756203331</v>
      </c>
      <c r="H34" s="231">
        <f>(AVERAGE(H31,H29))/-Inputs!G24*$O$4</f>
        <v>74.856216535313834</v>
      </c>
      <c r="I34" s="231">
        <f>(AVERAGE(I31,I29))/-Inputs!H24*$O$4</f>
        <v>69.043628130275792</v>
      </c>
      <c r="J34" s="231">
        <f>(AVERAGE(J31,J29))/-Inputs!I24*$O$4</f>
        <v>71.845734342379558</v>
      </c>
      <c r="K34" s="231">
        <f>(AVERAGE(K31,K29))/-Inputs!J24*$O$4</f>
        <v>72.521424418491449</v>
      </c>
      <c r="L34" s="232">
        <f>(AVERAGE(L31,L29))/-Inputs!K24*$O$4</f>
        <v>73.103254936141653</v>
      </c>
    </row>
    <row r="35" spans="2:12" ht="15" customHeight="1" x14ac:dyDescent="0.25">
      <c r="B35" s="26"/>
      <c r="C35" s="65"/>
      <c r="D35" s="65"/>
      <c r="E35" s="65"/>
      <c r="F35" s="65"/>
      <c r="G35" s="65"/>
      <c r="H35" s="65"/>
      <c r="I35" s="65"/>
      <c r="J35" s="65"/>
      <c r="K35" s="65"/>
      <c r="L35" s="66"/>
    </row>
    <row r="36" spans="2:12" ht="15" customHeight="1" x14ac:dyDescent="0.25">
      <c r="B36" s="36" t="s">
        <v>412</v>
      </c>
      <c r="C36" s="65"/>
      <c r="D36" s="65"/>
      <c r="E36" s="65"/>
      <c r="F36" s="65"/>
      <c r="G36" s="65"/>
      <c r="H36" s="65"/>
      <c r="I36" s="65"/>
      <c r="J36" s="65"/>
      <c r="K36" s="65"/>
      <c r="L36" s="66"/>
    </row>
    <row r="37" spans="2:12" ht="15" customHeight="1" x14ac:dyDescent="0.25">
      <c r="B37" s="47" t="s">
        <v>263</v>
      </c>
      <c r="C37" s="222">
        <f>'Balance Sheet'!C33+'Balance Sheet'!C34</f>
        <v>422.798</v>
      </c>
      <c r="D37" s="225">
        <f>C39</f>
        <v>1210.028</v>
      </c>
      <c r="E37" s="225">
        <f t="shared" ref="E37:L37" si="34">D39</f>
        <v>1731.366</v>
      </c>
      <c r="F37" s="225">
        <f t="shared" si="34"/>
        <v>2094</v>
      </c>
      <c r="G37" s="225">
        <f t="shared" si="34"/>
        <v>3222</v>
      </c>
      <c r="H37" s="225">
        <f t="shared" si="34"/>
        <v>3855</v>
      </c>
      <c r="I37" s="225">
        <f t="shared" si="34"/>
        <v>4787.3697172387729</v>
      </c>
      <c r="J37" s="225">
        <f t="shared" si="34"/>
        <v>7045.7083640663695</v>
      </c>
      <c r="K37" s="225">
        <f t="shared" si="34"/>
        <v>9294.2238804417993</v>
      </c>
      <c r="L37" s="226">
        <f t="shared" si="34"/>
        <v>11843.070040233401</v>
      </c>
    </row>
    <row r="38" spans="2:12" ht="15" customHeight="1" x14ac:dyDescent="0.25">
      <c r="B38" s="47" t="s">
        <v>264</v>
      </c>
      <c r="C38" s="225">
        <f>C39-C37</f>
        <v>787.23</v>
      </c>
      <c r="D38" s="225">
        <f t="shared" ref="D38:L38" si="35">D39-D37</f>
        <v>521.33799999999997</v>
      </c>
      <c r="E38" s="225">
        <f t="shared" si="35"/>
        <v>362.63400000000001</v>
      </c>
      <c r="F38" s="225">
        <f t="shared" si="35"/>
        <v>1128</v>
      </c>
      <c r="G38" s="225">
        <f t="shared" si="35"/>
        <v>633</v>
      </c>
      <c r="H38" s="225">
        <f t="shared" si="35"/>
        <v>932.36971723877286</v>
      </c>
      <c r="I38" s="225">
        <f t="shared" si="35"/>
        <v>2258.3386468275967</v>
      </c>
      <c r="J38" s="225">
        <f t="shared" si="35"/>
        <v>2248.5155163754298</v>
      </c>
      <c r="K38" s="225">
        <f t="shared" si="35"/>
        <v>2548.8461597916012</v>
      </c>
      <c r="L38" s="226">
        <f t="shared" si="35"/>
        <v>3066.8685448447523</v>
      </c>
    </row>
    <row r="39" spans="2:12" ht="15" customHeight="1" x14ac:dyDescent="0.25">
      <c r="B39" s="47" t="s">
        <v>265</v>
      </c>
      <c r="C39" s="222">
        <f>'Balance Sheet'!D33+'Balance Sheet'!D34</f>
        <v>1210.028</v>
      </c>
      <c r="D39" s="222">
        <f>'Balance Sheet'!E33+'Balance Sheet'!E34</f>
        <v>1731.366</v>
      </c>
      <c r="E39" s="222">
        <f>'Balance Sheet'!F33+'Balance Sheet'!F34</f>
        <v>2094</v>
      </c>
      <c r="F39" s="222">
        <f>'Balance Sheet'!G33+'Balance Sheet'!G34</f>
        <v>3222</v>
      </c>
      <c r="G39" s="222">
        <f>'Balance Sheet'!H33+'Balance Sheet'!H34</f>
        <v>3855</v>
      </c>
      <c r="H39" s="222">
        <f>H41*Inputs!G13</f>
        <v>4787.3697172387729</v>
      </c>
      <c r="I39" s="222">
        <f>I41*Inputs!H13</f>
        <v>7045.7083640663695</v>
      </c>
      <c r="J39" s="222">
        <f>J41*Inputs!I13</f>
        <v>9294.2238804417993</v>
      </c>
      <c r="K39" s="222">
        <f>K41*Inputs!J13</f>
        <v>11843.070040233401</v>
      </c>
      <c r="L39" s="227">
        <f>L41*Inputs!K13</f>
        <v>14909.938585078153</v>
      </c>
    </row>
    <row r="40" spans="2:12" ht="15" customHeight="1" x14ac:dyDescent="0.25">
      <c r="B40" s="26"/>
      <c r="C40" s="65"/>
      <c r="D40" s="65"/>
      <c r="E40" s="65"/>
      <c r="F40" s="65"/>
      <c r="G40" s="65"/>
      <c r="H40" s="65"/>
      <c r="I40" s="65"/>
      <c r="J40" s="65"/>
      <c r="K40" s="65"/>
      <c r="L40" s="66"/>
    </row>
    <row r="41" spans="2:12" ht="15" customHeight="1" x14ac:dyDescent="0.3">
      <c r="B41" s="228" t="s">
        <v>413</v>
      </c>
      <c r="C41" s="65"/>
      <c r="D41" s="229">
        <f>D39/Inputs!C13</f>
        <v>0.14723752019729569</v>
      </c>
      <c r="E41" s="229">
        <f>E39/Inputs!D13</f>
        <v>9.757234052467266E-2</v>
      </c>
      <c r="F41" s="229">
        <f>F39/Inputs!E13</f>
        <v>0.13109284726177883</v>
      </c>
      <c r="G41" s="229">
        <f>G39/Inputs!F13</f>
        <v>0.12224124809741248</v>
      </c>
      <c r="H41" s="229">
        <f>Assumptions!G22</f>
        <v>0.116968811961288</v>
      </c>
      <c r="I41" s="229">
        <f>Assumptions!H22</f>
        <v>0.12343430244015978</v>
      </c>
      <c r="J41" s="229">
        <f>Assumptions!I22</f>
        <v>0.12088145416628676</v>
      </c>
      <c r="K41" s="229">
        <f>Assumptions!J22</f>
        <v>0.12042818952257818</v>
      </c>
      <c r="L41" s="230">
        <f>Assumptions!K22</f>
        <v>0.12158131537634158</v>
      </c>
    </row>
    <row r="42" spans="2:12" ht="15" customHeight="1" x14ac:dyDescent="0.25">
      <c r="B42" s="26"/>
      <c r="C42" s="65"/>
      <c r="D42" s="65"/>
      <c r="E42" s="65"/>
      <c r="F42" s="65"/>
      <c r="G42" s="65"/>
      <c r="H42" s="65"/>
      <c r="I42" s="65"/>
      <c r="J42" s="65"/>
      <c r="K42" s="65"/>
      <c r="L42" s="66"/>
    </row>
    <row r="43" spans="2:12" ht="15" customHeight="1" x14ac:dyDescent="0.25">
      <c r="B43" s="235" t="s">
        <v>414</v>
      </c>
      <c r="C43" s="239">
        <f>C39+C31</f>
        <v>3070.3689999999997</v>
      </c>
      <c r="D43" s="237">
        <f t="shared" ref="D43:L43" si="36">D39+D31</f>
        <v>4121.616</v>
      </c>
      <c r="E43" s="237">
        <f t="shared" si="36"/>
        <v>5499</v>
      </c>
      <c r="F43" s="237">
        <f t="shared" si="36"/>
        <v>6993</v>
      </c>
      <c r="G43" s="237">
        <f t="shared" si="36"/>
        <v>9906</v>
      </c>
      <c r="H43" s="237">
        <f t="shared" si="36"/>
        <v>10978.521324646288</v>
      </c>
      <c r="I43" s="237">
        <f t="shared" si="36"/>
        <v>14888.196800753922</v>
      </c>
      <c r="J43" s="237">
        <f t="shared" si="36"/>
        <v>19290.389158951191</v>
      </c>
      <c r="K43" s="237">
        <f t="shared" si="36"/>
        <v>23408.734154881327</v>
      </c>
      <c r="L43" s="238">
        <f t="shared" si="36"/>
        <v>28317.880127874552</v>
      </c>
    </row>
    <row r="44" spans="2:12" ht="15" customHeight="1" x14ac:dyDescent="0.25">
      <c r="B44" s="26"/>
      <c r="C44" s="65"/>
      <c r="D44" s="65"/>
      <c r="E44" s="65"/>
      <c r="F44" s="65"/>
      <c r="G44" s="65"/>
      <c r="H44" s="65"/>
      <c r="I44" s="65"/>
      <c r="J44" s="65"/>
      <c r="K44" s="65"/>
      <c r="L44" s="66"/>
    </row>
    <row r="45" spans="2:12" ht="15" customHeight="1" x14ac:dyDescent="0.25">
      <c r="B45" s="26" t="s">
        <v>278</v>
      </c>
      <c r="C45" s="225">
        <f>C26-C43</f>
        <v>-203.78899999999976</v>
      </c>
      <c r="D45" s="225">
        <f t="shared" ref="D45:L45" si="37">D26-D43</f>
        <v>-919.01000000000022</v>
      </c>
      <c r="E45" s="225">
        <f t="shared" si="37"/>
        <v>-878</v>
      </c>
      <c r="F45" s="225">
        <f t="shared" si="37"/>
        <v>-1158</v>
      </c>
      <c r="G45" s="225">
        <f t="shared" si="37"/>
        <v>-2573</v>
      </c>
      <c r="H45" s="225">
        <f t="shared" si="37"/>
        <v>-2215.2126256380161</v>
      </c>
      <c r="I45" s="225">
        <f t="shared" si="37"/>
        <v>-3179.5125005681548</v>
      </c>
      <c r="J45" s="225">
        <f t="shared" si="37"/>
        <v>-4313.0491217697745</v>
      </c>
      <c r="K45" s="225">
        <f t="shared" si="37"/>
        <v>-5037.136074043141</v>
      </c>
      <c r="L45" s="226">
        <f t="shared" si="37"/>
        <v>-6177.6840845514707</v>
      </c>
    </row>
    <row r="46" spans="2:12" ht="15" customHeight="1" x14ac:dyDescent="0.25">
      <c r="B46" s="26"/>
      <c r="C46" s="65"/>
      <c r="D46" s="65"/>
      <c r="E46" s="65"/>
      <c r="F46" s="65"/>
      <c r="G46" s="65"/>
      <c r="H46" s="65"/>
      <c r="I46" s="65"/>
      <c r="J46" s="65"/>
      <c r="K46" s="65"/>
      <c r="L46" s="66"/>
    </row>
    <row r="47" spans="2:12" ht="15" customHeight="1" thickBot="1" x14ac:dyDescent="0.3">
      <c r="B47" s="82" t="s">
        <v>293</v>
      </c>
      <c r="C47" s="240"/>
      <c r="D47" s="241">
        <f>-(D45-C45)</f>
        <v>715.22100000000046</v>
      </c>
      <c r="E47" s="241">
        <f t="shared" ref="E47:L47" si="38">-(E45-D45)</f>
        <v>-41.010000000000218</v>
      </c>
      <c r="F47" s="241">
        <f t="shared" si="38"/>
        <v>280</v>
      </c>
      <c r="G47" s="241">
        <f t="shared" si="38"/>
        <v>1415</v>
      </c>
      <c r="H47" s="241">
        <f t="shared" si="38"/>
        <v>-357.78737436198389</v>
      </c>
      <c r="I47" s="241">
        <f t="shared" si="38"/>
        <v>964.29987493013869</v>
      </c>
      <c r="J47" s="241">
        <f t="shared" si="38"/>
        <v>1133.5366212016197</v>
      </c>
      <c r="K47" s="241">
        <f t="shared" si="38"/>
        <v>724.08695227336648</v>
      </c>
      <c r="L47" s="242">
        <f t="shared" si="38"/>
        <v>1140.5480105083298</v>
      </c>
    </row>
  </sheetData>
  <pageMargins left="0.7" right="0.7" top="0.75" bottom="0.75" header="0.3" footer="0.3"/>
  <pageSetup scale="56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EDAD-BF64-4761-AA33-9E7B8E1A0F5E}">
  <sheetPr>
    <tabColor theme="9"/>
  </sheetPr>
  <dimension ref="B1:C11"/>
  <sheetViews>
    <sheetView showGridLines="0" view="pageBreakPreview" zoomScaleNormal="100" zoomScaleSheetLayoutView="100" workbookViewId="0"/>
  </sheetViews>
  <sheetFormatPr defaultRowHeight="15" customHeight="1" x14ac:dyDescent="0.25"/>
  <cols>
    <col min="1" max="1" width="2.77734375" style="24" customWidth="1"/>
    <col min="2" max="2" width="32.6640625" style="24" bestFit="1" customWidth="1"/>
    <col min="3" max="3" width="11.6640625" style="24" bestFit="1" customWidth="1"/>
    <col min="4" max="16384" width="8.88671875" style="24"/>
  </cols>
  <sheetData>
    <row r="1" spans="2:3" ht="15" customHeight="1" thickBot="1" x14ac:dyDescent="0.3"/>
    <row r="2" spans="2:3" ht="15" customHeight="1" x14ac:dyDescent="0.25">
      <c r="B2" s="243" t="s">
        <v>200</v>
      </c>
      <c r="C2" s="244"/>
    </row>
    <row r="3" spans="2:3" ht="15" customHeight="1" x14ac:dyDescent="0.25">
      <c r="B3" s="245" t="s">
        <v>201</v>
      </c>
      <c r="C3" s="246">
        <f>'Trading Multiples'!B12</f>
        <v>714246.2</v>
      </c>
    </row>
    <row r="4" spans="2:3" ht="15" customHeight="1" x14ac:dyDescent="0.25">
      <c r="B4" s="247" t="s">
        <v>202</v>
      </c>
      <c r="C4" s="248">
        <f>SUM('Trading Multiples'!C12:E12)</f>
        <v>10329</v>
      </c>
    </row>
    <row r="5" spans="2:3" ht="15" customHeight="1" x14ac:dyDescent="0.25">
      <c r="B5" s="247" t="s">
        <v>203</v>
      </c>
      <c r="C5" s="248">
        <f>'Trading Multiples'!F12</f>
        <v>1454</v>
      </c>
    </row>
    <row r="6" spans="2:3" ht="15" customHeight="1" x14ac:dyDescent="0.25">
      <c r="B6" s="247" t="s">
        <v>204</v>
      </c>
      <c r="C6" s="248" t="str">
        <f>'Trading Multiples'!G12</f>
        <v>-</v>
      </c>
    </row>
    <row r="7" spans="2:3" ht="15" customHeight="1" x14ac:dyDescent="0.25">
      <c r="B7" s="247" t="s">
        <v>205</v>
      </c>
      <c r="C7" s="248">
        <f>'Trading Multiples'!H12</f>
        <v>-19384</v>
      </c>
    </row>
    <row r="8" spans="2:3" ht="15" customHeight="1" x14ac:dyDescent="0.25">
      <c r="B8" s="247" t="s">
        <v>206</v>
      </c>
      <c r="C8" s="248" t="str">
        <f>'Trading Multiples'!I12</f>
        <v>-</v>
      </c>
    </row>
    <row r="9" spans="2:3" ht="15" customHeight="1" x14ac:dyDescent="0.25">
      <c r="B9" s="247" t="s">
        <v>207</v>
      </c>
      <c r="C9" s="248" t="str">
        <f>'Trading Multiples'!J12</f>
        <v>-</v>
      </c>
    </row>
    <row r="10" spans="2:3" ht="4.95" customHeight="1" x14ac:dyDescent="0.25">
      <c r="B10" s="247"/>
      <c r="C10" s="248"/>
    </row>
    <row r="11" spans="2:3" ht="15" customHeight="1" thickBot="1" x14ac:dyDescent="0.3">
      <c r="B11" s="249" t="s">
        <v>182</v>
      </c>
      <c r="C11" s="250">
        <f>SUM(C3:C9)</f>
        <v>706645.2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E858-6263-4B59-98FA-17195DD89165}">
  <sheetPr>
    <tabColor theme="9"/>
    <pageSetUpPr fitToPage="1"/>
  </sheetPr>
  <dimension ref="B1:O38"/>
  <sheetViews>
    <sheetView showGridLines="0" view="pageBreakPreview" zoomScaleNormal="100" zoomScaleSheetLayoutView="100" workbookViewId="0"/>
  </sheetViews>
  <sheetFormatPr defaultColWidth="15.77734375" defaultRowHeight="16.05" customHeight="1" x14ac:dyDescent="0.25"/>
  <cols>
    <col min="1" max="1" width="2.77734375" style="24" customWidth="1"/>
    <col min="2" max="2" width="29.88671875" style="24" bestFit="1" customWidth="1"/>
    <col min="3" max="8" width="23.77734375" style="24" customWidth="1"/>
    <col min="9" max="9" width="15.77734375" style="24"/>
    <col min="10" max="10" width="29.88671875" style="24" bestFit="1" customWidth="1"/>
    <col min="11" max="16384" width="15.77734375" style="24"/>
  </cols>
  <sheetData>
    <row r="1" spans="2:15" ht="16.05" customHeight="1" thickBot="1" x14ac:dyDescent="0.3"/>
    <row r="2" spans="2:15" ht="16.05" customHeight="1" x14ac:dyDescent="0.25">
      <c r="B2" s="59" t="s">
        <v>243</v>
      </c>
      <c r="C2" s="92" t="s">
        <v>253</v>
      </c>
      <c r="D2" s="92" t="s">
        <v>245</v>
      </c>
      <c r="E2" s="92" t="s">
        <v>246</v>
      </c>
      <c r="F2" s="92" t="s">
        <v>247</v>
      </c>
      <c r="G2" s="92" t="s">
        <v>314</v>
      </c>
      <c r="H2" s="93" t="s">
        <v>313</v>
      </c>
      <c r="J2" s="99" t="s">
        <v>416</v>
      </c>
      <c r="K2" s="100"/>
      <c r="L2" s="100"/>
      <c r="M2" s="100"/>
      <c r="N2" s="100"/>
      <c r="O2" s="101"/>
    </row>
    <row r="3" spans="2:15" ht="16.05" customHeight="1" x14ac:dyDescent="0.25">
      <c r="B3" s="26" t="s">
        <v>244</v>
      </c>
      <c r="C3" s="251">
        <v>1.51</v>
      </c>
      <c r="D3" s="164">
        <f>SUM('Trading Multiples'!C4:E4)</f>
        <v>203457</v>
      </c>
      <c r="E3" s="164">
        <f>'Trading Multiples'!B4</f>
        <v>157524.5</v>
      </c>
      <c r="F3" s="166">
        <f t="shared" ref="F3:F8" si="0">D3/E3</f>
        <v>1.2915895622585694</v>
      </c>
      <c r="G3" s="252">
        <f>K5</f>
        <v>0.18826700747809566</v>
      </c>
      <c r="H3" s="253">
        <f t="shared" ref="H3:H8" si="1">C3/(1+(1-G3)*F3)</f>
        <v>0.73715140446652139</v>
      </c>
      <c r="J3" s="26"/>
      <c r="K3" s="37">
        <v>2016</v>
      </c>
      <c r="L3" s="37">
        <v>2017</v>
      </c>
      <c r="M3" s="37">
        <v>2018</v>
      </c>
      <c r="N3" s="37">
        <v>2019</v>
      </c>
      <c r="O3" s="38">
        <v>2020</v>
      </c>
    </row>
    <row r="4" spans="2:15" ht="16.05" customHeight="1" x14ac:dyDescent="0.25">
      <c r="B4" s="26" t="s">
        <v>197</v>
      </c>
      <c r="C4" s="251">
        <v>1.39</v>
      </c>
      <c r="D4" s="165">
        <f>SUM('Trading Multiples'!C5:E5)</f>
        <v>109657</v>
      </c>
      <c r="E4" s="165">
        <f>'Trading Multiples'!B5</f>
        <v>82838.100000000006</v>
      </c>
      <c r="F4" s="166">
        <f t="shared" si="0"/>
        <v>1.3237507861720632</v>
      </c>
      <c r="G4" s="252">
        <f>K10</f>
        <v>0.35767692061300649</v>
      </c>
      <c r="H4" s="253">
        <f t="shared" si="1"/>
        <v>0.75123940396391375</v>
      </c>
      <c r="J4" s="26"/>
      <c r="K4" s="27"/>
      <c r="L4" s="27"/>
      <c r="M4" s="27"/>
      <c r="N4" s="27"/>
      <c r="O4" s="29"/>
    </row>
    <row r="5" spans="2:15" ht="16.05" customHeight="1" x14ac:dyDescent="0.25">
      <c r="B5" s="26" t="s">
        <v>332</v>
      </c>
      <c r="C5" s="251">
        <v>0.63</v>
      </c>
      <c r="D5" s="165">
        <f>SUM('Trading Multiples'!C6:E6)</f>
        <v>7888.75</v>
      </c>
      <c r="E5" s="165">
        <f>'Trading Multiples'!B6</f>
        <v>71097.2</v>
      </c>
      <c r="F5" s="166">
        <f t="shared" si="0"/>
        <v>0.11095725288759614</v>
      </c>
      <c r="G5" s="252">
        <f>K15</f>
        <v>0.108883959469396</v>
      </c>
      <c r="H5" s="253">
        <f t="shared" si="1"/>
        <v>0.57331320514952622</v>
      </c>
      <c r="J5" s="36" t="s">
        <v>244</v>
      </c>
      <c r="K5" s="254">
        <f>AVERAGE(K8:O8)</f>
        <v>0.18826700747809566</v>
      </c>
      <c r="L5" s="27"/>
      <c r="M5" s="27"/>
      <c r="N5" s="27"/>
      <c r="O5" s="29"/>
    </row>
    <row r="6" spans="2:15" ht="16.05" customHeight="1" x14ac:dyDescent="0.25">
      <c r="B6" s="26" t="s">
        <v>198</v>
      </c>
      <c r="C6" s="251">
        <v>1.2</v>
      </c>
      <c r="D6" s="165">
        <f>SUM('Trading Multiples'!C7:E7)</f>
        <v>161270</v>
      </c>
      <c r="E6" s="165">
        <f>'Trading Multiples'!B7</f>
        <v>46816.800000000003</v>
      </c>
      <c r="F6" s="166">
        <f t="shared" si="0"/>
        <v>3.444703610669674</v>
      </c>
      <c r="G6" s="252">
        <f>K20</f>
        <v>7.0774504350765197E-2</v>
      </c>
      <c r="H6" s="253">
        <f t="shared" si="1"/>
        <v>0.28565263779502964</v>
      </c>
      <c r="J6" s="26" t="s">
        <v>231</v>
      </c>
      <c r="K6" s="255">
        <v>15802.8</v>
      </c>
      <c r="L6" s="255">
        <v>18114.8</v>
      </c>
      <c r="M6" s="255">
        <v>20397.3</v>
      </c>
      <c r="N6" s="255">
        <v>21467.8</v>
      </c>
      <c r="O6" s="256">
        <v>14193.3</v>
      </c>
    </row>
    <row r="7" spans="2:15" ht="16.05" customHeight="1" x14ac:dyDescent="0.25">
      <c r="B7" s="26" t="s">
        <v>335</v>
      </c>
      <c r="C7" s="251">
        <v>0.99</v>
      </c>
      <c r="D7" s="165">
        <f>SUM('Trading Multiples'!C8:E8)</f>
        <v>590.24</v>
      </c>
      <c r="E7" s="165">
        <f>'Trading Multiples'!B8</f>
        <v>13157.9</v>
      </c>
      <c r="F7" s="166">
        <f t="shared" si="0"/>
        <v>4.4858222056711181E-2</v>
      </c>
      <c r="G7" s="252">
        <f>K25</f>
        <v>0.13011166053792819</v>
      </c>
      <c r="H7" s="253">
        <f t="shared" si="1"/>
        <v>0.95281941953255256</v>
      </c>
      <c r="J7" s="26" t="s">
        <v>249</v>
      </c>
      <c r="K7" s="255">
        <v>2018.4</v>
      </c>
      <c r="L7" s="255">
        <v>2653.7</v>
      </c>
      <c r="M7" s="255">
        <v>3995.9</v>
      </c>
      <c r="N7" s="255">
        <v>4855.8</v>
      </c>
      <c r="O7" s="256">
        <v>3477.7</v>
      </c>
    </row>
    <row r="8" spans="2:15" ht="16.05" customHeight="1" x14ac:dyDescent="0.25">
      <c r="B8" s="26" t="s">
        <v>336</v>
      </c>
      <c r="C8" s="251">
        <v>1.96</v>
      </c>
      <c r="D8" s="165">
        <f>SUM('Trading Multiples'!C9:E9)</f>
        <v>639.07999999999993</v>
      </c>
      <c r="E8" s="165">
        <f>'Trading Multiples'!B9</f>
        <v>4716.6000000000004</v>
      </c>
      <c r="F8" s="166">
        <f t="shared" si="0"/>
        <v>0.13549590806937198</v>
      </c>
      <c r="G8" s="252">
        <f>K30</f>
        <v>9.0504114559709706E-3</v>
      </c>
      <c r="H8" s="253">
        <f t="shared" si="1"/>
        <v>1.7279842245636672</v>
      </c>
      <c r="J8" s="26" t="s">
        <v>250</v>
      </c>
      <c r="K8" s="252">
        <f>K7/K6</f>
        <v>0.1277242007745463</v>
      </c>
      <c r="L8" s="252">
        <f t="shared" ref="L8" si="2">L7/L6</f>
        <v>0.14649347494866075</v>
      </c>
      <c r="M8" s="252">
        <f t="shared" ref="M8" si="3">M7/M6</f>
        <v>0.19590337936883803</v>
      </c>
      <c r="N8" s="252">
        <f t="shared" ref="N8" si="4">N7/N6</f>
        <v>0.22618992165009924</v>
      </c>
      <c r="O8" s="257">
        <f t="shared" ref="O8" si="5">O7/O6</f>
        <v>0.24502406064833407</v>
      </c>
    </row>
    <row r="9" spans="2:15" ht="16.05" customHeight="1" x14ac:dyDescent="0.25">
      <c r="B9" s="35" t="s">
        <v>251</v>
      </c>
      <c r="C9" s="258">
        <f t="shared" ref="C9:H9" si="6">AVERAGE(C3:C8)</f>
        <v>1.28</v>
      </c>
      <c r="D9" s="259">
        <f t="shared" si="6"/>
        <v>80583.67833333333</v>
      </c>
      <c r="E9" s="259">
        <f t="shared" si="6"/>
        <v>62691.85</v>
      </c>
      <c r="F9" s="260">
        <f t="shared" si="6"/>
        <v>1.0585592236856645</v>
      </c>
      <c r="G9" s="261">
        <f t="shared" si="6"/>
        <v>0.1441274106508604</v>
      </c>
      <c r="H9" s="262">
        <f t="shared" si="6"/>
        <v>0.8380267159118685</v>
      </c>
      <c r="J9" s="26"/>
      <c r="K9" s="27"/>
      <c r="L9" s="27"/>
      <c r="M9" s="27"/>
      <c r="N9" s="27"/>
      <c r="O9" s="29"/>
    </row>
    <row r="10" spans="2:15" ht="16.05" customHeight="1" x14ac:dyDescent="0.25">
      <c r="B10" s="35" t="s">
        <v>159</v>
      </c>
      <c r="C10" s="258">
        <f t="shared" ref="C10:H10" si="7">MEDIAN(C3:C8)</f>
        <v>1.2949999999999999</v>
      </c>
      <c r="D10" s="259">
        <f t="shared" si="7"/>
        <v>58772.875</v>
      </c>
      <c r="E10" s="259">
        <f t="shared" si="7"/>
        <v>58957</v>
      </c>
      <c r="F10" s="260">
        <f t="shared" si="7"/>
        <v>0.7135427351639706</v>
      </c>
      <c r="G10" s="261">
        <f t="shared" si="7"/>
        <v>0.11949781000366209</v>
      </c>
      <c r="H10" s="262">
        <f t="shared" si="7"/>
        <v>0.74419540421521757</v>
      </c>
      <c r="J10" s="36" t="s">
        <v>197</v>
      </c>
      <c r="K10" s="254">
        <f>AVERAGE(K13:O13)</f>
        <v>0.35767692061300649</v>
      </c>
      <c r="L10" s="27"/>
      <c r="M10" s="27"/>
      <c r="N10" s="27"/>
      <c r="O10" s="29"/>
    </row>
    <row r="11" spans="2:15" ht="16.05" customHeight="1" x14ac:dyDescent="0.25">
      <c r="B11" s="26"/>
      <c r="C11" s="263"/>
      <c r="D11" s="27"/>
      <c r="E11" s="27"/>
      <c r="F11" s="166"/>
      <c r="G11" s="252"/>
      <c r="H11" s="253"/>
      <c r="J11" s="26" t="s">
        <v>231</v>
      </c>
      <c r="K11" s="255">
        <v>10600</v>
      </c>
      <c r="L11" s="255">
        <v>10150</v>
      </c>
      <c r="M11" s="255">
        <v>6293</v>
      </c>
      <c r="N11" s="255">
        <v>6919</v>
      </c>
      <c r="O11" s="256">
        <v>8559</v>
      </c>
    </row>
    <row r="12" spans="2:15" ht="16.05" customHeight="1" thickBot="1" x14ac:dyDescent="0.3">
      <c r="B12" s="57" t="s">
        <v>252</v>
      </c>
      <c r="C12" s="264">
        <v>2.0099999999999998</v>
      </c>
      <c r="D12" s="163">
        <f>SUM('Trading Multiples'!C12:E12)</f>
        <v>10329</v>
      </c>
      <c r="E12" s="163">
        <f>'Trading Multiples'!B12</f>
        <v>714246.2</v>
      </c>
      <c r="F12" s="167">
        <f>D12/E12</f>
        <v>1.4461400004648258E-2</v>
      </c>
      <c r="G12" s="265">
        <f>K35</f>
        <v>0.26258864409398364</v>
      </c>
      <c r="H12" s="266">
        <f t="shared" ref="H12" si="8">C12/(1+(1-G12)*F12)</f>
        <v>1.9887915260018274</v>
      </c>
      <c r="J12" s="26" t="s">
        <v>249</v>
      </c>
      <c r="K12" s="255">
        <v>2739</v>
      </c>
      <c r="L12" s="255">
        <v>11533</v>
      </c>
      <c r="M12" s="255">
        <v>474</v>
      </c>
      <c r="N12" s="255">
        <v>769</v>
      </c>
      <c r="O12" s="256">
        <v>1774</v>
      </c>
    </row>
    <row r="13" spans="2:15" ht="16.05" customHeight="1" thickBot="1" x14ac:dyDescent="0.3">
      <c r="J13" s="26" t="s">
        <v>250</v>
      </c>
      <c r="K13" s="252">
        <f>K12/K11</f>
        <v>0.25839622641509435</v>
      </c>
      <c r="L13" s="252">
        <f t="shared" ref="L13" si="9">L12/L11</f>
        <v>1.1362561576354679</v>
      </c>
      <c r="M13" s="252">
        <f t="shared" ref="M13" si="10">M12/M11</f>
        <v>7.5321786111552519E-2</v>
      </c>
      <c r="N13" s="252">
        <f t="shared" ref="N13" si="11">N12/N11</f>
        <v>0.11114322879028761</v>
      </c>
      <c r="O13" s="257">
        <f t="shared" ref="O13" si="12">O12/O11</f>
        <v>0.20726720411262997</v>
      </c>
    </row>
    <row r="14" spans="2:15" ht="16.05" customHeight="1" thickBot="1" x14ac:dyDescent="0.3">
      <c r="B14" s="34" t="s">
        <v>254</v>
      </c>
      <c r="C14" s="267">
        <f>H10*(1+(1-G12)*F12)</f>
        <v>0.75213150444166399</v>
      </c>
      <c r="J14" s="26"/>
      <c r="K14" s="27"/>
      <c r="L14" s="27"/>
      <c r="M14" s="27"/>
      <c r="N14" s="27"/>
      <c r="O14" s="29"/>
    </row>
    <row r="15" spans="2:15" ht="16.05" customHeight="1" x14ac:dyDescent="0.25">
      <c r="C15" s="268"/>
      <c r="J15" s="36" t="s">
        <v>332</v>
      </c>
      <c r="K15" s="254">
        <f>AVERAGE(K18:O18)</f>
        <v>0.108883959469396</v>
      </c>
      <c r="L15" s="27"/>
      <c r="M15" s="27"/>
      <c r="N15" s="27"/>
      <c r="O15" s="29"/>
    </row>
    <row r="16" spans="2:15" ht="16.05" customHeight="1" x14ac:dyDescent="0.25">
      <c r="C16" s="268"/>
      <c r="J16" s="26" t="s">
        <v>231</v>
      </c>
      <c r="K16" s="255">
        <v>1170</v>
      </c>
      <c r="L16" s="255">
        <v>1054.4000000000001</v>
      </c>
      <c r="M16" s="255">
        <v>789.4</v>
      </c>
      <c r="N16" s="255">
        <v>682</v>
      </c>
      <c r="O16" s="256">
        <v>1489</v>
      </c>
    </row>
    <row r="17" spans="10:15" ht="16.05" customHeight="1" x14ac:dyDescent="0.25">
      <c r="J17" s="26" t="s">
        <v>249</v>
      </c>
      <c r="K17" s="255">
        <v>156.80000000000001</v>
      </c>
      <c r="L17" s="255">
        <v>108.2</v>
      </c>
      <c r="M17" s="255">
        <v>120.6</v>
      </c>
      <c r="N17" s="255">
        <v>44.8</v>
      </c>
      <c r="O17" s="256">
        <v>133</v>
      </c>
    </row>
    <row r="18" spans="10:15" ht="16.05" customHeight="1" x14ac:dyDescent="0.25">
      <c r="J18" s="26" t="s">
        <v>250</v>
      </c>
      <c r="K18" s="252">
        <f>K17/K16</f>
        <v>0.13401709401709402</v>
      </c>
      <c r="L18" s="252">
        <f t="shared" ref="L18" si="13">L17/L16</f>
        <v>0.10261760242792109</v>
      </c>
      <c r="M18" s="252">
        <f t="shared" ref="M18" si="14">M17/M16</f>
        <v>0.15277425893083355</v>
      </c>
      <c r="N18" s="252">
        <f t="shared" ref="N18" si="15">N17/N16</f>
        <v>6.5689149560117302E-2</v>
      </c>
      <c r="O18" s="257">
        <f t="shared" ref="O18" si="16">O17/O16</f>
        <v>8.9321692411014106E-2</v>
      </c>
    </row>
    <row r="19" spans="10:15" ht="16.05" customHeight="1" x14ac:dyDescent="0.25">
      <c r="J19" s="26"/>
      <c r="K19" s="27"/>
      <c r="L19" s="27"/>
      <c r="M19" s="27"/>
      <c r="N19" s="27"/>
      <c r="O19" s="29"/>
    </row>
    <row r="20" spans="10:15" ht="16.05" customHeight="1" x14ac:dyDescent="0.25">
      <c r="J20" s="36" t="s">
        <v>198</v>
      </c>
      <c r="K20" s="254">
        <f>AVERAGE(K23:O23)</f>
        <v>7.0774504350765197E-2</v>
      </c>
      <c r="L20" s="27"/>
      <c r="M20" s="27"/>
      <c r="N20" s="27"/>
      <c r="O20" s="29"/>
    </row>
    <row r="21" spans="10:15" ht="16.05" customHeight="1" x14ac:dyDescent="0.25">
      <c r="J21" s="26" t="s">
        <v>231</v>
      </c>
      <c r="K21" s="255">
        <v>4363</v>
      </c>
      <c r="L21" s="255">
        <v>6596</v>
      </c>
      <c r="M21" s="255">
        <v>5054</v>
      </c>
      <c r="N21" s="255">
        <v>2658</v>
      </c>
      <c r="O21" s="256">
        <v>-2505</v>
      </c>
    </row>
    <row r="22" spans="10:15" ht="16.05" customHeight="1" x14ac:dyDescent="0.25">
      <c r="J22" s="26" t="s">
        <v>249</v>
      </c>
      <c r="K22" s="255">
        <v>2184</v>
      </c>
      <c r="L22" s="255">
        <v>402</v>
      </c>
      <c r="M22" s="255">
        <v>650</v>
      </c>
      <c r="N22" s="255">
        <v>-724</v>
      </c>
      <c r="O22" s="256">
        <v>160</v>
      </c>
    </row>
    <row r="23" spans="10:15" ht="16.05" customHeight="1" x14ac:dyDescent="0.25">
      <c r="J23" s="26" t="s">
        <v>250</v>
      </c>
      <c r="K23" s="252">
        <f>K22/K21</f>
        <v>0.50057300022920004</v>
      </c>
      <c r="L23" s="252">
        <f t="shared" ref="L23" si="17">L22/L21</f>
        <v>6.0946027895694359E-2</v>
      </c>
      <c r="M23" s="252">
        <f t="shared" ref="M23" si="18">M22/M21</f>
        <v>0.12861100118717847</v>
      </c>
      <c r="N23" s="252">
        <f t="shared" ref="N23" si="19">N22/N21</f>
        <v>-0.27238525206922498</v>
      </c>
      <c r="O23" s="257">
        <f t="shared" ref="O23" si="20">O22/O21</f>
        <v>-6.3872255489021951E-2</v>
      </c>
    </row>
    <row r="24" spans="10:15" ht="16.05" customHeight="1" x14ac:dyDescent="0.25">
      <c r="J24" s="26"/>
      <c r="K24" s="252"/>
      <c r="L24" s="252"/>
      <c r="M24" s="252"/>
      <c r="N24" s="252"/>
      <c r="O24" s="257"/>
    </row>
    <row r="25" spans="10:15" ht="16.05" customHeight="1" x14ac:dyDescent="0.25">
      <c r="J25" s="36" t="s">
        <v>335</v>
      </c>
      <c r="K25" s="254">
        <f>AVERAGE(K28:O28)</f>
        <v>0.13011166053792819</v>
      </c>
      <c r="L25" s="27"/>
      <c r="M25" s="27"/>
      <c r="N25" s="27"/>
      <c r="O25" s="29"/>
    </row>
    <row r="26" spans="10:15" ht="16.05" customHeight="1" x14ac:dyDescent="0.25">
      <c r="J26" s="26" t="s">
        <v>231</v>
      </c>
      <c r="K26" s="255">
        <v>71</v>
      </c>
      <c r="L26" s="255">
        <v>91.1</v>
      </c>
      <c r="M26" s="255">
        <v>139.4</v>
      </c>
      <c r="N26" s="255">
        <v>220.6</v>
      </c>
      <c r="O26" s="256">
        <v>139.1</v>
      </c>
    </row>
    <row r="27" spans="10:15" ht="16.05" customHeight="1" x14ac:dyDescent="0.25">
      <c r="J27" s="26" t="s">
        <v>249</v>
      </c>
      <c r="K27" s="255">
        <v>6.3</v>
      </c>
      <c r="L27" s="255">
        <v>16.100000000000001</v>
      </c>
      <c r="M27" s="255">
        <v>9.1</v>
      </c>
      <c r="N27" s="255">
        <v>33.6</v>
      </c>
      <c r="O27" s="256">
        <v>23.3</v>
      </c>
    </row>
    <row r="28" spans="10:15" ht="16.05" customHeight="1" x14ac:dyDescent="0.25">
      <c r="J28" s="26" t="s">
        <v>250</v>
      </c>
      <c r="K28" s="252">
        <f>K27/K26</f>
        <v>8.8732394366197176E-2</v>
      </c>
      <c r="L28" s="252">
        <f t="shared" ref="L28:O28" si="21">L27/L26</f>
        <v>0.17672886937431398</v>
      </c>
      <c r="M28" s="252">
        <f t="shared" si="21"/>
        <v>6.5279770444763269E-2</v>
      </c>
      <c r="N28" s="252">
        <f t="shared" si="21"/>
        <v>0.15231187669990934</v>
      </c>
      <c r="O28" s="257">
        <f t="shared" si="21"/>
        <v>0.16750539180445723</v>
      </c>
    </row>
    <row r="29" spans="10:15" ht="16.05" customHeight="1" x14ac:dyDescent="0.25">
      <c r="J29" s="26"/>
      <c r="K29" s="252"/>
      <c r="L29" s="252"/>
      <c r="M29" s="252"/>
      <c r="N29" s="252"/>
      <c r="O29" s="257"/>
    </row>
    <row r="30" spans="10:15" ht="16.05" customHeight="1" x14ac:dyDescent="0.25">
      <c r="J30" s="36" t="s">
        <v>336</v>
      </c>
      <c r="K30" s="254">
        <f>AVERAGE(L33:M33)</f>
        <v>9.0504114559709706E-3</v>
      </c>
      <c r="L30" s="27"/>
      <c r="M30" s="27"/>
      <c r="N30" s="27"/>
      <c r="O30" s="29"/>
    </row>
    <row r="31" spans="10:15" ht="16.05" customHeight="1" x14ac:dyDescent="0.25">
      <c r="J31" s="26" t="s">
        <v>231</v>
      </c>
      <c r="K31" s="255">
        <v>-199.9</v>
      </c>
      <c r="L31" s="255">
        <v>-379.5</v>
      </c>
      <c r="M31" s="255">
        <v>268.39999999999998</v>
      </c>
      <c r="N31" s="255">
        <v>-42.1</v>
      </c>
      <c r="O31" s="256">
        <v>-20.5</v>
      </c>
    </row>
    <row r="32" spans="10:15" ht="16.05" customHeight="1" x14ac:dyDescent="0.25">
      <c r="J32" s="26" t="s">
        <v>249</v>
      </c>
      <c r="K32" s="255">
        <v>66.7</v>
      </c>
      <c r="L32" s="255">
        <v>-3.9</v>
      </c>
      <c r="M32" s="255">
        <v>2.1</v>
      </c>
      <c r="N32" s="255">
        <v>16.5</v>
      </c>
      <c r="O32" s="256">
        <v>57.5</v>
      </c>
    </row>
    <row r="33" spans="10:15" ht="16.05" customHeight="1" x14ac:dyDescent="0.25">
      <c r="J33" s="26" t="s">
        <v>250</v>
      </c>
      <c r="K33" s="252">
        <f>K32/K31</f>
        <v>-0.33366683341670839</v>
      </c>
      <c r="L33" s="252">
        <f t="shared" ref="L33:O33" si="22">L32/L31</f>
        <v>1.0276679841897233E-2</v>
      </c>
      <c r="M33" s="252">
        <f t="shared" si="22"/>
        <v>7.82414307004471E-3</v>
      </c>
      <c r="N33" s="252">
        <f t="shared" si="22"/>
        <v>-0.39192399049881232</v>
      </c>
      <c r="O33" s="257">
        <f t="shared" si="22"/>
        <v>-2.8048780487804876</v>
      </c>
    </row>
    <row r="34" spans="10:15" ht="16.05" customHeight="1" x14ac:dyDescent="0.25">
      <c r="J34" s="26"/>
      <c r="K34" s="27"/>
      <c r="L34" s="27"/>
      <c r="M34" s="27"/>
      <c r="N34" s="27"/>
      <c r="O34" s="29"/>
    </row>
    <row r="35" spans="10:15" ht="16.05" customHeight="1" x14ac:dyDescent="0.25">
      <c r="J35" s="36" t="s">
        <v>252</v>
      </c>
      <c r="K35" s="254">
        <f>AVERAGE(K38:O38)</f>
        <v>0.26258864409398364</v>
      </c>
      <c r="L35" s="27"/>
      <c r="M35" s="27"/>
      <c r="N35" s="27"/>
      <c r="O35" s="29"/>
    </row>
    <row r="36" spans="10:15" ht="16.05" customHeight="1" x14ac:dyDescent="0.25">
      <c r="J36" s="26" t="s">
        <v>231</v>
      </c>
      <c r="K36" s="255">
        <v>-645.6</v>
      </c>
      <c r="L36" s="255">
        <f>Inputs!C39</f>
        <v>-1757</v>
      </c>
      <c r="M36" s="255">
        <f>Inputs!D39</f>
        <v>-366</v>
      </c>
      <c r="N36" s="255">
        <v>80</v>
      </c>
      <c r="O36" s="256">
        <f>Inputs!F39</f>
        <v>1872</v>
      </c>
    </row>
    <row r="37" spans="10:15" ht="16.05" customHeight="1" x14ac:dyDescent="0.25">
      <c r="J37" s="26" t="s">
        <v>249</v>
      </c>
      <c r="K37" s="255">
        <v>26.7</v>
      </c>
      <c r="L37" s="255">
        <v>32</v>
      </c>
      <c r="M37" s="255">
        <v>58</v>
      </c>
      <c r="N37" s="255">
        <v>110</v>
      </c>
      <c r="O37" s="256">
        <v>292</v>
      </c>
    </row>
    <row r="38" spans="10:15" ht="16.05" customHeight="1" thickBot="1" x14ac:dyDescent="0.3">
      <c r="J38" s="28" t="s">
        <v>250</v>
      </c>
      <c r="K38" s="269">
        <f>K37/K36</f>
        <v>-4.1356877323420069E-2</v>
      </c>
      <c r="L38" s="269">
        <f t="shared" ref="L38:O38" si="23">L37/L36</f>
        <v>-1.8212862834376779E-2</v>
      </c>
      <c r="M38" s="269">
        <f t="shared" si="23"/>
        <v>-0.15846994535519127</v>
      </c>
      <c r="N38" s="269">
        <f t="shared" si="23"/>
        <v>1.375</v>
      </c>
      <c r="O38" s="270">
        <f t="shared" si="23"/>
        <v>0.15598290598290598</v>
      </c>
    </row>
  </sheetData>
  <mergeCells count="1">
    <mergeCell ref="J2:O2"/>
  </mergeCells>
  <pageMargins left="0.7" right="0.7" top="0.75" bottom="0.75" header="0.3" footer="0.3"/>
  <pageSetup scale="53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7445-681F-45C0-9406-745121997D8D}">
  <sheetPr>
    <tabColor theme="9"/>
  </sheetPr>
  <dimension ref="B1:F15"/>
  <sheetViews>
    <sheetView showGridLines="0" view="pageBreakPreview" zoomScaleNormal="100" zoomScaleSheetLayoutView="100" workbookViewId="0"/>
  </sheetViews>
  <sheetFormatPr defaultRowHeight="15" customHeight="1" x14ac:dyDescent="0.25"/>
  <cols>
    <col min="1" max="1" width="2.77734375" style="24" customWidth="1"/>
    <col min="2" max="2" width="23.33203125" style="24" bestFit="1" customWidth="1"/>
    <col min="3" max="3" width="12.88671875" style="24" customWidth="1"/>
    <col min="4" max="4" width="8.88671875" style="24"/>
    <col min="5" max="5" width="18.109375" style="24" bestFit="1" customWidth="1"/>
    <col min="6" max="6" width="11.21875" style="24" bestFit="1" customWidth="1"/>
    <col min="7" max="16384" width="8.88671875" style="24"/>
  </cols>
  <sheetData>
    <row r="1" spans="2:6" ht="15" customHeight="1" thickBot="1" x14ac:dyDescent="0.3"/>
    <row r="2" spans="2:6" ht="15" customHeight="1" x14ac:dyDescent="0.25">
      <c r="B2" s="102" t="s">
        <v>280</v>
      </c>
      <c r="C2" s="103"/>
      <c r="E2" s="102" t="s">
        <v>281</v>
      </c>
      <c r="F2" s="103"/>
    </row>
    <row r="3" spans="2:6" ht="15" customHeight="1" x14ac:dyDescent="0.3">
      <c r="B3" s="26" t="s">
        <v>285</v>
      </c>
      <c r="C3" s="271">
        <v>1.5350000000000001E-2</v>
      </c>
      <c r="E3" s="26" t="s">
        <v>282</v>
      </c>
      <c r="F3" s="272">
        <f>AVERAGE(Inputs!C46:F46)</f>
        <v>0.1226610246027265</v>
      </c>
    </row>
    <row r="4" spans="2:6" ht="15" customHeight="1" x14ac:dyDescent="0.25">
      <c r="B4" s="26" t="s">
        <v>286</v>
      </c>
      <c r="C4" s="273">
        <f>Beta!C14</f>
        <v>0.75213150444166399</v>
      </c>
      <c r="E4" s="26" t="s">
        <v>283</v>
      </c>
      <c r="F4" s="274">
        <f>Beta!D12</f>
        <v>10329</v>
      </c>
    </row>
    <row r="5" spans="2:6" ht="15" customHeight="1" thickBot="1" x14ac:dyDescent="0.35">
      <c r="B5" s="26" t="s">
        <v>287</v>
      </c>
      <c r="C5" s="271">
        <v>8.0699999999999994E-2</v>
      </c>
      <c r="E5" s="28" t="s">
        <v>284</v>
      </c>
      <c r="F5" s="275">
        <f>Beta!E12</f>
        <v>714246.2</v>
      </c>
    </row>
    <row r="6" spans="2:6" ht="15" customHeight="1" x14ac:dyDescent="0.3">
      <c r="B6" s="26" t="s">
        <v>288</v>
      </c>
      <c r="C6" s="276">
        <f>C3+(C4*C5)</f>
        <v>7.6047012408442277E-2</v>
      </c>
    </row>
    <row r="7" spans="2:6" ht="15" customHeight="1" x14ac:dyDescent="0.25">
      <c r="B7" s="26"/>
      <c r="C7" s="29"/>
    </row>
    <row r="8" spans="2:6" ht="15" customHeight="1" x14ac:dyDescent="0.3">
      <c r="B8" s="26" t="s">
        <v>290</v>
      </c>
      <c r="C8" s="276">
        <f>'Cost of Debt'!E31</f>
        <v>4.3568059018301651E-2</v>
      </c>
    </row>
    <row r="9" spans="2:6" ht="15" customHeight="1" x14ac:dyDescent="0.3">
      <c r="B9" s="26" t="s">
        <v>289</v>
      </c>
      <c r="C9" s="276">
        <f>C8*(1-F3)</f>
        <v>3.8223956259164707E-2</v>
      </c>
    </row>
    <row r="10" spans="2:6" ht="15" customHeight="1" x14ac:dyDescent="0.25">
      <c r="B10" s="26"/>
      <c r="C10" s="29"/>
    </row>
    <row r="11" spans="2:6" ht="15" customHeight="1" x14ac:dyDescent="0.3">
      <c r="B11" s="26" t="s">
        <v>291</v>
      </c>
      <c r="C11" s="276">
        <f>F5/(F4+F5)</f>
        <v>0.9857447508553977</v>
      </c>
    </row>
    <row r="12" spans="2:6" ht="15" customHeight="1" x14ac:dyDescent="0.3">
      <c r="B12" s="26" t="s">
        <v>292</v>
      </c>
      <c r="C12" s="276">
        <f>F4/(F5+F4)</f>
        <v>1.4255249144602244E-2</v>
      </c>
    </row>
    <row r="13" spans="2:6" ht="4.95" customHeight="1" x14ac:dyDescent="0.3">
      <c r="B13" s="26"/>
      <c r="C13" s="276"/>
    </row>
    <row r="14" spans="2:6" ht="15" customHeight="1" thickBot="1" x14ac:dyDescent="0.3">
      <c r="B14" s="82" t="s">
        <v>279</v>
      </c>
      <c r="C14" s="325">
        <f>C6*C11+C9*C12</f>
        <v>7.5507835319624045E-2</v>
      </c>
    </row>
    <row r="15" spans="2:6" ht="15" customHeight="1" x14ac:dyDescent="0.25">
      <c r="B15" s="46"/>
    </row>
  </sheetData>
  <mergeCells count="2">
    <mergeCell ref="E2:F2"/>
    <mergeCell ref="B2:C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8449-B209-48EF-B301-7403713E61B1}">
  <sheetPr>
    <tabColor theme="9"/>
  </sheetPr>
  <dimension ref="B1:C15"/>
  <sheetViews>
    <sheetView showGridLines="0" view="pageBreakPreview" zoomScaleNormal="100" zoomScaleSheetLayoutView="100" workbookViewId="0"/>
  </sheetViews>
  <sheetFormatPr defaultRowHeight="15" customHeight="1" x14ac:dyDescent="0.3"/>
  <cols>
    <col min="1" max="1" width="2.77734375" style="175" customWidth="1"/>
    <col min="2" max="2" width="33" style="175" bestFit="1" customWidth="1"/>
    <col min="3" max="3" width="15.88671875" style="175" bestFit="1" customWidth="1"/>
    <col min="4" max="16384" width="8.88671875" style="175"/>
  </cols>
  <sheetData>
    <row r="1" spans="2:3" ht="15" customHeight="1" thickBot="1" x14ac:dyDescent="0.35"/>
    <row r="2" spans="2:3" ht="15" customHeight="1" x14ac:dyDescent="0.3">
      <c r="B2" s="102" t="s">
        <v>310</v>
      </c>
      <c r="C2" s="103"/>
    </row>
    <row r="3" spans="2:3" ht="15" customHeight="1" x14ac:dyDescent="0.3">
      <c r="B3" s="26" t="s">
        <v>315</v>
      </c>
      <c r="C3" s="277">
        <v>959853504</v>
      </c>
    </row>
    <row r="4" spans="2:3" ht="15" customHeight="1" x14ac:dyDescent="0.3">
      <c r="B4" s="26" t="s">
        <v>323</v>
      </c>
      <c r="C4" s="278">
        <f>'DCF Output'!N21</f>
        <v>744.12</v>
      </c>
    </row>
    <row r="5" spans="2:3" ht="15" customHeight="1" x14ac:dyDescent="0.3">
      <c r="B5" s="26"/>
      <c r="C5" s="279"/>
    </row>
    <row r="6" spans="2:3" ht="15" customHeight="1" x14ac:dyDescent="0.3">
      <c r="B6" s="26"/>
      <c r="C6" s="279"/>
    </row>
    <row r="7" spans="2:3" ht="15" customHeight="1" x14ac:dyDescent="0.3">
      <c r="B7" s="26" t="s">
        <v>316</v>
      </c>
      <c r="C7" s="277">
        <v>66205000</v>
      </c>
    </row>
    <row r="8" spans="2:3" ht="15" customHeight="1" x14ac:dyDescent="0.3">
      <c r="B8" s="26" t="s">
        <v>317</v>
      </c>
      <c r="C8" s="280">
        <v>46.88</v>
      </c>
    </row>
    <row r="9" spans="2:3" ht="15" customHeight="1" x14ac:dyDescent="0.3">
      <c r="B9" s="26" t="s">
        <v>318</v>
      </c>
      <c r="C9" s="281">
        <f>C7*C8</f>
        <v>3103690400</v>
      </c>
    </row>
    <row r="10" spans="2:3" ht="15" customHeight="1" x14ac:dyDescent="0.3">
      <c r="B10" s="26" t="s">
        <v>319</v>
      </c>
      <c r="C10" s="281">
        <f>C9/C4</f>
        <v>4170954.1471805624</v>
      </c>
    </row>
    <row r="11" spans="2:3" ht="15" customHeight="1" x14ac:dyDescent="0.3">
      <c r="B11" s="26"/>
      <c r="C11" s="279"/>
    </row>
    <row r="12" spans="2:3" ht="15" customHeight="1" x14ac:dyDescent="0.3">
      <c r="B12" s="26" t="s">
        <v>320</v>
      </c>
      <c r="C12" s="281">
        <f>C3+C7</f>
        <v>1026058504</v>
      </c>
    </row>
    <row r="13" spans="2:3" ht="15" customHeight="1" x14ac:dyDescent="0.3">
      <c r="B13" s="26" t="s">
        <v>321</v>
      </c>
      <c r="C13" s="281">
        <f>C10*-1</f>
        <v>-4170954.1471805624</v>
      </c>
    </row>
    <row r="14" spans="2:3" ht="4.95" customHeight="1" x14ac:dyDescent="0.3">
      <c r="B14" s="26"/>
      <c r="C14" s="281"/>
    </row>
    <row r="15" spans="2:3" ht="15" customHeight="1" thickBot="1" x14ac:dyDescent="0.35">
      <c r="B15" s="57" t="s">
        <v>322</v>
      </c>
      <c r="C15" s="282">
        <f>C12+C13</f>
        <v>1021887549.8528194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8659-BA2A-49D9-A582-BBB6BF14110B}">
  <sheetPr>
    <tabColor theme="9"/>
    <pageSetUpPr fitToPage="1"/>
  </sheetPr>
  <dimension ref="B1:E31"/>
  <sheetViews>
    <sheetView showGridLines="0" view="pageBreakPreview" zoomScaleNormal="100" zoomScaleSheetLayoutView="100" workbookViewId="0"/>
  </sheetViews>
  <sheetFormatPr defaultRowHeight="13.8" x14ac:dyDescent="0.25"/>
  <cols>
    <col min="1" max="1" width="2.77734375" style="24" customWidth="1"/>
    <col min="2" max="2" width="31.88671875" style="24" bestFit="1" customWidth="1"/>
    <col min="3" max="5" width="23.77734375" style="24" customWidth="1"/>
    <col min="6" max="16384" width="8.88671875" style="24"/>
  </cols>
  <sheetData>
    <row r="1" spans="2:5" ht="14.4" thickBot="1" x14ac:dyDescent="0.3"/>
    <row r="2" spans="2:5" x14ac:dyDescent="0.25">
      <c r="B2" s="59" t="s">
        <v>398</v>
      </c>
      <c r="C2" s="60"/>
      <c r="D2" s="60"/>
      <c r="E2" s="61"/>
    </row>
    <row r="3" spans="2:5" x14ac:dyDescent="0.25">
      <c r="B3" s="122" t="s">
        <v>399</v>
      </c>
      <c r="C3" s="123" t="s">
        <v>400</v>
      </c>
      <c r="D3" s="123" t="s">
        <v>401</v>
      </c>
      <c r="E3" s="124" t="s">
        <v>402</v>
      </c>
    </row>
    <row r="4" spans="2:5" x14ac:dyDescent="0.25">
      <c r="B4" s="115" t="s">
        <v>343</v>
      </c>
      <c r="C4" s="116">
        <f>'Capital Structure Details'!C4</f>
        <v>419</v>
      </c>
      <c r="D4" s="117">
        <f>C4/$C$30</f>
        <v>3.2953982398326344E-2</v>
      </c>
      <c r="E4" s="125">
        <f>'Capital Structure Details'!D4</f>
        <v>1.2500000000000001E-2</v>
      </c>
    </row>
    <row r="5" spans="2:5" x14ac:dyDescent="0.25">
      <c r="B5" s="115" t="s">
        <v>343</v>
      </c>
      <c r="C5" s="116">
        <f>'Capital Structure Details'!C5</f>
        <v>1027</v>
      </c>
      <c r="D5" s="117">
        <f t="shared" ref="D5:D29" si="0">C5/$C$30</f>
        <v>8.0772648981100606E-2</v>
      </c>
      <c r="E5" s="125">
        <f>'Capital Structure Details'!D5</f>
        <v>0.02</v>
      </c>
    </row>
    <row r="6" spans="2:5" x14ac:dyDescent="0.25">
      <c r="B6" s="115" t="s">
        <v>343</v>
      </c>
      <c r="C6" s="116">
        <f>'Capital Structure Details'!C6</f>
        <v>481</v>
      </c>
      <c r="D6" s="117">
        <f t="shared" si="0"/>
        <v>3.7830228003806615E-2</v>
      </c>
      <c r="E6" s="125">
        <f>'Capital Structure Details'!D6</f>
        <v>2.3800000000000002E-2</v>
      </c>
    </row>
    <row r="7" spans="2:5" x14ac:dyDescent="0.25">
      <c r="B7" s="115" t="s">
        <v>343</v>
      </c>
      <c r="C7" s="116">
        <f>'Capital Structure Details'!C7</f>
        <v>1785</v>
      </c>
      <c r="D7" s="117">
        <f t="shared" si="0"/>
        <v>0.14038868396423038</v>
      </c>
      <c r="E7" s="125">
        <f>'Capital Structure Details'!D7</f>
        <v>5.2999999999999999E-2</v>
      </c>
    </row>
    <row r="8" spans="2:5" x14ac:dyDescent="0.25">
      <c r="B8" s="115" t="s">
        <v>343</v>
      </c>
      <c r="C8" s="116">
        <f>'Capital Structure Details'!C8</f>
        <v>1698</v>
      </c>
      <c r="D8" s="117">
        <f t="shared" si="0"/>
        <v>0.13354621029202418</v>
      </c>
      <c r="E8" s="125">
        <v>4.2500000000000003E-2</v>
      </c>
    </row>
    <row r="9" spans="2:5" x14ac:dyDescent="0.25">
      <c r="B9" s="115" t="s">
        <v>347</v>
      </c>
      <c r="C9" s="116">
        <f>'Capital Structure Details'!C9</f>
        <v>33</v>
      </c>
      <c r="D9" s="117">
        <f t="shared" si="0"/>
        <v>2.5954210480782086E-3</v>
      </c>
      <c r="E9" s="125">
        <v>3.9E-2</v>
      </c>
    </row>
    <row r="10" spans="2:5" x14ac:dyDescent="0.25">
      <c r="B10" s="115" t="s">
        <v>363</v>
      </c>
      <c r="C10" s="116">
        <f>'Capital Structure Details'!C10</f>
        <v>117.2</v>
      </c>
      <c r="D10" s="117">
        <f t="shared" si="0"/>
        <v>9.2176771768110923E-3</v>
      </c>
      <c r="E10" s="125">
        <f>'Capital Structure Details'!D10</f>
        <v>5.7000000000000002E-2</v>
      </c>
    </row>
    <row r="11" spans="2:5" x14ac:dyDescent="0.25">
      <c r="B11" s="115" t="s">
        <v>363</v>
      </c>
      <c r="C11" s="116">
        <f>'Capital Structure Details'!C11</f>
        <v>193.3</v>
      </c>
      <c r="D11" s="117">
        <f t="shared" si="0"/>
        <v>1.520287541192478E-2</v>
      </c>
      <c r="E11" s="125">
        <f>'Capital Structure Details'!D11</f>
        <v>5.2999999999999999E-2</v>
      </c>
    </row>
    <row r="12" spans="2:5" x14ac:dyDescent="0.25">
      <c r="B12" s="115" t="s">
        <v>363</v>
      </c>
      <c r="C12" s="116">
        <f>'Capital Structure Details'!C12</f>
        <v>164.4</v>
      </c>
      <c r="D12" s="117">
        <f t="shared" si="0"/>
        <v>1.2929915766789622E-2</v>
      </c>
      <c r="E12" s="125">
        <f>'Capital Structure Details'!D12</f>
        <v>5.8000000000000003E-2</v>
      </c>
    </row>
    <row r="13" spans="2:5" x14ac:dyDescent="0.25">
      <c r="B13" s="115" t="s">
        <v>350</v>
      </c>
      <c r="C13" s="116">
        <f>'Capital Structure Details'!C14</f>
        <v>616</v>
      </c>
      <c r="D13" s="117">
        <f t="shared" si="0"/>
        <v>4.8447859564126561E-2</v>
      </c>
      <c r="E13" s="125">
        <f>'Capital Structure Details'!D14</f>
        <v>0.04</v>
      </c>
    </row>
    <row r="14" spans="2:5" x14ac:dyDescent="0.25">
      <c r="B14" s="115" t="s">
        <v>343</v>
      </c>
      <c r="C14" s="116">
        <f>'Capital Structure Details'!C15</f>
        <v>51</v>
      </c>
      <c r="D14" s="117">
        <f t="shared" si="0"/>
        <v>4.0111052561208676E-3</v>
      </c>
      <c r="E14" s="125">
        <f>'Capital Structure Details'!D15</f>
        <v>5.5E-2</v>
      </c>
    </row>
    <row r="15" spans="2:5" x14ac:dyDescent="0.25">
      <c r="B15" s="115" t="s">
        <v>361</v>
      </c>
      <c r="C15" s="116">
        <f>'Capital Structure Details'!C16</f>
        <v>1468</v>
      </c>
      <c r="D15" s="117">
        <f t="shared" si="0"/>
        <v>0.11545691207814576</v>
      </c>
      <c r="E15" s="125">
        <f>'Capital Structure Details'!D16</f>
        <v>6.5000000000000002E-2</v>
      </c>
    </row>
    <row r="16" spans="2:5" x14ac:dyDescent="0.25">
      <c r="B16" s="115" t="s">
        <v>361</v>
      </c>
      <c r="C16" s="116">
        <f>'Capital Structure Details'!C18</f>
        <v>1540</v>
      </c>
      <c r="D16" s="117">
        <f t="shared" si="0"/>
        <v>0.1211196489103164</v>
      </c>
      <c r="E16" s="125">
        <f>'Capital Structure Details'!D18</f>
        <v>5.8000000000000003E-2</v>
      </c>
    </row>
    <row r="17" spans="2:5" x14ac:dyDescent="0.25">
      <c r="B17" s="115" t="s">
        <v>347</v>
      </c>
      <c r="C17" s="116">
        <f>'Capital Structure Details'!C19</f>
        <v>1895</v>
      </c>
      <c r="D17" s="117">
        <f t="shared" si="0"/>
        <v>0.14904008745782441</v>
      </c>
      <c r="E17" s="125">
        <f>'Capital Structure Details'!D19</f>
        <v>3.3000000000000002E-2</v>
      </c>
    </row>
    <row r="18" spans="2:5" x14ac:dyDescent="0.25">
      <c r="B18" s="115" t="s">
        <v>343</v>
      </c>
      <c r="C18" s="116">
        <f>'Capital Structure Details'!C20</f>
        <v>54.4</v>
      </c>
      <c r="D18" s="117">
        <f t="shared" si="0"/>
        <v>4.278512273195592E-3</v>
      </c>
      <c r="E18" s="125">
        <f>'Capital Structure Details'!D20</f>
        <v>4.8000000000000001E-2</v>
      </c>
    </row>
    <row r="19" spans="2:5" x14ac:dyDescent="0.25">
      <c r="B19" s="115" t="s">
        <v>343</v>
      </c>
      <c r="C19" s="116">
        <f>'Capital Structure Details'!C21</f>
        <v>70.2</v>
      </c>
      <c r="D19" s="117">
        <f t="shared" si="0"/>
        <v>5.5211684113663714E-3</v>
      </c>
      <c r="E19" s="125">
        <f>'Capital Structure Details'!D21</f>
        <v>4.5999999999999999E-2</v>
      </c>
    </row>
    <row r="20" spans="2:5" x14ac:dyDescent="0.25">
      <c r="B20" s="115" t="s">
        <v>343</v>
      </c>
      <c r="C20" s="116">
        <f>'Capital Structure Details'!C22</f>
        <v>160</v>
      </c>
      <c r="D20" s="117">
        <f t="shared" si="0"/>
        <v>1.2583859627045859E-2</v>
      </c>
      <c r="E20" s="125">
        <f>'Capital Structure Details'!D22</f>
        <v>0.04</v>
      </c>
    </row>
    <row r="21" spans="2:5" x14ac:dyDescent="0.25">
      <c r="B21" s="115" t="s">
        <v>343</v>
      </c>
      <c r="C21" s="116">
        <f>'Capital Structure Details'!C23</f>
        <v>41.5</v>
      </c>
      <c r="D21" s="117">
        <f t="shared" si="0"/>
        <v>3.2639385907650199E-3</v>
      </c>
      <c r="E21" s="125">
        <f>'Capital Structure Details'!D23</f>
        <v>5.3999999999999999E-2</v>
      </c>
    </row>
    <row r="22" spans="2:5" x14ac:dyDescent="0.25">
      <c r="B22" s="115" t="s">
        <v>343</v>
      </c>
      <c r="C22" s="116">
        <f>'Capital Structure Details'!C24</f>
        <v>103.5</v>
      </c>
      <c r="D22" s="117">
        <f t="shared" si="0"/>
        <v>8.1401841962452908E-3</v>
      </c>
      <c r="E22" s="125">
        <f>'Capital Structure Details'!D24</f>
        <v>4.2000000000000003E-2</v>
      </c>
    </row>
    <row r="23" spans="2:5" x14ac:dyDescent="0.25">
      <c r="B23" s="115" t="s">
        <v>343</v>
      </c>
      <c r="C23" s="116">
        <f>'Capital Structure Details'!C25</f>
        <v>20</v>
      </c>
      <c r="D23" s="117">
        <f t="shared" si="0"/>
        <v>1.5729824533807324E-3</v>
      </c>
      <c r="E23" s="125">
        <f>'Capital Structure Details'!D25</f>
        <v>5.6000000000000001E-2</v>
      </c>
    </row>
    <row r="24" spans="2:5" x14ac:dyDescent="0.25">
      <c r="B24" s="115" t="s">
        <v>343</v>
      </c>
      <c r="C24" s="116">
        <f>'Capital Structure Details'!C26</f>
        <v>52.2</v>
      </c>
      <c r="D24" s="117">
        <f t="shared" si="0"/>
        <v>4.1054842033237116E-3</v>
      </c>
      <c r="E24" s="125">
        <f>'Capital Structure Details'!D26</f>
        <v>5.2999999999999999E-2</v>
      </c>
    </row>
    <row r="25" spans="2:5" x14ac:dyDescent="0.25">
      <c r="B25" s="115" t="s">
        <v>343</v>
      </c>
      <c r="C25" s="116">
        <f>'Capital Structure Details'!C32</f>
        <v>53</v>
      </c>
      <c r="D25" s="117">
        <f t="shared" si="0"/>
        <v>4.1684035014589406E-3</v>
      </c>
      <c r="E25" s="125">
        <v>4.7E-2</v>
      </c>
    </row>
    <row r="26" spans="2:5" x14ac:dyDescent="0.25">
      <c r="B26" s="115" t="s">
        <v>343</v>
      </c>
      <c r="C26" s="116">
        <f>'Capital Structure Details'!C33</f>
        <v>146</v>
      </c>
      <c r="D26" s="117">
        <f t="shared" si="0"/>
        <v>1.1482771909679347E-2</v>
      </c>
      <c r="E26" s="125">
        <v>5.7500000000000002E-2</v>
      </c>
    </row>
    <row r="27" spans="2:5" x14ac:dyDescent="0.25">
      <c r="B27" s="115" t="s">
        <v>350</v>
      </c>
      <c r="C27" s="116">
        <f>'Capital Structure Details'!C34</f>
        <v>81</v>
      </c>
      <c r="D27" s="117">
        <f t="shared" si="0"/>
        <v>6.3705789361919668E-3</v>
      </c>
      <c r="E27" s="125">
        <v>3.9E-2</v>
      </c>
    </row>
    <row r="28" spans="2:5" x14ac:dyDescent="0.25">
      <c r="B28" s="115" t="s">
        <v>350</v>
      </c>
      <c r="C28" s="116">
        <f>'Capital Structure Details'!C35</f>
        <v>151</v>
      </c>
      <c r="D28" s="117">
        <f t="shared" si="0"/>
        <v>1.1876017523024531E-2</v>
      </c>
      <c r="E28" s="125">
        <f>'Capital Structure Details'!D35</f>
        <v>3.6999999999999998E-2</v>
      </c>
    </row>
    <row r="29" spans="2:5" x14ac:dyDescent="0.25">
      <c r="B29" s="115" t="s">
        <v>347</v>
      </c>
      <c r="C29" s="116">
        <f>'Capital Structure Details'!C36</f>
        <v>294</v>
      </c>
      <c r="D29" s="117">
        <f t="shared" si="0"/>
        <v>2.3122842064696766E-2</v>
      </c>
      <c r="E29" s="125">
        <v>1.7500000000000002E-2</v>
      </c>
    </row>
    <row r="30" spans="2:5" x14ac:dyDescent="0.25">
      <c r="B30" s="35" t="s">
        <v>403</v>
      </c>
      <c r="C30" s="119">
        <f>SUM(C4:C29)</f>
        <v>12714.7</v>
      </c>
      <c r="D30" s="120">
        <f>SUM(D4:D29)</f>
        <v>1.0000000000000004</v>
      </c>
      <c r="E30" s="121"/>
    </row>
    <row r="31" spans="2:5" ht="14.4" thickBot="1" x14ac:dyDescent="0.3">
      <c r="B31" s="57" t="s">
        <v>404</v>
      </c>
      <c r="C31" s="58"/>
      <c r="D31" s="58"/>
      <c r="E31" s="118">
        <f>SUMPRODUCT(D4:D29,E4:E29)</f>
        <v>4.3568059018301651E-2</v>
      </c>
    </row>
  </sheetData>
  <pageMargins left="0.7" right="0.7" top="0.75" bottom="0.75" header="0.3" footer="0.3"/>
  <pageSetup scale="8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3E17-0F24-4A5A-B845-93DDA9DCDAC6}">
  <sheetPr>
    <tabColor theme="4" tint="0.59999389629810485"/>
  </sheetPr>
  <dimension ref="A1"/>
  <sheetViews>
    <sheetView showGridLines="0" view="pageBreakPreview" zoomScaleNormal="100" zoomScaleSheetLayoutView="100"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A561-10A7-4BA5-B6F7-5D4EA4FFB7DF}">
  <sheetPr>
    <tabColor theme="4" tint="-0.499984740745262"/>
    <outlinePr summaryBelow="0" summaryRight="0"/>
    <pageSetUpPr autoPageBreaks="0" fitToPage="1"/>
  </sheetPr>
  <dimension ref="A2:IV42"/>
  <sheetViews>
    <sheetView view="pageBreakPreview" zoomScaleNormal="100" zoomScaleSheetLayoutView="100" workbookViewId="0"/>
  </sheetViews>
  <sheetFormatPr defaultRowHeight="10.199999999999999" x14ac:dyDescent="0.2"/>
  <cols>
    <col min="1" max="1" width="2.77734375" style="94" customWidth="1"/>
    <col min="2" max="2" width="45.77734375" style="1" customWidth="1"/>
    <col min="3" max="8" width="14.77734375" style="1" customWidth="1"/>
    <col min="9" max="16384" width="8.88671875" style="1"/>
  </cols>
  <sheetData>
    <row r="2" spans="2:256" x14ac:dyDescent="0.2">
      <c r="B2" s="14" t="s">
        <v>40</v>
      </c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2:256" ht="20.399999999999999" x14ac:dyDescent="0.2">
      <c r="B3" s="10" t="s">
        <v>39</v>
      </c>
      <c r="C3" s="9" t="s">
        <v>38</v>
      </c>
      <c r="D3" s="9" t="s">
        <v>37</v>
      </c>
      <c r="E3" s="9" t="s">
        <v>36</v>
      </c>
      <c r="F3" s="9" t="s">
        <v>35</v>
      </c>
      <c r="G3" s="9" t="s">
        <v>34</v>
      </c>
      <c r="H3" s="9" t="s">
        <v>33</v>
      </c>
    </row>
    <row r="4" spans="2:256" x14ac:dyDescent="0.2">
      <c r="B4" s="12" t="s">
        <v>32</v>
      </c>
      <c r="C4" s="11" t="s">
        <v>31</v>
      </c>
      <c r="D4" s="11" t="s">
        <v>31</v>
      </c>
      <c r="E4" s="11" t="s">
        <v>31</v>
      </c>
      <c r="F4" s="11" t="s">
        <v>31</v>
      </c>
      <c r="G4" s="11" t="s">
        <v>31</v>
      </c>
      <c r="H4" s="11" t="s">
        <v>31</v>
      </c>
    </row>
    <row r="5" spans="2:256" x14ac:dyDescent="0.2">
      <c r="B5" s="10" t="s">
        <v>30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</row>
    <row r="6" spans="2:256" x14ac:dyDescent="0.2">
      <c r="B6" s="6" t="s">
        <v>28</v>
      </c>
      <c r="C6" s="5"/>
      <c r="D6" s="5"/>
      <c r="E6" s="5"/>
      <c r="F6" s="5"/>
      <c r="G6" s="5"/>
      <c r="H6" s="5"/>
    </row>
    <row r="7" spans="2:256" x14ac:dyDescent="0.2">
      <c r="B7" s="5" t="s">
        <v>27</v>
      </c>
      <c r="C7" s="8">
        <v>3431.587</v>
      </c>
      <c r="D7" s="8">
        <v>5589.0069999999996</v>
      </c>
      <c r="E7" s="8">
        <v>8535</v>
      </c>
      <c r="F7" s="8">
        <v>17632</v>
      </c>
      <c r="G7" s="8">
        <v>19952</v>
      </c>
      <c r="H7" s="8">
        <v>26184</v>
      </c>
    </row>
    <row r="8" spans="2:256" x14ac:dyDescent="0.2">
      <c r="B8" s="5" t="s">
        <v>21</v>
      </c>
      <c r="C8" s="8">
        <v>14.477</v>
      </c>
      <c r="D8" s="8">
        <v>181.39400000000001</v>
      </c>
      <c r="E8" s="8">
        <v>1116</v>
      </c>
      <c r="F8" s="8">
        <v>1555</v>
      </c>
      <c r="G8" s="8">
        <v>1531</v>
      </c>
      <c r="H8" s="8">
        <v>1994</v>
      </c>
    </row>
    <row r="9" spans="2:256" x14ac:dyDescent="0.2">
      <c r="B9" s="5" t="s">
        <v>24</v>
      </c>
      <c r="C9" s="8">
        <v>290.57499999999999</v>
      </c>
      <c r="D9" s="8">
        <v>467.97199999999998</v>
      </c>
      <c r="E9" s="8">
        <v>1001</v>
      </c>
      <c r="F9" s="8">
        <v>1391</v>
      </c>
      <c r="G9" s="8">
        <v>2226</v>
      </c>
      <c r="H9" s="8">
        <v>2306</v>
      </c>
    </row>
    <row r="10" spans="2:256" x14ac:dyDescent="0.2">
      <c r="B10" s="5" t="s">
        <v>22</v>
      </c>
      <c r="C10" s="8">
        <v>309.38600000000002</v>
      </c>
      <c r="D10" s="8">
        <v>761.75900000000001</v>
      </c>
      <c r="E10" s="8">
        <v>1107</v>
      </c>
      <c r="F10" s="8">
        <v>883</v>
      </c>
      <c r="G10" s="8">
        <v>869</v>
      </c>
      <c r="H10" s="8">
        <v>1052</v>
      </c>
    </row>
    <row r="11" spans="2:256" x14ac:dyDescent="0.2">
      <c r="B11" s="6" t="s">
        <v>26</v>
      </c>
      <c r="C11" s="7">
        <v>4046.0250000000001</v>
      </c>
      <c r="D11" s="7">
        <v>7000.1319999999996</v>
      </c>
      <c r="E11" s="7">
        <v>11759</v>
      </c>
      <c r="F11" s="7">
        <v>21461</v>
      </c>
      <c r="G11" s="7">
        <v>24578</v>
      </c>
      <c r="H11" s="7">
        <v>31536</v>
      </c>
    </row>
    <row r="12" spans="2:256" x14ac:dyDescent="0.2">
      <c r="B12" s="5"/>
      <c r="C12" s="5"/>
      <c r="D12" s="5"/>
      <c r="E12" s="5"/>
      <c r="F12" s="5"/>
      <c r="G12" s="5"/>
      <c r="H12" s="5"/>
    </row>
    <row r="13" spans="2:256" x14ac:dyDescent="0.2">
      <c r="B13" s="6" t="s">
        <v>25</v>
      </c>
      <c r="C13" s="5"/>
      <c r="D13" s="5"/>
      <c r="E13" s="5"/>
      <c r="F13" s="5"/>
      <c r="G13" s="5"/>
      <c r="H13" s="5"/>
    </row>
    <row r="14" spans="2:256" x14ac:dyDescent="0.2">
      <c r="B14" s="5" t="s">
        <v>24</v>
      </c>
      <c r="C14" s="8">
        <v>-286.89999999999998</v>
      </c>
      <c r="D14" s="8">
        <v>-472.5</v>
      </c>
      <c r="E14" s="8">
        <v>-1229</v>
      </c>
      <c r="F14" s="8">
        <v>-1880</v>
      </c>
      <c r="G14" s="8">
        <v>-2770</v>
      </c>
      <c r="H14" s="8">
        <v>-2671</v>
      </c>
    </row>
    <row r="15" spans="2:256" x14ac:dyDescent="0.2">
      <c r="B15" s="5" t="s">
        <v>23</v>
      </c>
      <c r="C15" s="8">
        <v>-2639.9</v>
      </c>
      <c r="D15" s="8">
        <v>-4268.1000000000004</v>
      </c>
      <c r="E15" s="8">
        <v>-6725</v>
      </c>
      <c r="F15" s="8">
        <v>-13686</v>
      </c>
      <c r="G15" s="8">
        <v>-15939</v>
      </c>
      <c r="H15" s="8">
        <v>-19696</v>
      </c>
    </row>
    <row r="16" spans="2:256" x14ac:dyDescent="0.2">
      <c r="B16" s="5" t="s">
        <v>22</v>
      </c>
      <c r="C16" s="8">
        <v>-183.4</v>
      </c>
      <c r="D16" s="8">
        <v>-482</v>
      </c>
      <c r="E16" s="8">
        <v>-708</v>
      </c>
      <c r="F16" s="8">
        <v>-488</v>
      </c>
      <c r="G16" s="8">
        <v>-459</v>
      </c>
      <c r="H16" s="8">
        <v>-563</v>
      </c>
    </row>
    <row r="17" spans="2:8" x14ac:dyDescent="0.2">
      <c r="B17" s="5" t="s">
        <v>21</v>
      </c>
      <c r="C17" s="8">
        <v>-12.3</v>
      </c>
      <c r="D17" s="8">
        <v>-178.3</v>
      </c>
      <c r="E17" s="8">
        <v>-874</v>
      </c>
      <c r="F17" s="8">
        <v>-1365</v>
      </c>
      <c r="G17" s="8">
        <v>-1341</v>
      </c>
      <c r="H17" s="8">
        <v>-1976</v>
      </c>
    </row>
    <row r="18" spans="2:8" x14ac:dyDescent="0.2">
      <c r="B18" s="5" t="s">
        <v>20</v>
      </c>
      <c r="C18" s="8">
        <v>-922.2</v>
      </c>
      <c r="D18" s="8">
        <v>-1432.2</v>
      </c>
      <c r="E18" s="8">
        <v>-2477</v>
      </c>
      <c r="F18" s="8">
        <v>-2835</v>
      </c>
      <c r="G18" s="8">
        <v>-2646</v>
      </c>
      <c r="H18" s="8">
        <v>-3145</v>
      </c>
    </row>
    <row r="19" spans="2:8" x14ac:dyDescent="0.2">
      <c r="B19" s="5" t="s">
        <v>19</v>
      </c>
      <c r="C19" s="8">
        <v>-717.9</v>
      </c>
      <c r="D19" s="8">
        <v>-834.4</v>
      </c>
      <c r="E19" s="8">
        <v>-1378</v>
      </c>
      <c r="F19" s="8">
        <v>-1460</v>
      </c>
      <c r="G19" s="8">
        <v>-1343</v>
      </c>
      <c r="H19" s="8">
        <v>-1491</v>
      </c>
    </row>
    <row r="20" spans="2:8" x14ac:dyDescent="0.2">
      <c r="B20" s="5" t="s">
        <v>18</v>
      </c>
      <c r="C20" s="8" t="s">
        <v>6</v>
      </c>
      <c r="D20" s="8" t="s">
        <v>6</v>
      </c>
      <c r="E20" s="8">
        <v>0</v>
      </c>
      <c r="F20" s="8">
        <v>-135</v>
      </c>
      <c r="G20" s="8">
        <v>-149</v>
      </c>
      <c r="H20" s="8">
        <v>0</v>
      </c>
    </row>
    <row r="21" spans="2:8" x14ac:dyDescent="0.2">
      <c r="B21" s="5" t="s">
        <v>17</v>
      </c>
      <c r="C21" s="8">
        <v>-118.9</v>
      </c>
      <c r="D21" s="8">
        <v>-198.8</v>
      </c>
      <c r="E21" s="8">
        <v>-471</v>
      </c>
      <c r="F21" s="8">
        <v>-663</v>
      </c>
      <c r="G21" s="8">
        <v>-685</v>
      </c>
      <c r="H21" s="8">
        <v>-748</v>
      </c>
    </row>
    <row r="22" spans="2:8" x14ac:dyDescent="0.2">
      <c r="B22" s="5" t="s">
        <v>16</v>
      </c>
      <c r="C22" s="8">
        <v>1.508</v>
      </c>
      <c r="D22" s="8">
        <v>8.5299999999999994</v>
      </c>
      <c r="E22" s="8">
        <v>19</v>
      </c>
      <c r="F22" s="8">
        <v>24</v>
      </c>
      <c r="G22" s="8">
        <v>44</v>
      </c>
      <c r="H22" s="8">
        <v>30</v>
      </c>
    </row>
    <row r="23" spans="2:8" x14ac:dyDescent="0.2">
      <c r="B23" s="5" t="s">
        <v>15</v>
      </c>
      <c r="C23" s="8">
        <v>-41.7</v>
      </c>
      <c r="D23" s="8">
        <v>111.27200000000001</v>
      </c>
      <c r="E23" s="8">
        <v>-125</v>
      </c>
      <c r="F23" s="8">
        <v>22</v>
      </c>
      <c r="G23" s="8">
        <v>45</v>
      </c>
      <c r="H23" s="8">
        <v>-122</v>
      </c>
    </row>
    <row r="24" spans="2:8" x14ac:dyDescent="0.2">
      <c r="B24" s="6" t="s">
        <v>14</v>
      </c>
      <c r="C24" s="7">
        <v>-875.6</v>
      </c>
      <c r="D24" s="7">
        <v>-746.3</v>
      </c>
      <c r="E24" s="7">
        <v>-2209</v>
      </c>
      <c r="F24" s="7">
        <v>-1005</v>
      </c>
      <c r="G24" s="7">
        <v>-665</v>
      </c>
      <c r="H24" s="7">
        <v>1154</v>
      </c>
    </row>
    <row r="25" spans="2:8" x14ac:dyDescent="0.2">
      <c r="B25" s="5"/>
      <c r="C25" s="5"/>
      <c r="D25" s="5"/>
      <c r="E25" s="5"/>
      <c r="F25" s="5"/>
      <c r="G25" s="5"/>
      <c r="H25" s="5"/>
    </row>
    <row r="26" spans="2:8" x14ac:dyDescent="0.2">
      <c r="B26" s="6" t="s">
        <v>13</v>
      </c>
      <c r="C26" s="5"/>
      <c r="D26" s="5"/>
      <c r="E26" s="5"/>
      <c r="F26" s="5"/>
      <c r="G26" s="5"/>
      <c r="H26" s="5"/>
    </row>
    <row r="27" spans="2:8" x14ac:dyDescent="0.2">
      <c r="B27" s="5" t="s">
        <v>12</v>
      </c>
      <c r="C27" s="8">
        <v>-13</v>
      </c>
      <c r="D27" s="8">
        <v>-26.7</v>
      </c>
      <c r="E27" s="8">
        <v>-32</v>
      </c>
      <c r="F27" s="8">
        <v>-58</v>
      </c>
      <c r="G27" s="8">
        <v>-110</v>
      </c>
      <c r="H27" s="8">
        <v>-292</v>
      </c>
    </row>
    <row r="28" spans="2:8" x14ac:dyDescent="0.2">
      <c r="B28" s="5" t="s">
        <v>11</v>
      </c>
      <c r="C28" s="8" t="s">
        <v>6</v>
      </c>
      <c r="D28" s="8">
        <v>98.132000000000005</v>
      </c>
      <c r="E28" s="8">
        <v>279</v>
      </c>
      <c r="F28" s="8">
        <v>87</v>
      </c>
      <c r="G28" s="8">
        <v>-87</v>
      </c>
      <c r="H28" s="8">
        <v>-141</v>
      </c>
    </row>
    <row r="29" spans="2:8" x14ac:dyDescent="0.2">
      <c r="B29" s="6" t="s">
        <v>10</v>
      </c>
      <c r="C29" s="7">
        <v>-888.7</v>
      </c>
      <c r="D29" s="7">
        <v>-674.9</v>
      </c>
      <c r="E29" s="7">
        <v>-1962</v>
      </c>
      <c r="F29" s="7">
        <v>-976</v>
      </c>
      <c r="G29" s="7">
        <v>-862</v>
      </c>
      <c r="H29" s="7">
        <v>721</v>
      </c>
    </row>
    <row r="30" spans="2:8" x14ac:dyDescent="0.2">
      <c r="B30" s="5"/>
      <c r="C30" s="5"/>
      <c r="D30" s="5"/>
      <c r="E30" s="5"/>
      <c r="F30" s="5"/>
      <c r="G30" s="5"/>
      <c r="H30" s="5"/>
    </row>
    <row r="31" spans="2:8" x14ac:dyDescent="0.2">
      <c r="B31" s="6" t="s">
        <v>9</v>
      </c>
      <c r="C31" s="5"/>
      <c r="D31" s="5"/>
      <c r="E31" s="5"/>
      <c r="F31" s="5"/>
      <c r="G31" s="5"/>
      <c r="H31" s="5"/>
    </row>
    <row r="32" spans="2:8" x14ac:dyDescent="0.2">
      <c r="B32" s="5" t="s">
        <v>8</v>
      </c>
      <c r="C32" s="8" t="s">
        <v>6</v>
      </c>
      <c r="D32" s="8" t="s">
        <v>6</v>
      </c>
      <c r="E32" s="8" t="s">
        <v>6</v>
      </c>
      <c r="F32" s="8" t="s">
        <v>6</v>
      </c>
      <c r="G32" s="8">
        <v>-8</v>
      </c>
      <c r="H32" s="8">
        <v>-31</v>
      </c>
    </row>
    <row r="33" spans="2:8" x14ac:dyDescent="0.2">
      <c r="B33" s="6" t="s">
        <v>7</v>
      </c>
      <c r="C33" s="7" t="s">
        <v>6</v>
      </c>
      <c r="D33" s="7" t="s">
        <v>6</v>
      </c>
      <c r="E33" s="7" t="s">
        <v>6</v>
      </c>
      <c r="F33" s="7">
        <v>-976</v>
      </c>
      <c r="G33" s="7">
        <v>-870</v>
      </c>
      <c r="H33" s="7">
        <v>690</v>
      </c>
    </row>
    <row r="34" spans="2:8" x14ac:dyDescent="0.2">
      <c r="B34" s="5"/>
      <c r="C34" s="5"/>
      <c r="D34" s="5"/>
      <c r="E34" s="5"/>
      <c r="F34" s="5"/>
      <c r="G34" s="5"/>
      <c r="H34" s="5"/>
    </row>
    <row r="35" spans="2:8" x14ac:dyDescent="0.2">
      <c r="B35" s="6" t="s">
        <v>5</v>
      </c>
      <c r="C35" s="5"/>
      <c r="D35" s="5"/>
      <c r="E35" s="5"/>
      <c r="F35" s="5"/>
      <c r="G35" s="5"/>
      <c r="H35" s="5"/>
    </row>
    <row r="36" spans="2:8" x14ac:dyDescent="0.2">
      <c r="B36" s="5" t="s">
        <v>4</v>
      </c>
      <c r="C36" s="4">
        <v>923.50300000000004</v>
      </c>
      <c r="D36" s="4">
        <v>1599.2570000000001</v>
      </c>
      <c r="E36" s="4">
        <v>2223</v>
      </c>
      <c r="F36" s="4">
        <v>4042</v>
      </c>
      <c r="G36" s="4">
        <v>4069</v>
      </c>
      <c r="H36" s="4">
        <v>6630</v>
      </c>
    </row>
    <row r="37" spans="2:8" x14ac:dyDescent="0.2">
      <c r="B37" s="5" t="s">
        <v>3</v>
      </c>
      <c r="C37" s="4">
        <v>-716.63</v>
      </c>
      <c r="D37" s="4">
        <v>-667.34</v>
      </c>
      <c r="E37" s="4">
        <v>-1632</v>
      </c>
      <c r="F37" s="4">
        <v>-388</v>
      </c>
      <c r="G37" s="4">
        <v>-69</v>
      </c>
      <c r="H37" s="4">
        <v>1994</v>
      </c>
    </row>
    <row r="38" spans="2:8" x14ac:dyDescent="0.2">
      <c r="B38" s="5" t="s">
        <v>2</v>
      </c>
      <c r="C38" s="4">
        <v>-0.01</v>
      </c>
      <c r="D38" s="4">
        <v>0</v>
      </c>
      <c r="E38" s="4">
        <v>-11.83</v>
      </c>
      <c r="F38" s="4">
        <v>-1.1399999999999999</v>
      </c>
      <c r="G38" s="4">
        <v>-0.98</v>
      </c>
      <c r="H38" s="4">
        <v>0.74</v>
      </c>
    </row>
    <row r="39" spans="2:8" x14ac:dyDescent="0.2">
      <c r="B39" s="5" t="s">
        <v>1</v>
      </c>
      <c r="C39" s="4">
        <v>-0.01</v>
      </c>
      <c r="D39" s="4">
        <v>0</v>
      </c>
      <c r="E39" s="4">
        <v>-11.83</v>
      </c>
      <c r="F39" s="4">
        <v>-1.1399999999999999</v>
      </c>
      <c r="G39" s="4">
        <v>-0.98</v>
      </c>
      <c r="H39" s="4">
        <v>0.64</v>
      </c>
    </row>
    <row r="40" spans="2:8" x14ac:dyDescent="0.2">
      <c r="B40" s="3"/>
      <c r="C40" s="3"/>
      <c r="D40" s="3"/>
      <c r="E40" s="3"/>
      <c r="F40" s="3"/>
      <c r="G40" s="3"/>
      <c r="H40" s="3"/>
    </row>
    <row r="42" spans="2:8" x14ac:dyDescent="0.2">
      <c r="B42" s="2" t="s">
        <v>0</v>
      </c>
    </row>
  </sheetData>
  <pageMargins left="0.2" right="0.2" top="0.5" bottom="0.5" header="0.5" footer="0.5"/>
  <pageSetup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B471-8C6F-45E8-AB12-E7F6F95DA44F}">
  <sheetPr>
    <tabColor theme="4" tint="-0.499984740745262"/>
    <outlinePr summaryBelow="0" summaryRight="0"/>
    <pageSetUpPr autoPageBreaks="0" fitToPage="1"/>
  </sheetPr>
  <dimension ref="A2:IV69"/>
  <sheetViews>
    <sheetView view="pageBreakPreview" zoomScaleNormal="100" zoomScaleSheetLayoutView="100" workbookViewId="0"/>
  </sheetViews>
  <sheetFormatPr defaultRowHeight="10.199999999999999" x14ac:dyDescent="0.2"/>
  <cols>
    <col min="1" max="1" width="2.77734375" style="94" customWidth="1"/>
    <col min="2" max="2" width="45.77734375" style="1" customWidth="1"/>
    <col min="3" max="8" width="14.77734375" style="1" customWidth="1"/>
    <col min="9" max="16384" width="8.88671875" style="1"/>
  </cols>
  <sheetData>
    <row r="2" spans="2:256" x14ac:dyDescent="0.2">
      <c r="B2" s="14" t="s">
        <v>97</v>
      </c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2:256" ht="20.399999999999999" x14ac:dyDescent="0.2">
      <c r="B3" s="10" t="s">
        <v>96</v>
      </c>
      <c r="C3" s="15">
        <v>42369</v>
      </c>
      <c r="D3" s="15">
        <v>42735</v>
      </c>
      <c r="E3" s="15">
        <v>43100</v>
      </c>
      <c r="F3" s="15">
        <v>43465</v>
      </c>
      <c r="G3" s="15">
        <v>43830</v>
      </c>
      <c r="H3" s="15">
        <v>44196</v>
      </c>
    </row>
    <row r="4" spans="2:256" x14ac:dyDescent="0.2">
      <c r="B4" s="12" t="s">
        <v>32</v>
      </c>
      <c r="C4" s="11" t="s">
        <v>31</v>
      </c>
      <c r="D4" s="11" t="s">
        <v>31</v>
      </c>
      <c r="E4" s="11" t="s">
        <v>31</v>
      </c>
      <c r="F4" s="11" t="s">
        <v>31</v>
      </c>
      <c r="G4" s="11" t="s">
        <v>31</v>
      </c>
      <c r="H4" s="11" t="s">
        <v>31</v>
      </c>
    </row>
    <row r="5" spans="2:256" x14ac:dyDescent="0.2">
      <c r="B5" s="10" t="s">
        <v>30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</row>
    <row r="6" spans="2:256" x14ac:dyDescent="0.2">
      <c r="B6" s="6" t="s">
        <v>95</v>
      </c>
      <c r="C6" s="5"/>
      <c r="D6" s="5"/>
      <c r="E6" s="5"/>
      <c r="F6" s="5"/>
      <c r="G6" s="5"/>
      <c r="H6" s="5"/>
    </row>
    <row r="7" spans="2:256" x14ac:dyDescent="0.2">
      <c r="B7" s="5" t="s">
        <v>94</v>
      </c>
      <c r="C7" s="8">
        <v>1196.9079999999999</v>
      </c>
      <c r="D7" s="8">
        <v>3393.2159999999999</v>
      </c>
      <c r="E7" s="8">
        <v>3367.9140000000002</v>
      </c>
      <c r="F7" s="8">
        <v>3686</v>
      </c>
      <c r="G7" s="8">
        <v>6268</v>
      </c>
      <c r="H7" s="8">
        <v>19384</v>
      </c>
    </row>
    <row r="8" spans="2:256" x14ac:dyDescent="0.2">
      <c r="B8" s="5" t="s">
        <v>93</v>
      </c>
      <c r="C8" s="8">
        <v>168.965</v>
      </c>
      <c r="D8" s="8">
        <v>499.142</v>
      </c>
      <c r="E8" s="8">
        <v>515.38099999999997</v>
      </c>
      <c r="F8" s="8">
        <v>949</v>
      </c>
      <c r="G8" s="8">
        <v>1324</v>
      </c>
      <c r="H8" s="8">
        <v>1886</v>
      </c>
    </row>
    <row r="9" spans="2:256" x14ac:dyDescent="0.2">
      <c r="B9" s="5" t="s">
        <v>92</v>
      </c>
      <c r="C9" s="8">
        <v>1277.838</v>
      </c>
      <c r="D9" s="8">
        <v>2067.4540000000002</v>
      </c>
      <c r="E9" s="8">
        <v>2263.5369999999998</v>
      </c>
      <c r="F9" s="8">
        <v>3113</v>
      </c>
      <c r="G9" s="8">
        <v>3552</v>
      </c>
      <c r="H9" s="8">
        <v>4101</v>
      </c>
    </row>
    <row r="10" spans="2:256" x14ac:dyDescent="0.2">
      <c r="B10" s="5" t="s">
        <v>91</v>
      </c>
      <c r="C10" s="8">
        <v>115.667</v>
      </c>
      <c r="D10" s="8">
        <v>194.465</v>
      </c>
      <c r="E10" s="8">
        <v>268.36500000000001</v>
      </c>
      <c r="F10" s="8">
        <v>366</v>
      </c>
      <c r="G10" s="8">
        <v>959</v>
      </c>
      <c r="H10" s="8">
        <v>1346</v>
      </c>
    </row>
    <row r="11" spans="2:256" x14ac:dyDescent="0.2">
      <c r="B11" s="5" t="s">
        <v>78</v>
      </c>
      <c r="C11" s="8">
        <v>22.628</v>
      </c>
      <c r="D11" s="8">
        <v>105.51900000000001</v>
      </c>
      <c r="E11" s="8">
        <v>155.32300000000001</v>
      </c>
      <c r="F11" s="8">
        <v>193</v>
      </c>
      <c r="G11" s="8" t="s">
        <v>6</v>
      </c>
      <c r="H11" s="8" t="s">
        <v>6</v>
      </c>
    </row>
    <row r="12" spans="2:256" x14ac:dyDescent="0.2">
      <c r="B12" s="6" t="s">
        <v>90</v>
      </c>
      <c r="C12" s="7">
        <v>2782.0059999999999</v>
      </c>
      <c r="D12" s="7">
        <v>6259.7960000000003</v>
      </c>
      <c r="E12" s="7">
        <v>6570.52</v>
      </c>
      <c r="F12" s="7">
        <v>8307</v>
      </c>
      <c r="G12" s="7">
        <v>12103</v>
      </c>
      <c r="H12" s="7">
        <v>26717</v>
      </c>
    </row>
    <row r="13" spans="2:256" x14ac:dyDescent="0.2">
      <c r="B13" s="5"/>
      <c r="C13" s="5"/>
      <c r="D13" s="5"/>
      <c r="E13" s="5"/>
      <c r="F13" s="5"/>
      <c r="G13" s="5"/>
      <c r="H13" s="5"/>
    </row>
    <row r="14" spans="2:256" x14ac:dyDescent="0.2">
      <c r="B14" s="6" t="s">
        <v>89</v>
      </c>
      <c r="C14" s="5"/>
      <c r="D14" s="5"/>
      <c r="E14" s="5"/>
      <c r="F14" s="5"/>
      <c r="G14" s="5"/>
      <c r="H14" s="5"/>
    </row>
    <row r="15" spans="2:256" x14ac:dyDescent="0.2">
      <c r="B15" s="5" t="s">
        <v>88</v>
      </c>
      <c r="C15" s="8" t="s">
        <v>6</v>
      </c>
      <c r="D15" s="8" t="s">
        <v>6</v>
      </c>
      <c r="E15" s="8" t="s">
        <v>6</v>
      </c>
      <c r="F15" s="8" t="s">
        <v>6</v>
      </c>
      <c r="G15" s="8">
        <v>1218</v>
      </c>
      <c r="H15" s="8">
        <v>1558</v>
      </c>
    </row>
    <row r="16" spans="2:256" x14ac:dyDescent="0.2">
      <c r="B16" s="5" t="s">
        <v>87</v>
      </c>
      <c r="C16" s="8">
        <v>3403.3339999999998</v>
      </c>
      <c r="D16" s="8">
        <v>5982.9570000000003</v>
      </c>
      <c r="E16" s="8">
        <v>10027.522000000001</v>
      </c>
      <c r="F16" s="8" t="s">
        <v>6</v>
      </c>
      <c r="G16" s="8">
        <v>10396</v>
      </c>
      <c r="H16" s="8">
        <v>12747</v>
      </c>
    </row>
    <row r="17" spans="2:8" x14ac:dyDescent="0.2">
      <c r="B17" s="5" t="s">
        <v>86</v>
      </c>
      <c r="C17" s="8" t="s">
        <v>6</v>
      </c>
      <c r="D17" s="8" t="s">
        <v>6</v>
      </c>
      <c r="E17" s="8" t="s">
        <v>6</v>
      </c>
      <c r="F17" s="8">
        <v>11330</v>
      </c>
      <c r="G17" s="8" t="s">
        <v>6</v>
      </c>
      <c r="H17" s="8" t="s">
        <v>6</v>
      </c>
    </row>
    <row r="18" spans="2:8" x14ac:dyDescent="0.2">
      <c r="B18" s="5" t="s">
        <v>85</v>
      </c>
      <c r="C18" s="8">
        <v>1791.403</v>
      </c>
      <c r="D18" s="8">
        <v>3134.08</v>
      </c>
      <c r="E18" s="8" t="s">
        <v>6</v>
      </c>
      <c r="F18" s="8" t="s">
        <v>6</v>
      </c>
      <c r="G18" s="8" t="s">
        <v>6</v>
      </c>
      <c r="H18" s="8" t="s">
        <v>6</v>
      </c>
    </row>
    <row r="19" spans="2:8" x14ac:dyDescent="0.2">
      <c r="B19" s="5" t="s">
        <v>84</v>
      </c>
      <c r="C19" s="8" t="s">
        <v>6</v>
      </c>
      <c r="D19" s="8" t="s">
        <v>6</v>
      </c>
      <c r="E19" s="8">
        <v>4116.6040000000003</v>
      </c>
      <c r="F19" s="8">
        <v>2090</v>
      </c>
      <c r="G19" s="8">
        <v>2447</v>
      </c>
      <c r="H19" s="8">
        <v>3091</v>
      </c>
    </row>
    <row r="20" spans="2:8" x14ac:dyDescent="0.2">
      <c r="B20" s="5" t="s">
        <v>83</v>
      </c>
      <c r="C20" s="8" t="s">
        <v>6</v>
      </c>
      <c r="D20" s="8">
        <v>5919.88</v>
      </c>
      <c r="E20" s="8" t="s">
        <v>6</v>
      </c>
      <c r="F20" s="8">
        <v>6271</v>
      </c>
      <c r="G20" s="8">
        <v>6138</v>
      </c>
      <c r="H20" s="8">
        <v>5979</v>
      </c>
    </row>
    <row r="21" spans="2:8" x14ac:dyDescent="0.2">
      <c r="B21" s="5" t="s">
        <v>82</v>
      </c>
      <c r="C21" s="8" t="s">
        <v>6</v>
      </c>
      <c r="D21" s="8" t="s">
        <v>6</v>
      </c>
      <c r="E21" s="8">
        <v>6347.49</v>
      </c>
      <c r="F21" s="8" t="s">
        <v>6</v>
      </c>
      <c r="G21" s="8" t="s">
        <v>6</v>
      </c>
      <c r="H21" s="8" t="s">
        <v>6</v>
      </c>
    </row>
    <row r="22" spans="2:8" x14ac:dyDescent="0.2">
      <c r="B22" s="5" t="s">
        <v>81</v>
      </c>
      <c r="C22" s="8" t="s">
        <v>6</v>
      </c>
      <c r="D22" s="8">
        <v>506.30200000000002</v>
      </c>
      <c r="E22" s="8">
        <v>456.65199999999999</v>
      </c>
      <c r="F22" s="8">
        <v>422</v>
      </c>
      <c r="G22" s="8" t="s">
        <v>6</v>
      </c>
      <c r="H22" s="8" t="s">
        <v>6</v>
      </c>
    </row>
    <row r="23" spans="2:8" x14ac:dyDescent="0.2">
      <c r="B23" s="5" t="s">
        <v>80</v>
      </c>
      <c r="C23" s="8" t="s">
        <v>6</v>
      </c>
      <c r="D23" s="8" t="s">
        <v>6</v>
      </c>
      <c r="E23" s="8">
        <v>60.237000000000002</v>
      </c>
      <c r="F23" s="8">
        <v>68</v>
      </c>
      <c r="G23" s="8">
        <v>198</v>
      </c>
      <c r="H23" s="8">
        <v>207</v>
      </c>
    </row>
    <row r="24" spans="2:8" x14ac:dyDescent="0.2">
      <c r="B24" s="5" t="s">
        <v>79</v>
      </c>
      <c r="C24" s="8">
        <v>12.816000000000001</v>
      </c>
      <c r="D24" s="8">
        <v>376.14499999999998</v>
      </c>
      <c r="E24" s="8">
        <v>361.50200000000001</v>
      </c>
      <c r="F24" s="8">
        <v>282</v>
      </c>
      <c r="G24" s="8">
        <v>339</v>
      </c>
      <c r="H24" s="8">
        <v>313</v>
      </c>
    </row>
    <row r="25" spans="2:8" x14ac:dyDescent="0.2">
      <c r="B25" s="5" t="s">
        <v>78</v>
      </c>
      <c r="C25" s="8">
        <v>31.521999999999998</v>
      </c>
      <c r="D25" s="8">
        <v>268.16500000000002</v>
      </c>
      <c r="E25" s="8">
        <v>441.72199999999998</v>
      </c>
      <c r="F25" s="8" t="s">
        <v>6</v>
      </c>
      <c r="G25" s="8" t="s">
        <v>6</v>
      </c>
      <c r="H25" s="8" t="s">
        <v>6</v>
      </c>
    </row>
    <row r="26" spans="2:8" x14ac:dyDescent="0.2">
      <c r="B26" s="5" t="s">
        <v>77</v>
      </c>
      <c r="C26" s="8" t="s">
        <v>6</v>
      </c>
      <c r="D26" s="8" t="s">
        <v>6</v>
      </c>
      <c r="E26" s="8" t="s">
        <v>6</v>
      </c>
      <c r="F26" s="8">
        <v>398</v>
      </c>
      <c r="G26" s="8" t="s">
        <v>6</v>
      </c>
      <c r="H26" s="8" t="s">
        <v>6</v>
      </c>
    </row>
    <row r="27" spans="2:8" x14ac:dyDescent="0.2">
      <c r="B27" s="5" t="s">
        <v>76</v>
      </c>
      <c r="C27" s="8">
        <v>46.857999999999997</v>
      </c>
      <c r="D27" s="8">
        <v>216.751</v>
      </c>
      <c r="E27" s="8">
        <v>273.12299999999999</v>
      </c>
      <c r="F27" s="8">
        <v>572</v>
      </c>
      <c r="G27" s="8" t="s">
        <v>6</v>
      </c>
      <c r="H27" s="8" t="s">
        <v>6</v>
      </c>
    </row>
    <row r="28" spans="2:8" x14ac:dyDescent="0.2">
      <c r="B28" s="5" t="s">
        <v>75</v>
      </c>
      <c r="C28" s="8" t="s">
        <v>6</v>
      </c>
      <c r="D28" s="8" t="s">
        <v>6</v>
      </c>
      <c r="E28" s="8" t="s">
        <v>6</v>
      </c>
      <c r="F28" s="8" t="s">
        <v>6</v>
      </c>
      <c r="G28" s="8">
        <v>1470</v>
      </c>
      <c r="H28" s="8">
        <v>1536</v>
      </c>
    </row>
    <row r="29" spans="2:8" x14ac:dyDescent="0.2">
      <c r="B29" s="6" t="s">
        <v>74</v>
      </c>
      <c r="C29" s="7">
        <v>8067.9390000000003</v>
      </c>
      <c r="D29" s="7">
        <v>22664.076000000001</v>
      </c>
      <c r="E29" s="7">
        <v>28655.371999999999</v>
      </c>
      <c r="F29" s="7">
        <v>29740</v>
      </c>
      <c r="G29" s="7">
        <v>34309</v>
      </c>
      <c r="H29" s="7">
        <v>52148</v>
      </c>
    </row>
    <row r="30" spans="2:8" x14ac:dyDescent="0.2">
      <c r="B30" s="5"/>
      <c r="C30" s="5"/>
      <c r="D30" s="5"/>
      <c r="E30" s="5"/>
      <c r="F30" s="5"/>
      <c r="G30" s="5"/>
      <c r="H30" s="5"/>
    </row>
    <row r="31" spans="2:8" x14ac:dyDescent="0.2">
      <c r="B31" s="6" t="s">
        <v>73</v>
      </c>
      <c r="C31" s="5"/>
      <c r="D31" s="5"/>
      <c r="E31" s="5"/>
      <c r="F31" s="5"/>
      <c r="G31" s="5"/>
      <c r="H31" s="5"/>
    </row>
    <row r="32" spans="2:8" x14ac:dyDescent="0.2">
      <c r="B32" s="5" t="s">
        <v>72</v>
      </c>
      <c r="C32" s="8">
        <v>916.14800000000002</v>
      </c>
      <c r="D32" s="8">
        <v>1860.3409999999999</v>
      </c>
      <c r="E32" s="8">
        <v>2390.25</v>
      </c>
      <c r="F32" s="8">
        <v>3405</v>
      </c>
      <c r="G32" s="8">
        <v>3771</v>
      </c>
      <c r="H32" s="8">
        <v>6051</v>
      </c>
    </row>
    <row r="33" spans="2:8" x14ac:dyDescent="0.2">
      <c r="B33" s="5" t="s">
        <v>71</v>
      </c>
      <c r="C33" s="8">
        <v>422.798</v>
      </c>
      <c r="D33" s="8">
        <v>1210.028</v>
      </c>
      <c r="E33" s="8">
        <v>1731.366</v>
      </c>
      <c r="F33" s="8">
        <v>0</v>
      </c>
      <c r="G33" s="8">
        <v>3222</v>
      </c>
      <c r="H33" s="8">
        <v>3855</v>
      </c>
    </row>
    <row r="34" spans="2:8" x14ac:dyDescent="0.2">
      <c r="B34" s="5" t="s">
        <v>70</v>
      </c>
      <c r="C34" s="8">
        <v>0</v>
      </c>
      <c r="D34" s="8">
        <v>0</v>
      </c>
      <c r="E34" s="8">
        <v>0</v>
      </c>
      <c r="F34" s="8">
        <v>2094</v>
      </c>
      <c r="G34" s="8">
        <v>0</v>
      </c>
      <c r="H34" s="8">
        <v>0</v>
      </c>
    </row>
    <row r="35" spans="2:8" x14ac:dyDescent="0.2">
      <c r="B35" s="5" t="s">
        <v>69</v>
      </c>
      <c r="C35" s="8">
        <v>627.92700000000002</v>
      </c>
      <c r="D35" s="8">
        <v>984.21100000000001</v>
      </c>
      <c r="E35" s="8">
        <v>796.54899999999998</v>
      </c>
      <c r="F35" s="8" t="s">
        <v>6</v>
      </c>
      <c r="G35" s="8" t="s">
        <v>6</v>
      </c>
      <c r="H35" s="8" t="s">
        <v>6</v>
      </c>
    </row>
    <row r="36" spans="2:8" x14ac:dyDescent="0.2">
      <c r="B36" s="5" t="s">
        <v>59</v>
      </c>
      <c r="C36" s="8">
        <v>47.284999999999997</v>
      </c>
      <c r="D36" s="8">
        <v>8.7840000000000007</v>
      </c>
      <c r="E36" s="8">
        <v>7.0000000000000007E-2</v>
      </c>
      <c r="F36" s="8" t="s">
        <v>6</v>
      </c>
      <c r="G36" s="8" t="s">
        <v>6</v>
      </c>
      <c r="H36" s="8" t="s">
        <v>6</v>
      </c>
    </row>
    <row r="37" spans="2:8" x14ac:dyDescent="0.2">
      <c r="B37" s="5" t="s">
        <v>68</v>
      </c>
      <c r="C37" s="8" t="s">
        <v>6</v>
      </c>
      <c r="D37" s="8">
        <v>165.93600000000001</v>
      </c>
      <c r="E37" s="8" t="s">
        <v>6</v>
      </c>
      <c r="F37" s="8" t="s">
        <v>6</v>
      </c>
      <c r="G37" s="8" t="s">
        <v>6</v>
      </c>
      <c r="H37" s="8" t="s">
        <v>6</v>
      </c>
    </row>
    <row r="38" spans="2:8" x14ac:dyDescent="0.2">
      <c r="B38" s="5" t="s">
        <v>67</v>
      </c>
      <c r="C38" s="8" t="s">
        <v>6</v>
      </c>
      <c r="D38" s="8" t="s">
        <v>6</v>
      </c>
      <c r="E38" s="8">
        <v>100</v>
      </c>
      <c r="F38" s="8" t="s">
        <v>6</v>
      </c>
      <c r="G38" s="8" t="s">
        <v>6</v>
      </c>
      <c r="H38" s="8" t="s">
        <v>6</v>
      </c>
    </row>
    <row r="39" spans="2:8" x14ac:dyDescent="0.2">
      <c r="B39" s="5" t="s">
        <v>66</v>
      </c>
      <c r="C39" s="8" t="s">
        <v>6</v>
      </c>
      <c r="D39" s="8" t="s">
        <v>6</v>
      </c>
      <c r="E39" s="8" t="s">
        <v>6</v>
      </c>
      <c r="F39" s="8">
        <v>2568</v>
      </c>
      <c r="G39" s="8">
        <v>1785</v>
      </c>
      <c r="H39" s="8">
        <v>2132</v>
      </c>
    </row>
    <row r="40" spans="2:8" x14ac:dyDescent="0.2">
      <c r="B40" s="5" t="s">
        <v>65</v>
      </c>
      <c r="C40" s="8">
        <v>423.96100000000001</v>
      </c>
      <c r="D40" s="8">
        <v>763.12599999999998</v>
      </c>
      <c r="E40" s="8">
        <v>1015.253</v>
      </c>
      <c r="F40" s="8">
        <v>630</v>
      </c>
      <c r="G40" s="8">
        <v>1163</v>
      </c>
      <c r="H40" s="8">
        <v>1458</v>
      </c>
    </row>
    <row r="41" spans="2:8" x14ac:dyDescent="0.2">
      <c r="B41" s="5" t="s">
        <v>64</v>
      </c>
      <c r="C41" s="8">
        <v>283.37</v>
      </c>
      <c r="D41" s="8">
        <v>663.85900000000004</v>
      </c>
      <c r="E41" s="8">
        <v>853.91899999999998</v>
      </c>
      <c r="F41" s="8">
        <v>793</v>
      </c>
      <c r="G41" s="8">
        <v>726</v>
      </c>
      <c r="H41" s="8">
        <v>752</v>
      </c>
    </row>
    <row r="42" spans="2:8" x14ac:dyDescent="0.2">
      <c r="B42" s="5" t="s">
        <v>63</v>
      </c>
      <c r="C42" s="8">
        <v>136.83099999999999</v>
      </c>
      <c r="D42" s="8">
        <v>179.50399999999999</v>
      </c>
      <c r="E42" s="8">
        <v>787.33299999999997</v>
      </c>
      <c r="F42" s="8">
        <v>503</v>
      </c>
      <c r="G42" s="8" t="s">
        <v>6</v>
      </c>
      <c r="H42" s="8" t="s">
        <v>6</v>
      </c>
    </row>
    <row r="43" spans="2:8" x14ac:dyDescent="0.2">
      <c r="B43" s="6" t="s">
        <v>62</v>
      </c>
      <c r="C43" s="7" t="s">
        <v>6</v>
      </c>
      <c r="D43" s="7" t="s">
        <v>6</v>
      </c>
      <c r="E43" s="7" t="s">
        <v>6</v>
      </c>
      <c r="F43" s="7">
        <v>9993</v>
      </c>
      <c r="G43" s="7">
        <v>10667</v>
      </c>
      <c r="H43" s="7">
        <v>14248</v>
      </c>
    </row>
    <row r="44" spans="2:8" x14ac:dyDescent="0.2">
      <c r="B44" s="5"/>
      <c r="C44" s="5"/>
      <c r="D44" s="5"/>
      <c r="E44" s="5"/>
      <c r="F44" s="5"/>
      <c r="G44" s="5"/>
      <c r="H44" s="5"/>
    </row>
    <row r="45" spans="2:8" x14ac:dyDescent="0.2">
      <c r="B45" s="6" t="s">
        <v>61</v>
      </c>
      <c r="C45" s="5"/>
      <c r="D45" s="5"/>
      <c r="E45" s="5"/>
      <c r="F45" s="5"/>
      <c r="G45" s="5"/>
      <c r="H45" s="5"/>
    </row>
    <row r="46" spans="2:8" x14ac:dyDescent="0.2">
      <c r="B46" s="5" t="s">
        <v>60</v>
      </c>
      <c r="C46" s="8">
        <v>2021.0930000000001</v>
      </c>
      <c r="D46" s="8">
        <v>5860.049</v>
      </c>
      <c r="E46" s="8">
        <v>9418.3189999999995</v>
      </c>
      <c r="F46" s="8" t="s">
        <v>6</v>
      </c>
      <c r="G46" s="8" t="s">
        <v>6</v>
      </c>
      <c r="H46" s="8" t="s">
        <v>6</v>
      </c>
    </row>
    <row r="47" spans="2:8" x14ac:dyDescent="0.2">
      <c r="B47" s="5" t="s">
        <v>59</v>
      </c>
      <c r="C47" s="8" t="s">
        <v>6</v>
      </c>
      <c r="D47" s="8" t="s">
        <v>6</v>
      </c>
      <c r="E47" s="8" t="s">
        <v>6</v>
      </c>
      <c r="F47" s="8" t="s">
        <v>6</v>
      </c>
      <c r="G47" s="8" t="s">
        <v>6</v>
      </c>
      <c r="H47" s="8">
        <v>51</v>
      </c>
    </row>
    <row r="48" spans="2:8" x14ac:dyDescent="0.2">
      <c r="B48" s="5" t="s">
        <v>58</v>
      </c>
      <c r="C48" s="8" t="s">
        <v>6</v>
      </c>
      <c r="D48" s="8">
        <v>99.164000000000001</v>
      </c>
      <c r="E48" s="8" t="s">
        <v>6</v>
      </c>
      <c r="F48" s="8" t="s">
        <v>6</v>
      </c>
      <c r="G48" s="8" t="s">
        <v>6</v>
      </c>
      <c r="H48" s="8" t="s">
        <v>6</v>
      </c>
    </row>
    <row r="49" spans="2:8" x14ac:dyDescent="0.2">
      <c r="B49" s="5" t="s">
        <v>57</v>
      </c>
      <c r="C49" s="8" t="s">
        <v>6</v>
      </c>
      <c r="D49" s="8">
        <v>10.287000000000001</v>
      </c>
      <c r="E49" s="8" t="s">
        <v>6</v>
      </c>
      <c r="F49" s="8" t="s">
        <v>6</v>
      </c>
      <c r="G49" s="8" t="s">
        <v>6</v>
      </c>
      <c r="H49" s="8" t="s">
        <v>6</v>
      </c>
    </row>
    <row r="50" spans="2:8" x14ac:dyDescent="0.2">
      <c r="B50" s="5" t="s">
        <v>56</v>
      </c>
      <c r="C50" s="8" t="s">
        <v>6</v>
      </c>
      <c r="D50" s="8" t="s">
        <v>6</v>
      </c>
      <c r="E50" s="8" t="s">
        <v>6</v>
      </c>
      <c r="F50" s="8">
        <v>9404</v>
      </c>
      <c r="G50" s="8">
        <v>11634</v>
      </c>
      <c r="H50" s="8">
        <v>9556</v>
      </c>
    </row>
    <row r="51" spans="2:8" x14ac:dyDescent="0.2">
      <c r="B51" s="5" t="s">
        <v>55</v>
      </c>
      <c r="C51" s="8">
        <v>446.10500000000002</v>
      </c>
      <c r="D51" s="8">
        <v>851.79</v>
      </c>
      <c r="E51" s="8">
        <v>1177.799</v>
      </c>
      <c r="F51" s="8" t="s">
        <v>6</v>
      </c>
      <c r="G51" s="8">
        <v>1207</v>
      </c>
      <c r="H51" s="8">
        <v>1284</v>
      </c>
    </row>
    <row r="52" spans="2:8" x14ac:dyDescent="0.2">
      <c r="B52" s="5" t="s">
        <v>54</v>
      </c>
      <c r="C52" s="8" t="s">
        <v>6</v>
      </c>
      <c r="D52" s="8" t="s">
        <v>6</v>
      </c>
      <c r="E52" s="8" t="s">
        <v>6</v>
      </c>
      <c r="F52" s="8">
        <v>991</v>
      </c>
      <c r="G52" s="8" t="s">
        <v>6</v>
      </c>
      <c r="H52" s="8" t="s">
        <v>6</v>
      </c>
    </row>
    <row r="53" spans="2:8" x14ac:dyDescent="0.2">
      <c r="B53" s="5" t="s">
        <v>53</v>
      </c>
      <c r="C53" s="8" t="s">
        <v>6</v>
      </c>
      <c r="D53" s="8">
        <v>785.17499999999995</v>
      </c>
      <c r="E53" s="8">
        <v>997.346</v>
      </c>
      <c r="F53" s="8">
        <v>834</v>
      </c>
      <c r="G53" s="8">
        <v>849</v>
      </c>
      <c r="H53" s="8">
        <v>850</v>
      </c>
    </row>
    <row r="54" spans="2:8" x14ac:dyDescent="0.2">
      <c r="B54" s="5" t="s">
        <v>52</v>
      </c>
      <c r="C54" s="8" t="s">
        <v>6</v>
      </c>
      <c r="D54" s="8">
        <v>367.03899999999999</v>
      </c>
      <c r="E54" s="8">
        <v>397.73399999999998</v>
      </c>
      <c r="F54" s="8">
        <v>556</v>
      </c>
      <c r="G54" s="8">
        <v>643</v>
      </c>
      <c r="H54" s="8">
        <v>604</v>
      </c>
    </row>
    <row r="55" spans="2:8" x14ac:dyDescent="0.2">
      <c r="B55" s="5" t="s">
        <v>51</v>
      </c>
      <c r="C55" s="8">
        <v>364.976</v>
      </c>
      <c r="D55" s="8">
        <v>1891.4490000000001</v>
      </c>
      <c r="E55" s="8">
        <v>2442.9699999999998</v>
      </c>
      <c r="F55" s="8">
        <v>2710</v>
      </c>
      <c r="G55" s="8">
        <v>2691</v>
      </c>
      <c r="H55" s="8">
        <v>3330</v>
      </c>
    </row>
    <row r="56" spans="2:8" x14ac:dyDescent="0.2">
      <c r="B56" s="5" t="s">
        <v>50</v>
      </c>
      <c r="C56" s="8">
        <v>1293.741</v>
      </c>
      <c r="D56" s="8">
        <v>2210.4229999999998</v>
      </c>
      <c r="E56" s="8">
        <v>2309.2220000000002</v>
      </c>
      <c r="F56" s="8" t="s">
        <v>6</v>
      </c>
      <c r="G56" s="8" t="s">
        <v>6</v>
      </c>
      <c r="H56" s="8" t="s">
        <v>6</v>
      </c>
    </row>
    <row r="57" spans="2:8" x14ac:dyDescent="0.2">
      <c r="B57" s="5" t="s">
        <v>49</v>
      </c>
      <c r="C57" s="8" t="s">
        <v>6</v>
      </c>
      <c r="D57" s="8" t="s">
        <v>6</v>
      </c>
      <c r="E57" s="8" t="s">
        <v>6</v>
      </c>
      <c r="F57" s="8">
        <v>329</v>
      </c>
      <c r="G57" s="8" t="s">
        <v>6</v>
      </c>
      <c r="H57" s="8" t="s">
        <v>6</v>
      </c>
    </row>
    <row r="58" spans="2:8" x14ac:dyDescent="0.2">
      <c r="B58" s="5"/>
      <c r="C58" s="5"/>
      <c r="D58" s="5"/>
      <c r="E58" s="5"/>
      <c r="F58" s="5"/>
      <c r="G58" s="5"/>
      <c r="H58" s="5"/>
    </row>
    <row r="59" spans="2:8" x14ac:dyDescent="0.2">
      <c r="B59" s="6" t="s">
        <v>48</v>
      </c>
      <c r="C59" s="5"/>
      <c r="D59" s="5"/>
      <c r="E59" s="5"/>
      <c r="F59" s="5"/>
      <c r="G59" s="5"/>
      <c r="H59" s="5"/>
    </row>
    <row r="60" spans="2:8" x14ac:dyDescent="0.2">
      <c r="B60" s="5" t="s">
        <v>47</v>
      </c>
      <c r="C60" s="8">
        <v>0.13100000000000001</v>
      </c>
      <c r="D60" s="8">
        <v>0.161</v>
      </c>
      <c r="E60" s="8">
        <v>0.16900000000000001</v>
      </c>
      <c r="F60" s="8" t="s">
        <v>6</v>
      </c>
      <c r="G60" s="8">
        <v>1</v>
      </c>
      <c r="H60" s="8">
        <v>1</v>
      </c>
    </row>
    <row r="61" spans="2:8" x14ac:dyDescent="0.2">
      <c r="B61" s="5" t="s">
        <v>46</v>
      </c>
      <c r="C61" s="8">
        <v>3409.4520000000002</v>
      </c>
      <c r="D61" s="8">
        <v>7773.7269999999999</v>
      </c>
      <c r="E61" s="8">
        <v>9178.0239999999994</v>
      </c>
      <c r="F61" s="8">
        <v>10249</v>
      </c>
      <c r="G61" s="8">
        <v>12736</v>
      </c>
      <c r="H61" s="8">
        <v>27260</v>
      </c>
    </row>
    <row r="62" spans="2:8" x14ac:dyDescent="0.2">
      <c r="B62" s="5" t="s">
        <v>45</v>
      </c>
      <c r="C62" s="8">
        <v>-2322.3000000000002</v>
      </c>
      <c r="D62" s="8">
        <v>-2997.2</v>
      </c>
      <c r="E62" s="8">
        <v>-4974.3</v>
      </c>
      <c r="F62" s="8">
        <v>-5318</v>
      </c>
      <c r="G62" s="8">
        <v>-6083</v>
      </c>
      <c r="H62" s="8">
        <v>-5399</v>
      </c>
    </row>
    <row r="63" spans="2:8" x14ac:dyDescent="0.2">
      <c r="B63" s="5" t="s">
        <v>44</v>
      </c>
      <c r="C63" s="8" t="s">
        <v>6</v>
      </c>
      <c r="D63" s="8" t="s">
        <v>6</v>
      </c>
      <c r="E63" s="8" t="s">
        <v>6</v>
      </c>
      <c r="F63" s="8">
        <v>-8</v>
      </c>
      <c r="G63" s="8" t="s">
        <v>6</v>
      </c>
      <c r="H63" s="8" t="s">
        <v>6</v>
      </c>
    </row>
    <row r="64" spans="2:8" x14ac:dyDescent="0.2">
      <c r="B64" s="5" t="s">
        <v>43</v>
      </c>
      <c r="C64" s="8">
        <v>-3.6</v>
      </c>
      <c r="D64" s="8">
        <v>-23.7</v>
      </c>
      <c r="E64" s="8">
        <v>33.347999999999999</v>
      </c>
      <c r="F64" s="8" t="s">
        <v>6</v>
      </c>
      <c r="G64" s="8">
        <v>-36</v>
      </c>
      <c r="H64" s="8">
        <v>363</v>
      </c>
    </row>
    <row r="65" spans="2:8" x14ac:dyDescent="0.2">
      <c r="B65" s="6" t="s">
        <v>42</v>
      </c>
      <c r="C65" s="7">
        <v>1083.704</v>
      </c>
      <c r="D65" s="7">
        <v>4752.9110000000001</v>
      </c>
      <c r="E65" s="7">
        <v>4237.2420000000002</v>
      </c>
      <c r="F65" s="7">
        <v>4923</v>
      </c>
      <c r="G65" s="7">
        <v>6618</v>
      </c>
      <c r="H65" s="7">
        <v>22225</v>
      </c>
    </row>
    <row r="66" spans="2:8" x14ac:dyDescent="0.2">
      <c r="B66" s="6" t="s">
        <v>41</v>
      </c>
      <c r="C66" s="7">
        <v>8067.9390000000003</v>
      </c>
      <c r="D66" s="7">
        <v>22664.076000000001</v>
      </c>
      <c r="E66" s="7">
        <v>28655.371999999999</v>
      </c>
      <c r="F66" s="7">
        <v>29740</v>
      </c>
      <c r="G66" s="7">
        <v>34309</v>
      </c>
      <c r="H66" s="7">
        <v>52148</v>
      </c>
    </row>
    <row r="67" spans="2:8" x14ac:dyDescent="0.2">
      <c r="B67" s="3"/>
      <c r="C67" s="3"/>
      <c r="D67" s="3"/>
      <c r="E67" s="3"/>
      <c r="F67" s="3"/>
      <c r="G67" s="3"/>
      <c r="H67" s="3"/>
    </row>
    <row r="69" spans="2:8" x14ac:dyDescent="0.2">
      <c r="B69" s="2" t="s">
        <v>0</v>
      </c>
    </row>
  </sheetData>
  <pageMargins left="0.2" right="0.2" top="0.5" bottom="0.5" header="0.5" footer="0.5"/>
  <pageSetup scale="81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721E-B37F-4928-B208-D218BC9D7CFD}">
  <sheetPr>
    <tabColor theme="4" tint="-0.499984740745262"/>
    <outlinePr summaryBelow="0" summaryRight="0"/>
    <pageSetUpPr autoPageBreaks="0" fitToPage="1"/>
  </sheetPr>
  <dimension ref="A2:IV79"/>
  <sheetViews>
    <sheetView view="pageBreakPreview" zoomScaleNormal="100" zoomScaleSheetLayoutView="100" workbookViewId="0"/>
  </sheetViews>
  <sheetFormatPr defaultRowHeight="10.199999999999999" x14ac:dyDescent="0.2"/>
  <cols>
    <col min="1" max="1" width="2.77734375" style="94" customWidth="1"/>
    <col min="2" max="2" width="45.77734375" style="1" customWidth="1"/>
    <col min="3" max="4" width="14.77734375" style="1" hidden="1" customWidth="1"/>
    <col min="5" max="8" width="14.77734375" style="1" customWidth="1"/>
    <col min="9" max="16384" width="8.88671875" style="1"/>
  </cols>
  <sheetData>
    <row r="2" spans="2:256" x14ac:dyDescent="0.2">
      <c r="B2" s="14" t="s">
        <v>158</v>
      </c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2:256" ht="20.399999999999999" x14ac:dyDescent="0.2">
      <c r="B3" s="10" t="s">
        <v>39</v>
      </c>
      <c r="C3" s="9" t="s">
        <v>38</v>
      </c>
      <c r="D3" s="9" t="s">
        <v>37</v>
      </c>
      <c r="E3" s="9" t="s">
        <v>36</v>
      </c>
      <c r="F3" s="9" t="s">
        <v>35</v>
      </c>
      <c r="G3" s="9" t="s">
        <v>34</v>
      </c>
      <c r="H3" s="9" t="s">
        <v>33</v>
      </c>
    </row>
    <row r="4" spans="2:256" x14ac:dyDescent="0.2">
      <c r="B4" s="12" t="s">
        <v>32</v>
      </c>
      <c r="C4" s="11" t="s">
        <v>31</v>
      </c>
      <c r="D4" s="11" t="s">
        <v>31</v>
      </c>
      <c r="E4" s="11" t="s">
        <v>31</v>
      </c>
      <c r="F4" s="11" t="s">
        <v>31</v>
      </c>
      <c r="G4" s="11" t="s">
        <v>31</v>
      </c>
      <c r="H4" s="11" t="s">
        <v>31</v>
      </c>
    </row>
    <row r="5" spans="2:256" x14ac:dyDescent="0.2">
      <c r="B5" s="10" t="s">
        <v>30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</row>
    <row r="6" spans="2:256" x14ac:dyDescent="0.2">
      <c r="B6" s="6" t="s">
        <v>157</v>
      </c>
      <c r="C6" s="5"/>
      <c r="D6" s="5"/>
      <c r="E6" s="5"/>
      <c r="F6" s="5"/>
      <c r="G6" s="5"/>
      <c r="H6" s="5"/>
    </row>
    <row r="7" spans="2:256" x14ac:dyDescent="0.2">
      <c r="B7" s="5" t="s">
        <v>156</v>
      </c>
      <c r="C7" s="8">
        <v>-888.7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</row>
    <row r="8" spans="2:256" x14ac:dyDescent="0.2">
      <c r="B8" s="5" t="s">
        <v>10</v>
      </c>
      <c r="C8" s="8" t="s">
        <v>6</v>
      </c>
      <c r="D8" s="8">
        <v>-773</v>
      </c>
      <c r="E8" s="8">
        <v>-2241</v>
      </c>
      <c r="F8" s="8">
        <v>-1063</v>
      </c>
      <c r="G8" s="8">
        <v>-775</v>
      </c>
      <c r="H8" s="8">
        <v>862</v>
      </c>
    </row>
    <row r="9" spans="2:256" x14ac:dyDescent="0.2">
      <c r="B9" s="5" t="s">
        <v>155</v>
      </c>
      <c r="C9" s="8">
        <v>422.59</v>
      </c>
      <c r="D9" s="8">
        <v>947.09900000000005</v>
      </c>
      <c r="E9" s="8">
        <v>1636</v>
      </c>
      <c r="F9" s="8">
        <v>1901</v>
      </c>
      <c r="G9" s="8">
        <v>2154</v>
      </c>
      <c r="H9" s="8">
        <v>2322</v>
      </c>
    </row>
    <row r="10" spans="2:256" x14ac:dyDescent="0.2">
      <c r="B10" s="5" t="s">
        <v>154</v>
      </c>
      <c r="C10" s="8">
        <v>78.054000000000002</v>
      </c>
      <c r="D10" s="8">
        <v>94.69</v>
      </c>
      <c r="E10" s="8">
        <v>91</v>
      </c>
      <c r="F10" s="8">
        <v>159</v>
      </c>
      <c r="G10" s="8">
        <v>188</v>
      </c>
      <c r="H10" s="8">
        <v>180</v>
      </c>
    </row>
    <row r="11" spans="2:256" x14ac:dyDescent="0.2">
      <c r="B11" s="5" t="s">
        <v>153</v>
      </c>
      <c r="C11" s="8">
        <v>37.722999999999999</v>
      </c>
      <c r="D11" s="8">
        <v>34.633000000000003</v>
      </c>
      <c r="E11" s="8">
        <v>106</v>
      </c>
      <c r="F11" s="8">
        <v>162</v>
      </c>
      <c r="G11" s="8">
        <v>146</v>
      </c>
      <c r="H11" s="8">
        <v>117</v>
      </c>
    </row>
    <row r="12" spans="2:256" x14ac:dyDescent="0.2">
      <c r="B12" s="5" t="s">
        <v>152</v>
      </c>
      <c r="C12" s="8" t="s">
        <v>6</v>
      </c>
      <c r="D12" s="8">
        <v>-88.7</v>
      </c>
      <c r="E12" s="8" t="s">
        <v>6</v>
      </c>
      <c r="F12" s="8" t="s">
        <v>6</v>
      </c>
      <c r="G12" s="8" t="s">
        <v>6</v>
      </c>
      <c r="H12" s="8" t="s">
        <v>6</v>
      </c>
    </row>
    <row r="13" spans="2:256" x14ac:dyDescent="0.2">
      <c r="B13" s="5" t="s">
        <v>151</v>
      </c>
      <c r="C13" s="8" t="s">
        <v>6</v>
      </c>
      <c r="D13" s="8" t="s">
        <v>6</v>
      </c>
      <c r="E13" s="8">
        <v>58</v>
      </c>
      <c r="F13" s="8" t="s">
        <v>6</v>
      </c>
      <c r="G13" s="8" t="s">
        <v>6</v>
      </c>
      <c r="H13" s="8" t="s">
        <v>6</v>
      </c>
    </row>
    <row r="14" spans="2:256" x14ac:dyDescent="0.2">
      <c r="B14" s="5" t="s">
        <v>150</v>
      </c>
      <c r="C14" s="8">
        <v>197.999</v>
      </c>
      <c r="D14" s="8">
        <v>334.22500000000002</v>
      </c>
      <c r="E14" s="8">
        <v>467</v>
      </c>
      <c r="F14" s="8">
        <v>749</v>
      </c>
      <c r="G14" s="8">
        <v>898</v>
      </c>
      <c r="H14" s="8">
        <v>1734</v>
      </c>
    </row>
    <row r="15" spans="2:256" x14ac:dyDescent="0.2">
      <c r="B15" s="5" t="s">
        <v>149</v>
      </c>
      <c r="C15" s="8">
        <v>55.765000000000001</v>
      </c>
      <c r="D15" s="8">
        <v>-29.2</v>
      </c>
      <c r="E15" s="8">
        <v>52</v>
      </c>
      <c r="F15" s="8" t="s">
        <v>6</v>
      </c>
      <c r="G15" s="8" t="s">
        <v>6</v>
      </c>
      <c r="H15" s="8" t="s">
        <v>6</v>
      </c>
    </row>
    <row r="16" spans="2:256" x14ac:dyDescent="0.2">
      <c r="B16" s="5" t="s">
        <v>148</v>
      </c>
      <c r="C16" s="8" t="s">
        <v>6</v>
      </c>
      <c r="D16" s="8" t="s">
        <v>6</v>
      </c>
      <c r="E16" s="8" t="s">
        <v>6</v>
      </c>
      <c r="F16" s="8">
        <v>-2</v>
      </c>
      <c r="G16" s="8">
        <v>-48</v>
      </c>
      <c r="H16" s="8">
        <v>114</v>
      </c>
    </row>
    <row r="17" spans="2:8" x14ac:dyDescent="0.2">
      <c r="B17" s="5" t="s">
        <v>147</v>
      </c>
      <c r="C17" s="8">
        <v>44.94</v>
      </c>
      <c r="D17" s="8">
        <v>65.52</v>
      </c>
      <c r="E17" s="8">
        <v>132</v>
      </c>
      <c r="F17" s="8">
        <v>85</v>
      </c>
      <c r="G17" s="8">
        <v>193</v>
      </c>
      <c r="H17" s="8">
        <v>202</v>
      </c>
    </row>
    <row r="18" spans="2:8" x14ac:dyDescent="0.2">
      <c r="B18" s="5" t="s">
        <v>75</v>
      </c>
      <c r="C18" s="8" t="s">
        <v>6</v>
      </c>
      <c r="D18" s="8" t="s">
        <v>6</v>
      </c>
      <c r="E18" s="8">
        <v>-15</v>
      </c>
      <c r="F18" s="8">
        <v>-207</v>
      </c>
      <c r="G18" s="8">
        <v>115</v>
      </c>
      <c r="H18" s="8">
        <v>-344</v>
      </c>
    </row>
    <row r="19" spans="2:8" x14ac:dyDescent="0.2">
      <c r="B19" s="5" t="s">
        <v>51</v>
      </c>
      <c r="C19" s="8">
        <v>23.696999999999999</v>
      </c>
      <c r="D19" s="8">
        <v>132.05699999999999</v>
      </c>
      <c r="E19" s="8">
        <v>81</v>
      </c>
      <c r="F19" s="8">
        <v>-25</v>
      </c>
      <c r="G19" s="8">
        <v>-5</v>
      </c>
      <c r="H19" s="8">
        <v>495</v>
      </c>
    </row>
    <row r="20" spans="2:8" x14ac:dyDescent="0.2">
      <c r="B20" s="5" t="s">
        <v>84</v>
      </c>
      <c r="C20" s="8">
        <v>-1204.5</v>
      </c>
      <c r="D20" s="8">
        <v>-1832.8</v>
      </c>
      <c r="E20" s="8">
        <v>-1523</v>
      </c>
      <c r="F20" s="8">
        <v>-215</v>
      </c>
      <c r="G20" s="8">
        <v>-764</v>
      </c>
      <c r="H20" s="8">
        <v>-1072</v>
      </c>
    </row>
    <row r="21" spans="2:8" x14ac:dyDescent="0.2">
      <c r="B21" s="5" t="s">
        <v>146</v>
      </c>
      <c r="C21" s="8">
        <v>20.382000000000001</v>
      </c>
      <c r="D21" s="8">
        <v>-15.2</v>
      </c>
      <c r="E21" s="8">
        <v>135</v>
      </c>
      <c r="F21" s="8">
        <v>49</v>
      </c>
      <c r="G21" s="8">
        <v>186</v>
      </c>
      <c r="H21" s="8">
        <v>228</v>
      </c>
    </row>
    <row r="22" spans="2:8" x14ac:dyDescent="0.2">
      <c r="B22" s="5" t="s">
        <v>145</v>
      </c>
      <c r="C22" s="8" t="s">
        <v>6</v>
      </c>
      <c r="D22" s="8">
        <v>-49.4</v>
      </c>
      <c r="E22" s="8" t="s">
        <v>6</v>
      </c>
      <c r="F22" s="8" t="s">
        <v>6</v>
      </c>
      <c r="G22" s="8" t="s">
        <v>6</v>
      </c>
      <c r="H22" s="8" t="s">
        <v>6</v>
      </c>
    </row>
    <row r="23" spans="2:8" x14ac:dyDescent="0.2">
      <c r="B23" s="5" t="s">
        <v>144</v>
      </c>
      <c r="C23" s="8" t="s">
        <v>6</v>
      </c>
      <c r="D23" s="8" t="s">
        <v>6</v>
      </c>
      <c r="E23" s="8" t="s">
        <v>6</v>
      </c>
      <c r="F23" s="8" t="s">
        <v>6</v>
      </c>
      <c r="G23" s="8">
        <v>-188</v>
      </c>
      <c r="H23" s="8" t="s">
        <v>6</v>
      </c>
    </row>
    <row r="24" spans="2:8" x14ac:dyDescent="0.2">
      <c r="B24" s="5" t="s">
        <v>143</v>
      </c>
      <c r="C24" s="8">
        <v>46.267000000000003</v>
      </c>
      <c r="D24" s="8">
        <v>-216.6</v>
      </c>
      <c r="E24" s="8">
        <v>-25</v>
      </c>
      <c r="F24" s="8">
        <v>-497</v>
      </c>
      <c r="G24" s="8">
        <v>-367</v>
      </c>
      <c r="H24" s="8">
        <v>-652</v>
      </c>
    </row>
    <row r="25" spans="2:8" x14ac:dyDescent="0.2">
      <c r="B25" s="5" t="s">
        <v>142</v>
      </c>
      <c r="C25" s="8">
        <v>-369.4</v>
      </c>
      <c r="D25" s="8">
        <v>-632.9</v>
      </c>
      <c r="E25" s="8" t="s">
        <v>6</v>
      </c>
      <c r="F25" s="8">
        <v>-1023</v>
      </c>
      <c r="G25" s="8">
        <v>-429</v>
      </c>
      <c r="H25" s="8">
        <v>-422</v>
      </c>
    </row>
    <row r="26" spans="2:8" x14ac:dyDescent="0.2">
      <c r="B26" s="5" t="s">
        <v>92</v>
      </c>
      <c r="C26" s="8" t="s">
        <v>6</v>
      </c>
      <c r="D26" s="8" t="s">
        <v>6</v>
      </c>
      <c r="E26" s="8">
        <v>-179</v>
      </c>
      <c r="F26" s="8" t="s">
        <v>6</v>
      </c>
      <c r="G26" s="8" t="s">
        <v>6</v>
      </c>
      <c r="H26" s="8" t="s">
        <v>6</v>
      </c>
    </row>
    <row r="27" spans="2:8" x14ac:dyDescent="0.2">
      <c r="B27" s="5" t="s">
        <v>141</v>
      </c>
      <c r="C27" s="8">
        <v>263.34500000000003</v>
      </c>
      <c r="D27" s="8">
        <v>750.64</v>
      </c>
      <c r="E27" s="8">
        <v>388</v>
      </c>
      <c r="F27" s="8">
        <v>1797</v>
      </c>
      <c r="G27" s="8">
        <v>646</v>
      </c>
      <c r="H27" s="8">
        <v>2102</v>
      </c>
    </row>
    <row r="28" spans="2:8" x14ac:dyDescent="0.2">
      <c r="B28" s="5" t="s">
        <v>65</v>
      </c>
      <c r="C28" s="8">
        <v>322.20299999999997</v>
      </c>
      <c r="D28" s="8">
        <v>382.96199999999999</v>
      </c>
      <c r="E28" s="8">
        <v>469</v>
      </c>
      <c r="F28" s="8">
        <v>406</v>
      </c>
      <c r="G28" s="8">
        <v>801</v>
      </c>
      <c r="H28" s="8">
        <v>321</v>
      </c>
    </row>
    <row r="29" spans="2:8" x14ac:dyDescent="0.2">
      <c r="B29" s="5" t="s">
        <v>91</v>
      </c>
      <c r="C29" s="8">
        <v>-29.6</v>
      </c>
      <c r="D29" s="8">
        <v>56.805999999999997</v>
      </c>
      <c r="E29" s="8">
        <v>-72</v>
      </c>
      <c r="F29" s="8">
        <v>-82</v>
      </c>
      <c r="G29" s="8">
        <v>-288</v>
      </c>
      <c r="H29" s="8">
        <v>-251</v>
      </c>
    </row>
    <row r="30" spans="2:8" x14ac:dyDescent="0.2">
      <c r="B30" s="5" t="s">
        <v>64</v>
      </c>
      <c r="C30" s="8">
        <v>36.720999999999997</v>
      </c>
      <c r="D30" s="8">
        <v>388.36099999999999</v>
      </c>
      <c r="E30" s="8">
        <v>170</v>
      </c>
      <c r="F30" s="8">
        <v>-96</v>
      </c>
      <c r="G30" s="8">
        <v>-58</v>
      </c>
      <c r="H30" s="8">
        <v>7</v>
      </c>
    </row>
    <row r="31" spans="2:8" x14ac:dyDescent="0.2">
      <c r="B31" s="5" t="s">
        <v>63</v>
      </c>
      <c r="C31" s="8">
        <v>442.29500000000002</v>
      </c>
      <c r="D31" s="8">
        <v>326.93400000000003</v>
      </c>
      <c r="E31" s="8">
        <v>209</v>
      </c>
      <c r="F31" s="8" t="s">
        <v>6</v>
      </c>
      <c r="G31" s="8" t="s">
        <v>6</v>
      </c>
      <c r="H31" s="8" t="s">
        <v>6</v>
      </c>
    </row>
    <row r="32" spans="2:8" x14ac:dyDescent="0.2">
      <c r="B32" s="5" t="s">
        <v>140</v>
      </c>
      <c r="C32" s="8">
        <v>-24.4</v>
      </c>
      <c r="D32" s="8" t="s">
        <v>6</v>
      </c>
      <c r="E32" s="8" t="s">
        <v>6</v>
      </c>
      <c r="F32" s="8" t="s">
        <v>6</v>
      </c>
      <c r="G32" s="8" t="s">
        <v>6</v>
      </c>
      <c r="H32" s="8" t="s">
        <v>6</v>
      </c>
    </row>
    <row r="33" spans="2:8" x14ac:dyDescent="0.2">
      <c r="B33" s="6" t="s">
        <v>139</v>
      </c>
      <c r="C33" s="7">
        <v>-524.5</v>
      </c>
      <c r="D33" s="7">
        <v>-123.8</v>
      </c>
      <c r="E33" s="7">
        <v>-61</v>
      </c>
      <c r="F33" s="7">
        <v>2098</v>
      </c>
      <c r="G33" s="7">
        <v>2405</v>
      </c>
      <c r="H33" s="7">
        <v>5943</v>
      </c>
    </row>
    <row r="34" spans="2:8" x14ac:dyDescent="0.2">
      <c r="B34" s="5"/>
      <c r="C34" s="5"/>
      <c r="D34" s="5"/>
      <c r="E34" s="5"/>
      <c r="F34" s="5"/>
      <c r="G34" s="5"/>
      <c r="H34" s="5"/>
    </row>
    <row r="35" spans="2:8" x14ac:dyDescent="0.2">
      <c r="B35" s="6" t="s">
        <v>138</v>
      </c>
      <c r="C35" s="5"/>
      <c r="D35" s="5"/>
      <c r="E35" s="5"/>
      <c r="F35" s="5"/>
      <c r="G35" s="5"/>
      <c r="H35" s="5"/>
    </row>
    <row r="36" spans="2:8" x14ac:dyDescent="0.2">
      <c r="B36" s="5" t="s">
        <v>137</v>
      </c>
      <c r="C36" s="8" t="s">
        <v>6</v>
      </c>
      <c r="D36" s="8">
        <v>-159.69999999999999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5" t="s">
        <v>136</v>
      </c>
      <c r="C37" s="8">
        <v>-1634.9</v>
      </c>
      <c r="D37" s="8">
        <v>-1280.8</v>
      </c>
      <c r="E37" s="8">
        <v>0</v>
      </c>
      <c r="F37" s="8">
        <v>-2101</v>
      </c>
      <c r="G37" s="8">
        <v>-1327</v>
      </c>
      <c r="H37" s="8">
        <v>-3157</v>
      </c>
    </row>
    <row r="38" spans="2:8" x14ac:dyDescent="0.2">
      <c r="B38" s="5" t="s">
        <v>135</v>
      </c>
      <c r="C38" s="8" t="s">
        <v>6</v>
      </c>
      <c r="D38" s="8" t="s">
        <v>6</v>
      </c>
      <c r="E38" s="8">
        <v>-3415</v>
      </c>
      <c r="F38" s="8">
        <v>0</v>
      </c>
      <c r="G38" s="8">
        <v>0</v>
      </c>
      <c r="H38" s="8">
        <v>0</v>
      </c>
    </row>
    <row r="39" spans="2:8" x14ac:dyDescent="0.2">
      <c r="B39" s="5" t="s">
        <v>134</v>
      </c>
      <c r="C39" s="8" t="s">
        <v>6</v>
      </c>
      <c r="D39" s="8" t="s">
        <v>6</v>
      </c>
      <c r="E39" s="8">
        <v>-666</v>
      </c>
      <c r="F39" s="8">
        <v>0</v>
      </c>
      <c r="G39" s="8">
        <v>0</v>
      </c>
      <c r="H39" s="8">
        <v>0</v>
      </c>
    </row>
    <row r="40" spans="2:8" x14ac:dyDescent="0.2">
      <c r="B40" s="5" t="s">
        <v>133</v>
      </c>
      <c r="C40" s="8" t="s">
        <v>6</v>
      </c>
      <c r="D40" s="8" t="s">
        <v>6</v>
      </c>
      <c r="E40" s="8">
        <v>0</v>
      </c>
      <c r="F40" s="8">
        <v>-218</v>
      </c>
      <c r="G40" s="8">
        <v>-105</v>
      </c>
      <c r="H40" s="8">
        <v>-75</v>
      </c>
    </row>
    <row r="41" spans="2:8" x14ac:dyDescent="0.2">
      <c r="B41" s="5" t="s">
        <v>132</v>
      </c>
      <c r="C41" s="8" t="s">
        <v>6</v>
      </c>
      <c r="D41" s="8" t="s">
        <v>6</v>
      </c>
      <c r="E41" s="8">
        <v>-115</v>
      </c>
      <c r="F41" s="8" t="s">
        <v>6</v>
      </c>
      <c r="G41" s="8" t="s">
        <v>6</v>
      </c>
      <c r="H41" s="8" t="s">
        <v>6</v>
      </c>
    </row>
    <row r="42" spans="2:8" x14ac:dyDescent="0.2">
      <c r="B42" s="5" t="s">
        <v>131</v>
      </c>
      <c r="C42" s="8">
        <v>-12.3</v>
      </c>
      <c r="D42" s="8">
        <v>342.71899999999999</v>
      </c>
      <c r="E42" s="8" t="s">
        <v>6</v>
      </c>
      <c r="F42" s="8">
        <v>-18</v>
      </c>
      <c r="G42" s="8">
        <v>-45</v>
      </c>
      <c r="H42" s="8">
        <v>-13</v>
      </c>
    </row>
    <row r="43" spans="2:8" x14ac:dyDescent="0.2">
      <c r="B43" s="5" t="s">
        <v>130</v>
      </c>
      <c r="C43" s="8" t="s">
        <v>6</v>
      </c>
      <c r="D43" s="8" t="s">
        <v>6</v>
      </c>
      <c r="E43" s="8" t="s">
        <v>6</v>
      </c>
      <c r="F43" s="8" t="s">
        <v>6</v>
      </c>
      <c r="G43" s="8">
        <v>-5</v>
      </c>
      <c r="H43" s="8">
        <v>-10</v>
      </c>
    </row>
    <row r="44" spans="2:8" x14ac:dyDescent="0.2">
      <c r="B44" s="5" t="s">
        <v>129</v>
      </c>
      <c r="C44" s="8" t="s">
        <v>6</v>
      </c>
      <c r="D44" s="8">
        <v>16.667000000000002</v>
      </c>
      <c r="E44" s="8" t="s">
        <v>6</v>
      </c>
      <c r="F44" s="8" t="s">
        <v>6</v>
      </c>
      <c r="G44" s="8" t="s">
        <v>6</v>
      </c>
      <c r="H44" s="8" t="s">
        <v>6</v>
      </c>
    </row>
    <row r="45" spans="2:8" x14ac:dyDescent="0.2">
      <c r="B45" s="5" t="s">
        <v>78</v>
      </c>
      <c r="C45" s="8">
        <v>-26.4</v>
      </c>
      <c r="D45" s="8" t="s">
        <v>6</v>
      </c>
      <c r="E45" s="8" t="s">
        <v>6</v>
      </c>
      <c r="F45" s="8" t="s">
        <v>6</v>
      </c>
      <c r="G45" s="8" t="s">
        <v>6</v>
      </c>
      <c r="H45" s="8" t="s">
        <v>6</v>
      </c>
    </row>
    <row r="46" spans="2:8" x14ac:dyDescent="0.2">
      <c r="B46" s="5" t="s">
        <v>128</v>
      </c>
      <c r="C46" s="8" t="s">
        <v>6</v>
      </c>
      <c r="D46" s="8" t="s">
        <v>6</v>
      </c>
      <c r="E46" s="8" t="s">
        <v>6</v>
      </c>
      <c r="F46" s="8" t="s">
        <v>6</v>
      </c>
      <c r="G46" s="8">
        <v>46</v>
      </c>
      <c r="H46" s="8">
        <v>123</v>
      </c>
    </row>
    <row r="47" spans="2:8" x14ac:dyDescent="0.2">
      <c r="B47" s="6" t="s">
        <v>127</v>
      </c>
      <c r="C47" s="7">
        <v>-1673.6</v>
      </c>
      <c r="D47" s="7">
        <v>-1081.0999999999999</v>
      </c>
      <c r="E47" s="7">
        <v>-4196</v>
      </c>
      <c r="F47" s="7">
        <v>-2337</v>
      </c>
      <c r="G47" s="7">
        <v>-1436</v>
      </c>
      <c r="H47" s="7">
        <v>-3132</v>
      </c>
    </row>
    <row r="48" spans="2:8" x14ac:dyDescent="0.2">
      <c r="B48" s="5"/>
      <c r="C48" s="5"/>
      <c r="D48" s="5"/>
      <c r="E48" s="5"/>
      <c r="F48" s="5"/>
      <c r="G48" s="5"/>
      <c r="H48" s="5"/>
    </row>
    <row r="49" spans="2:8" x14ac:dyDescent="0.2">
      <c r="B49" s="6" t="s">
        <v>126</v>
      </c>
      <c r="C49" s="5"/>
      <c r="D49" s="5"/>
      <c r="E49" s="5"/>
      <c r="F49" s="5"/>
      <c r="G49" s="5"/>
      <c r="H49" s="5"/>
    </row>
    <row r="50" spans="2:8" x14ac:dyDescent="0.2">
      <c r="B50" s="5" t="s">
        <v>125</v>
      </c>
      <c r="C50" s="8" t="s">
        <v>6</v>
      </c>
      <c r="D50" s="8">
        <v>-1857.6</v>
      </c>
      <c r="E50" s="8">
        <v>-3996</v>
      </c>
      <c r="F50" s="8">
        <v>-5247</v>
      </c>
      <c r="G50" s="8">
        <v>-9161</v>
      </c>
      <c r="H50" s="8">
        <v>-11623</v>
      </c>
    </row>
    <row r="51" spans="2:8" x14ac:dyDescent="0.2">
      <c r="B51" s="5" t="s">
        <v>124</v>
      </c>
      <c r="C51" s="8">
        <v>318.97199999999998</v>
      </c>
      <c r="D51" s="8">
        <v>2852.9639999999999</v>
      </c>
      <c r="E51" s="8">
        <v>7138</v>
      </c>
      <c r="F51" s="8">
        <v>6176</v>
      </c>
      <c r="G51" s="8">
        <v>10669</v>
      </c>
      <c r="H51" s="8">
        <v>9713</v>
      </c>
    </row>
    <row r="52" spans="2:8" x14ac:dyDescent="0.2">
      <c r="B52" s="5" t="s">
        <v>123</v>
      </c>
      <c r="C52" s="8">
        <v>568.745</v>
      </c>
      <c r="D52" s="8" t="s">
        <v>6</v>
      </c>
      <c r="E52" s="8" t="s">
        <v>6</v>
      </c>
      <c r="F52" s="8" t="s">
        <v>6</v>
      </c>
      <c r="G52" s="8" t="s">
        <v>6</v>
      </c>
      <c r="H52" s="8" t="s">
        <v>6</v>
      </c>
    </row>
    <row r="53" spans="2:8" x14ac:dyDescent="0.2">
      <c r="B53" s="5" t="s">
        <v>122</v>
      </c>
      <c r="C53" s="8" t="s">
        <v>6</v>
      </c>
      <c r="D53" s="8" t="s">
        <v>6</v>
      </c>
      <c r="E53" s="8" t="s">
        <v>6</v>
      </c>
      <c r="F53" s="8">
        <v>-100</v>
      </c>
      <c r="G53" s="8" t="s">
        <v>6</v>
      </c>
      <c r="H53" s="8" t="s">
        <v>6</v>
      </c>
    </row>
    <row r="54" spans="2:8" x14ac:dyDescent="0.2">
      <c r="B54" s="5" t="s">
        <v>121</v>
      </c>
      <c r="C54" s="8" t="s">
        <v>6</v>
      </c>
      <c r="D54" s="8" t="s">
        <v>6</v>
      </c>
      <c r="E54" s="8">
        <v>-165</v>
      </c>
      <c r="F54" s="8" t="s">
        <v>6</v>
      </c>
      <c r="G54" s="8" t="s">
        <v>6</v>
      </c>
      <c r="H54" s="8" t="s">
        <v>6</v>
      </c>
    </row>
    <row r="55" spans="2:8" x14ac:dyDescent="0.2">
      <c r="B55" s="5" t="s">
        <v>120</v>
      </c>
      <c r="C55" s="8">
        <v>-203.8</v>
      </c>
      <c r="D55" s="8">
        <v>-46.9</v>
      </c>
      <c r="E55" s="8" t="s">
        <v>6</v>
      </c>
      <c r="F55" s="8">
        <v>-181</v>
      </c>
      <c r="G55" s="8">
        <v>-321</v>
      </c>
      <c r="H55" s="8">
        <v>-338</v>
      </c>
    </row>
    <row r="56" spans="2:8" x14ac:dyDescent="0.2">
      <c r="B56" s="5" t="s">
        <v>119</v>
      </c>
      <c r="C56" s="8" t="s">
        <v>6</v>
      </c>
      <c r="D56" s="8" t="s">
        <v>6</v>
      </c>
      <c r="E56" s="8">
        <v>-103</v>
      </c>
      <c r="F56" s="8" t="s">
        <v>6</v>
      </c>
      <c r="G56" s="8" t="s">
        <v>6</v>
      </c>
      <c r="H56" s="8" t="s">
        <v>6</v>
      </c>
    </row>
    <row r="57" spans="2:8" x14ac:dyDescent="0.2">
      <c r="B57" s="5" t="s">
        <v>118</v>
      </c>
      <c r="C57" s="8" t="s">
        <v>6</v>
      </c>
      <c r="D57" s="8">
        <v>769.70899999999995</v>
      </c>
      <c r="E57" s="8" t="s">
        <v>6</v>
      </c>
      <c r="F57" s="8">
        <v>-559</v>
      </c>
      <c r="G57" s="8">
        <v>-389</v>
      </c>
      <c r="H57" s="8">
        <v>-240</v>
      </c>
    </row>
    <row r="58" spans="2:8" x14ac:dyDescent="0.2">
      <c r="B58" s="5" t="s">
        <v>117</v>
      </c>
      <c r="C58" s="8" t="s">
        <v>6</v>
      </c>
      <c r="D58" s="8" t="s">
        <v>6</v>
      </c>
      <c r="E58" s="8">
        <v>511</v>
      </c>
      <c r="F58" s="8" t="s">
        <v>6</v>
      </c>
      <c r="G58" s="8" t="s">
        <v>6</v>
      </c>
      <c r="H58" s="8" t="s">
        <v>6</v>
      </c>
    </row>
    <row r="59" spans="2:8" x14ac:dyDescent="0.2">
      <c r="B59" s="5" t="s">
        <v>116</v>
      </c>
      <c r="C59" s="8">
        <v>20</v>
      </c>
      <c r="D59" s="8" t="s">
        <v>6</v>
      </c>
      <c r="E59" s="8" t="s">
        <v>6</v>
      </c>
      <c r="F59" s="8" t="s">
        <v>6</v>
      </c>
      <c r="G59" s="8" t="s">
        <v>6</v>
      </c>
      <c r="H59" s="8" t="s">
        <v>6</v>
      </c>
    </row>
    <row r="60" spans="2:8" x14ac:dyDescent="0.2">
      <c r="B60" s="5" t="s">
        <v>115</v>
      </c>
      <c r="C60" s="8">
        <v>730</v>
      </c>
      <c r="D60" s="8">
        <v>1701.7339999999999</v>
      </c>
      <c r="E60" s="8" t="s">
        <v>6</v>
      </c>
      <c r="F60" s="8" t="s">
        <v>6</v>
      </c>
      <c r="G60" s="8" t="s">
        <v>6</v>
      </c>
      <c r="H60" s="8" t="s">
        <v>6</v>
      </c>
    </row>
    <row r="61" spans="2:8" x14ac:dyDescent="0.2">
      <c r="B61" s="5" t="s">
        <v>114</v>
      </c>
      <c r="C61" s="8" t="s">
        <v>6</v>
      </c>
      <c r="D61" s="8" t="s">
        <v>6</v>
      </c>
      <c r="E61" s="8" t="s">
        <v>6</v>
      </c>
      <c r="F61" s="8" t="s">
        <v>6</v>
      </c>
      <c r="G61" s="8">
        <v>848</v>
      </c>
      <c r="H61" s="8">
        <v>12269</v>
      </c>
    </row>
    <row r="62" spans="2:8" x14ac:dyDescent="0.2">
      <c r="B62" s="5" t="s">
        <v>113</v>
      </c>
      <c r="C62" s="8" t="s">
        <v>6</v>
      </c>
      <c r="D62" s="8" t="s">
        <v>6</v>
      </c>
      <c r="E62" s="8">
        <v>400</v>
      </c>
      <c r="F62" s="8" t="s">
        <v>6</v>
      </c>
      <c r="G62" s="8" t="s">
        <v>6</v>
      </c>
      <c r="H62" s="8" t="s">
        <v>6</v>
      </c>
    </row>
    <row r="63" spans="2:8" x14ac:dyDescent="0.2">
      <c r="B63" s="5" t="s">
        <v>112</v>
      </c>
      <c r="C63" s="8">
        <v>106.611</v>
      </c>
      <c r="D63" s="8">
        <v>163.81700000000001</v>
      </c>
      <c r="E63" s="8">
        <v>259</v>
      </c>
      <c r="F63" s="8">
        <v>296</v>
      </c>
      <c r="G63" s="8">
        <v>263</v>
      </c>
      <c r="H63" s="8">
        <v>417</v>
      </c>
    </row>
    <row r="64" spans="2:8" x14ac:dyDescent="0.2">
      <c r="B64" s="5" t="s">
        <v>111</v>
      </c>
      <c r="C64" s="8" t="s">
        <v>6</v>
      </c>
      <c r="D64" s="8">
        <v>201.52699999999999</v>
      </c>
      <c r="E64" s="8">
        <v>790</v>
      </c>
      <c r="F64" s="8">
        <v>437</v>
      </c>
      <c r="G64" s="8">
        <v>279</v>
      </c>
      <c r="H64" s="8">
        <v>24</v>
      </c>
    </row>
    <row r="65" spans="2:8" x14ac:dyDescent="0.2">
      <c r="B65" s="5" t="s">
        <v>110</v>
      </c>
      <c r="C65" s="8">
        <v>-17</v>
      </c>
      <c r="D65" s="8">
        <v>-20</v>
      </c>
      <c r="E65" s="8" t="s">
        <v>6</v>
      </c>
      <c r="F65" s="8" t="s">
        <v>6</v>
      </c>
      <c r="G65" s="8" t="s">
        <v>6</v>
      </c>
      <c r="H65" s="8" t="s">
        <v>6</v>
      </c>
    </row>
    <row r="66" spans="2:8" x14ac:dyDescent="0.2">
      <c r="B66" s="5" t="s">
        <v>109</v>
      </c>
      <c r="C66" s="8" t="s">
        <v>6</v>
      </c>
      <c r="D66" s="8" t="s">
        <v>6</v>
      </c>
      <c r="E66" s="8">
        <v>-63</v>
      </c>
      <c r="F66" s="8" t="s">
        <v>6</v>
      </c>
      <c r="G66" s="8" t="s">
        <v>6</v>
      </c>
      <c r="H66" s="8" t="s">
        <v>6</v>
      </c>
    </row>
    <row r="67" spans="2:8" x14ac:dyDescent="0.2">
      <c r="B67" s="5" t="s">
        <v>108</v>
      </c>
      <c r="C67" s="8" t="s">
        <v>6</v>
      </c>
      <c r="D67" s="8" t="s">
        <v>6</v>
      </c>
      <c r="E67" s="8" t="s">
        <v>6</v>
      </c>
      <c r="F67" s="8">
        <v>-15</v>
      </c>
      <c r="G67" s="8">
        <v>-37</v>
      </c>
      <c r="H67" s="8">
        <v>-6</v>
      </c>
    </row>
    <row r="68" spans="2:8" x14ac:dyDescent="0.2">
      <c r="B68" s="5" t="s">
        <v>107</v>
      </c>
      <c r="C68" s="8" t="s">
        <v>6</v>
      </c>
      <c r="D68" s="8" t="s">
        <v>6</v>
      </c>
      <c r="E68" s="8">
        <v>53</v>
      </c>
      <c r="F68" s="8" t="s">
        <v>6</v>
      </c>
      <c r="G68" s="8">
        <v>174</v>
      </c>
      <c r="H68" s="8" t="s">
        <v>6</v>
      </c>
    </row>
    <row r="69" spans="2:8" x14ac:dyDescent="0.2">
      <c r="B69" s="5" t="s">
        <v>106</v>
      </c>
      <c r="C69" s="8" t="s">
        <v>6</v>
      </c>
      <c r="D69" s="8" t="s">
        <v>6</v>
      </c>
      <c r="E69" s="8">
        <v>-230</v>
      </c>
      <c r="F69" s="8" t="s">
        <v>6</v>
      </c>
      <c r="G69" s="8" t="s">
        <v>6</v>
      </c>
      <c r="H69" s="8" t="s">
        <v>6</v>
      </c>
    </row>
    <row r="70" spans="2:8" x14ac:dyDescent="0.2">
      <c r="B70" s="5" t="s">
        <v>105</v>
      </c>
      <c r="C70" s="8" t="s">
        <v>6</v>
      </c>
      <c r="D70" s="8" t="s">
        <v>6</v>
      </c>
      <c r="E70" s="8">
        <v>-204</v>
      </c>
      <c r="F70" s="8" t="s">
        <v>6</v>
      </c>
      <c r="G70" s="8">
        <v>-476</v>
      </c>
      <c r="H70" s="8" t="s">
        <v>6</v>
      </c>
    </row>
    <row r="71" spans="2:8" x14ac:dyDescent="0.2">
      <c r="B71" s="5" t="s">
        <v>104</v>
      </c>
      <c r="C71" s="8" t="s">
        <v>6</v>
      </c>
      <c r="D71" s="8">
        <v>-21.3</v>
      </c>
      <c r="E71" s="8">
        <v>-262</v>
      </c>
      <c r="F71" s="8">
        <v>-227</v>
      </c>
      <c r="G71" s="8">
        <v>-311</v>
      </c>
      <c r="H71" s="8">
        <v>-208</v>
      </c>
    </row>
    <row r="72" spans="2:8" x14ac:dyDescent="0.2">
      <c r="B72" s="5" t="s">
        <v>103</v>
      </c>
      <c r="C72" s="8" t="s">
        <v>6</v>
      </c>
      <c r="D72" s="8" t="s">
        <v>6</v>
      </c>
      <c r="E72" s="8">
        <v>287</v>
      </c>
      <c r="F72" s="8" t="s">
        <v>6</v>
      </c>
      <c r="G72" s="8" t="s">
        <v>6</v>
      </c>
      <c r="H72" s="8" t="s">
        <v>6</v>
      </c>
    </row>
    <row r="73" spans="2:8" x14ac:dyDescent="0.2">
      <c r="B73" s="5" t="s">
        <v>102</v>
      </c>
      <c r="C73" s="8" t="s">
        <v>6</v>
      </c>
      <c r="D73" s="8" t="s">
        <v>6</v>
      </c>
      <c r="E73" s="8" t="s">
        <v>6</v>
      </c>
      <c r="F73" s="8">
        <v>-6</v>
      </c>
      <c r="G73" s="8">
        <v>-9</v>
      </c>
      <c r="H73" s="8">
        <v>-35</v>
      </c>
    </row>
    <row r="74" spans="2:8" x14ac:dyDescent="0.2">
      <c r="B74" s="6" t="s">
        <v>101</v>
      </c>
      <c r="C74" s="7">
        <v>1523.5229999999999</v>
      </c>
      <c r="D74" s="7">
        <v>3743.9760000000001</v>
      </c>
      <c r="E74" s="7">
        <v>4415</v>
      </c>
      <c r="F74" s="7">
        <v>574</v>
      </c>
      <c r="G74" s="7">
        <v>1529</v>
      </c>
      <c r="H74" s="7">
        <v>9973</v>
      </c>
    </row>
    <row r="75" spans="2:8" x14ac:dyDescent="0.2">
      <c r="B75" s="5"/>
      <c r="C75" s="5"/>
      <c r="D75" s="5"/>
      <c r="E75" s="5"/>
      <c r="F75" s="5"/>
      <c r="G75" s="5"/>
      <c r="H75" s="5"/>
    </row>
    <row r="76" spans="2:8" x14ac:dyDescent="0.2">
      <c r="B76" s="6" t="s">
        <v>100</v>
      </c>
      <c r="C76" s="5"/>
      <c r="D76" s="5"/>
      <c r="E76" s="5"/>
      <c r="F76" s="5"/>
      <c r="G76" s="5"/>
      <c r="H76" s="5"/>
    </row>
    <row r="77" spans="2:8" x14ac:dyDescent="0.2">
      <c r="B77" s="5" t="s">
        <v>99</v>
      </c>
      <c r="C77" s="8">
        <v>-34.299999999999997</v>
      </c>
      <c r="D77" s="8">
        <v>-6.6</v>
      </c>
      <c r="E77" s="8">
        <v>40</v>
      </c>
      <c r="F77" s="8">
        <v>-23</v>
      </c>
      <c r="G77" s="8">
        <v>8</v>
      </c>
      <c r="H77" s="8">
        <v>334</v>
      </c>
    </row>
    <row r="78" spans="2:8" x14ac:dyDescent="0.2">
      <c r="B78" s="5" t="s">
        <v>98</v>
      </c>
      <c r="C78" s="8">
        <v>-708.8</v>
      </c>
      <c r="D78" s="8">
        <v>2532.509</v>
      </c>
      <c r="E78" s="8">
        <v>198</v>
      </c>
      <c r="F78" s="8">
        <v>312</v>
      </c>
      <c r="G78" s="8">
        <v>2506</v>
      </c>
      <c r="H78" s="8">
        <v>13118</v>
      </c>
    </row>
    <row r="79" spans="2:8" ht="61.2" x14ac:dyDescent="0.2">
      <c r="B79" s="16" t="s">
        <v>0</v>
      </c>
      <c r="C79" s="3"/>
      <c r="D79" s="3"/>
      <c r="E79" s="3"/>
      <c r="F79" s="3"/>
      <c r="G79" s="3"/>
      <c r="H79" s="3"/>
    </row>
  </sheetData>
  <pageMargins left="0.2" right="0.2" top="0.5" bottom="0.5" header="0.5" footer="0.5"/>
  <pageSetup scale="67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BC51-4057-495A-BFA1-776F5D764075}">
  <sheetPr>
    <tabColor theme="4" tint="-0.499984740745262"/>
    <outlinePr summaryBelow="0" summaryRight="0"/>
    <pageSetUpPr autoPageBreaks="0" fitToPage="1"/>
  </sheetPr>
  <dimension ref="A2:IX19"/>
  <sheetViews>
    <sheetView view="pageBreakPreview" zoomScaleNormal="100" zoomScaleSheetLayoutView="100" workbookViewId="0"/>
  </sheetViews>
  <sheetFormatPr defaultRowHeight="10.199999999999999" x14ac:dyDescent="0.2"/>
  <cols>
    <col min="1" max="1" width="47.77734375" style="1" customWidth="1"/>
    <col min="2" max="17" width="20.77734375" style="1" customWidth="1"/>
    <col min="18" max="18" width="11.5546875" style="1" bestFit="1" customWidth="1"/>
    <col min="19" max="16384" width="8.88671875" style="1"/>
  </cols>
  <sheetData>
    <row r="2" spans="1:258" x14ac:dyDescent="0.2">
      <c r="A2" s="14" t="s">
        <v>181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</row>
    <row r="3" spans="1:258" ht="20.399999999999999" x14ac:dyDescent="0.2">
      <c r="A3" s="20" t="s">
        <v>180</v>
      </c>
      <c r="B3" s="21" t="s">
        <v>175</v>
      </c>
      <c r="C3" s="21" t="s">
        <v>174</v>
      </c>
      <c r="D3" s="21" t="s">
        <v>173</v>
      </c>
      <c r="E3" s="21" t="s">
        <v>172</v>
      </c>
      <c r="F3" s="21" t="s">
        <v>171</v>
      </c>
      <c r="G3" s="21" t="s">
        <v>170</v>
      </c>
      <c r="H3" s="21" t="s">
        <v>169</v>
      </c>
      <c r="I3" s="21" t="s">
        <v>168</v>
      </c>
      <c r="J3" s="21" t="s">
        <v>167</v>
      </c>
      <c r="K3" s="21" t="s">
        <v>182</v>
      </c>
      <c r="L3" s="21" t="s">
        <v>166</v>
      </c>
      <c r="M3" s="21" t="s">
        <v>165</v>
      </c>
      <c r="N3" s="21" t="s">
        <v>184</v>
      </c>
      <c r="O3" s="21" t="s">
        <v>164</v>
      </c>
      <c r="P3" s="21" t="s">
        <v>163</v>
      </c>
      <c r="Q3" s="21" t="s">
        <v>185</v>
      </c>
      <c r="R3" s="1" t="s">
        <v>183</v>
      </c>
      <c r="S3" s="1">
        <v>2021</v>
      </c>
      <c r="T3" s="1">
        <v>2022</v>
      </c>
      <c r="U3" s="1" t="s">
        <v>187</v>
      </c>
      <c r="V3" s="1">
        <v>2021</v>
      </c>
      <c r="W3" s="1">
        <v>2022</v>
      </c>
      <c r="X3" s="1" t="s">
        <v>188</v>
      </c>
    </row>
    <row r="4" spans="1:258" ht="12" customHeight="1" x14ac:dyDescent="0.2">
      <c r="A4" s="20" t="s">
        <v>208</v>
      </c>
      <c r="B4" s="42">
        <v>157524.5</v>
      </c>
      <c r="C4" s="43">
        <v>114809</v>
      </c>
      <c r="D4" s="43">
        <v>88648</v>
      </c>
      <c r="E4" s="43">
        <v>0</v>
      </c>
      <c r="F4" s="43">
        <v>2060.61</v>
      </c>
      <c r="G4" s="44" t="s">
        <v>6</v>
      </c>
      <c r="H4" s="45">
        <v>-28784.3</v>
      </c>
      <c r="I4" s="45">
        <v>-25788.47</v>
      </c>
      <c r="J4" s="45">
        <v>-11978.61</v>
      </c>
      <c r="K4" s="42">
        <f t="shared" ref="K4" si="0">SUM(B4:J4)</f>
        <v>296490.73</v>
      </c>
      <c r="L4" s="42">
        <v>27446.2</v>
      </c>
      <c r="M4" s="43">
        <v>41392.400000000001</v>
      </c>
      <c r="N4" s="43">
        <v>45959.37</v>
      </c>
      <c r="O4" s="42">
        <v>10537.1</v>
      </c>
      <c r="P4" s="43">
        <v>15529.71</v>
      </c>
      <c r="Q4" s="43">
        <v>17901.439999999999</v>
      </c>
      <c r="R4" s="45">
        <f t="shared" ref="R4:R6" si="1">K4/L4</f>
        <v>10.802614933943495</v>
      </c>
      <c r="S4" s="1">
        <f t="shared" ref="S4:S6" si="2">K4/M4</f>
        <v>7.1629267691653533</v>
      </c>
      <c r="T4" s="1">
        <f t="shared" ref="T4" si="3">K4/N4</f>
        <v>6.4511486993838245</v>
      </c>
      <c r="U4" s="1">
        <f>$B$4/O4</f>
        <v>14.949511725237494</v>
      </c>
      <c r="V4" s="1">
        <f t="shared" ref="V4:W4" si="4">$B$4/P4</f>
        <v>10.143428306130637</v>
      </c>
      <c r="W4" s="1">
        <f t="shared" si="4"/>
        <v>8.79954350041114</v>
      </c>
      <c r="X4" s="1">
        <f t="shared" ref="X4:X9" si="5">SUM(C4:E4)/L4</f>
        <v>7.412938767479651</v>
      </c>
    </row>
    <row r="5" spans="1:258" ht="12" customHeight="1" x14ac:dyDescent="0.2">
      <c r="A5" s="20" t="s">
        <v>178</v>
      </c>
      <c r="B5" s="18">
        <v>82838.100000000006</v>
      </c>
      <c r="C5" s="17">
        <v>72744</v>
      </c>
      <c r="D5" s="43">
        <v>35637</v>
      </c>
      <c r="E5" s="17">
        <v>1276</v>
      </c>
      <c r="F5" s="17">
        <v>4647</v>
      </c>
      <c r="G5" s="19" t="s">
        <v>6</v>
      </c>
      <c r="H5" s="1">
        <v>-14892</v>
      </c>
      <c r="I5" s="1">
        <v>-9046</v>
      </c>
      <c r="J5" s="1">
        <v>-6825</v>
      </c>
      <c r="K5" s="18">
        <f>SUM(B5:J5)</f>
        <v>166379.1</v>
      </c>
      <c r="L5" s="18">
        <v>13653</v>
      </c>
      <c r="M5" s="17">
        <v>23668.23</v>
      </c>
      <c r="N5" s="17">
        <v>25920.18</v>
      </c>
      <c r="O5" s="18">
        <v>6427</v>
      </c>
      <c r="P5" s="17">
        <v>7306.03</v>
      </c>
      <c r="Q5" s="17">
        <v>8548.4599999999991</v>
      </c>
      <c r="R5" s="1">
        <f t="shared" si="1"/>
        <v>12.186266754559439</v>
      </c>
      <c r="S5" s="1">
        <f t="shared" si="2"/>
        <v>7.0296384647267667</v>
      </c>
      <c r="T5" s="1">
        <f t="shared" ref="T5:T9" si="6">K5/N5</f>
        <v>6.4189021835496511</v>
      </c>
      <c r="U5" s="1">
        <f>$B$5/O5</f>
        <v>12.889077330014004</v>
      </c>
      <c r="V5" s="1">
        <f t="shared" ref="V5:W5" si="7">$B$5/P5</f>
        <v>11.338319169234182</v>
      </c>
      <c r="W5" s="1">
        <f t="shared" si="7"/>
        <v>9.6904120742215571</v>
      </c>
      <c r="X5" s="1">
        <f t="shared" si="5"/>
        <v>8.0317146414707388</v>
      </c>
    </row>
    <row r="6" spans="1:258" ht="12" customHeight="1" x14ac:dyDescent="0.2">
      <c r="A6" s="52" t="s">
        <v>331</v>
      </c>
      <c r="B6" s="53">
        <v>71097.2</v>
      </c>
      <c r="C6" s="54">
        <v>3635.21</v>
      </c>
      <c r="D6" s="54">
        <v>1730.05</v>
      </c>
      <c r="E6" s="54">
        <v>2523.4899999999998</v>
      </c>
      <c r="F6" s="54">
        <v>1166.24</v>
      </c>
      <c r="G6" s="56" t="s">
        <v>6</v>
      </c>
      <c r="H6" s="55">
        <v>-2222.6</v>
      </c>
      <c r="I6" s="55" t="s">
        <v>6</v>
      </c>
      <c r="J6" s="55">
        <v>-840.96</v>
      </c>
      <c r="K6" s="18">
        <f>SUM(B6:J6)</f>
        <v>77088.63</v>
      </c>
      <c r="L6" s="53">
        <v>3391</v>
      </c>
      <c r="M6" s="54">
        <v>3555.24</v>
      </c>
      <c r="N6" s="54">
        <v>4064.38</v>
      </c>
      <c r="O6" s="53">
        <v>651.5</v>
      </c>
      <c r="P6" s="54">
        <v>817.79</v>
      </c>
      <c r="Q6" s="54">
        <v>1062.42</v>
      </c>
      <c r="R6" s="1">
        <f t="shared" si="1"/>
        <v>22.733302860513124</v>
      </c>
      <c r="S6" s="1">
        <f t="shared" si="2"/>
        <v>21.683101562763699</v>
      </c>
      <c r="T6" s="1">
        <f t="shared" si="6"/>
        <v>18.966885478227923</v>
      </c>
      <c r="U6" s="1">
        <f>$B$6/O6</f>
        <v>109.12847275518035</v>
      </c>
      <c r="V6" s="1">
        <f t="shared" ref="V6:W6" si="8">$B$6/P6</f>
        <v>86.938211521295202</v>
      </c>
      <c r="W6" s="1">
        <f t="shared" si="8"/>
        <v>66.920050450857474</v>
      </c>
      <c r="X6" s="1">
        <f t="shared" si="5"/>
        <v>2.3263786493659686</v>
      </c>
    </row>
    <row r="7" spans="1:258" ht="12" customHeight="1" x14ac:dyDescent="0.2">
      <c r="A7" s="20" t="s">
        <v>179</v>
      </c>
      <c r="B7" s="18">
        <v>46816.800000000003</v>
      </c>
      <c r="C7" s="17">
        <v>109973</v>
      </c>
      <c r="D7" s="17">
        <v>50684</v>
      </c>
      <c r="E7" s="17">
        <v>613</v>
      </c>
      <c r="F7" s="17">
        <v>121</v>
      </c>
      <c r="G7" s="19" t="s">
        <v>6</v>
      </c>
      <c r="H7" s="1">
        <v>-10894</v>
      </c>
      <c r="I7" s="1">
        <v>-19858</v>
      </c>
      <c r="J7" s="1">
        <v>-4778</v>
      </c>
      <c r="K7" s="18">
        <f>SUM(B7:J7)</f>
        <v>172677.8</v>
      </c>
      <c r="L7" s="18">
        <v>4807</v>
      </c>
      <c r="M7" s="17">
        <v>12265.67</v>
      </c>
      <c r="N7" s="17">
        <v>12260.84</v>
      </c>
      <c r="O7" s="18">
        <v>-1279</v>
      </c>
      <c r="P7" s="17">
        <v>3901</v>
      </c>
      <c r="Q7" s="17">
        <v>6002.5</v>
      </c>
      <c r="R7" s="1">
        <f>K7/L7</f>
        <v>35.922155190347411</v>
      </c>
      <c r="S7" s="1">
        <f>K7/M7</f>
        <v>14.078138413963524</v>
      </c>
      <c r="T7" s="1">
        <f t="shared" si="6"/>
        <v>14.083684315267142</v>
      </c>
      <c r="U7" s="1">
        <f>$B$7/O7</f>
        <v>-36.604222048475371</v>
      </c>
      <c r="V7" s="1">
        <f>$B$7/P7</f>
        <v>12.001230453729814</v>
      </c>
      <c r="W7" s="1">
        <f>$B$7/Q7</f>
        <v>7.7995501874219082</v>
      </c>
      <c r="X7" s="1">
        <f t="shared" si="5"/>
        <v>33.548991054711877</v>
      </c>
    </row>
    <row r="8" spans="1:258" ht="12" customHeight="1" x14ac:dyDescent="0.2">
      <c r="A8" s="95" t="s">
        <v>333</v>
      </c>
      <c r="B8" s="96">
        <v>13157.9</v>
      </c>
      <c r="C8" s="97">
        <v>573.35</v>
      </c>
      <c r="D8" s="97">
        <v>16.89</v>
      </c>
      <c r="E8" s="98" t="s">
        <v>6</v>
      </c>
      <c r="F8" s="98" t="s">
        <v>6</v>
      </c>
      <c r="G8" s="98" t="s">
        <v>6</v>
      </c>
      <c r="H8" s="94">
        <v>-827.1</v>
      </c>
      <c r="I8" s="94">
        <v>-203.78</v>
      </c>
      <c r="J8" s="98" t="s">
        <v>6</v>
      </c>
      <c r="K8" s="96">
        <f>SUM(B8:J8)</f>
        <v>12717.259999999998</v>
      </c>
      <c r="L8" s="96">
        <v>171</v>
      </c>
      <c r="M8" s="97">
        <v>357.28</v>
      </c>
      <c r="N8" s="97">
        <v>474.01</v>
      </c>
      <c r="O8" s="96">
        <v>140.30000000000001</v>
      </c>
      <c r="P8" s="97">
        <v>188.95</v>
      </c>
      <c r="Q8" s="97">
        <v>276.47000000000003</v>
      </c>
      <c r="R8" s="94">
        <f>K8/L8</f>
        <v>74.369941520467833</v>
      </c>
      <c r="S8" s="94">
        <f>K8/M8</f>
        <v>35.594659650694133</v>
      </c>
      <c r="T8" s="94">
        <f t="shared" si="6"/>
        <v>26.829096432564711</v>
      </c>
      <c r="U8" s="94">
        <f>$B$8/O8</f>
        <v>93.784034212401991</v>
      </c>
      <c r="V8" s="94">
        <f t="shared" ref="V8:W8" si="9">$B$8/P8</f>
        <v>69.636940989679815</v>
      </c>
      <c r="W8" s="94">
        <f t="shared" si="9"/>
        <v>47.592505515969179</v>
      </c>
      <c r="X8" s="94">
        <f t="shared" si="5"/>
        <v>3.4516959064327484</v>
      </c>
    </row>
    <row r="9" spans="1:258" ht="12" customHeight="1" x14ac:dyDescent="0.2">
      <c r="A9" s="52" t="s">
        <v>334</v>
      </c>
      <c r="B9" s="53">
        <v>4716.6000000000004</v>
      </c>
      <c r="C9" s="54">
        <v>479.49</v>
      </c>
      <c r="D9" s="54">
        <v>62.53</v>
      </c>
      <c r="E9" s="54">
        <v>97.06</v>
      </c>
      <c r="F9" s="54">
        <v>2.3199999999999998</v>
      </c>
      <c r="G9" s="56" t="s">
        <v>6</v>
      </c>
      <c r="H9" s="94">
        <v>-232.8</v>
      </c>
      <c r="I9" s="94" t="s">
        <v>6</v>
      </c>
      <c r="J9" s="56" t="s">
        <v>6</v>
      </c>
      <c r="K9" s="96">
        <f>SUM(B9:J9)</f>
        <v>5125.2</v>
      </c>
      <c r="L9" s="53">
        <v>27.8</v>
      </c>
      <c r="M9" s="54">
        <v>124.6</v>
      </c>
      <c r="N9" s="54">
        <v>177.66</v>
      </c>
      <c r="O9" s="53">
        <v>475</v>
      </c>
      <c r="P9" s="54">
        <v>47.16</v>
      </c>
      <c r="Q9" s="54">
        <v>102.66</v>
      </c>
      <c r="R9" s="94">
        <f>K9/L9</f>
        <v>184.35971223021582</v>
      </c>
      <c r="S9" s="94">
        <f>K9/M9</f>
        <v>41.133226324237562</v>
      </c>
      <c r="T9" s="94">
        <f t="shared" si="6"/>
        <v>28.848362039851402</v>
      </c>
      <c r="U9" s="94">
        <f>$B$9/O9</f>
        <v>9.9296842105263163</v>
      </c>
      <c r="V9" s="94">
        <f t="shared" ref="V9:W9" si="10">$B$9/P9</f>
        <v>100.01272264631045</v>
      </c>
      <c r="W9" s="94">
        <f t="shared" si="10"/>
        <v>45.943892460549392</v>
      </c>
      <c r="X9" s="94">
        <f t="shared" si="5"/>
        <v>22.988489208633091</v>
      </c>
    </row>
    <row r="10" spans="1:258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X10" s="94"/>
    </row>
    <row r="11" spans="1:258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258" ht="12" customHeight="1" x14ac:dyDescent="0.2">
      <c r="A12" s="20" t="s">
        <v>177</v>
      </c>
      <c r="B12" s="18">
        <v>714246.2</v>
      </c>
      <c r="C12" s="17">
        <v>8571</v>
      </c>
      <c r="D12" s="17">
        <v>1758</v>
      </c>
      <c r="E12" s="19" t="s">
        <v>6</v>
      </c>
      <c r="F12" s="17">
        <v>1454</v>
      </c>
      <c r="G12" s="19" t="s">
        <v>6</v>
      </c>
      <c r="H12" s="1">
        <v>-19384</v>
      </c>
      <c r="I12" s="1" t="s">
        <v>6</v>
      </c>
      <c r="J12" s="1" t="s">
        <v>6</v>
      </c>
      <c r="K12" s="18">
        <f t="shared" ref="K12" si="11">SUM(B12:J12)</f>
        <v>706645.2</v>
      </c>
      <c r="L12" s="18">
        <v>4273</v>
      </c>
      <c r="M12" s="17">
        <v>9472.77</v>
      </c>
      <c r="N12" s="17">
        <v>12595.32</v>
      </c>
      <c r="O12" s="18">
        <v>721</v>
      </c>
      <c r="P12" s="17">
        <v>3319.52</v>
      </c>
      <c r="Q12" s="17">
        <v>5327.94</v>
      </c>
      <c r="R12" s="1">
        <f t="shared" ref="R12" si="12">K12/L12</f>
        <v>165.37449098993679</v>
      </c>
      <c r="S12" s="1">
        <f t="shared" ref="S12" si="13">K12/M12</f>
        <v>74.597525327860794</v>
      </c>
      <c r="T12" s="1">
        <f>K12/N12</f>
        <v>56.103790931869931</v>
      </c>
      <c r="U12" s="1">
        <f>$B$12/O12</f>
        <v>990.63273231622736</v>
      </c>
      <c r="V12" s="1">
        <f t="shared" ref="V12:W12" si="14">$B$12/P12</f>
        <v>215.16550585626837</v>
      </c>
      <c r="W12" s="1">
        <f t="shared" si="14"/>
        <v>134.05672736554843</v>
      </c>
      <c r="X12" s="1">
        <f>SUM(C12:E12)/L12</f>
        <v>2.4172712380060846</v>
      </c>
    </row>
    <row r="13" spans="1:258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258" ht="20.399999999999999" x14ac:dyDescent="0.2">
      <c r="A14" s="20" t="s">
        <v>176</v>
      </c>
      <c r="B14" s="21" t="s">
        <v>175</v>
      </c>
      <c r="C14" s="21" t="s">
        <v>174</v>
      </c>
      <c r="D14" s="21" t="s">
        <v>173</v>
      </c>
      <c r="E14" s="21" t="s">
        <v>172</v>
      </c>
      <c r="F14" s="21" t="s">
        <v>171</v>
      </c>
      <c r="G14" s="21" t="s">
        <v>170</v>
      </c>
      <c r="H14" s="21" t="s">
        <v>169</v>
      </c>
      <c r="I14" s="21" t="s">
        <v>168</v>
      </c>
      <c r="J14" s="21" t="s">
        <v>167</v>
      </c>
      <c r="K14" s="21"/>
      <c r="L14" s="21" t="s">
        <v>166</v>
      </c>
      <c r="M14" s="21" t="s">
        <v>165</v>
      </c>
      <c r="N14" s="21"/>
      <c r="O14" s="21" t="s">
        <v>164</v>
      </c>
      <c r="P14" s="21" t="s">
        <v>163</v>
      </c>
      <c r="Q14" s="21"/>
    </row>
    <row r="15" spans="1:258" x14ac:dyDescent="0.2">
      <c r="A15" s="20" t="s">
        <v>162</v>
      </c>
      <c r="B15" s="18">
        <v>219014.8</v>
      </c>
      <c r="C15" s="17">
        <v>109297.95</v>
      </c>
      <c r="D15" s="17">
        <v>31018.51</v>
      </c>
      <c r="E15" s="17">
        <v>110101.31</v>
      </c>
      <c r="F15" s="17">
        <v>7585.99</v>
      </c>
      <c r="G15" s="19" t="s">
        <v>6</v>
      </c>
      <c r="H15" s="18">
        <v>40997.4</v>
      </c>
      <c r="I15" s="17">
        <v>38487.599999999999</v>
      </c>
      <c r="J15" s="17">
        <v>35900.75</v>
      </c>
      <c r="K15" s="17"/>
      <c r="L15" s="18">
        <v>32151.9</v>
      </c>
      <c r="M15" s="17">
        <v>30093.9</v>
      </c>
      <c r="N15" s="17"/>
      <c r="O15" s="18">
        <v>14012.7</v>
      </c>
      <c r="P15" s="17">
        <v>20387.48</v>
      </c>
      <c r="Q15" s="17"/>
    </row>
    <row r="16" spans="1:258" x14ac:dyDescent="0.2">
      <c r="A16" s="20" t="s">
        <v>161</v>
      </c>
      <c r="B16" s="18">
        <v>49929.9</v>
      </c>
      <c r="C16" s="17">
        <v>906.46</v>
      </c>
      <c r="D16" s="17">
        <v>58.09</v>
      </c>
      <c r="E16" s="17">
        <v>236.6</v>
      </c>
      <c r="F16" s="17">
        <v>121</v>
      </c>
      <c r="G16" s="19" t="s">
        <v>6</v>
      </c>
      <c r="H16" s="18">
        <v>5865.5</v>
      </c>
      <c r="I16" s="17">
        <v>610.07000000000005</v>
      </c>
      <c r="J16" s="17">
        <v>44.98</v>
      </c>
      <c r="K16" s="17"/>
      <c r="L16" s="18">
        <v>-543.6</v>
      </c>
      <c r="M16" s="17">
        <v>-356.4</v>
      </c>
      <c r="N16" s="17"/>
      <c r="O16" s="18">
        <v>-1279</v>
      </c>
      <c r="P16" s="17">
        <v>-578.79999999999995</v>
      </c>
      <c r="Q16" s="17"/>
    </row>
    <row r="17" spans="1:17" x14ac:dyDescent="0.2">
      <c r="A17" s="20" t="s">
        <v>160</v>
      </c>
      <c r="B17" s="18">
        <v>94017.5</v>
      </c>
      <c r="C17" s="17">
        <v>37565.480000000003</v>
      </c>
      <c r="D17" s="17">
        <v>10597.2</v>
      </c>
      <c r="E17" s="17">
        <v>28056.73</v>
      </c>
      <c r="F17" s="17">
        <v>3107.24</v>
      </c>
      <c r="G17" s="19" t="s">
        <v>6</v>
      </c>
      <c r="H17" s="18">
        <v>19788.599999999999</v>
      </c>
      <c r="I17" s="17">
        <v>14244.8</v>
      </c>
      <c r="J17" s="17">
        <v>10981.59</v>
      </c>
      <c r="K17" s="17"/>
      <c r="L17" s="18">
        <v>11946.5</v>
      </c>
      <c r="M17" s="17">
        <v>15189</v>
      </c>
      <c r="N17" s="17"/>
      <c r="O17" s="18">
        <v>4419.6000000000004</v>
      </c>
      <c r="P17" s="17">
        <v>7244.26</v>
      </c>
      <c r="Q17" s="17"/>
    </row>
    <row r="18" spans="1:17" x14ac:dyDescent="0.2">
      <c r="A18" s="20" t="s">
        <v>159</v>
      </c>
      <c r="B18" s="18">
        <v>63410.7</v>
      </c>
      <c r="C18" s="17">
        <v>22265</v>
      </c>
      <c r="D18" s="17">
        <v>715</v>
      </c>
      <c r="E18" s="17">
        <v>944.5</v>
      </c>
      <c r="F18" s="17">
        <v>2465.79</v>
      </c>
      <c r="G18" s="19" t="s">
        <v>6</v>
      </c>
      <c r="H18" s="18">
        <v>14892</v>
      </c>
      <c r="I18" s="17">
        <v>9046</v>
      </c>
      <c r="J18" s="17">
        <v>6825</v>
      </c>
      <c r="K18" s="17"/>
      <c r="L18" s="18">
        <v>9664.4</v>
      </c>
      <c r="M18" s="17">
        <v>12265.67</v>
      </c>
      <c r="N18" s="17"/>
      <c r="O18" s="18">
        <v>3793.7</v>
      </c>
      <c r="P18" s="17">
        <v>5205.58</v>
      </c>
      <c r="Q18" s="17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2" right="0.2" top="0.5" bottom="0.5" header="0.5" footer="0.5"/>
  <pageSetup scale="31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095A-88BF-49D0-B0FB-93E3BEB46585}">
  <sheetPr>
    <tabColor theme="4" tint="-0.499984740745262"/>
    <outlinePr summaryBelow="0" summaryRight="0"/>
    <pageSetUpPr autoPageBreaks="0" fitToPage="1"/>
  </sheetPr>
  <dimension ref="A2:IU37"/>
  <sheetViews>
    <sheetView view="pageBreakPreview" zoomScaleNormal="100" zoomScaleSheetLayoutView="100" workbookViewId="0"/>
  </sheetViews>
  <sheetFormatPr defaultRowHeight="10.199999999999999" x14ac:dyDescent="0.2"/>
  <cols>
    <col min="1" max="1" width="20.77734375" style="104" customWidth="1"/>
    <col min="2" max="2" width="22.77734375" style="104" customWidth="1"/>
    <col min="3" max="3" width="15.77734375" style="104" customWidth="1"/>
    <col min="4" max="4" width="12.77734375" style="104" customWidth="1"/>
    <col min="5" max="5" width="19.77734375" style="104" customWidth="1"/>
    <col min="6" max="7" width="15.77734375" style="104" customWidth="1"/>
    <col min="8" max="8" width="10.77734375" style="104" customWidth="1"/>
    <col min="9" max="9" width="16.77734375" style="104" customWidth="1"/>
    <col min="10" max="10" width="7.77734375" style="104" customWidth="1"/>
    <col min="11" max="16384" width="8.88671875" style="104"/>
  </cols>
  <sheetData>
    <row r="2" spans="1:255" x14ac:dyDescent="0.2">
      <c r="A2" s="113" t="s">
        <v>397</v>
      </c>
      <c r="B2" s="113"/>
      <c r="C2" s="113"/>
      <c r="D2" s="113"/>
      <c r="E2" s="113"/>
      <c r="F2" s="113"/>
      <c r="G2" s="113"/>
      <c r="H2" s="113"/>
      <c r="I2" s="113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  <c r="FW2" s="112"/>
      <c r="FX2" s="112"/>
      <c r="FY2" s="112"/>
      <c r="FZ2" s="112"/>
      <c r="GA2" s="112"/>
      <c r="GB2" s="112"/>
      <c r="GC2" s="112"/>
      <c r="GD2" s="112"/>
      <c r="GE2" s="112"/>
      <c r="GF2" s="112"/>
      <c r="GG2" s="112"/>
      <c r="GH2" s="112"/>
      <c r="GI2" s="112"/>
      <c r="GJ2" s="112"/>
      <c r="GK2" s="112"/>
      <c r="GL2" s="112"/>
      <c r="GM2" s="112"/>
      <c r="GN2" s="112"/>
      <c r="GO2" s="112"/>
      <c r="GP2" s="112"/>
      <c r="GQ2" s="112"/>
      <c r="GR2" s="112"/>
      <c r="GS2" s="112"/>
      <c r="GT2" s="112"/>
      <c r="GU2" s="112"/>
      <c r="GV2" s="112"/>
      <c r="GW2" s="112"/>
      <c r="GX2" s="112"/>
      <c r="GY2" s="112"/>
      <c r="GZ2" s="112"/>
      <c r="HA2" s="112"/>
      <c r="HB2" s="112"/>
      <c r="HC2" s="112"/>
      <c r="HD2" s="112"/>
      <c r="HE2" s="112"/>
      <c r="HF2" s="112"/>
      <c r="HG2" s="112"/>
      <c r="HH2" s="112"/>
      <c r="HI2" s="112"/>
      <c r="HJ2" s="112"/>
      <c r="HK2" s="112"/>
      <c r="HL2" s="112"/>
      <c r="HM2" s="112"/>
      <c r="HN2" s="112"/>
      <c r="HO2" s="112"/>
      <c r="HP2" s="112"/>
      <c r="HQ2" s="112"/>
      <c r="HR2" s="112"/>
      <c r="HS2" s="112"/>
      <c r="HT2" s="112"/>
      <c r="HU2" s="112"/>
      <c r="HV2" s="112"/>
      <c r="HW2" s="112"/>
      <c r="HX2" s="112"/>
      <c r="HY2" s="112"/>
      <c r="HZ2" s="112"/>
      <c r="IA2" s="112"/>
      <c r="IB2" s="112"/>
      <c r="IC2" s="112"/>
      <c r="ID2" s="112"/>
      <c r="IE2" s="112"/>
      <c r="IF2" s="112"/>
      <c r="IG2" s="112"/>
      <c r="IH2" s="112"/>
      <c r="II2" s="112"/>
      <c r="IJ2" s="112"/>
      <c r="IK2" s="112"/>
      <c r="IL2" s="112"/>
      <c r="IM2" s="112"/>
      <c r="IN2" s="112"/>
      <c r="IO2" s="112"/>
      <c r="IP2" s="112"/>
      <c r="IQ2" s="112"/>
      <c r="IR2" s="112"/>
      <c r="IS2" s="112"/>
      <c r="IT2" s="112"/>
      <c r="IU2" s="112"/>
    </row>
    <row r="3" spans="1:255" ht="36" x14ac:dyDescent="0.35">
      <c r="A3" s="111" t="s">
        <v>392</v>
      </c>
      <c r="B3" s="111" t="s">
        <v>391</v>
      </c>
      <c r="C3" s="110" t="s">
        <v>390</v>
      </c>
      <c r="D3" s="110" t="s">
        <v>389</v>
      </c>
      <c r="E3" s="110" t="s">
        <v>388</v>
      </c>
      <c r="F3" s="110" t="s">
        <v>387</v>
      </c>
      <c r="G3" s="110" t="s">
        <v>386</v>
      </c>
      <c r="H3" s="110" t="s">
        <v>385</v>
      </c>
      <c r="I3" s="110" t="s">
        <v>339</v>
      </c>
      <c r="J3" s="110" t="s">
        <v>384</v>
      </c>
    </row>
    <row r="4" spans="1:255" ht="20.399999999999999" x14ac:dyDescent="0.2">
      <c r="A4" s="109" t="s">
        <v>383</v>
      </c>
      <c r="B4" s="109" t="s">
        <v>343</v>
      </c>
      <c r="C4" s="108">
        <v>419</v>
      </c>
      <c r="D4" s="114">
        <v>1.2500000000000001E-2</v>
      </c>
      <c r="E4" s="106" t="s">
        <v>342</v>
      </c>
      <c r="F4" s="107">
        <v>44256</v>
      </c>
      <c r="G4" s="106" t="s">
        <v>341</v>
      </c>
      <c r="H4" s="106" t="s">
        <v>340</v>
      </c>
      <c r="I4" s="106" t="s">
        <v>339</v>
      </c>
      <c r="J4" s="106" t="s">
        <v>31</v>
      </c>
    </row>
    <row r="5" spans="1:255" ht="20.399999999999999" x14ac:dyDescent="0.2">
      <c r="A5" s="109" t="s">
        <v>382</v>
      </c>
      <c r="B5" s="109" t="s">
        <v>343</v>
      </c>
      <c r="C5" s="108">
        <v>1027</v>
      </c>
      <c r="D5" s="114">
        <v>0.02</v>
      </c>
      <c r="E5" s="106" t="s">
        <v>342</v>
      </c>
      <c r="F5" s="107">
        <v>45427</v>
      </c>
      <c r="G5" s="106" t="s">
        <v>341</v>
      </c>
      <c r="H5" s="106" t="s">
        <v>340</v>
      </c>
      <c r="I5" s="106" t="s">
        <v>339</v>
      </c>
      <c r="J5" s="106" t="s">
        <v>31</v>
      </c>
    </row>
    <row r="6" spans="1:255" ht="20.399999999999999" x14ac:dyDescent="0.2">
      <c r="A6" s="109" t="s">
        <v>381</v>
      </c>
      <c r="B6" s="109" t="s">
        <v>343</v>
      </c>
      <c r="C6" s="108">
        <v>481</v>
      </c>
      <c r="D6" s="114">
        <v>2.3800000000000002E-2</v>
      </c>
      <c r="E6" s="106" t="s">
        <v>342</v>
      </c>
      <c r="F6" s="107">
        <v>44635</v>
      </c>
      <c r="G6" s="106" t="s">
        <v>341</v>
      </c>
      <c r="H6" s="106" t="s">
        <v>340</v>
      </c>
      <c r="I6" s="106" t="s">
        <v>339</v>
      </c>
      <c r="J6" s="106" t="s">
        <v>31</v>
      </c>
    </row>
    <row r="7" spans="1:255" ht="20.399999999999999" x14ac:dyDescent="0.2">
      <c r="A7" s="109" t="s">
        <v>380</v>
      </c>
      <c r="B7" s="109" t="s">
        <v>343</v>
      </c>
      <c r="C7" s="108">
        <v>1785</v>
      </c>
      <c r="D7" s="114">
        <v>5.2999999999999999E-2</v>
      </c>
      <c r="E7" s="106" t="s">
        <v>342</v>
      </c>
      <c r="F7" s="107">
        <v>45884</v>
      </c>
      <c r="G7" s="106" t="s">
        <v>341</v>
      </c>
      <c r="H7" s="106" t="s">
        <v>340</v>
      </c>
      <c r="I7" s="106" t="s">
        <v>340</v>
      </c>
      <c r="J7" s="106" t="s">
        <v>31</v>
      </c>
    </row>
    <row r="8" spans="1:255" ht="20.399999999999999" x14ac:dyDescent="0.2">
      <c r="A8" s="109" t="s">
        <v>379</v>
      </c>
      <c r="B8" s="109" t="s">
        <v>343</v>
      </c>
      <c r="C8" s="108">
        <v>1698</v>
      </c>
      <c r="D8" s="106" t="s">
        <v>378</v>
      </c>
      <c r="E8" s="106" t="s">
        <v>342</v>
      </c>
      <c r="F8" s="106" t="s">
        <v>377</v>
      </c>
      <c r="G8" s="106" t="s">
        <v>341</v>
      </c>
      <c r="H8" s="106" t="s">
        <v>344</v>
      </c>
      <c r="I8" s="106" t="s">
        <v>340</v>
      </c>
      <c r="J8" s="106" t="s">
        <v>31</v>
      </c>
    </row>
    <row r="9" spans="1:255" x14ac:dyDescent="0.2">
      <c r="A9" s="109" t="s">
        <v>376</v>
      </c>
      <c r="B9" s="109" t="s">
        <v>347</v>
      </c>
      <c r="C9" s="108">
        <v>33</v>
      </c>
      <c r="D9" s="106" t="s">
        <v>375</v>
      </c>
      <c r="E9" s="106" t="s">
        <v>342</v>
      </c>
      <c r="F9" s="106" t="s">
        <v>374</v>
      </c>
      <c r="G9" s="106" t="s">
        <v>341</v>
      </c>
      <c r="H9" s="106" t="s">
        <v>344</v>
      </c>
      <c r="I9" s="106" t="s">
        <v>340</v>
      </c>
      <c r="J9" s="106" t="s">
        <v>31</v>
      </c>
    </row>
    <row r="10" spans="1:255" x14ac:dyDescent="0.2">
      <c r="A10" s="109" t="s">
        <v>373</v>
      </c>
      <c r="B10" s="109" t="s">
        <v>363</v>
      </c>
      <c r="C10" s="108">
        <v>117.2</v>
      </c>
      <c r="D10" s="114">
        <v>5.7000000000000002E-2</v>
      </c>
      <c r="E10" s="106" t="s">
        <v>342</v>
      </c>
      <c r="F10" s="107">
        <v>48791</v>
      </c>
      <c r="G10" s="106" t="s">
        <v>341</v>
      </c>
      <c r="H10" s="106" t="s">
        <v>344</v>
      </c>
      <c r="I10" s="106" t="s">
        <v>340</v>
      </c>
      <c r="J10" s="106" t="s">
        <v>31</v>
      </c>
    </row>
    <row r="11" spans="1:255" x14ac:dyDescent="0.2">
      <c r="A11" s="109" t="s">
        <v>372</v>
      </c>
      <c r="B11" s="109" t="s">
        <v>363</v>
      </c>
      <c r="C11" s="108">
        <v>193.3</v>
      </c>
      <c r="D11" s="114">
        <v>5.2999999999999999E-2</v>
      </c>
      <c r="E11" s="106" t="s">
        <v>342</v>
      </c>
      <c r="F11" s="107">
        <v>49156</v>
      </c>
      <c r="G11" s="106" t="s">
        <v>341</v>
      </c>
      <c r="H11" s="106" t="s">
        <v>344</v>
      </c>
      <c r="I11" s="106" t="s">
        <v>340</v>
      </c>
      <c r="J11" s="106" t="s">
        <v>31</v>
      </c>
    </row>
    <row r="12" spans="1:255" x14ac:dyDescent="0.2">
      <c r="A12" s="109" t="s">
        <v>371</v>
      </c>
      <c r="B12" s="109" t="s">
        <v>363</v>
      </c>
      <c r="C12" s="108">
        <v>164.4</v>
      </c>
      <c r="D12" s="114">
        <v>5.8000000000000003E-2</v>
      </c>
      <c r="E12" s="106" t="s">
        <v>342</v>
      </c>
      <c r="F12" s="107">
        <v>49340</v>
      </c>
      <c r="G12" s="106" t="s">
        <v>341</v>
      </c>
      <c r="H12" s="106" t="s">
        <v>344</v>
      </c>
      <c r="I12" s="106" t="s">
        <v>340</v>
      </c>
      <c r="J12" s="106" t="s">
        <v>31</v>
      </c>
    </row>
    <row r="13" spans="1:255" x14ac:dyDescent="0.2">
      <c r="A13" s="109" t="s">
        <v>396</v>
      </c>
      <c r="B13" s="109" t="s">
        <v>347</v>
      </c>
      <c r="C13" s="106" t="s">
        <v>6</v>
      </c>
      <c r="D13" s="106" t="s">
        <v>342</v>
      </c>
      <c r="E13" s="106" t="s">
        <v>369</v>
      </c>
      <c r="F13" s="107">
        <v>44348</v>
      </c>
      <c r="G13" s="106" t="s">
        <v>341</v>
      </c>
      <c r="H13" s="106" t="s">
        <v>340</v>
      </c>
      <c r="I13" s="106" t="s">
        <v>340</v>
      </c>
      <c r="J13" s="106"/>
    </row>
    <row r="14" spans="1:255" ht="20.399999999999999" x14ac:dyDescent="0.2">
      <c r="A14" s="109" t="s">
        <v>370</v>
      </c>
      <c r="B14" s="109" t="s">
        <v>350</v>
      </c>
      <c r="C14" s="108">
        <v>616</v>
      </c>
      <c r="D14" s="114">
        <v>0.04</v>
      </c>
      <c r="E14" s="106" t="s">
        <v>369</v>
      </c>
      <c r="F14" s="106" t="s">
        <v>368</v>
      </c>
      <c r="G14" s="106" t="s">
        <v>341</v>
      </c>
      <c r="H14" s="106" t="s">
        <v>344</v>
      </c>
      <c r="I14" s="106" t="s">
        <v>340</v>
      </c>
      <c r="J14" s="106" t="s">
        <v>367</v>
      </c>
    </row>
    <row r="15" spans="1:255" x14ac:dyDescent="0.2">
      <c r="A15" s="109" t="s">
        <v>366</v>
      </c>
      <c r="B15" s="109" t="s">
        <v>343</v>
      </c>
      <c r="C15" s="108">
        <v>51</v>
      </c>
      <c r="D15" s="114">
        <v>5.5E-2</v>
      </c>
      <c r="E15" s="106" t="s">
        <v>342</v>
      </c>
      <c r="F15" s="106">
        <v>2022</v>
      </c>
      <c r="G15" s="106" t="s">
        <v>341</v>
      </c>
      <c r="H15" s="106" t="s">
        <v>340</v>
      </c>
      <c r="I15" s="106" t="s">
        <v>339</v>
      </c>
      <c r="J15" s="106" t="s">
        <v>31</v>
      </c>
    </row>
    <row r="16" spans="1:255" x14ac:dyDescent="0.2">
      <c r="A16" s="109" t="s">
        <v>365</v>
      </c>
      <c r="B16" s="109" t="s">
        <v>361</v>
      </c>
      <c r="C16" s="108">
        <v>1468</v>
      </c>
      <c r="D16" s="114">
        <v>6.5000000000000002E-2</v>
      </c>
      <c r="E16" s="106" t="s">
        <v>342</v>
      </c>
      <c r="F16" s="106" t="s">
        <v>6</v>
      </c>
      <c r="G16" s="106" t="s">
        <v>341</v>
      </c>
      <c r="H16" s="106" t="s">
        <v>344</v>
      </c>
      <c r="I16" s="106" t="s">
        <v>340</v>
      </c>
      <c r="J16" s="106" t="s">
        <v>31</v>
      </c>
    </row>
    <row r="17" spans="1:10" x14ac:dyDescent="0.2">
      <c r="A17" s="109" t="s">
        <v>364</v>
      </c>
      <c r="B17" s="109" t="s">
        <v>363</v>
      </c>
      <c r="C17" s="108">
        <v>68</v>
      </c>
      <c r="D17" s="106" t="s">
        <v>342</v>
      </c>
      <c r="E17" s="106" t="s">
        <v>342</v>
      </c>
      <c r="F17" s="106" t="s">
        <v>6</v>
      </c>
      <c r="G17" s="106" t="s">
        <v>341</v>
      </c>
      <c r="H17" s="106" t="s">
        <v>340</v>
      </c>
      <c r="I17" s="106" t="s">
        <v>340</v>
      </c>
      <c r="J17" s="106" t="s">
        <v>31</v>
      </c>
    </row>
    <row r="18" spans="1:10" x14ac:dyDescent="0.2">
      <c r="A18" s="109" t="s">
        <v>362</v>
      </c>
      <c r="B18" s="109" t="s">
        <v>361</v>
      </c>
      <c r="C18" s="108">
        <v>1540</v>
      </c>
      <c r="D18" s="114">
        <v>5.8000000000000003E-2</v>
      </c>
      <c r="E18" s="106" t="s">
        <v>342</v>
      </c>
      <c r="F18" s="106" t="s">
        <v>6</v>
      </c>
      <c r="G18" s="106" t="s">
        <v>341</v>
      </c>
      <c r="H18" s="106" t="s">
        <v>344</v>
      </c>
      <c r="I18" s="106" t="s">
        <v>340</v>
      </c>
      <c r="J18" s="106" t="s">
        <v>31</v>
      </c>
    </row>
    <row r="19" spans="1:10" ht="20.399999999999999" x14ac:dyDescent="0.2">
      <c r="A19" s="109" t="s">
        <v>360</v>
      </c>
      <c r="B19" s="109" t="s">
        <v>347</v>
      </c>
      <c r="C19" s="108">
        <v>1895</v>
      </c>
      <c r="D19" s="114">
        <v>3.3000000000000002E-2</v>
      </c>
      <c r="E19" s="106" t="s">
        <v>345</v>
      </c>
      <c r="F19" s="106" t="s">
        <v>359</v>
      </c>
      <c r="G19" s="106" t="s">
        <v>341</v>
      </c>
      <c r="H19" s="106" t="s">
        <v>344</v>
      </c>
      <c r="I19" s="106" t="s">
        <v>340</v>
      </c>
      <c r="J19" s="106" t="s">
        <v>31</v>
      </c>
    </row>
    <row r="20" spans="1:10" x14ac:dyDescent="0.2">
      <c r="A20" s="109" t="s">
        <v>358</v>
      </c>
      <c r="B20" s="109" t="s">
        <v>343</v>
      </c>
      <c r="C20" s="108">
        <v>54.4</v>
      </c>
      <c r="D20" s="114">
        <v>4.8000000000000001E-2</v>
      </c>
      <c r="E20" s="106" t="s">
        <v>342</v>
      </c>
      <c r="F20" s="107">
        <v>50739</v>
      </c>
      <c r="G20" s="106" t="s">
        <v>341</v>
      </c>
      <c r="H20" s="106" t="s">
        <v>344</v>
      </c>
      <c r="I20" s="106" t="s">
        <v>340</v>
      </c>
      <c r="J20" s="106" t="s">
        <v>31</v>
      </c>
    </row>
    <row r="21" spans="1:10" x14ac:dyDescent="0.2">
      <c r="A21" s="109" t="s">
        <v>358</v>
      </c>
      <c r="B21" s="109" t="s">
        <v>343</v>
      </c>
      <c r="C21" s="108">
        <v>70.2</v>
      </c>
      <c r="D21" s="114">
        <v>4.5999999999999999E-2</v>
      </c>
      <c r="E21" s="106" t="s">
        <v>342</v>
      </c>
      <c r="F21" s="107">
        <v>52717</v>
      </c>
      <c r="G21" s="106" t="s">
        <v>341</v>
      </c>
      <c r="H21" s="106" t="s">
        <v>344</v>
      </c>
      <c r="I21" s="106" t="s">
        <v>340</v>
      </c>
      <c r="J21" s="106" t="s">
        <v>31</v>
      </c>
    </row>
    <row r="22" spans="1:10" x14ac:dyDescent="0.2">
      <c r="A22" s="109" t="s">
        <v>358</v>
      </c>
      <c r="B22" s="109" t="s">
        <v>343</v>
      </c>
      <c r="C22" s="108">
        <v>160</v>
      </c>
      <c r="D22" s="114">
        <v>0.04</v>
      </c>
      <c r="E22" s="106" t="s">
        <v>342</v>
      </c>
      <c r="F22" s="107">
        <v>52809</v>
      </c>
      <c r="G22" s="106" t="s">
        <v>341</v>
      </c>
      <c r="H22" s="106" t="s">
        <v>344</v>
      </c>
      <c r="I22" s="106" t="s">
        <v>340</v>
      </c>
      <c r="J22" s="106" t="s">
        <v>31</v>
      </c>
    </row>
    <row r="23" spans="1:10" x14ac:dyDescent="0.2">
      <c r="A23" s="109" t="s">
        <v>358</v>
      </c>
      <c r="B23" s="109" t="s">
        <v>343</v>
      </c>
      <c r="C23" s="108">
        <v>41.5</v>
      </c>
      <c r="D23" s="114">
        <v>5.3999999999999999E-2</v>
      </c>
      <c r="E23" s="106" t="s">
        <v>342</v>
      </c>
      <c r="F23" s="107">
        <v>52809</v>
      </c>
      <c r="G23" s="106" t="s">
        <v>341</v>
      </c>
      <c r="H23" s="106" t="s">
        <v>344</v>
      </c>
      <c r="I23" s="106" t="s">
        <v>340</v>
      </c>
      <c r="J23" s="106" t="s">
        <v>31</v>
      </c>
    </row>
    <row r="24" spans="1:10" x14ac:dyDescent="0.2">
      <c r="A24" s="109" t="s">
        <v>358</v>
      </c>
      <c r="B24" s="109" t="s">
        <v>343</v>
      </c>
      <c r="C24" s="108">
        <v>103.5</v>
      </c>
      <c r="D24" s="114">
        <v>4.2000000000000003E-2</v>
      </c>
      <c r="E24" s="106" t="s">
        <v>342</v>
      </c>
      <c r="F24" s="107">
        <v>53205</v>
      </c>
      <c r="G24" s="106" t="s">
        <v>341</v>
      </c>
      <c r="H24" s="106" t="s">
        <v>344</v>
      </c>
      <c r="I24" s="106" t="s">
        <v>340</v>
      </c>
      <c r="J24" s="106" t="s">
        <v>31</v>
      </c>
    </row>
    <row r="25" spans="1:10" x14ac:dyDescent="0.2">
      <c r="A25" s="109" t="s">
        <v>358</v>
      </c>
      <c r="B25" s="109" t="s">
        <v>343</v>
      </c>
      <c r="C25" s="108">
        <v>20</v>
      </c>
      <c r="D25" s="114">
        <v>5.6000000000000001E-2</v>
      </c>
      <c r="E25" s="106" t="s">
        <v>342</v>
      </c>
      <c r="F25" s="107">
        <v>53205</v>
      </c>
      <c r="G25" s="106" t="s">
        <v>341</v>
      </c>
      <c r="H25" s="106" t="s">
        <v>344</v>
      </c>
      <c r="I25" s="106" t="s">
        <v>340</v>
      </c>
      <c r="J25" s="106" t="s">
        <v>31</v>
      </c>
    </row>
    <row r="26" spans="1:10" x14ac:dyDescent="0.2">
      <c r="A26" s="109" t="s">
        <v>358</v>
      </c>
      <c r="B26" s="109" t="s">
        <v>343</v>
      </c>
      <c r="C26" s="108">
        <v>52.2</v>
      </c>
      <c r="D26" s="114">
        <v>5.2999999999999999E-2</v>
      </c>
      <c r="E26" s="106" t="s">
        <v>342</v>
      </c>
      <c r="F26" s="107">
        <v>53600</v>
      </c>
      <c r="G26" s="106" t="s">
        <v>341</v>
      </c>
      <c r="H26" s="106" t="s">
        <v>344</v>
      </c>
      <c r="I26" s="106" t="s">
        <v>340</v>
      </c>
      <c r="J26" s="106" t="s">
        <v>31</v>
      </c>
    </row>
    <row r="27" spans="1:10" x14ac:dyDescent="0.2">
      <c r="A27" s="109" t="s">
        <v>358</v>
      </c>
      <c r="B27" s="109" t="s">
        <v>343</v>
      </c>
      <c r="C27" s="108">
        <v>265</v>
      </c>
      <c r="D27" s="106" t="s">
        <v>342</v>
      </c>
      <c r="E27" s="106" t="s">
        <v>342</v>
      </c>
      <c r="F27" s="106" t="s">
        <v>6</v>
      </c>
      <c r="G27" s="106" t="s">
        <v>341</v>
      </c>
      <c r="H27" s="106" t="s">
        <v>344</v>
      </c>
      <c r="I27" s="106" t="s">
        <v>340</v>
      </c>
      <c r="J27" s="106" t="s">
        <v>31</v>
      </c>
    </row>
    <row r="28" spans="1:10" x14ac:dyDescent="0.2">
      <c r="A28" s="109" t="s">
        <v>358</v>
      </c>
      <c r="B28" s="109" t="s">
        <v>343</v>
      </c>
      <c r="C28" s="108">
        <v>75</v>
      </c>
      <c r="D28" s="106" t="s">
        <v>342</v>
      </c>
      <c r="E28" s="106" t="s">
        <v>342</v>
      </c>
      <c r="F28" s="106" t="s">
        <v>6</v>
      </c>
      <c r="G28" s="106" t="s">
        <v>341</v>
      </c>
      <c r="H28" s="106" t="s">
        <v>344</v>
      </c>
      <c r="I28" s="106" t="s">
        <v>340</v>
      </c>
      <c r="J28" s="106" t="s">
        <v>31</v>
      </c>
    </row>
    <row r="29" spans="1:10" x14ac:dyDescent="0.2">
      <c r="A29" s="109" t="s">
        <v>358</v>
      </c>
      <c r="B29" s="109" t="s">
        <v>343</v>
      </c>
      <c r="C29" s="108">
        <v>99</v>
      </c>
      <c r="D29" s="106" t="s">
        <v>342</v>
      </c>
      <c r="E29" s="106" t="s">
        <v>342</v>
      </c>
      <c r="F29" s="106" t="s">
        <v>6</v>
      </c>
      <c r="G29" s="106" t="s">
        <v>341</v>
      </c>
      <c r="H29" s="106" t="s">
        <v>344</v>
      </c>
      <c r="I29" s="106" t="s">
        <v>340</v>
      </c>
      <c r="J29" s="106" t="s">
        <v>31</v>
      </c>
    </row>
    <row r="30" spans="1:10" x14ac:dyDescent="0.2">
      <c r="A30" s="109" t="s">
        <v>358</v>
      </c>
      <c r="B30" s="109" t="s">
        <v>343</v>
      </c>
      <c r="C30" s="108">
        <v>31.9</v>
      </c>
      <c r="D30" s="106" t="s">
        <v>342</v>
      </c>
      <c r="E30" s="106" t="s">
        <v>342</v>
      </c>
      <c r="F30" s="106" t="s">
        <v>6</v>
      </c>
      <c r="G30" s="106" t="s">
        <v>341</v>
      </c>
      <c r="H30" s="106" t="s">
        <v>344</v>
      </c>
      <c r="I30" s="106" t="s">
        <v>340</v>
      </c>
      <c r="J30" s="106" t="s">
        <v>31</v>
      </c>
    </row>
    <row r="31" spans="1:10" x14ac:dyDescent="0.2">
      <c r="A31" s="109" t="s">
        <v>358</v>
      </c>
      <c r="B31" s="109" t="s">
        <v>343</v>
      </c>
      <c r="C31" s="108">
        <v>334.1</v>
      </c>
      <c r="D31" s="106" t="s">
        <v>342</v>
      </c>
      <c r="E31" s="106" t="s">
        <v>342</v>
      </c>
      <c r="F31" s="106" t="s">
        <v>6</v>
      </c>
      <c r="G31" s="106" t="s">
        <v>341</v>
      </c>
      <c r="H31" s="106" t="s">
        <v>344</v>
      </c>
      <c r="I31" s="106" t="s">
        <v>340</v>
      </c>
      <c r="J31" s="106" t="s">
        <v>31</v>
      </c>
    </row>
    <row r="32" spans="1:10" x14ac:dyDescent="0.2">
      <c r="A32" s="109" t="s">
        <v>357</v>
      </c>
      <c r="B32" s="109" t="s">
        <v>343</v>
      </c>
      <c r="C32" s="108">
        <v>53</v>
      </c>
      <c r="D32" s="106" t="s">
        <v>356</v>
      </c>
      <c r="E32" s="106" t="s">
        <v>342</v>
      </c>
      <c r="F32" s="106" t="s">
        <v>395</v>
      </c>
      <c r="G32" s="106" t="s">
        <v>341</v>
      </c>
      <c r="H32" s="106" t="s">
        <v>340</v>
      </c>
      <c r="I32" s="106" t="s">
        <v>340</v>
      </c>
      <c r="J32" s="106" t="s">
        <v>31</v>
      </c>
    </row>
    <row r="33" spans="1:10" x14ac:dyDescent="0.2">
      <c r="A33" s="109" t="s">
        <v>355</v>
      </c>
      <c r="B33" s="109" t="s">
        <v>343</v>
      </c>
      <c r="C33" s="108">
        <v>146</v>
      </c>
      <c r="D33" s="106" t="s">
        <v>394</v>
      </c>
      <c r="E33" s="106" t="s">
        <v>342</v>
      </c>
      <c r="F33" s="106" t="s">
        <v>354</v>
      </c>
      <c r="G33" s="106" t="s">
        <v>341</v>
      </c>
      <c r="H33" s="106" t="s">
        <v>344</v>
      </c>
      <c r="I33" s="106" t="s">
        <v>340</v>
      </c>
      <c r="J33" s="106" t="s">
        <v>31</v>
      </c>
    </row>
    <row r="34" spans="1:10" ht="20.399999999999999" x14ac:dyDescent="0.2">
      <c r="A34" s="109" t="s">
        <v>393</v>
      </c>
      <c r="B34" s="109" t="s">
        <v>350</v>
      </c>
      <c r="C34" s="108">
        <v>81</v>
      </c>
      <c r="D34" s="106" t="s">
        <v>353</v>
      </c>
      <c r="E34" s="106" t="s">
        <v>342</v>
      </c>
      <c r="F34" s="106" t="s">
        <v>352</v>
      </c>
      <c r="G34" s="106" t="s">
        <v>341</v>
      </c>
      <c r="H34" s="106" t="s">
        <v>344</v>
      </c>
      <c r="I34" s="106" t="s">
        <v>340</v>
      </c>
      <c r="J34" s="106" t="s">
        <v>31</v>
      </c>
    </row>
    <row r="35" spans="1:10" x14ac:dyDescent="0.2">
      <c r="A35" s="109" t="s">
        <v>351</v>
      </c>
      <c r="B35" s="109" t="s">
        <v>350</v>
      </c>
      <c r="C35" s="108">
        <v>151</v>
      </c>
      <c r="D35" s="114">
        <v>3.6999999999999998E-2</v>
      </c>
      <c r="E35" s="106" t="s">
        <v>349</v>
      </c>
      <c r="F35" s="107">
        <v>44227</v>
      </c>
      <c r="G35" s="106" t="s">
        <v>341</v>
      </c>
      <c r="H35" s="106" t="s">
        <v>344</v>
      </c>
      <c r="I35" s="106" t="s">
        <v>340</v>
      </c>
      <c r="J35" s="106" t="s">
        <v>31</v>
      </c>
    </row>
    <row r="36" spans="1:10" ht="20.399999999999999" x14ac:dyDescent="0.2">
      <c r="A36" s="109" t="s">
        <v>348</v>
      </c>
      <c r="B36" s="109" t="s">
        <v>347</v>
      </c>
      <c r="C36" s="108">
        <v>294</v>
      </c>
      <c r="D36" s="106" t="s">
        <v>346</v>
      </c>
      <c r="E36" s="106" t="s">
        <v>345</v>
      </c>
      <c r="F36" s="107">
        <v>44834</v>
      </c>
      <c r="G36" s="106" t="s">
        <v>341</v>
      </c>
      <c r="H36" s="106" t="s">
        <v>344</v>
      </c>
      <c r="I36" s="106" t="s">
        <v>340</v>
      </c>
      <c r="J36" s="106" t="s">
        <v>31</v>
      </c>
    </row>
    <row r="37" spans="1:10" x14ac:dyDescent="0.2">
      <c r="A37" s="105"/>
      <c r="B37" s="105"/>
      <c r="C37" s="105"/>
      <c r="D37" s="105"/>
      <c r="E37" s="105"/>
      <c r="F37" s="105"/>
      <c r="G37" s="105"/>
      <c r="H37" s="105"/>
      <c r="I37" s="105"/>
      <c r="J37" s="105"/>
    </row>
  </sheetData>
  <pageMargins left="0.2" right="0.2" top="0.5" bottom="0.5" header="0.5" footer="0.5"/>
  <pageSetup scale="8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16</vt:i4>
      </vt:variant>
    </vt:vector>
  </HeadingPairs>
  <TitlesOfParts>
    <vt:vector size="35" baseType="lpstr">
      <vt:lpstr>Cover</vt:lpstr>
      <vt:lpstr>Outputs &gt;&gt;</vt:lpstr>
      <vt:lpstr>Comps</vt:lpstr>
      <vt:lpstr>DCF Output</vt:lpstr>
      <vt:lpstr>Calculations &gt;&gt;</vt:lpstr>
      <vt:lpstr>Assumptions</vt:lpstr>
      <vt:lpstr>Inputs</vt:lpstr>
      <vt:lpstr>NWC</vt:lpstr>
      <vt:lpstr>EV Walk-Through</vt:lpstr>
      <vt:lpstr>Beta</vt:lpstr>
      <vt:lpstr>WACC</vt:lpstr>
      <vt:lpstr>Shares Outstanding</vt:lpstr>
      <vt:lpstr>Cost of Debt</vt:lpstr>
      <vt:lpstr>Financial Statements Data &gt;&gt;</vt:lpstr>
      <vt:lpstr>Income Statement</vt:lpstr>
      <vt:lpstr>Balance Sheet</vt:lpstr>
      <vt:lpstr>Cash Flow</vt:lpstr>
      <vt:lpstr>Trading Multiples</vt:lpstr>
      <vt:lpstr>Capital Structure Details</vt:lpstr>
      <vt:lpstr>Assumptions!Print_Area</vt:lpstr>
      <vt:lpstr>'Balance Sheet'!Print_Area</vt:lpstr>
      <vt:lpstr>Beta!Print_Area</vt:lpstr>
      <vt:lpstr>'Capital Structure Details'!Print_Area</vt:lpstr>
      <vt:lpstr>'Cash Flow'!Print_Area</vt:lpstr>
      <vt:lpstr>Comps!Print_Area</vt:lpstr>
      <vt:lpstr>'Cost of Debt'!Print_Area</vt:lpstr>
      <vt:lpstr>Cover!Print_Area</vt:lpstr>
      <vt:lpstr>'DCF Output'!Print_Area</vt:lpstr>
      <vt:lpstr>'EV Walk-Through'!Print_Area</vt:lpstr>
      <vt:lpstr>'Income Statement'!Print_Area</vt:lpstr>
      <vt:lpstr>Inputs!Print_Area</vt:lpstr>
      <vt:lpstr>NWC!Print_Area</vt:lpstr>
      <vt:lpstr>'Shares Outstanding'!Print_Area</vt:lpstr>
      <vt:lpstr>'Trading Multiples'!Print_Area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2021-04-09T01:07:59Z</dcterms:created>
  <dcterms:modified xsi:type="dcterms:W3CDTF">2021-04-22T08:10:19Z</dcterms:modified>
</cp:coreProperties>
</file>