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drawings/drawing3.xml" ContentType="application/vnd.openxmlformats-officedocument.drawing+xml"/>
  <Override PartName="/xl/ink/ink21.xml" ContentType="application/inkml+xml"/>
  <Override PartName="/xl/ink/ink22.xml" ContentType="application/inkml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ink/ink23.xml" ContentType="application/inkml+xml"/>
  <Override PartName="/xl/ink/ink24.xml" ContentType="application/inkml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/>
  <xr:revisionPtr revIDLastSave="0" documentId="13_ncr:1_{A4515EAA-AE15-4B6E-92C5-BC46D11E80DA}" xr6:coauthVersionLast="46" xr6:coauthVersionMax="46" xr10:uidLastSave="{00000000-0000-0000-0000-000000000000}"/>
  <bookViews>
    <workbookView xWindow="-98" yWindow="-98" windowWidth="20715" windowHeight="13276" tabRatio="895" activeTab="6" xr2:uid="{00000000-000D-0000-FFFF-FFFF00000000}"/>
  </bookViews>
  <sheets>
    <sheet name="Cover" sheetId="78" r:id="rId1"/>
    <sheet name="Calculations &gt;&gt;" sheetId="79" r:id="rId2"/>
    <sheet name="Inputs" sheetId="80" r:id="rId3"/>
    <sheet name="Comps Inputs" sheetId="81" r:id="rId4"/>
    <sheet name="WACC Comps" sheetId="82" r:id="rId5"/>
    <sheet name="Outputs &gt;&gt;" sheetId="83" r:id="rId6"/>
    <sheet name="Model Output" sheetId="84" r:id="rId7"/>
    <sheet name=" Comps" sheetId="85" r:id="rId8"/>
    <sheet name="WACC" sheetId="86" r:id="rId9"/>
    <sheet name="Valuation Summary" sheetId="35" r:id="rId10"/>
    <sheet name="Raw Data &gt;&gt;" sheetId="87" r:id="rId11"/>
    <sheet name="JBLU Income Statement" sheetId="88" r:id="rId12"/>
    <sheet name="JBLU Balance Sheet" sheetId="90" r:id="rId13"/>
    <sheet name="JBLU Cash Flow" sheetId="92" r:id="rId14"/>
  </sheets>
  <externalReferences>
    <externalReference r:id="rId15"/>
  </externalReferences>
  <definedNames>
    <definedName name="__FDS_HYPERLINK_TOGGLE_STATE__" hidden="1">"ON"</definedName>
    <definedName name="__FDS_UNIQUE_RANGE_ID_GENERATOR_COUNTER" hidden="1">13</definedName>
    <definedName name="_10__FDSAUDITLINK__" hidden="1">{"fdsup://directions/FAT Viewer?action=UPDATE&amp;creator=factset&amp;DYN_ARGS=TRUE&amp;DOC_NAME=FAT:FQL_AUDITING_CLIENT_TEMPLATE.FAT&amp;display_string=Audit&amp;VAR:KEY=MNGZABETCD&amp;VAR:QUERY=RkZfRUJJVERBX09QRVIoQU5OLDBZKQ==&amp;WINDOW=FIRST_POPUP&amp;HEIGHT=450&amp;WIDTH=450&amp;START_MAXIMI","ZED=FALSE&amp;VAR:CALENDAR=US&amp;VAR:SYMBOL=331952&amp;VAR:INDEX=0"}</definedName>
    <definedName name="_11__FDSAUDITLINK__" hidden="1">{"fdsup://directions/FAT Viewer?action=UPDATE&amp;creator=factset&amp;DYN_ARGS=TRUE&amp;DOC_NAME=FAT:FQL_AUDITING_CLIENT_TEMPLATE.FAT&amp;display_string=Audit&amp;VAR:KEY=TUNETORCBC&amp;VAR:QUERY=RkZfRUJJVERBX09QRVIoQU5OLDBZKQ==&amp;WINDOW=FIRST_POPUP&amp;HEIGHT=450&amp;WIDTH=450&amp;START_MAXIMI","ZED=FALSE&amp;VAR:CALENDAR=US&amp;VAR:SYMBOL=54866110&amp;VAR:INDEX=0"}</definedName>
    <definedName name="_12__FDSAUDITLINK__" hidden="1">{"fdsup://directions/FAT Viewer?action=UPDATE&amp;creator=factset&amp;DYN_ARGS=TRUE&amp;DOC_NAME=FAT:FQL_AUDITING_CLIENT_TEMPLATE.FAT&amp;display_string=Audit&amp;VAR:KEY=HEXWNWXALU&amp;VAR:QUERY=RkZfRUJJVERBX09QRVIoQU5OLDBZKQ==&amp;WINDOW=FIRST_POPUP&amp;HEIGHT=450&amp;WIDTH=450&amp;START_MAXIMI","ZED=FALSE&amp;VAR:CALENDAR=US&amp;VAR:SYMBOL=43707610&amp;VAR:INDEX=0"}</definedName>
    <definedName name="_bdm.11CDA39B209F47F3A5FA0C7E16A4C422.edm" hidden="1">#REF!</definedName>
    <definedName name="_bdm.1C616A64763E4AC593EEC7FD4BD37202.edm" hidden="1">#REF!</definedName>
    <definedName name="_bdm.28FE2206B1204195BCA58A5EB206D558.edm" hidden="1">#REF!</definedName>
    <definedName name="_bdm.39DB517BB14341309DB6B4B6B5770ADA.edm" hidden="1">#REF!</definedName>
    <definedName name="_bdm.4DF7AEEE3EB34521B3F52E2E555FD414.edm" hidden="1">#REF!</definedName>
    <definedName name="_bdm.5C43047BED58493FBFFF76F7DE4F7437.edm" hidden="1">#REF!</definedName>
    <definedName name="_bdm.6B86276AC80F4D1E84F989BB2301FFE6.edm" hidden="1">#REF!</definedName>
    <definedName name="_bdm.6FC09D8738AB445EBEDA56E8A921B9C5.edm" hidden="1">#REF!</definedName>
    <definedName name="_bdm.7FBBF664137740ABBF36FFB0875F8FA3.edm" hidden="1">#REF!</definedName>
    <definedName name="_bdm.82AF3043AEB14B1F9AA64CBFFD57D636.edm" hidden="1">#REF!</definedName>
    <definedName name="_bdm.B627D969EFE941888EEDB6429B7393D1.edm" hidden="1">#REF!</definedName>
    <definedName name="_bdm.DF83F1CBCE2949C597136D8172B2A82E.edm" hidden="1">#REF!</definedName>
    <definedName name="_bdm.EA65F90B23AA424FA4C3AC1D2234059D.edm" hidden="1">#REF!</definedName>
    <definedName name="_bdm.F6F324487B31418FAFD68E91FE7E3464.edm" hidden="1">#REF!</definedName>
    <definedName name="Data">'[1]Horizontal Summary'!$E$10:$BR$43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>110000</definedName>
    <definedName name="IQ_CHANGE_AP_BR" hidden="1">"c135"</definedName>
    <definedName name="IQ_CHANGE_AR_BR" hidden="1">"c142"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>5000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>15000</definedName>
    <definedName name="IQ_MTD" hidden="1">800000</definedName>
    <definedName name="IQ_NAMES_REVISION_DATE_" localSheetId="9" hidden="1">43787.1190162037</definedName>
    <definedName name="IQ_NAMES_REVISION_DATE_" hidden="1">43571.6777430556</definedName>
    <definedName name="IQ_NAV_ACT_OR_EST" hidden="1">"c2225"</definedName>
    <definedName name="IQ_NET_DEBT_ISSUED_BR" hidden="1">"c753"</definedName>
    <definedName name="IQ_NET_INT_INC_BR" hidden="1">"c765"</definedName>
    <definedName name="IQ_NTM">6000</definedName>
    <definedName name="IQ_OG_TOTAL_OIL_PRODUCTON" hidden="1">"c2059"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>50000</definedName>
    <definedName name="IQ_YTD">3000</definedName>
    <definedName name="IQ_YTDMONTH" hidden="1">130000</definedName>
    <definedName name="Lease">[1]xyz!$M$204</definedName>
    <definedName name="Method">[1]xyz!$Q$204</definedName>
    <definedName name="Methods">#REF!</definedName>
    <definedName name="_xlnm.Print_Area" localSheetId="7">' Comps'!$B$3:$K$19,' Comps'!$D$22:$F$35,' Comps'!$I$22:$M$35,' Comps'!$D$37:$F$49,' Comps'!$I$37:$M$49,' Comps'!$Q$22:$S$29,' Comps'!$W$22:$Y$29,' Comps'!$Q$32:$S$39,' Comps'!$W$32:$Y$39</definedName>
    <definedName name="_xlnm.Print_Area" localSheetId="3">'Comps Inputs'!$B$2:$ID$14</definedName>
    <definedName name="_xlnm.Print_Area" localSheetId="0">Cover!$B$2:$F$10</definedName>
    <definedName name="_xlnm.Print_Area" localSheetId="2">Inputs!$B$2:$K$31,Inputs!$N$24:$O$29,Inputs!$E$35:$K$36,Inputs!$B$38:$J$78</definedName>
    <definedName name="_xlnm.Print_Area" localSheetId="12">'JBLU Balance Sheet'!$B$2:$F$50</definedName>
    <definedName name="_xlnm.Print_Area" localSheetId="13">'JBLU Cash Flow'!$B$2:$F$8</definedName>
    <definedName name="_xlnm.Print_Area" localSheetId="11">'JBLU Income Statement'!$B$2:$F$30</definedName>
    <definedName name="_xlnm.Print_Area" localSheetId="6">'Model Output'!$B$2:$I$23,'Model Output'!$B$26:$I$36,'Model Output'!$J$37:$K$51,'Model Output'!$J$54:$K$56,'Model Output'!$J$59:$K$62,'Model Output'!$M$37:$W$48</definedName>
    <definedName name="_xlnm.Print_Area" localSheetId="9">'Valuation Summary'!$B$2:$H$35</definedName>
    <definedName name="_xlnm.Print_Area" localSheetId="8">WACC!$H$2:$I$7,WACC!$B$17:$I$25,WACC!$B$2:$C$14,WACC!$E$2:$F$6</definedName>
    <definedName name="_xlnm.Print_Area" localSheetId="4">'WACC Comps'!$B$2:$K$11</definedName>
    <definedName name="_xlnm.Print_Titles" localSheetId="3">'Comps Inputs'!#REF!</definedName>
    <definedName name="_xlnm.Print_Titles" localSheetId="12">'JBLU Balance Sheet'!$1:$3</definedName>
    <definedName name="_xlnm.Print_Titles" localSheetId="13">'JBLU Cash Flow'!$1:$3</definedName>
    <definedName name="_xlnm.Print_Titles" localSheetId="11">'JBLU Income Statement'!$2:$4</definedName>
    <definedName name="_xlnm.Print_Titles" localSheetId="4">'WACC Comps'!#REF!</definedName>
    <definedName name="s">#REF!</definedName>
    <definedName name="solver_adj" localSheetId="6" hidden="1">'Model Output'!$K$38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'Model Output'!$K$56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0.36</definedName>
    <definedName name="solver_ver" localSheetId="6" hidden="1">3</definedName>
  </definedNames>
  <calcPr calcId="191029" iterateDelta="9.999999999999445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7" i="80" l="1"/>
  <c r="C36" i="84"/>
  <c r="E35" i="84"/>
  <c r="F35" i="84"/>
  <c r="G35" i="84"/>
  <c r="H35" i="84"/>
  <c r="I35" i="84"/>
  <c r="D34" i="84"/>
  <c r="E34" i="84"/>
  <c r="F34" i="84"/>
  <c r="G34" i="84"/>
  <c r="H34" i="84"/>
  <c r="I34" i="84"/>
  <c r="E33" i="84"/>
  <c r="F33" i="84"/>
  <c r="G33" i="84"/>
  <c r="H33" i="84"/>
  <c r="I33" i="84"/>
  <c r="E31" i="84"/>
  <c r="F31" i="84"/>
  <c r="G31" i="84"/>
  <c r="H31" i="84"/>
  <c r="I31" i="84"/>
  <c r="E30" i="84"/>
  <c r="F30" i="84"/>
  <c r="G30" i="84"/>
  <c r="H30" i="84"/>
  <c r="I30" i="84"/>
  <c r="K28" i="80"/>
  <c r="J28" i="80"/>
  <c r="I28" i="80"/>
  <c r="H28" i="80"/>
  <c r="G28" i="80"/>
  <c r="K45" i="84"/>
  <c r="C10" i="86" l="1"/>
  <c r="K39" i="84"/>
  <c r="D20" i="80"/>
  <c r="E20" i="80"/>
  <c r="C18" i="84" s="1"/>
  <c r="C20" i="80"/>
  <c r="F11" i="80"/>
  <c r="E11" i="80"/>
  <c r="D11" i="80"/>
  <c r="C11" i="80"/>
  <c r="D14" i="80"/>
  <c r="E14" i="80"/>
  <c r="F14" i="80"/>
  <c r="C14" i="80"/>
  <c r="C8" i="88"/>
  <c r="C4" i="80" s="1"/>
  <c r="Z7" i="81"/>
  <c r="Z8" i="81"/>
  <c r="Z9" i="81"/>
  <c r="Z10" i="81"/>
  <c r="Z11" i="81"/>
  <c r="Z12" i="81"/>
  <c r="Z6" i="81"/>
  <c r="Y7" i="81"/>
  <c r="Y8" i="81"/>
  <c r="Y9" i="81"/>
  <c r="Y10" i="81"/>
  <c r="Y11" i="81"/>
  <c r="Y12" i="81"/>
  <c r="Y14" i="81"/>
  <c r="Y6" i="81"/>
  <c r="X14" i="81"/>
  <c r="X7" i="81"/>
  <c r="X8" i="81"/>
  <c r="X9" i="81"/>
  <c r="X10" i="81"/>
  <c r="X11" i="81"/>
  <c r="X12" i="81"/>
  <c r="X6" i="81"/>
  <c r="W14" i="81"/>
  <c r="W7" i="81"/>
  <c r="W8" i="81"/>
  <c r="W9" i="81"/>
  <c r="W10" i="81"/>
  <c r="W11" i="81"/>
  <c r="W12" i="81"/>
  <c r="W6" i="81"/>
  <c r="C21" i="80" l="1"/>
  <c r="E66" i="80"/>
  <c r="D66" i="80"/>
  <c r="C66" i="80"/>
  <c r="F9" i="80" l="1"/>
  <c r="E9" i="80"/>
  <c r="D9" i="80"/>
  <c r="C9" i="80"/>
  <c r="F6" i="80"/>
  <c r="D9" i="84" s="1"/>
  <c r="E6" i="80"/>
  <c r="C9" i="84" s="1"/>
  <c r="D6" i="80"/>
  <c r="C6" i="80"/>
  <c r="C8" i="80" s="1"/>
  <c r="F32" i="90"/>
  <c r="E32" i="90"/>
  <c r="D32" i="90"/>
  <c r="F17" i="90"/>
  <c r="F23" i="90" s="1"/>
  <c r="E17" i="90"/>
  <c r="E23" i="90" s="1"/>
  <c r="D17" i="90"/>
  <c r="D23" i="90" s="1"/>
  <c r="C20" i="90"/>
  <c r="D8" i="88"/>
  <c r="E8" i="88"/>
  <c r="F8" i="88"/>
  <c r="J12" i="85"/>
  <c r="J11" i="85"/>
  <c r="J10" i="85"/>
  <c r="J9" i="85"/>
  <c r="J8" i="85"/>
  <c r="J7" i="85"/>
  <c r="I12" i="85"/>
  <c r="I11" i="85"/>
  <c r="I10" i="85"/>
  <c r="I9" i="85"/>
  <c r="I8" i="85"/>
  <c r="I7" i="85"/>
  <c r="H12" i="85"/>
  <c r="H11" i="85"/>
  <c r="H10" i="85"/>
  <c r="H9" i="85"/>
  <c r="H8" i="85"/>
  <c r="H7" i="85"/>
  <c r="H6" i="85"/>
  <c r="D9" i="85"/>
  <c r="D7" i="85"/>
  <c r="C12" i="85"/>
  <c r="C11" i="85"/>
  <c r="C10" i="85"/>
  <c r="C9" i="85"/>
  <c r="C7" i="82" s="1"/>
  <c r="C8" i="85"/>
  <c r="C7" i="85"/>
  <c r="L11" i="81"/>
  <c r="D11" i="85" s="1"/>
  <c r="L8" i="81"/>
  <c r="D8" i="85" s="1"/>
  <c r="L7" i="81"/>
  <c r="L12" i="81"/>
  <c r="D12" i="85" s="1"/>
  <c r="L9" i="81"/>
  <c r="C6" i="85"/>
  <c r="C4" i="82" s="1"/>
  <c r="B4" i="82"/>
  <c r="F34" i="85"/>
  <c r="F48" i="85" s="1"/>
  <c r="C12" i="84" l="1"/>
  <c r="D12" i="84"/>
  <c r="V7" i="81"/>
  <c r="G7" i="85" s="1"/>
  <c r="T7" i="81"/>
  <c r="F7" i="85" s="1"/>
  <c r="U7" i="81"/>
  <c r="U8" i="81"/>
  <c r="T8" i="81"/>
  <c r="F8" i="85" s="1"/>
  <c r="V8" i="81"/>
  <c r="G8" i="85" s="1"/>
  <c r="T11" i="81"/>
  <c r="F11" i="85" s="1"/>
  <c r="U11" i="81"/>
  <c r="V11" i="81"/>
  <c r="G11" i="85" s="1"/>
  <c r="V9" i="81"/>
  <c r="G9" i="85" s="1"/>
  <c r="U9" i="81"/>
  <c r="T9" i="81"/>
  <c r="F9" i="85" s="1"/>
  <c r="T12" i="81"/>
  <c r="F12" i="85" s="1"/>
  <c r="U12" i="81"/>
  <c r="V12" i="81"/>
  <c r="G12" i="85" s="1"/>
  <c r="M34" i="85"/>
  <c r="K15" i="85"/>
  <c r="K16" i="85"/>
  <c r="K17" i="85"/>
  <c r="S36" i="85" l="1"/>
  <c r="Y36" i="85"/>
  <c r="Y26" i="85"/>
  <c r="F18" i="86"/>
  <c r="E73" i="80"/>
  <c r="D73" i="80"/>
  <c r="E71" i="80" s="1"/>
  <c r="C73" i="80"/>
  <c r="D71" i="80" s="1"/>
  <c r="C58" i="80"/>
  <c r="D56" i="80" s="1"/>
  <c r="E51" i="80"/>
  <c r="D51" i="80"/>
  <c r="E49" i="80" s="1"/>
  <c r="C51" i="80"/>
  <c r="D49" i="80" s="1"/>
  <c r="C43" i="80"/>
  <c r="F5" i="86"/>
  <c r="F25" i="86"/>
  <c r="C77" i="80" l="1"/>
  <c r="K14" i="85"/>
  <c r="F24" i="86"/>
  <c r="J4" i="82"/>
  <c r="K4" i="82" s="1"/>
  <c r="G18" i="86" s="1"/>
  <c r="H18" i="86" s="1"/>
  <c r="B5" i="82"/>
  <c r="B6" i="82"/>
  <c r="B7" i="82"/>
  <c r="B8" i="82"/>
  <c r="B9" i="82"/>
  <c r="B10" i="82"/>
  <c r="B19" i="85"/>
  <c r="C10" i="82"/>
  <c r="C9" i="82"/>
  <c r="C8" i="82"/>
  <c r="C6" i="82"/>
  <c r="C5" i="82"/>
  <c r="F23" i="86"/>
  <c r="E72" i="80" l="1"/>
  <c r="F71" i="80"/>
  <c r="J5" i="82"/>
  <c r="K5" i="82" s="1"/>
  <c r="G19" i="86" s="1"/>
  <c r="H19" i="86" s="1"/>
  <c r="C22" i="80" l="1"/>
  <c r="F16" i="80"/>
  <c r="D15" i="84" s="1"/>
  <c r="C16" i="80"/>
  <c r="C9" i="90" l="1"/>
  <c r="H3" i="35" l="1"/>
  <c r="D41" i="80" l="1"/>
  <c r="E41" i="80"/>
  <c r="E43" i="80"/>
  <c r="C10" i="90"/>
  <c r="C11" i="90"/>
  <c r="C14" i="90"/>
  <c r="C17" i="90"/>
  <c r="C18" i="90"/>
  <c r="C19" i="90"/>
  <c r="C23" i="90"/>
  <c r="C26" i="90"/>
  <c r="C27" i="90"/>
  <c r="D64" i="80"/>
  <c r="E64" i="80"/>
  <c r="C32" i="90"/>
  <c r="C35" i="90"/>
  <c r="C41" i="90"/>
  <c r="C49" i="90"/>
  <c r="C50" i="90"/>
  <c r="D4" i="80"/>
  <c r="C60" i="80"/>
  <c r="E53" i="80"/>
  <c r="D16" i="80"/>
  <c r="F4" i="86"/>
  <c r="C5" i="86"/>
  <c r="F19" i="86"/>
  <c r="I19" i="86" s="1"/>
  <c r="F20" i="86"/>
  <c r="F21" i="86"/>
  <c r="F22" i="86"/>
  <c r="C5" i="85"/>
  <c r="C19" i="85"/>
  <c r="C11" i="82" s="1"/>
  <c r="S25" i="85"/>
  <c r="F31" i="85"/>
  <c r="F45" i="85" s="1"/>
  <c r="M31" i="85" s="1"/>
  <c r="M45" i="85" s="1"/>
  <c r="C28" i="84"/>
  <c r="D28" i="84" s="1"/>
  <c r="E28" i="84" s="1"/>
  <c r="F28" i="84" s="1"/>
  <c r="G28" i="84" s="1"/>
  <c r="H28" i="84" s="1"/>
  <c r="I28" i="84" s="1"/>
  <c r="N39" i="84"/>
  <c r="J6" i="82"/>
  <c r="K6" i="82" s="1"/>
  <c r="G20" i="86" s="1"/>
  <c r="H20" i="86" s="1"/>
  <c r="J7" i="82"/>
  <c r="K7" i="82" s="1"/>
  <c r="G21" i="86" s="1"/>
  <c r="H21" i="86" s="1"/>
  <c r="J8" i="82"/>
  <c r="K8" i="82" s="1"/>
  <c r="G22" i="86" s="1"/>
  <c r="H22" i="86" s="1"/>
  <c r="J9" i="82"/>
  <c r="K9" i="82" s="1"/>
  <c r="G23" i="86" s="1"/>
  <c r="H23" i="86" s="1"/>
  <c r="I23" i="86" s="1"/>
  <c r="J10" i="82"/>
  <c r="K10" i="82" s="1"/>
  <c r="G24" i="86" s="1"/>
  <c r="H24" i="86" s="1"/>
  <c r="I24" i="86" s="1"/>
  <c r="J11" i="82"/>
  <c r="K11" i="82" s="1"/>
  <c r="G25" i="86" s="1"/>
  <c r="H25" i="86" s="1"/>
  <c r="L6" i="81"/>
  <c r="I6" i="85"/>
  <c r="L10" i="81"/>
  <c r="L14" i="81"/>
  <c r="H19" i="85"/>
  <c r="I19" i="85"/>
  <c r="J19" i="85"/>
  <c r="D2" i="80"/>
  <c r="F3" i="80"/>
  <c r="G3" i="80" s="1"/>
  <c r="H3" i="80" s="1"/>
  <c r="I3" i="80" s="1"/>
  <c r="E4" i="80"/>
  <c r="C32" i="84" s="1"/>
  <c r="F4" i="80"/>
  <c r="D32" i="84" s="1"/>
  <c r="E16" i="80"/>
  <c r="C15" i="84" s="1"/>
  <c r="D22" i="80"/>
  <c r="E22" i="80"/>
  <c r="C19" i="84" s="1"/>
  <c r="F22" i="80"/>
  <c r="D19" i="84" s="1"/>
  <c r="F46" i="80"/>
  <c r="G46" i="80"/>
  <c r="H46" i="80"/>
  <c r="I46" i="80"/>
  <c r="J46" i="80"/>
  <c r="D58" i="80"/>
  <c r="E56" i="80" s="1"/>
  <c r="F8" i="80" l="1"/>
  <c r="D10" i="84" s="1"/>
  <c r="D7" i="84"/>
  <c r="F20" i="80"/>
  <c r="D18" i="84" s="1"/>
  <c r="D75" i="80"/>
  <c r="C7" i="84"/>
  <c r="I22" i="86"/>
  <c r="D19" i="85"/>
  <c r="S34" i="85" s="1"/>
  <c r="T14" i="81"/>
  <c r="F19" i="85" s="1"/>
  <c r="U10" i="81"/>
  <c r="V10" i="81"/>
  <c r="G10" i="85" s="1"/>
  <c r="T10" i="81"/>
  <c r="F10" i="85" s="1"/>
  <c r="D10" i="85"/>
  <c r="D5" i="85"/>
  <c r="U6" i="81"/>
  <c r="T6" i="81"/>
  <c r="V6" i="81"/>
  <c r="E2" i="80"/>
  <c r="D39" i="80" s="1"/>
  <c r="C39" i="80"/>
  <c r="E45" i="80"/>
  <c r="E46" i="80" s="1"/>
  <c r="C45" i="80"/>
  <c r="C46" i="80" s="1"/>
  <c r="C68" i="80"/>
  <c r="D10" i="80"/>
  <c r="I20" i="86"/>
  <c r="I25" i="86"/>
  <c r="I5" i="86" s="1"/>
  <c r="I3" i="86"/>
  <c r="Y35" i="85"/>
  <c r="S35" i="85"/>
  <c r="Y25" i="85"/>
  <c r="I21" i="86"/>
  <c r="G4" i="80"/>
  <c r="D5" i="80"/>
  <c r="V14" i="81"/>
  <c r="G19" i="85" s="1"/>
  <c r="U14" i="81"/>
  <c r="H15" i="85"/>
  <c r="F6" i="85"/>
  <c r="F14" i="85" s="1"/>
  <c r="C12" i="86"/>
  <c r="C13" i="86"/>
  <c r="D65" i="80"/>
  <c r="D43" i="80"/>
  <c r="D77" i="80" s="1"/>
  <c r="D78" i="80" s="1"/>
  <c r="F12" i="80"/>
  <c r="D60" i="80"/>
  <c r="F10" i="80"/>
  <c r="E23" i="80"/>
  <c r="C35" i="84" s="1"/>
  <c r="E10" i="80"/>
  <c r="E12" i="80"/>
  <c r="E21" i="80"/>
  <c r="C34" i="84" s="1"/>
  <c r="D21" i="80"/>
  <c r="D23" i="80"/>
  <c r="D12" i="80"/>
  <c r="C12" i="80"/>
  <c r="C23" i="80"/>
  <c r="C10" i="80"/>
  <c r="D53" i="80"/>
  <c r="Y38" i="85"/>
  <c r="S38" i="85"/>
  <c r="M48" i="85"/>
  <c r="Y28" i="85"/>
  <c r="S28" i="85"/>
  <c r="F7" i="80"/>
  <c r="D31" i="84" s="1"/>
  <c r="D7" i="80"/>
  <c r="D8" i="80"/>
  <c r="D13" i="80" s="1"/>
  <c r="D15" i="80" s="1"/>
  <c r="E65" i="80"/>
  <c r="F64" i="80"/>
  <c r="E68" i="80"/>
  <c r="E42" i="80"/>
  <c r="F41" i="80"/>
  <c r="E75" i="80"/>
  <c r="D72" i="80"/>
  <c r="D68" i="80"/>
  <c r="D50" i="80"/>
  <c r="F23" i="80"/>
  <c r="D35" i="84" s="1"/>
  <c r="F5" i="80"/>
  <c r="D30" i="84" s="1"/>
  <c r="D57" i="80"/>
  <c r="D61" i="80"/>
  <c r="I17" i="85"/>
  <c r="I18" i="86"/>
  <c r="E5" i="80"/>
  <c r="C30" i="84" s="1"/>
  <c r="E7" i="80"/>
  <c r="C31" i="84" s="1"/>
  <c r="E8" i="80"/>
  <c r="C7" i="80"/>
  <c r="C13" i="80"/>
  <c r="J6" i="85"/>
  <c r="J14" i="85" s="1"/>
  <c r="I14" i="85"/>
  <c r="I16" i="85"/>
  <c r="I15" i="85"/>
  <c r="D6" i="85"/>
  <c r="Y24" i="85" l="1"/>
  <c r="Y34" i="85"/>
  <c r="S24" i="85"/>
  <c r="E7" i="84"/>
  <c r="F73" i="80"/>
  <c r="F2" i="80"/>
  <c r="G2" i="80" s="1"/>
  <c r="E13" i="80"/>
  <c r="C10" i="84"/>
  <c r="E24" i="80"/>
  <c r="C20" i="84"/>
  <c r="G11" i="80"/>
  <c r="I4" i="86"/>
  <c r="I7" i="86" s="1"/>
  <c r="C4" i="86" s="1"/>
  <c r="I6" i="86"/>
  <c r="H4" i="80"/>
  <c r="F7" i="84" s="1"/>
  <c r="G6" i="80"/>
  <c r="E9" i="84" s="1"/>
  <c r="D17" i="80"/>
  <c r="F16" i="85"/>
  <c r="F24" i="85" s="1"/>
  <c r="F17" i="85"/>
  <c r="M24" i="85"/>
  <c r="H16" i="85"/>
  <c r="S27" i="85" s="1"/>
  <c r="S29" i="85" s="1"/>
  <c r="H14" i="85"/>
  <c r="Y27" i="85" s="1"/>
  <c r="Y29" i="85" s="1"/>
  <c r="C4" i="35" s="1"/>
  <c r="H17" i="85"/>
  <c r="S37" i="85" s="1"/>
  <c r="S39" i="85" s="1"/>
  <c r="G6" i="85"/>
  <c r="F15" i="85"/>
  <c r="M39" i="85" s="1"/>
  <c r="D45" i="80"/>
  <c r="D46" i="80" s="1"/>
  <c r="D42" i="80"/>
  <c r="D18" i="80"/>
  <c r="D26" i="80" s="1"/>
  <c r="G22" i="80"/>
  <c r="E19" i="84" s="1"/>
  <c r="G9" i="80"/>
  <c r="G20" i="80"/>
  <c r="E18" i="84" s="1"/>
  <c r="F43" i="80"/>
  <c r="F66" i="80"/>
  <c r="F13" i="80"/>
  <c r="Y37" i="85"/>
  <c r="Y39" i="85" s="1"/>
  <c r="E4" i="35" s="1"/>
  <c r="C15" i="80"/>
  <c r="C17" i="80" s="1"/>
  <c r="C18" i="80"/>
  <c r="C26" i="80" s="1"/>
  <c r="J16" i="85"/>
  <c r="J17" i="85"/>
  <c r="J15" i="85"/>
  <c r="E12" i="84" l="1"/>
  <c r="E32" i="84"/>
  <c r="E39" i="80"/>
  <c r="F15" i="80"/>
  <c r="D13" i="84"/>
  <c r="H20" i="80"/>
  <c r="F18" i="84" s="1"/>
  <c r="H11" i="80"/>
  <c r="F39" i="85"/>
  <c r="S39" i="84"/>
  <c r="H2" i="80"/>
  <c r="F39" i="80"/>
  <c r="F17" i="80"/>
  <c r="D33" i="84" s="1"/>
  <c r="C6" i="86"/>
  <c r="C14" i="86" s="1"/>
  <c r="K62" i="84" s="1"/>
  <c r="G17" i="85"/>
  <c r="G16" i="85"/>
  <c r="G14" i="85"/>
  <c r="G15" i="85"/>
  <c r="G8" i="80"/>
  <c r="E10" i="84" s="1"/>
  <c r="F51" i="80"/>
  <c r="F58" i="80"/>
  <c r="H6" i="80"/>
  <c r="F9" i="84" s="1"/>
  <c r="H9" i="80"/>
  <c r="I4" i="80"/>
  <c r="G7" i="84" s="1"/>
  <c r="G73" i="80"/>
  <c r="G66" i="80"/>
  <c r="G43" i="80"/>
  <c r="H41" i="80" s="1"/>
  <c r="H22" i="80"/>
  <c r="F19" i="84" s="1"/>
  <c r="G41" i="80"/>
  <c r="F42" i="80"/>
  <c r="F18" i="80"/>
  <c r="D16" i="84" s="1"/>
  <c r="G64" i="80"/>
  <c r="F65" i="80"/>
  <c r="G71" i="80"/>
  <c r="F72" i="80"/>
  <c r="F77" i="80" l="1"/>
  <c r="F32" i="84"/>
  <c r="F12" i="84"/>
  <c r="I20" i="80"/>
  <c r="G18" i="84" s="1"/>
  <c r="I11" i="80"/>
  <c r="G49" i="80"/>
  <c r="G36" i="80"/>
  <c r="F78" i="80"/>
  <c r="I2" i="80"/>
  <c r="G39" i="80"/>
  <c r="G13" i="80"/>
  <c r="E13" i="84" s="1"/>
  <c r="G42" i="80"/>
  <c r="N41" i="84"/>
  <c r="N46" i="84"/>
  <c r="N47" i="84"/>
  <c r="N42" i="84"/>
  <c r="N45" i="84"/>
  <c r="N44" i="84"/>
  <c r="N40" i="84"/>
  <c r="N48" i="84"/>
  <c r="N43" i="84"/>
  <c r="G65" i="80"/>
  <c r="G56" i="80"/>
  <c r="H43" i="80"/>
  <c r="I41" i="80" s="1"/>
  <c r="J4" i="80"/>
  <c r="H7" i="84" s="1"/>
  <c r="I9" i="80"/>
  <c r="H8" i="80"/>
  <c r="F10" i="84" s="1"/>
  <c r="G72" i="80"/>
  <c r="H73" i="80"/>
  <c r="H66" i="80"/>
  <c r="I64" i="80" s="1"/>
  <c r="H71" i="80"/>
  <c r="G58" i="80"/>
  <c r="G51" i="80"/>
  <c r="I6" i="80"/>
  <c r="H64" i="80"/>
  <c r="I22" i="80"/>
  <c r="G19" i="84" s="1"/>
  <c r="T39" i="84"/>
  <c r="U39" i="84" s="1"/>
  <c r="V39" i="84" s="1"/>
  <c r="W39" i="84" s="1"/>
  <c r="R39" i="84"/>
  <c r="Q39" i="84" s="1"/>
  <c r="P39" i="84" s="1"/>
  <c r="O39" i="84" s="1"/>
  <c r="G12" i="84" l="1"/>
  <c r="G32" i="84"/>
  <c r="H51" i="80"/>
  <c r="I49" i="80" s="1"/>
  <c r="G9" i="84"/>
  <c r="I43" i="80"/>
  <c r="I42" i="80" s="1"/>
  <c r="J11" i="80"/>
  <c r="G77" i="80"/>
  <c r="G78" i="80" s="1"/>
  <c r="G50" i="80"/>
  <c r="H36" i="80"/>
  <c r="H39" i="80"/>
  <c r="J2" i="80"/>
  <c r="G16" i="80"/>
  <c r="E15" i="84" s="1"/>
  <c r="G15" i="80"/>
  <c r="I66" i="80"/>
  <c r="J64" i="80" s="1"/>
  <c r="H72" i="80"/>
  <c r="J22" i="80"/>
  <c r="H19" i="84" s="1"/>
  <c r="J9" i="80"/>
  <c r="J20" i="80"/>
  <c r="H18" i="84" s="1"/>
  <c r="I71" i="80"/>
  <c r="H65" i="80"/>
  <c r="G57" i="80"/>
  <c r="J6" i="80"/>
  <c r="K4" i="80"/>
  <c r="I73" i="80"/>
  <c r="J71" i="80" s="1"/>
  <c r="H42" i="80"/>
  <c r="I8" i="80"/>
  <c r="H13" i="80"/>
  <c r="H56" i="80"/>
  <c r="G61" i="80"/>
  <c r="H49" i="80"/>
  <c r="H58" i="80"/>
  <c r="J41" i="80" l="1"/>
  <c r="H12" i="84"/>
  <c r="H32" i="84"/>
  <c r="H50" i="80"/>
  <c r="I36" i="80"/>
  <c r="I35" i="80" s="1"/>
  <c r="I7" i="84"/>
  <c r="H24" i="80"/>
  <c r="F20" i="84"/>
  <c r="J8" i="80"/>
  <c r="H10" i="84" s="1"/>
  <c r="H9" i="84"/>
  <c r="H15" i="80"/>
  <c r="F13" i="84"/>
  <c r="I13" i="80"/>
  <c r="G13" i="84" s="1"/>
  <c r="G10" i="84"/>
  <c r="K6" i="80"/>
  <c r="K11" i="80"/>
  <c r="G18" i="80"/>
  <c r="E16" i="84" s="1"/>
  <c r="H77" i="80"/>
  <c r="I65" i="80"/>
  <c r="H35" i="80"/>
  <c r="I39" i="80"/>
  <c r="K2" i="80"/>
  <c r="I58" i="80"/>
  <c r="J56" i="80" s="1"/>
  <c r="K22" i="80"/>
  <c r="I19" i="84" s="1"/>
  <c r="K20" i="80"/>
  <c r="I18" i="84" s="1"/>
  <c r="J73" i="80"/>
  <c r="J66" i="80"/>
  <c r="K9" i="80"/>
  <c r="J43" i="80"/>
  <c r="I72" i="80"/>
  <c r="I51" i="80"/>
  <c r="H16" i="80"/>
  <c r="F15" i="84" s="1"/>
  <c r="H61" i="80"/>
  <c r="I56" i="80"/>
  <c r="H57" i="80"/>
  <c r="J13" i="80" l="1"/>
  <c r="H13" i="84" s="1"/>
  <c r="I32" i="84"/>
  <c r="I12" i="84"/>
  <c r="I16" i="80"/>
  <c r="G15" i="84" s="1"/>
  <c r="I15" i="80"/>
  <c r="K8" i="80"/>
  <c r="I10" i="84" s="1"/>
  <c r="I9" i="84"/>
  <c r="J58" i="80"/>
  <c r="J61" i="80" s="1"/>
  <c r="J51" i="80"/>
  <c r="H78" i="80"/>
  <c r="G20" i="84" s="1"/>
  <c r="J49" i="80"/>
  <c r="I77" i="80"/>
  <c r="J36" i="80"/>
  <c r="J39" i="80"/>
  <c r="J72" i="80"/>
  <c r="I57" i="80"/>
  <c r="J65" i="80"/>
  <c r="J42" i="80"/>
  <c r="I50" i="80"/>
  <c r="I61" i="80"/>
  <c r="H18" i="80"/>
  <c r="F16" i="84" s="1"/>
  <c r="J16" i="80" l="1"/>
  <c r="H15" i="84" s="1"/>
  <c r="J15" i="80"/>
  <c r="K13" i="80"/>
  <c r="K15" i="80" s="1"/>
  <c r="I18" i="80"/>
  <c r="G16" i="84" s="1"/>
  <c r="J50" i="80"/>
  <c r="J77" i="80"/>
  <c r="J78" i="80" s="1"/>
  <c r="I20" i="84" s="1"/>
  <c r="K36" i="80"/>
  <c r="K35" i="80" s="1"/>
  <c r="J57" i="80"/>
  <c r="I24" i="80"/>
  <c r="I25" i="80" s="1"/>
  <c r="G36" i="84" s="1"/>
  <c r="I78" i="80"/>
  <c r="H20" i="84" s="1"/>
  <c r="J35" i="80"/>
  <c r="F27" i="85"/>
  <c r="F29" i="85" s="1"/>
  <c r="H26" i="80"/>
  <c r="J18" i="80" l="1"/>
  <c r="H16" i="84" s="1"/>
  <c r="I13" i="84"/>
  <c r="K40" i="84" s="1"/>
  <c r="K16" i="80"/>
  <c r="I15" i="84" s="1"/>
  <c r="H31" i="80"/>
  <c r="F23" i="84" s="1"/>
  <c r="F21" i="84"/>
  <c r="I26" i="80"/>
  <c r="G21" i="84" s="1"/>
  <c r="M41" i="85"/>
  <c r="M43" i="85" s="1"/>
  <c r="J24" i="80"/>
  <c r="F41" i="85"/>
  <c r="F43" i="85" s="1"/>
  <c r="M27" i="85"/>
  <c r="M29" i="85" s="1"/>
  <c r="K24" i="80"/>
  <c r="K18" i="80" l="1"/>
  <c r="I16" i="84" s="1"/>
  <c r="I31" i="80"/>
  <c r="G23" i="84" s="1"/>
  <c r="J26" i="80"/>
  <c r="H21" i="84" s="1"/>
  <c r="K25" i="80"/>
  <c r="I36" i="84" s="1"/>
  <c r="J25" i="80"/>
  <c r="H36" i="84" s="1"/>
  <c r="K42" i="84"/>
  <c r="K26" i="80" l="1"/>
  <c r="I21" i="84" s="1"/>
  <c r="J31" i="80"/>
  <c r="H23" i="84" s="1"/>
  <c r="G4" i="35"/>
  <c r="G5" i="35" s="1"/>
  <c r="G6" i="35" s="1"/>
  <c r="F4" i="35"/>
  <c r="F5" i="35" s="1"/>
  <c r="F6" i="35" s="1"/>
  <c r="H4" i="35"/>
  <c r="H5" i="35" s="1"/>
  <c r="H6" i="35" s="1"/>
  <c r="K31" i="80" l="1"/>
  <c r="I23" i="84" s="1"/>
  <c r="D4" i="35"/>
  <c r="E50" i="80" l="1"/>
  <c r="F49" i="80" l="1"/>
  <c r="F50" i="80" s="1"/>
  <c r="E58" i="80"/>
  <c r="E57" i="80" s="1"/>
  <c r="E61" i="80" l="1"/>
  <c r="F36" i="80"/>
  <c r="G35" i="80" s="1"/>
  <c r="F56" i="80"/>
  <c r="F57" i="80" s="1"/>
  <c r="E78" i="80" l="1"/>
  <c r="D20" i="84" s="1"/>
  <c r="E20" i="84"/>
  <c r="F61" i="80"/>
  <c r="F24" i="80" l="1"/>
  <c r="G24" i="80"/>
  <c r="G26" i="80" l="1"/>
  <c r="G25" i="80"/>
  <c r="E36" i="84" s="1"/>
  <c r="H25" i="80"/>
  <c r="F36" i="84" s="1"/>
  <c r="F25" i="80"/>
  <c r="D36" i="84" s="1"/>
  <c r="F26" i="80"/>
  <c r="D21" i="84" s="1"/>
  <c r="E15" i="80"/>
  <c r="E17" i="80" s="1"/>
  <c r="C33" i="84" s="1"/>
  <c r="E18" i="80"/>
  <c r="C13" i="84"/>
  <c r="E26" i="80" l="1"/>
  <c r="C21" i="84" s="1"/>
  <c r="C16" i="84"/>
  <c r="E21" i="84"/>
  <c r="G31" i="80"/>
  <c r="E23" i="84" s="1"/>
  <c r="K38" i="84" s="1"/>
  <c r="F25" i="85" l="1"/>
  <c r="S48" i="84"/>
  <c r="S40" i="84"/>
  <c r="O45" i="84"/>
  <c r="T42" i="84"/>
  <c r="V43" i="84"/>
  <c r="R48" i="84"/>
  <c r="R40" i="84"/>
  <c r="V45" i="84"/>
  <c r="U45" i="84"/>
  <c r="P41" i="84"/>
  <c r="V42" i="84"/>
  <c r="T45" i="84"/>
  <c r="P44" i="84"/>
  <c r="P43" i="84"/>
  <c r="U40" i="84"/>
  <c r="Q42" i="84"/>
  <c r="V48" i="84"/>
  <c r="O48" i="84"/>
  <c r="Q48" i="84"/>
  <c r="O46" i="84"/>
  <c r="P42" i="84"/>
  <c r="W43" i="84"/>
  <c r="U48" i="84"/>
  <c r="U43" i="84"/>
  <c r="S47" i="84"/>
  <c r="V40" i="84"/>
  <c r="K43" i="84"/>
  <c r="K48" i="84" s="1"/>
  <c r="K51" i="84" s="1"/>
  <c r="K55" i="84" s="1"/>
  <c r="K56" i="84" s="1"/>
  <c r="O43" i="84"/>
  <c r="T44" i="84"/>
  <c r="T41" i="84"/>
  <c r="U46" i="84"/>
  <c r="R47" i="84"/>
  <c r="Q43" i="84"/>
  <c r="U44" i="84"/>
  <c r="W41" i="84"/>
  <c r="V47" i="84"/>
  <c r="P48" i="84"/>
  <c r="W40" i="84"/>
  <c r="O44" i="84"/>
  <c r="U41" i="84"/>
  <c r="S46" i="84"/>
  <c r="S41" i="84"/>
  <c r="W42" i="84"/>
  <c r="R43" i="84"/>
  <c r="Q40" i="84"/>
  <c r="T46" i="84"/>
  <c r="R41" i="84"/>
  <c r="Q47" i="84"/>
  <c r="O47" i="84"/>
  <c r="S45" i="84"/>
  <c r="O42" i="84"/>
  <c r="T43" i="84"/>
  <c r="T48" i="84"/>
  <c r="V44" i="84"/>
  <c r="S43" i="84"/>
  <c r="Q41" i="84"/>
  <c r="V41" i="84"/>
  <c r="W48" i="84"/>
  <c r="P40" i="84"/>
  <c r="W44" i="84"/>
  <c r="Q46" i="84"/>
  <c r="C5" i="35" s="1"/>
  <c r="C6" i="35" s="1"/>
  <c r="Q45" i="84"/>
  <c r="W47" i="84"/>
  <c r="U47" i="84"/>
  <c r="W45" i="84"/>
  <c r="S44" i="84"/>
  <c r="S42" i="84"/>
  <c r="T47" i="84"/>
  <c r="P47" i="84"/>
  <c r="R44" i="84"/>
  <c r="Q44" i="84"/>
  <c r="R46" i="84"/>
  <c r="P45" i="84"/>
  <c r="T40" i="84"/>
  <c r="W46" i="84"/>
  <c r="U42" i="84"/>
  <c r="E5" i="35" s="1"/>
  <c r="P46" i="84"/>
  <c r="R45" i="84"/>
  <c r="O40" i="84"/>
  <c r="V46" i="84"/>
  <c r="R42" i="84"/>
  <c r="O41" i="84"/>
  <c r="E6" i="35" l="1"/>
  <c r="D6" i="35" s="1"/>
  <c r="D5" i="35"/>
  <c r="F40" i="85"/>
  <c r="F30" i="85"/>
  <c r="F33" i="85" s="1"/>
  <c r="F35" i="85" s="1"/>
  <c r="M25" i="85" l="1"/>
  <c r="F44" i="85"/>
  <c r="F47" i="85" s="1"/>
  <c r="F49" i="85" s="1"/>
  <c r="M40" i="85" l="1"/>
  <c r="M44" i="85" s="1"/>
  <c r="M47" i="85" s="1"/>
  <c r="M49" i="85" s="1"/>
  <c r="E3" i="35" s="1"/>
  <c r="M30" i="85"/>
  <c r="M33" i="85" s="1"/>
  <c r="M35" i="85" s="1"/>
  <c r="C3" i="35" s="1"/>
  <c r="D3" i="3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BDC48BD5-34FA-409A-9820-45A732D861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 Revenue from Product Sales and Rentals, Services. Is not on the orignal income statement.</t>
        </r>
      </text>
    </comment>
  </commentList>
</comments>
</file>

<file path=xl/sharedStrings.xml><?xml version="1.0" encoding="utf-8"?>
<sst xmlns="http://schemas.openxmlformats.org/spreadsheetml/2006/main" count="507" uniqueCount="271">
  <si>
    <t xml:space="preserve">For the Fiscal Period Ending
</t>
  </si>
  <si>
    <t>Total Revenue</t>
  </si>
  <si>
    <t>Gross Profit</t>
  </si>
  <si>
    <t>-</t>
  </si>
  <si>
    <t>EBIT</t>
  </si>
  <si>
    <t xml:space="preserve"> </t>
  </si>
  <si>
    <t>Income Statement</t>
  </si>
  <si>
    <t>Revenue</t>
  </si>
  <si>
    <t xml:space="preserve">Balance Sheet as of:
</t>
  </si>
  <si>
    <t xml:space="preserve">  Total Current Assets</t>
  </si>
  <si>
    <t xml:space="preserve">  Total Current Liabilities</t>
  </si>
  <si>
    <t>Total Debt</t>
  </si>
  <si>
    <t>Data</t>
  </si>
  <si>
    <t>High</t>
  </si>
  <si>
    <t>Low</t>
  </si>
  <si>
    <t>Company</t>
  </si>
  <si>
    <t>Mean</t>
  </si>
  <si>
    <t>Median</t>
  </si>
  <si>
    <t>In Millions</t>
  </si>
  <si>
    <t>From Income Statement</t>
  </si>
  <si>
    <t>Revenue (Growth Rate)</t>
  </si>
  <si>
    <t>COGS (% of Sales)</t>
  </si>
  <si>
    <t>Income Tax Rate</t>
  </si>
  <si>
    <t>CapEx (% of Sales)</t>
  </si>
  <si>
    <t>Free Cash Flow</t>
  </si>
  <si>
    <t>PV of Cash Flow</t>
  </si>
  <si>
    <t>Discounted Cash Flow Analysis</t>
  </si>
  <si>
    <t>Implied Share Price</t>
  </si>
  <si>
    <t>Sum of Free Cash Flow</t>
  </si>
  <si>
    <t>Terminal Value</t>
  </si>
  <si>
    <t>Discounted Terminal Value</t>
  </si>
  <si>
    <t>Implied Enterprise Value</t>
  </si>
  <si>
    <t>Less: Net Debt</t>
  </si>
  <si>
    <t>Less: Noncontrolling Interest</t>
  </si>
  <si>
    <t>Implied Equity Value</t>
  </si>
  <si>
    <t>Diluted Shares Outstanding</t>
  </si>
  <si>
    <t>Current Price</t>
  </si>
  <si>
    <t>Assumptions</t>
  </si>
  <si>
    <t>$ Increase</t>
  </si>
  <si>
    <t>Return</t>
  </si>
  <si>
    <t>Sensitivity Assumptions</t>
  </si>
  <si>
    <t>Exit Multiple Step</t>
  </si>
  <si>
    <t>D&amp;A (% of Sales)</t>
  </si>
  <si>
    <t>WACC Step</t>
  </si>
  <si>
    <t xml:space="preserve">Cap Ex. </t>
  </si>
  <si>
    <t xml:space="preserve">WACC </t>
  </si>
  <si>
    <t>Sensitivity Analysis</t>
  </si>
  <si>
    <t>Exit Multiple</t>
  </si>
  <si>
    <t>Weighted Average Cost of Capital</t>
  </si>
  <si>
    <t>WACC</t>
  </si>
  <si>
    <t>Beta Calculation</t>
  </si>
  <si>
    <t>Risk Free Rate</t>
  </si>
  <si>
    <t>Tax Rate</t>
  </si>
  <si>
    <t>Debt</t>
  </si>
  <si>
    <t>Equity</t>
  </si>
  <si>
    <t>Cost of Equity</t>
  </si>
  <si>
    <t>Market Risk Premium</t>
  </si>
  <si>
    <t>Pre-Tax Cost of Debt</t>
  </si>
  <si>
    <t>After-Tax Cost of Debt</t>
  </si>
  <si>
    <t>% Equity</t>
  </si>
  <si>
    <t>% Debt</t>
  </si>
  <si>
    <t>SG&amp;A(% of Sales)</t>
  </si>
  <si>
    <t>Enterprise Value</t>
  </si>
  <si>
    <t>Debt/Equity</t>
  </si>
  <si>
    <t xml:space="preserve">Average EFF Tax Rate </t>
  </si>
  <si>
    <t xml:space="preserve">Unlevered Beta </t>
  </si>
  <si>
    <t xml:space="preserve">Years 1-5 EFF Tax Rate </t>
  </si>
  <si>
    <t xml:space="preserve">Average Unlevered Beta </t>
  </si>
  <si>
    <t>Operating Expense (% of Sales)</t>
  </si>
  <si>
    <t>x</t>
  </si>
  <si>
    <t>EBT</t>
  </si>
  <si>
    <t>Discount Factor</t>
  </si>
  <si>
    <t>Stub</t>
  </si>
  <si>
    <t>WORKING CAPITAL SCHEDULE</t>
  </si>
  <si>
    <t>Accounts receivable</t>
  </si>
  <si>
    <t>Beginning of period</t>
  </si>
  <si>
    <t>Increases / (decreases)</t>
  </si>
  <si>
    <t>End of period</t>
  </si>
  <si>
    <t>AR as % of sales</t>
  </si>
  <si>
    <t>Days sales outstanding (DSO)</t>
  </si>
  <si>
    <t>Accounts payable</t>
  </si>
  <si>
    <t>AP as % of COGS</t>
  </si>
  <si>
    <t>Days payables outstanding (DPO)</t>
  </si>
  <si>
    <t>Accrued expenses as % of sales</t>
  </si>
  <si>
    <t xml:space="preserve">5 Yr Levered Beta </t>
  </si>
  <si>
    <t xml:space="preserve">Future Fiscal Years </t>
  </si>
  <si>
    <t xml:space="preserve">
               </t>
  </si>
  <si>
    <t>Other Current Assets</t>
  </si>
  <si>
    <t>Cash Flow</t>
  </si>
  <si>
    <t>Inventory as % of COGS</t>
  </si>
  <si>
    <t>Levered Beta</t>
  </si>
  <si>
    <t>Change in WC</t>
  </si>
  <si>
    <t>WC</t>
  </si>
  <si>
    <t>Balance Sheet</t>
  </si>
  <si>
    <t>25th Percentile</t>
  </si>
  <si>
    <t>75th Percentile</t>
  </si>
  <si>
    <t>(-) COGS</t>
  </si>
  <si>
    <t>(-) Income Tax Expense</t>
  </si>
  <si>
    <t>(-) CapEX</t>
  </si>
  <si>
    <t>(-) Selling, General, &amp; Admin Exp.</t>
  </si>
  <si>
    <t xml:space="preserve">  Provision for Income Tax</t>
  </si>
  <si>
    <t>Taxes and Other Expenses</t>
  </si>
  <si>
    <t>Expenses</t>
  </si>
  <si>
    <t xml:space="preserve">  Total Revenues</t>
  </si>
  <si>
    <t>Revenues</t>
  </si>
  <si>
    <t>Millions</t>
  </si>
  <si>
    <t>Units</t>
  </si>
  <si>
    <t xml:space="preserve">  Total Liabilities &amp; Shareholders Equity</t>
  </si>
  <si>
    <t xml:space="preserve">  Total Shareholders Equity</t>
  </si>
  <si>
    <t>Shareholders' Equity</t>
  </si>
  <si>
    <t>Non Current Liabilities</t>
  </si>
  <si>
    <t>Current Liabilities</t>
  </si>
  <si>
    <t xml:space="preserve">  Total Assets</t>
  </si>
  <si>
    <t>Non Current Assets</t>
  </si>
  <si>
    <t>Current Assets</t>
  </si>
  <si>
    <t xml:space="preserve">  Capital Expenditures</t>
  </si>
  <si>
    <t>Investing Activities</t>
  </si>
  <si>
    <t xml:space="preserve">(-) Interest Expense </t>
  </si>
  <si>
    <t>D&amp;A</t>
  </si>
  <si>
    <t>Accrued expenses &amp; Other</t>
  </si>
  <si>
    <t>Difference</t>
  </si>
  <si>
    <t>Valuation Summary</t>
  </si>
  <si>
    <t>52-Week Low</t>
  </si>
  <si>
    <t>52-Week High</t>
  </si>
  <si>
    <t>Current Trading Price</t>
  </si>
  <si>
    <t>Comparable Company Analysis (LTM EV/EBITDA)</t>
  </si>
  <si>
    <t>Discounted Cash Flows Analysis (LTM EV/EBITDA)</t>
  </si>
  <si>
    <t xml:space="preserve">Target Range </t>
  </si>
  <si>
    <t>Fiscal Year Ending December 31,</t>
  </si>
  <si>
    <t>(Inc) / Dec in NWC</t>
  </si>
  <si>
    <t>(+) D&amp;A</t>
  </si>
  <si>
    <t>(-) Op. Ex</t>
  </si>
  <si>
    <t>(-) CapEx</t>
  </si>
  <si>
    <t>Change in OWC. (% of Sales)</t>
  </si>
  <si>
    <t>NOPAT</t>
  </si>
  <si>
    <t>Investor Model</t>
  </si>
  <si>
    <t>Implied Target Price</t>
  </si>
  <si>
    <t>Exit Multiple (EV/EBITDA)</t>
  </si>
  <si>
    <t>Sum of FCF</t>
  </si>
  <si>
    <t>Discounted TV</t>
  </si>
  <si>
    <t>Less Net Debt</t>
  </si>
  <si>
    <t xml:space="preserve">Diluted Shares Outstanding </t>
  </si>
  <si>
    <t>Taxe effect as a % of sales</t>
  </si>
  <si>
    <t>(+) Depreciation and Amortization</t>
  </si>
  <si>
    <t xml:space="preserve">  Net Income (Loss)</t>
  </si>
  <si>
    <t xml:space="preserve">  Earnings before Taxes</t>
  </si>
  <si>
    <t xml:space="preserve">  Interest Expense</t>
  </si>
  <si>
    <t>TEV</t>
  </si>
  <si>
    <t>Net Debt</t>
  </si>
  <si>
    <t>LTM EBITDA</t>
  </si>
  <si>
    <t>LTM</t>
  </si>
  <si>
    <t>(USD)</t>
  </si>
  <si>
    <t xml:space="preserve">Company </t>
  </si>
  <si>
    <t>Debt /</t>
  </si>
  <si>
    <t>P/E</t>
  </si>
  <si>
    <t>TEV/EBITDA</t>
  </si>
  <si>
    <t>Market Cap</t>
  </si>
  <si>
    <t xml:space="preserve">  </t>
  </si>
  <si>
    <t xml:space="preserve">CY2021 Net Income (GAAP) (Capital IQ) </t>
  </si>
  <si>
    <t xml:space="preserve">CY2020 Net Income (GAAP) (Capital IQ) </t>
  </si>
  <si>
    <t xml:space="preserve">LTM Net Income </t>
  </si>
  <si>
    <t xml:space="preserve">CY2021 EBITDA (Capital IQ) </t>
  </si>
  <si>
    <t xml:space="preserve">CY2020 EBITDA (Capital IQ) </t>
  </si>
  <si>
    <t xml:space="preserve">LTM EBITDA </t>
  </si>
  <si>
    <t xml:space="preserve">FQ Equity Method Investments </t>
  </si>
  <si>
    <t xml:space="preserve">FQ Short Term Investments </t>
  </si>
  <si>
    <t xml:space="preserve">FQ Cash And Equivalents </t>
  </si>
  <si>
    <t xml:space="preserve">FQ Total Pref. Equity </t>
  </si>
  <si>
    <t xml:space="preserve">FQ Minority Interest </t>
  </si>
  <si>
    <t xml:space="preserve">FQ Total Short-Term Borrowings </t>
  </si>
  <si>
    <t xml:space="preserve">FQ Curr. Port. of Long Term Debt </t>
  </si>
  <si>
    <t xml:space="preserve">FQ Long-Term Debt </t>
  </si>
  <si>
    <t>Market Capitalization Latest</t>
  </si>
  <si>
    <t>Company Name</t>
  </si>
  <si>
    <t>Debt / EBITDA</t>
  </si>
  <si>
    <t>P / E</t>
  </si>
  <si>
    <t>EV / EBITDA</t>
  </si>
  <si>
    <t>Company Comp Set</t>
  </si>
  <si>
    <t>(-)</t>
  </si>
  <si>
    <t>(+)</t>
  </si>
  <si>
    <t>75th  Percentile</t>
  </si>
  <si>
    <t xml:space="preserve">Income Sheet as of:
</t>
  </si>
  <si>
    <t>(-) Change in Working Cap</t>
  </si>
  <si>
    <t>Fiscal Year Ending Dec 31</t>
  </si>
  <si>
    <t>Comparable Company Analysis (LTM P/E)</t>
  </si>
  <si>
    <t>Equity Value</t>
  </si>
  <si>
    <t>Fully Diluted Shares Outstanding</t>
  </si>
  <si>
    <t>EPS</t>
  </si>
  <si>
    <t>EV/EBITDA</t>
  </si>
  <si>
    <t xml:space="preserve">LTM-5 Effective Tax Rate </t>
  </si>
  <si>
    <t xml:space="preserve">LTM-4 Effective Tax Rate </t>
  </si>
  <si>
    <t xml:space="preserve">LTM-3 Effective Tax Rate </t>
  </si>
  <si>
    <t xml:space="preserve">LTM-2 Effective Tax Rate </t>
  </si>
  <si>
    <t xml:space="preserve">LTM-1 Effective Tax Rate </t>
  </si>
  <si>
    <t xml:space="preserve">LTM Effective Tax Rate </t>
  </si>
  <si>
    <t>Sum</t>
  </si>
  <si>
    <t>Average</t>
  </si>
  <si>
    <t>Q3 2020</t>
  </si>
  <si>
    <t>NWC</t>
  </si>
  <si>
    <t>Taxes Payable</t>
  </si>
  <si>
    <t>NM</t>
  </si>
  <si>
    <t>($ 'mm)</t>
  </si>
  <si>
    <t>(-) Tax Effect</t>
  </si>
  <si>
    <t>Operating Income</t>
  </si>
  <si>
    <t>N/A</t>
  </si>
  <si>
    <t>Quick Ratio</t>
  </si>
  <si>
    <t>Other  (% of Sales)</t>
  </si>
  <si>
    <t>Industry Median  Beta</t>
  </si>
  <si>
    <t>Southwest Airlines Co</t>
  </si>
  <si>
    <t>SkyWest Inc</t>
  </si>
  <si>
    <t>United Airlines Holdings</t>
  </si>
  <si>
    <t>Delta Air Lines</t>
  </si>
  <si>
    <t>Spirit Airlines</t>
  </si>
  <si>
    <t>American Airlines Group Inc</t>
  </si>
  <si>
    <t>JetBlue Airways Corp</t>
  </si>
  <si>
    <t xml:space="preserve">Alaska Airgroup Inc </t>
  </si>
  <si>
    <t>Alaska Air Group Inc</t>
  </si>
  <si>
    <t xml:space="preserve">  Passenger Revenues</t>
  </si>
  <si>
    <t xml:space="preserve">  Operating Revenues, Other</t>
  </si>
  <si>
    <t xml:space="preserve">  Special Items</t>
  </si>
  <si>
    <t xml:space="preserve">  Interest Income and Other</t>
  </si>
  <si>
    <t xml:space="preserve">  Gain on Equity Method Investment</t>
  </si>
  <si>
    <t xml:space="preserve">  Capitalized Interest</t>
  </si>
  <si>
    <t xml:space="preserve">  Depreciation and Amortization</t>
  </si>
  <si>
    <t>Investment Securities</t>
  </si>
  <si>
    <t>Receivables</t>
  </si>
  <si>
    <t>Inventories</t>
  </si>
  <si>
    <t>Prepaid Expenses and Other</t>
  </si>
  <si>
    <t xml:space="preserve">Other Property and Equipment </t>
  </si>
  <si>
    <t>Flight Equipment</t>
  </si>
  <si>
    <t>Accumlated Depreciation</t>
  </si>
  <si>
    <t>Investment Securites</t>
  </si>
  <si>
    <t>Restrcited Cash and Securites</t>
  </si>
  <si>
    <t xml:space="preserve">Other Assets </t>
  </si>
  <si>
    <t>Predelivery Deposits for Flight Equipment</t>
  </si>
  <si>
    <t xml:space="preserve">Assets Constructed for Others </t>
  </si>
  <si>
    <t>JBLU</t>
  </si>
  <si>
    <t>Other Accrued Liabilites</t>
  </si>
  <si>
    <t>Accured Salaries, Wages and Benefits</t>
  </si>
  <si>
    <t>Current Maturities of Long-term Debt and Finance Leases</t>
  </si>
  <si>
    <t>Current Operating Lease Liabilities</t>
  </si>
  <si>
    <t xml:space="preserve">Air Traffic Liability </t>
  </si>
  <si>
    <t xml:space="preserve">Long-term Debt and Finance Lease Obligations </t>
  </si>
  <si>
    <t xml:space="preserve">Long Term Operating Lease Liabilities </t>
  </si>
  <si>
    <t xml:space="preserve">Air Traffic Liability - Loyalty Noncurrent </t>
  </si>
  <si>
    <t>Deferred Taxes and Other Liabilities</t>
  </si>
  <si>
    <t>Other Liabilities</t>
  </si>
  <si>
    <t xml:space="preserve">Construction Obligations </t>
  </si>
  <si>
    <t>Deferred Taxes and Other Liabilities: Other</t>
  </si>
  <si>
    <t>Retained Earnings (Accumulated Deficit)</t>
  </si>
  <si>
    <t>Accumulated Other Comprehensive Income (Loss)</t>
  </si>
  <si>
    <t>(-)COGS</t>
  </si>
  <si>
    <t>(-)Selling,General, and Admin Exp.</t>
  </si>
  <si>
    <t>JBLU Corporation</t>
  </si>
  <si>
    <t>(-) Other</t>
  </si>
  <si>
    <t xml:space="preserve">JBLU Unlevered Beta </t>
  </si>
  <si>
    <t xml:space="preserve">JBLU Re-levered Beta </t>
  </si>
  <si>
    <t>Exit Multiple (TEV/EBITDA)</t>
  </si>
  <si>
    <t xml:space="preserve">  Other Operating Expenses</t>
  </si>
  <si>
    <t xml:space="preserve">  Sales and Marketing</t>
  </si>
  <si>
    <t xml:space="preserve">  Aircraft Rents</t>
  </si>
  <si>
    <t xml:space="preserve">  Landing Fees and Other Rent</t>
  </si>
  <si>
    <t xml:space="preserve">  Aircraft Fuel and Related Taxes</t>
  </si>
  <si>
    <t xml:space="preserve">  Maintenace, Materials and Repairs </t>
  </si>
  <si>
    <t xml:space="preserve">  Salaries, Wages &amp; Benefits</t>
  </si>
  <si>
    <t xml:space="preserve">Operating Lease Assets </t>
  </si>
  <si>
    <t>Accounts Payable</t>
  </si>
  <si>
    <t>Common Stock - Par Value</t>
  </si>
  <si>
    <t>Treasury Stock - Common</t>
  </si>
  <si>
    <t>Additional Paid in Capital</t>
  </si>
  <si>
    <t>Cash and Cash 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</si>
</sst>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_)\ ;_(* 0_)"/>
    <numFmt numFmtId="165" formatCode=";;"/>
    <numFmt numFmtId="166" formatCode="_(* #,##0_);_(* \(#,##0\);_(* &quot;-&quot;??_);_(@_)"/>
    <numFmt numFmtId="167" formatCode="0.0\x"/>
    <numFmt numFmtId="168" formatCode="0.0%"/>
    <numFmt numFmtId="169" formatCode="###.0\x"/>
    <numFmt numFmtId="170" formatCode="#.0\x"/>
    <numFmt numFmtId="171" formatCode="\ _(&quot;$&quot;* #,###_);_(&quot;$&quot;* \(#,##0.00\);_(&quot;$&quot;* &quot;&quot;\-&quot;&quot;??_);_(@_)"/>
    <numFmt numFmtId="172" formatCode="_(&quot;$&quot;* #,##0_);_(&quot;$&quot;* \(#,##0\);_(&quot;$&quot;* &quot;-&quot;??_);_(@_)"/>
    <numFmt numFmtId="173" formatCode="_([$$-409]* #,##0_);_([$$-409]* \(#,##0\);_([$$-409]* &quot;-&quot;??_);_(@_)"/>
    <numFmt numFmtId="174" formatCode="_([$$-409]* #,##0.00_);_([$$-409]* \(#,##0.00\);_([$$-409]* &quot;-&quot;??_);_(@_)"/>
    <numFmt numFmtId="175" formatCode="0.0"/>
    <numFmt numFmtId="176" formatCode="&quot;$&quot;#,##0.00;\(&quot;$&quot;#,##0.00\);&quot;--&quot;"/>
    <numFmt numFmtId="177" formatCode="#,##0;\(#,##0\);&quot;--&quot;"/>
    <numFmt numFmtId="178" formatCode="0\ &quot;days&quot;"/>
    <numFmt numFmtId="179" formatCode="0&quot;E&quot;"/>
    <numFmt numFmtId="180" formatCode="yyyy&quot;A&quot;"/>
    <numFmt numFmtId="181" formatCode="yyyy&quot;E&quot;"/>
    <numFmt numFmtId="182" formatCode="0%;\(0%\)"/>
    <numFmt numFmtId="183" formatCode="_(\ #,##0.0#_);_(\(\ #,##0.0#\)_);_(\ &quot; - &quot;_)"/>
    <numFmt numFmtId="184" formatCode="#,##0.00\x_);\(&quot;$&quot;#,##0.00\x\)"/>
    <numFmt numFmtId="185" formatCode="#,##0.00\x_);\(#,##0.00\x\)"/>
    <numFmt numFmtId="186" formatCode="#,##0.0\x_);\(#,##0.0\x\)"/>
    <numFmt numFmtId="187" formatCode="_(\ #,##0.0_);_(\ \(#,##0.0\)_);_(\ &quot; - &quot;_)"/>
    <numFmt numFmtId="188" formatCode="0.00_);\(0.00\)"/>
    <numFmt numFmtId="189" formatCode="_(#,##0.00%_);_(\(#,##0.00%\)_);_(#,##0.00%_)"/>
    <numFmt numFmtId="190" formatCode="#,##0%_);\(#,##0%\)"/>
    <numFmt numFmtId="191" formatCode="&quot;$&quot;#,##0"/>
  </numFmts>
  <fonts count="9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sz val="10"/>
      <color indexed="8"/>
      <name val="Gill Sans MT"/>
      <family val="2"/>
    </font>
    <font>
      <sz val="10"/>
      <name val="Gill Sans MT"/>
      <family val="2"/>
    </font>
    <font>
      <b/>
      <sz val="10"/>
      <color theme="0"/>
      <name val="Gill Sans MT"/>
      <family val="2"/>
    </font>
    <font>
      <b/>
      <sz val="10"/>
      <name val="Gill Sans MT"/>
      <family val="2"/>
    </font>
    <font>
      <sz val="10"/>
      <color theme="1"/>
      <name val="Gill Sans MT"/>
      <family val="2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sz val="8"/>
      <name val="Gill Sans MT"/>
      <family val="2"/>
    </font>
    <font>
      <sz val="12"/>
      <color theme="0"/>
      <name val="Bookman Old Style"/>
      <family val="1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0"/>
      <color theme="0"/>
      <name val="Bookman Old Style"/>
      <family val="1"/>
    </font>
    <font>
      <i/>
      <sz val="10"/>
      <name val="Bookman Old Style"/>
      <family val="1"/>
    </font>
    <font>
      <sz val="10"/>
      <name val="Bookman Old Style"/>
      <family val="1"/>
    </font>
    <font>
      <b/>
      <sz val="10"/>
      <name val="Bookman Old Style"/>
      <family val="1"/>
    </font>
    <font>
      <sz val="10"/>
      <color theme="0"/>
      <name val="Bookman Old Style"/>
      <family val="1"/>
    </font>
    <font>
      <sz val="8"/>
      <name val="Bookman Old Style"/>
      <family val="1"/>
    </font>
    <font>
      <sz val="10"/>
      <color indexed="8"/>
      <name val="Bookman Old Style"/>
      <family val="1"/>
    </font>
    <font>
      <b/>
      <sz val="10"/>
      <color rgb="FF000000"/>
      <name val="Bookman Old Style"/>
      <family val="1"/>
    </font>
    <font>
      <sz val="10"/>
      <name val="Arial"/>
      <family val="2"/>
    </font>
    <font>
      <sz val="1"/>
      <color indexed="9"/>
      <name val="Symbol"/>
      <family val="1"/>
      <charset val="2"/>
    </font>
    <font>
      <b/>
      <sz val="10"/>
      <name val="Calibri Light"/>
      <family val="2"/>
      <scheme val="major"/>
    </font>
    <font>
      <b/>
      <sz val="10"/>
      <name val="Calibri"/>
      <family val="2"/>
      <scheme val="minor"/>
    </font>
    <font>
      <b/>
      <sz val="10"/>
      <color indexed="9"/>
      <name val="Bookman Old Style"/>
      <family val="1"/>
    </font>
    <font>
      <b/>
      <sz val="10"/>
      <color indexed="8"/>
      <name val="Bookman Old Style"/>
      <family val="1"/>
    </font>
    <font>
      <sz val="10"/>
      <color rgb="FF0000FF"/>
      <name val="Bookman Old Style"/>
      <family val="1"/>
    </font>
    <font>
      <sz val="10"/>
      <color rgb="FF00990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sz val="10"/>
      <color rgb="FF008000"/>
      <name val="Bookman Old Style"/>
      <family val="1"/>
    </font>
    <font>
      <i/>
      <sz val="11"/>
      <color theme="1"/>
      <name val="Bookman Old Style"/>
      <family val="1"/>
    </font>
    <font>
      <u val="singleAccounting"/>
      <sz val="10"/>
      <name val="Bookman Old Style"/>
      <family val="1"/>
    </font>
    <font>
      <b/>
      <i/>
      <sz val="10"/>
      <color theme="0"/>
      <name val="Bookman Old Style"/>
      <family val="1"/>
    </font>
    <font>
      <sz val="8"/>
      <color rgb="FF0000FF"/>
      <name val="Gill Sans MT"/>
      <family val="2"/>
    </font>
    <font>
      <b/>
      <sz val="10"/>
      <color rgb="FFFF0000"/>
      <name val="Bookman Old Style"/>
      <family val="1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b/>
      <sz val="55"/>
      <color theme="1"/>
      <name val="Bookman Old Style"/>
      <family val="1"/>
    </font>
    <font>
      <b/>
      <sz val="48"/>
      <color theme="1"/>
      <name val="Bookman Old Style"/>
      <family val="1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12"/>
      <name val="Bookman Old Style"/>
      <family val="1"/>
    </font>
    <font>
      <sz val="12"/>
      <name val="Gill Sans MT"/>
      <family val="2"/>
    </font>
    <font>
      <b/>
      <sz val="11"/>
      <color theme="0"/>
      <name val="Calibri"/>
      <family val="2"/>
      <scheme val="minor"/>
    </font>
    <font>
      <b/>
      <sz val="8"/>
      <name val="Arial"/>
      <family val="2"/>
    </font>
    <font>
      <i/>
      <sz val="10"/>
      <name val="Calibri Light"/>
      <family val="2"/>
      <scheme val="major"/>
    </font>
    <font>
      <i/>
      <sz val="8"/>
      <name val="Arial"/>
      <family val="2"/>
    </font>
    <font>
      <i/>
      <sz val="10"/>
      <name val="Calibri"/>
      <family val="2"/>
      <scheme val="minor"/>
    </font>
    <font>
      <b/>
      <u val="singleAccounting"/>
      <sz val="10"/>
      <color theme="0"/>
      <name val="Bookman Old Style"/>
      <family val="1"/>
    </font>
    <font>
      <sz val="11"/>
      <color rgb="FF0000FF"/>
      <name val="Calibri"/>
      <family val="2"/>
      <scheme val="minor"/>
    </font>
    <font>
      <u/>
      <sz val="8"/>
      <color theme="1"/>
      <name val="Arial"/>
      <family val="2"/>
    </font>
    <font>
      <sz val="1"/>
      <color indexed="9"/>
      <name val="Symbol"/>
      <family val="1"/>
      <charset val="2"/>
    </font>
    <font>
      <b/>
      <sz val="8"/>
      <color theme="0"/>
      <name val="Bookman Old Style"/>
      <family val="1"/>
    </font>
    <font>
      <b/>
      <sz val="8"/>
      <color indexed="8"/>
      <name val="Bookman Old Style"/>
      <family val="1"/>
    </font>
    <font>
      <sz val="8"/>
      <color indexed="8"/>
      <name val="Bookman Old Style"/>
      <family val="1"/>
    </font>
    <font>
      <i/>
      <sz val="10"/>
      <color theme="0"/>
      <name val="Bookman Old Style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Bookman Old Style"/>
      <family val="1"/>
    </font>
    <font>
      <sz val="10"/>
      <color theme="1"/>
      <name val="Calibri Light"/>
      <family val="2"/>
      <scheme val="major"/>
    </font>
    <font>
      <sz val="8"/>
      <color theme="1"/>
      <name val="Arial"/>
      <family val="2"/>
    </font>
    <font>
      <sz val="8"/>
      <color theme="1"/>
      <name val="Bookman Old Style"/>
      <family val="1"/>
    </font>
    <font>
      <b/>
      <sz val="8"/>
      <color theme="1"/>
      <name val="Bookman Old Style"/>
      <family val="1"/>
    </font>
    <font>
      <b/>
      <sz val="8"/>
      <color rgb="FF000000"/>
      <name val="Bookman Old Style"/>
      <family val="1"/>
    </font>
    <font>
      <b/>
      <sz val="8"/>
      <color indexed="9"/>
      <name val="Bookman Old Style"/>
      <family val="1"/>
    </font>
    <font>
      <sz val="1"/>
      <color indexed="9"/>
      <name val="Bookman Old Style"/>
      <family val="1"/>
    </font>
    <font>
      <u/>
      <sz val="8"/>
      <color theme="1"/>
      <name val="Bookman Old Style"/>
      <family val="1"/>
    </font>
    <font>
      <sz val="8"/>
      <color rgb="FFFFFF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9A9B9F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3876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5">
    <xf numFmtId="0" fontId="0" fillId="0" borderId="0"/>
    <xf numFmtId="0" fontId="8" fillId="0" borderId="0" applyAlignment="0"/>
    <xf numFmtId="0" fontId="9" fillId="0" borderId="0" applyAlignment="0"/>
    <xf numFmtId="0" fontId="10" fillId="2" borderId="0" applyAlignment="0"/>
    <xf numFmtId="0" fontId="11" fillId="3" borderId="0" applyAlignment="0"/>
    <xf numFmtId="0" fontId="12" fillId="4" borderId="0" applyAlignment="0"/>
    <xf numFmtId="0" fontId="13" fillId="5" borderId="0" applyAlignment="0"/>
    <xf numFmtId="0" fontId="14" fillId="0" borderId="0" applyAlignment="0"/>
    <xf numFmtId="0" fontId="15" fillId="0" borderId="0" applyAlignment="0"/>
    <xf numFmtId="0" fontId="16" fillId="0" borderId="0" applyAlignment="0"/>
    <xf numFmtId="0" fontId="17" fillId="0" borderId="0" applyAlignment="0"/>
    <xf numFmtId="0" fontId="18" fillId="0" borderId="0" applyAlignment="0"/>
    <xf numFmtId="0" fontId="17" fillId="0" borderId="0" applyAlignment="0">
      <alignment wrapText="1"/>
    </xf>
    <xf numFmtId="0" fontId="19" fillId="0" borderId="0" applyAlignment="0"/>
    <xf numFmtId="0" fontId="20" fillId="0" borderId="0" applyAlignment="0"/>
    <xf numFmtId="0" fontId="21" fillId="0" borderId="0" applyAlignment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6" fillId="0" borderId="0"/>
    <xf numFmtId="43" fontId="6" fillId="0" borderId="0" applyFont="0" applyFill="0" applyBorder="0" applyAlignment="0" applyProtection="0"/>
    <xf numFmtId="0" fontId="42" fillId="0" borderId="0"/>
    <xf numFmtId="0" fontId="43" fillId="0" borderId="0" applyAlignment="0"/>
    <xf numFmtId="0" fontId="22" fillId="0" borderId="0"/>
    <xf numFmtId="0" fontId="5" fillId="6" borderId="0" applyNumberFormat="0" applyBorder="0" applyAlignment="0" applyProtection="0"/>
    <xf numFmtId="0" fontId="17" fillId="0" borderId="0" applyAlignment="0">
      <alignment wrapText="1"/>
    </xf>
    <xf numFmtId="0" fontId="5" fillId="10" borderId="0" applyNumberFormat="0" applyBorder="0" applyAlignment="0" applyProtection="0"/>
    <xf numFmtId="0" fontId="5" fillId="0" borderId="0"/>
    <xf numFmtId="0" fontId="51" fillId="0" borderId="0" applyNumberFormat="0" applyFill="0" applyBorder="0" applyAlignment="0" applyProtection="0"/>
    <xf numFmtId="0" fontId="4" fillId="0" borderId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3" fillId="0" borderId="0"/>
    <xf numFmtId="0" fontId="74" fillId="0" borderId="0" applyAlignment="0"/>
    <xf numFmtId="0" fontId="19" fillId="0" borderId="0" applyAlignment="0"/>
    <xf numFmtId="0" fontId="2" fillId="0" borderId="0"/>
    <xf numFmtId="0" fontId="2" fillId="0" borderId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0">
    <xf numFmtId="0" fontId="7" fillId="0" borderId="0" xfId="0" applyFont="1"/>
    <xf numFmtId="0" fontId="24" fillId="0" borderId="0" xfId="19" applyFont="1"/>
    <xf numFmtId="0" fontId="28" fillId="0" borderId="0" xfId="19" applyFont="1"/>
    <xf numFmtId="0" fontId="29" fillId="0" borderId="0" xfId="19" applyFont="1"/>
    <xf numFmtId="171" fontId="29" fillId="0" borderId="0" xfId="19" applyNumberFormat="1" applyFont="1"/>
    <xf numFmtId="0" fontId="30" fillId="0" borderId="0" xfId="19" applyFont="1"/>
    <xf numFmtId="0" fontId="29" fillId="8" borderId="0" xfId="19" applyFont="1" applyFill="1"/>
    <xf numFmtId="0" fontId="24" fillId="8" borderId="0" xfId="19" applyFont="1" applyFill="1"/>
    <xf numFmtId="14" fontId="24" fillId="0" borderId="0" xfId="19" applyNumberFormat="1" applyFont="1"/>
    <xf numFmtId="14" fontId="29" fillId="0" borderId="0" xfId="19" applyNumberFormat="1" applyFont="1"/>
    <xf numFmtId="0" fontId="37" fillId="0" borderId="4" xfId="19" applyFont="1" applyBorder="1"/>
    <xf numFmtId="0" fontId="36" fillId="0" borderId="4" xfId="19" applyFont="1" applyBorder="1"/>
    <xf numFmtId="0" fontId="36" fillId="8" borderId="5" xfId="19" applyFont="1" applyFill="1" applyBorder="1"/>
    <xf numFmtId="0" fontId="36" fillId="0" borderId="8" xfId="19" applyFont="1" applyBorder="1"/>
    <xf numFmtId="0" fontId="36" fillId="7" borderId="1" xfId="19" applyFont="1" applyFill="1" applyBorder="1"/>
    <xf numFmtId="0" fontId="37" fillId="8" borderId="2" xfId="19" applyFont="1" applyFill="1" applyBorder="1" applyAlignment="1">
      <alignment horizontal="centerContinuous"/>
    </xf>
    <xf numFmtId="0" fontId="36" fillId="8" borderId="2" xfId="19" applyFont="1" applyFill="1" applyBorder="1" applyAlignment="1">
      <alignment horizontal="centerContinuous"/>
    </xf>
    <xf numFmtId="170" fontId="36" fillId="8" borderId="3" xfId="19" applyNumberFormat="1" applyFont="1" applyFill="1" applyBorder="1"/>
    <xf numFmtId="0" fontId="36" fillId="7" borderId="4" xfId="19" applyFont="1" applyFill="1" applyBorder="1"/>
    <xf numFmtId="168" fontId="36" fillId="8" borderId="0" xfId="18" applyNumberFormat="1" applyFont="1" applyFill="1" applyBorder="1"/>
    <xf numFmtId="0" fontId="37" fillId="7" borderId="4" xfId="19" applyFont="1" applyFill="1" applyBorder="1" applyAlignment="1">
      <alignment horizontal="center"/>
    </xf>
    <xf numFmtId="0" fontId="36" fillId="7" borderId="8" xfId="19" applyFont="1" applyFill="1" applyBorder="1"/>
    <xf numFmtId="168" fontId="36" fillId="8" borderId="9" xfId="18" applyNumberFormat="1" applyFont="1" applyFill="1" applyBorder="1"/>
    <xf numFmtId="173" fontId="36" fillId="8" borderId="5" xfId="19" applyNumberFormat="1" applyFont="1" applyFill="1" applyBorder="1"/>
    <xf numFmtId="174" fontId="36" fillId="8" borderId="5" xfId="19" applyNumberFormat="1" applyFont="1" applyFill="1" applyBorder="1"/>
    <xf numFmtId="0" fontId="36" fillId="0" borderId="1" xfId="19" applyFont="1" applyBorder="1"/>
    <xf numFmtId="174" fontId="36" fillId="8" borderId="3" xfId="19" applyNumberFormat="1" applyFont="1" applyFill="1" applyBorder="1"/>
    <xf numFmtId="0" fontId="36" fillId="0" borderId="0" xfId="19" applyFont="1"/>
    <xf numFmtId="0" fontId="36" fillId="8" borderId="0" xfId="19" applyFont="1" applyFill="1"/>
    <xf numFmtId="0" fontId="39" fillId="0" borderId="0" xfId="19" applyFont="1"/>
    <xf numFmtId="0" fontId="37" fillId="0" borderId="8" xfId="19" applyFont="1" applyBorder="1"/>
    <xf numFmtId="0" fontId="39" fillId="8" borderId="0" xfId="19" applyFont="1" applyFill="1"/>
    <xf numFmtId="2" fontId="39" fillId="8" borderId="0" xfId="19" applyNumberFormat="1" applyFont="1" applyFill="1"/>
    <xf numFmtId="0" fontId="36" fillId="8" borderId="4" xfId="19" applyFont="1" applyFill="1" applyBorder="1"/>
    <xf numFmtId="0" fontId="36" fillId="8" borderId="1" xfId="19" applyFont="1" applyFill="1" applyBorder="1"/>
    <xf numFmtId="0" fontId="7" fillId="0" borderId="0" xfId="19" applyFont="1"/>
    <xf numFmtId="0" fontId="14" fillId="0" borderId="0" xfId="19" applyFont="1" applyAlignment="1">
      <alignment horizontal="center" vertical="center"/>
    </xf>
    <xf numFmtId="0" fontId="7" fillId="0" borderId="0" xfId="19" applyFont="1" applyAlignment="1">
      <alignment vertical="top" wrapText="1"/>
    </xf>
    <xf numFmtId="0" fontId="14" fillId="0" borderId="0" xfId="19" applyFont="1" applyAlignment="1">
      <alignment horizontal="left" vertical="top"/>
    </xf>
    <xf numFmtId="0" fontId="19" fillId="0" borderId="0" xfId="13" applyAlignment="1"/>
    <xf numFmtId="9" fontId="28" fillId="0" borderId="0" xfId="18" applyFont="1" applyFill="1" applyBorder="1"/>
    <xf numFmtId="0" fontId="22" fillId="0" borderId="0" xfId="19"/>
    <xf numFmtId="0" fontId="47" fillId="0" borderId="4" xfId="19" applyFont="1" applyBorder="1" applyAlignment="1">
      <alignment horizontal="left" vertical="top"/>
    </xf>
    <xf numFmtId="0" fontId="40" fillId="0" borderId="4" xfId="19" applyFont="1" applyBorder="1" applyAlignment="1">
      <alignment horizontal="left" vertical="top"/>
    </xf>
    <xf numFmtId="0" fontId="47" fillId="0" borderId="8" xfId="19" applyFont="1" applyBorder="1" applyAlignment="1">
      <alignment horizontal="left" vertical="top"/>
    </xf>
    <xf numFmtId="180" fontId="36" fillId="0" borderId="0" xfId="19" applyNumberFormat="1" applyFont="1" applyBorder="1" applyAlignment="1">
      <alignment horizontal="right"/>
    </xf>
    <xf numFmtId="181" fontId="36" fillId="0" borderId="0" xfId="19" applyNumberFormat="1" applyFont="1" applyBorder="1" applyAlignment="1">
      <alignment horizontal="right"/>
    </xf>
    <xf numFmtId="180" fontId="54" fillId="0" borderId="0" xfId="19" applyNumberFormat="1" applyFont="1" applyBorder="1" applyAlignment="1">
      <alignment horizontal="center"/>
    </xf>
    <xf numFmtId="181" fontId="54" fillId="0" borderId="0" xfId="19" applyNumberFormat="1" applyFont="1" applyBorder="1" applyAlignment="1">
      <alignment horizontal="center"/>
    </xf>
    <xf numFmtId="0" fontId="56" fillId="0" borderId="0" xfId="19" applyFont="1"/>
    <xf numFmtId="0" fontId="51" fillId="0" borderId="0" xfId="29"/>
    <xf numFmtId="0" fontId="36" fillId="0" borderId="4" xfId="19" applyFont="1" applyBorder="1" applyAlignment="1">
      <alignment horizontal="left" indent="1"/>
    </xf>
    <xf numFmtId="0" fontId="26" fillId="0" borderId="0" xfId="19" applyFont="1"/>
    <xf numFmtId="0" fontId="27" fillId="0" borderId="0" xfId="24" applyFont="1" applyAlignment="1">
      <alignment horizontal="right"/>
    </xf>
    <xf numFmtId="9" fontId="44" fillId="0" borderId="1" xfId="18" applyFont="1" applyBorder="1"/>
    <xf numFmtId="9" fontId="44" fillId="0" borderId="8" xfId="18" applyFont="1" applyBorder="1"/>
    <xf numFmtId="170" fontId="36" fillId="8" borderId="5" xfId="19" applyNumberFormat="1" applyFont="1" applyFill="1" applyBorder="1" applyAlignment="1">
      <alignment horizontal="center"/>
    </xf>
    <xf numFmtId="0" fontId="59" fillId="0" borderId="0" xfId="24" applyFont="1"/>
    <xf numFmtId="0" fontId="59" fillId="0" borderId="16" xfId="24" applyFont="1" applyBorder="1"/>
    <xf numFmtId="0" fontId="59" fillId="0" borderId="17" xfId="24" applyFont="1" applyBorder="1"/>
    <xf numFmtId="0" fontId="59" fillId="0" borderId="4" xfId="24" applyFont="1" applyBorder="1"/>
    <xf numFmtId="167" fontId="59" fillId="0" borderId="18" xfId="24" applyNumberFormat="1" applyFont="1" applyBorder="1" applyAlignment="1">
      <alignment horizontal="right"/>
    </xf>
    <xf numFmtId="5" fontId="36" fillId="0" borderId="5" xfId="24" applyNumberFormat="1" applyFont="1" applyBorder="1" applyAlignment="1">
      <alignment horizontal="right"/>
    </xf>
    <xf numFmtId="5" fontId="59" fillId="0" borderId="5" xfId="24" applyNumberFormat="1" applyFont="1" applyBorder="1" applyAlignment="1">
      <alignment horizontal="right"/>
    </xf>
    <xf numFmtId="3" fontId="59" fillId="0" borderId="12" xfId="24" applyNumberFormat="1" applyFont="1" applyBorder="1" applyAlignment="1">
      <alignment horizontal="right"/>
    </xf>
    <xf numFmtId="3" fontId="36" fillId="0" borderId="12" xfId="24" applyNumberFormat="1" applyFont="1" applyBorder="1" applyAlignment="1">
      <alignment horizontal="right"/>
    </xf>
    <xf numFmtId="37" fontId="59" fillId="0" borderId="5" xfId="24" applyNumberFormat="1" applyFont="1" applyBorder="1" applyAlignment="1">
      <alignment horizontal="right"/>
    </xf>
    <xf numFmtId="37" fontId="36" fillId="0" borderId="5" xfId="24" applyNumberFormat="1" applyFont="1" applyBorder="1" applyAlignment="1">
      <alignment horizontal="right"/>
    </xf>
    <xf numFmtId="37" fontId="58" fillId="0" borderId="19" xfId="26" applyNumberFormat="1" applyFont="1" applyBorder="1" applyAlignment="1">
      <alignment horizontal="right"/>
    </xf>
    <xf numFmtId="37" fontId="37" fillId="0" borderId="19" xfId="26" applyNumberFormat="1" applyFont="1" applyBorder="1" applyAlignment="1">
      <alignment horizontal="right"/>
    </xf>
    <xf numFmtId="37" fontId="59" fillId="0" borderId="0" xfId="24" applyNumberFormat="1" applyFont="1" applyAlignment="1">
      <alignment horizontal="right"/>
    </xf>
    <xf numFmtId="0" fontId="22" fillId="0" borderId="4" xfId="19" applyBorder="1" applyAlignment="1">
      <alignment horizontal="left" vertical="center" wrapText="1" indent="1"/>
    </xf>
    <xf numFmtId="176" fontId="49" fillId="0" borderId="0" xfId="19" applyNumberFormat="1" applyFont="1" applyBorder="1" applyAlignment="1">
      <alignment horizontal="right" vertical="center" indent="2"/>
    </xf>
    <xf numFmtId="176" fontId="22" fillId="0" borderId="0" xfId="19" applyNumberFormat="1" applyBorder="1" applyAlignment="1">
      <alignment horizontal="right" vertical="center" indent="2"/>
    </xf>
    <xf numFmtId="176" fontId="22" fillId="0" borderId="5" xfId="19" applyNumberFormat="1" applyBorder="1" applyAlignment="1">
      <alignment horizontal="right" vertical="center" indent="2"/>
    </xf>
    <xf numFmtId="0" fontId="22" fillId="0" borderId="4" xfId="19" applyBorder="1"/>
    <xf numFmtId="177" fontId="22" fillId="0" borderId="0" xfId="19" applyNumberFormat="1" applyBorder="1"/>
    <xf numFmtId="0" fontId="22" fillId="0" borderId="0" xfId="19" applyBorder="1"/>
    <xf numFmtId="0" fontId="22" fillId="0" borderId="5" xfId="19" applyBorder="1"/>
    <xf numFmtId="0" fontId="22" fillId="0" borderId="8" xfId="19" applyBorder="1"/>
    <xf numFmtId="0" fontId="22" fillId="0" borderId="9" xfId="19" applyBorder="1"/>
    <xf numFmtId="0" fontId="22" fillId="0" borderId="10" xfId="19" applyBorder="1"/>
    <xf numFmtId="0" fontId="64" fillId="8" borderId="1" xfId="19" applyFont="1" applyFill="1" applyBorder="1" applyAlignment="1">
      <alignment horizontal="left" vertical="center" indent="1"/>
    </xf>
    <xf numFmtId="0" fontId="64" fillId="8" borderId="4" xfId="19" applyFont="1" applyFill="1" applyBorder="1" applyAlignment="1">
      <alignment horizontal="left" vertical="center" wrapText="1" indent="1"/>
    </xf>
    <xf numFmtId="0" fontId="64" fillId="8" borderId="8" xfId="19" applyFont="1" applyFill="1" applyBorder="1" applyAlignment="1">
      <alignment horizontal="left" vertical="center" wrapText="1" indent="1"/>
    </xf>
    <xf numFmtId="8" fontId="65" fillId="8" borderId="9" xfId="17" applyNumberFormat="1" applyFont="1" applyFill="1" applyBorder="1" applyAlignment="1">
      <alignment horizontal="center" vertical="top" wrapText="1"/>
    </xf>
    <xf numFmtId="0" fontId="7" fillId="0" borderId="0" xfId="19" applyFont="1" applyBorder="1"/>
    <xf numFmtId="0" fontId="67" fillId="0" borderId="0" xfId="19" applyFont="1"/>
    <xf numFmtId="0" fontId="68" fillId="0" borderId="0" xfId="19" applyFont="1"/>
    <xf numFmtId="0" fontId="70" fillId="0" borderId="0" xfId="19" applyFont="1"/>
    <xf numFmtId="0" fontId="36" fillId="8" borderId="0" xfId="19" applyFont="1" applyFill="1" applyBorder="1" applyAlignment="1">
      <alignment horizontal="center"/>
    </xf>
    <xf numFmtId="165" fontId="36" fillId="8" borderId="0" xfId="19" applyNumberFormat="1" applyFont="1" applyFill="1" applyBorder="1" applyAlignment="1">
      <alignment horizontal="center"/>
    </xf>
    <xf numFmtId="5" fontId="58" fillId="11" borderId="0" xfId="19" applyNumberFormat="1" applyFont="1" applyFill="1" applyBorder="1" applyAlignment="1">
      <alignment horizontal="center"/>
    </xf>
    <xf numFmtId="37" fontId="58" fillId="11" borderId="0" xfId="19" applyNumberFormat="1" applyFont="1" applyFill="1" applyBorder="1" applyAlignment="1">
      <alignment horizontal="center"/>
    </xf>
    <xf numFmtId="37" fontId="59" fillId="8" borderId="0" xfId="19" applyNumberFormat="1" applyFont="1" applyFill="1" applyBorder="1" applyAlignment="1">
      <alignment horizontal="center"/>
    </xf>
    <xf numFmtId="0" fontId="17" fillId="0" borderId="0" xfId="19" applyFont="1" applyAlignment="1">
      <alignment vertical="top" wrapText="1"/>
    </xf>
    <xf numFmtId="164" fontId="7" fillId="0" borderId="0" xfId="19" applyNumberFormat="1" applyFont="1"/>
    <xf numFmtId="164" fontId="47" fillId="0" borderId="9" xfId="19" applyNumberFormat="1" applyFont="1" applyBorder="1" applyAlignment="1">
      <alignment horizontal="center" vertical="top" wrapText="1"/>
    </xf>
    <xf numFmtId="175" fontId="59" fillId="0" borderId="18" xfId="24" applyNumberFormat="1" applyFont="1" applyBorder="1" applyAlignment="1">
      <alignment horizontal="right"/>
    </xf>
    <xf numFmtId="0" fontId="19" fillId="13" borderId="0" xfId="13" applyFill="1" applyAlignment="1"/>
    <xf numFmtId="0" fontId="7" fillId="13" borderId="0" xfId="19" applyFont="1" applyFill="1"/>
    <xf numFmtId="0" fontId="77" fillId="0" borderId="0" xfId="19" applyFont="1" applyBorder="1" applyAlignment="1">
      <alignment horizontal="center" vertical="top"/>
    </xf>
    <xf numFmtId="0" fontId="64" fillId="8" borderId="4" xfId="19" applyFont="1" applyFill="1" applyBorder="1" applyAlignment="1">
      <alignment horizontal="left" vertical="center" indent="1"/>
    </xf>
    <xf numFmtId="0" fontId="22" fillId="0" borderId="0" xfId="19" applyAlignment="1">
      <alignment wrapText="1"/>
    </xf>
    <xf numFmtId="14" fontId="63" fillId="0" borderId="0" xfId="19" applyNumberFormat="1" applyFont="1"/>
    <xf numFmtId="0" fontId="62" fillId="0" borderId="0" xfId="19" applyFont="1" applyAlignment="1">
      <alignment horizontal="left"/>
    </xf>
    <xf numFmtId="0" fontId="61" fillId="0" borderId="0" xfId="19" applyFont="1" applyAlignment="1">
      <alignment horizontal="left"/>
    </xf>
    <xf numFmtId="0" fontId="60" fillId="0" borderId="0" xfId="19" applyFont="1" applyAlignment="1">
      <alignment horizontal="left"/>
    </xf>
    <xf numFmtId="0" fontId="29" fillId="0" borderId="30" xfId="19" applyFont="1" applyBorder="1" applyAlignment="1">
      <alignment horizontal="left" indent="1"/>
    </xf>
    <xf numFmtId="0" fontId="29" fillId="0" borderId="35" xfId="19" applyFont="1" applyBorder="1"/>
    <xf numFmtId="190" fontId="53" fillId="0" borderId="0" xfId="18" applyNumberFormat="1" applyFont="1" applyFill="1" applyBorder="1" applyAlignment="1">
      <alignment horizontal="right"/>
    </xf>
    <xf numFmtId="0" fontId="32" fillId="8" borderId="35" xfId="19" applyFont="1" applyFill="1" applyBorder="1"/>
    <xf numFmtId="0" fontId="32" fillId="0" borderId="0" xfId="19" applyFont="1"/>
    <xf numFmtId="6" fontId="32" fillId="0" borderId="0" xfId="19" applyNumberFormat="1" applyFont="1" applyAlignment="1">
      <alignment horizontal="right"/>
    </xf>
    <xf numFmtId="0" fontId="32" fillId="8" borderId="35" xfId="19" applyFont="1" applyFill="1" applyBorder="1" applyAlignment="1">
      <alignment horizontal="left" indent="1"/>
    </xf>
    <xf numFmtId="37" fontId="32" fillId="0" borderId="0" xfId="19" applyNumberFormat="1" applyFont="1"/>
    <xf numFmtId="0" fontId="32" fillId="8" borderId="35" xfId="19" quotePrefix="1" applyFont="1" applyFill="1" applyBorder="1" applyAlignment="1">
      <alignment horizontal="left" indent="1"/>
    </xf>
    <xf numFmtId="0" fontId="32" fillId="11" borderId="0" xfId="19" applyFont="1" applyFill="1"/>
    <xf numFmtId="0" fontId="33" fillId="11" borderId="0" xfId="19" applyFont="1" applyFill="1"/>
    <xf numFmtId="0" fontId="33" fillId="11" borderId="35" xfId="19" applyFont="1" applyFill="1" applyBorder="1"/>
    <xf numFmtId="37" fontId="32" fillId="0" borderId="0" xfId="19" applyNumberFormat="1" applyFont="1" applyAlignment="1">
      <alignment horizontal="right"/>
    </xf>
    <xf numFmtId="175" fontId="32" fillId="0" borderId="0" xfId="19" applyNumberFormat="1" applyFont="1"/>
    <xf numFmtId="178" fontId="32" fillId="0" borderId="0" xfId="19" applyNumberFormat="1" applyFont="1"/>
    <xf numFmtId="175" fontId="32" fillId="0" borderId="0" xfId="19" applyNumberFormat="1" applyFont="1" applyAlignment="1">
      <alignment horizontal="right"/>
    </xf>
    <xf numFmtId="0" fontId="32" fillId="0" borderId="0" xfId="19" applyFont="1" applyAlignment="1">
      <alignment horizontal="right"/>
    </xf>
    <xf numFmtId="6" fontId="32" fillId="0" borderId="0" xfId="19" applyNumberFormat="1" applyFont="1"/>
    <xf numFmtId="0" fontId="32" fillId="11" borderId="17" xfId="19" applyFont="1" applyFill="1" applyBorder="1"/>
    <xf numFmtId="0" fontId="33" fillId="11" borderId="28" xfId="19" applyFont="1" applyFill="1" applyBorder="1"/>
    <xf numFmtId="181" fontId="41" fillId="8" borderId="24" xfId="19" applyNumberFormat="1" applyFont="1" applyFill="1" applyBorder="1" applyAlignment="1">
      <alignment horizontal="center"/>
    </xf>
    <xf numFmtId="180" fontId="41" fillId="8" borderId="24" xfId="19" applyNumberFormat="1" applyFont="1" applyFill="1" applyBorder="1" applyAlignment="1">
      <alignment horizontal="center"/>
    </xf>
    <xf numFmtId="14" fontId="53" fillId="8" borderId="25" xfId="19" applyNumberFormat="1" applyFont="1" applyFill="1" applyBorder="1"/>
    <xf numFmtId="171" fontId="28" fillId="0" borderId="0" xfId="19" applyNumberFormat="1" applyFont="1"/>
    <xf numFmtId="5" fontId="59" fillId="8" borderId="0" xfId="19" applyNumberFormat="1" applyFont="1" applyFill="1" applyAlignment="1">
      <alignment horizontal="center"/>
    </xf>
    <xf numFmtId="37" fontId="36" fillId="8" borderId="0" xfId="19" applyNumberFormat="1" applyFont="1" applyFill="1" applyAlignment="1">
      <alignment horizontal="center"/>
    </xf>
    <xf numFmtId="171" fontId="28" fillId="8" borderId="0" xfId="19" applyNumberFormat="1" applyFont="1" applyFill="1"/>
    <xf numFmtId="171" fontId="45" fillId="8" borderId="0" xfId="19" applyNumberFormat="1" applyFont="1" applyFill="1"/>
    <xf numFmtId="0" fontId="69" fillId="0" borderId="0" xfId="19" applyFont="1"/>
    <xf numFmtId="0" fontId="38" fillId="8" borderId="0" xfId="19" applyFont="1" applyFill="1"/>
    <xf numFmtId="0" fontId="38" fillId="0" borderId="0" xfId="19" applyFont="1"/>
    <xf numFmtId="37" fontId="36" fillId="8" borderId="31" xfId="19" applyNumberFormat="1" applyFont="1" applyFill="1" applyBorder="1" applyAlignment="1">
      <alignment horizontal="center"/>
    </xf>
    <xf numFmtId="37" fontId="36" fillId="8" borderId="15" xfId="19" applyNumberFormat="1" applyFont="1" applyFill="1" applyBorder="1" applyAlignment="1">
      <alignment horizontal="center"/>
    </xf>
    <xf numFmtId="37" fontId="36" fillId="8" borderId="30" xfId="19" applyNumberFormat="1" applyFont="1" applyFill="1" applyBorder="1" applyAlignment="1">
      <alignment horizontal="center"/>
    </xf>
    <xf numFmtId="37" fontId="36" fillId="8" borderId="34" xfId="19" applyNumberFormat="1" applyFont="1" applyFill="1" applyBorder="1" applyAlignment="1">
      <alignment horizontal="center"/>
    </xf>
    <xf numFmtId="37" fontId="36" fillId="8" borderId="35" xfId="19" applyNumberFormat="1" applyFont="1" applyFill="1" applyBorder="1" applyAlignment="1">
      <alignment horizontal="center"/>
    </xf>
    <xf numFmtId="6" fontId="36" fillId="8" borderId="29" xfId="19" applyNumberFormat="1" applyFont="1" applyFill="1" applyBorder="1" applyAlignment="1">
      <alignment horizontal="center"/>
    </xf>
    <xf numFmtId="6" fontId="36" fillId="8" borderId="17" xfId="19" applyNumberFormat="1" applyFont="1" applyFill="1" applyBorder="1" applyAlignment="1">
      <alignment horizontal="center"/>
    </xf>
    <xf numFmtId="6" fontId="36" fillId="8" borderId="28" xfId="19" applyNumberFormat="1" applyFont="1" applyFill="1" applyBorder="1" applyAlignment="1">
      <alignment horizontal="center"/>
    </xf>
    <xf numFmtId="170" fontId="36" fillId="8" borderId="0" xfId="19" applyNumberFormat="1" applyFont="1" applyFill="1" applyAlignment="1">
      <alignment horizontal="center"/>
    </xf>
    <xf numFmtId="165" fontId="36" fillId="8" borderId="0" xfId="19" applyNumberFormat="1" applyFont="1" applyFill="1"/>
    <xf numFmtId="0" fontId="19" fillId="0" borderId="0" xfId="35"/>
    <xf numFmtId="182" fontId="52" fillId="8" borderId="0" xfId="19" applyNumberFormat="1" applyFont="1" applyFill="1"/>
    <xf numFmtId="0" fontId="2" fillId="0" borderId="0" xfId="37"/>
    <xf numFmtId="44" fontId="37" fillId="12" borderId="22" xfId="38" applyNumberFormat="1" applyFont="1" applyFill="1" applyBorder="1" applyAlignment="1">
      <alignment horizontal="right"/>
    </xf>
    <xf numFmtId="0" fontId="34" fillId="12" borderId="21" xfId="38" applyFont="1" applyFill="1" applyBorder="1"/>
    <xf numFmtId="0" fontId="34" fillId="12" borderId="20" xfId="38" applyFont="1" applyFill="1" applyBorder="1"/>
    <xf numFmtId="37" fontId="36" fillId="0" borderId="5" xfId="39" applyNumberFormat="1" applyFont="1" applyFill="1" applyBorder="1" applyAlignment="1">
      <alignment horizontal="right"/>
    </xf>
    <xf numFmtId="0" fontId="59" fillId="0" borderId="0" xfId="39" applyFont="1" applyFill="1" applyBorder="1"/>
    <xf numFmtId="0" fontId="59" fillId="0" borderId="4" xfId="39" applyFont="1" applyFill="1" applyBorder="1"/>
    <xf numFmtId="44" fontId="37" fillId="12" borderId="10" xfId="38" applyNumberFormat="1" applyFont="1" applyFill="1" applyBorder="1" applyAlignment="1">
      <alignment horizontal="right"/>
    </xf>
    <xf numFmtId="0" fontId="34" fillId="12" borderId="9" xfId="38" applyFont="1" applyFill="1" applyBorder="1"/>
    <xf numFmtId="0" fontId="34" fillId="12" borderId="8" xfId="38" applyFont="1" applyFill="1" applyBorder="1"/>
    <xf numFmtId="0" fontId="72" fillId="0" borderId="0" xfId="37" applyFont="1"/>
    <xf numFmtId="0" fontId="66" fillId="8" borderId="0" xfId="37" applyFont="1" applyFill="1"/>
    <xf numFmtId="0" fontId="66" fillId="8" borderId="0" xfId="37" applyFont="1" applyFill="1" applyAlignment="1">
      <alignment horizontal="centerContinuous"/>
    </xf>
    <xf numFmtId="43" fontId="30" fillId="0" borderId="0" xfId="19" applyNumberFormat="1" applyFont="1"/>
    <xf numFmtId="43" fontId="23" fillId="8" borderId="0" xfId="16" applyFont="1" applyFill="1" applyBorder="1" applyAlignment="1">
      <alignment horizontal="right" vertical="top" wrapText="1"/>
    </xf>
    <xf numFmtId="43" fontId="57" fillId="8" borderId="0" xfId="16" applyFont="1" applyFill="1" applyBorder="1" applyAlignment="1">
      <alignment horizontal="right" vertical="top"/>
    </xf>
    <xf numFmtId="43" fontId="40" fillId="8" borderId="0" xfId="16" applyFont="1" applyFill="1" applyBorder="1" applyAlignment="1">
      <alignment horizontal="right" vertical="top" wrapText="1"/>
    </xf>
    <xf numFmtId="43" fontId="39" fillId="0" borderId="0" xfId="19" applyNumberFormat="1" applyFont="1"/>
    <xf numFmtId="164" fontId="47" fillId="0" borderId="0" xfId="19" applyNumberFormat="1" applyFont="1" applyAlignment="1">
      <alignment horizontal="center" vertical="top" wrapText="1"/>
    </xf>
    <xf numFmtId="164" fontId="40" fillId="0" borderId="0" xfId="19" applyNumberFormat="1" applyFont="1" applyAlignment="1">
      <alignment horizontal="center" vertical="top" wrapText="1"/>
    </xf>
    <xf numFmtId="0" fontId="40" fillId="0" borderId="0" xfId="19" applyFont="1" applyAlignment="1">
      <alignment horizontal="center" vertical="top"/>
    </xf>
    <xf numFmtId="0" fontId="47" fillId="0" borderId="0" xfId="19" applyFont="1" applyAlignment="1">
      <alignment horizontal="center" vertical="top"/>
    </xf>
    <xf numFmtId="0" fontId="40" fillId="0" borderId="0" xfId="19" applyFont="1" applyAlignment="1">
      <alignment horizontal="left" vertical="top"/>
    </xf>
    <xf numFmtId="0" fontId="47" fillId="0" borderId="0" xfId="19" applyFont="1" applyAlignment="1">
      <alignment horizontal="left" vertical="top"/>
    </xf>
    <xf numFmtId="0" fontId="35" fillId="0" borderId="36" xfId="19" applyFont="1" applyBorder="1"/>
    <xf numFmtId="180" fontId="54" fillId="0" borderId="21" xfId="19" applyNumberFormat="1" applyFont="1" applyBorder="1" applyAlignment="1">
      <alignment horizontal="center"/>
    </xf>
    <xf numFmtId="181" fontId="54" fillId="0" borderId="21" xfId="19" applyNumberFormat="1" applyFont="1" applyBorder="1" applyAlignment="1">
      <alignment horizontal="center"/>
    </xf>
    <xf numFmtId="181" fontId="54" fillId="0" borderId="37" xfId="19" applyNumberFormat="1" applyFont="1" applyBorder="1" applyAlignment="1">
      <alignment horizontal="center"/>
    </xf>
    <xf numFmtId="0" fontId="35" fillId="0" borderId="35" xfId="19" applyFont="1" applyBorder="1"/>
    <xf numFmtId="0" fontId="24" fillId="0" borderId="34" xfId="19" applyFont="1" applyBorder="1"/>
    <xf numFmtId="0" fontId="37" fillId="11" borderId="35" xfId="19" applyFont="1" applyFill="1" applyBorder="1"/>
    <xf numFmtId="0" fontId="7" fillId="0" borderId="35" xfId="19" applyFont="1" applyBorder="1"/>
    <xf numFmtId="0" fontId="7" fillId="0" borderId="34" xfId="19" applyFont="1" applyBorder="1"/>
    <xf numFmtId="0" fontId="36" fillId="0" borderId="35" xfId="19" applyFont="1" applyBorder="1" applyAlignment="1">
      <alignment horizontal="left" indent="1"/>
    </xf>
    <xf numFmtId="181" fontId="54" fillId="0" borderId="34" xfId="19" applyNumberFormat="1" applyFont="1" applyBorder="1" applyAlignment="1">
      <alignment horizontal="center"/>
    </xf>
    <xf numFmtId="0" fontId="36" fillId="0" borderId="35" xfId="19" applyFont="1" applyBorder="1"/>
    <xf numFmtId="0" fontId="36" fillId="0" borderId="30" xfId="19" applyFont="1" applyBorder="1"/>
    <xf numFmtId="43" fontId="37" fillId="0" borderId="0" xfId="19" applyNumberFormat="1" applyFont="1" applyFill="1"/>
    <xf numFmtId="0" fontId="59" fillId="0" borderId="35" xfId="37" applyFont="1" applyBorder="1" applyAlignment="1">
      <alignment vertical="center"/>
    </xf>
    <xf numFmtId="191" fontId="65" fillId="8" borderId="0" xfId="17" applyNumberFormat="1" applyFont="1" applyFill="1" applyBorder="1" applyAlignment="1">
      <alignment horizontal="center" vertical="top" wrapText="1"/>
    </xf>
    <xf numFmtId="8" fontId="65" fillId="8" borderId="0" xfId="17" applyNumberFormat="1" applyFont="1" applyFill="1" applyBorder="1" applyAlignment="1">
      <alignment horizontal="center" vertical="top" wrapText="1"/>
    </xf>
    <xf numFmtId="176" fontId="64" fillId="8" borderId="2" xfId="19" applyNumberFormat="1" applyFont="1" applyFill="1" applyBorder="1" applyAlignment="1">
      <alignment horizontal="right" vertical="center" indent="2"/>
    </xf>
    <xf numFmtId="176" fontId="64" fillId="8" borderId="3" xfId="19" applyNumberFormat="1" applyFont="1" applyFill="1" applyBorder="1" applyAlignment="1">
      <alignment horizontal="right" vertical="center" indent="2"/>
    </xf>
    <xf numFmtId="176" fontId="64" fillId="8" borderId="0" xfId="19" applyNumberFormat="1" applyFont="1" applyFill="1" applyBorder="1" applyAlignment="1">
      <alignment horizontal="right" vertical="center" indent="2"/>
    </xf>
    <xf numFmtId="176" fontId="64" fillId="8" borderId="5" xfId="19" applyNumberFormat="1" applyFont="1" applyFill="1" applyBorder="1" applyAlignment="1">
      <alignment horizontal="right" vertical="center" indent="2"/>
    </xf>
    <xf numFmtId="5" fontId="65" fillId="8" borderId="0" xfId="17" applyNumberFormat="1" applyFont="1" applyFill="1" applyBorder="1" applyAlignment="1">
      <alignment horizontal="center" vertical="top" wrapText="1"/>
    </xf>
    <xf numFmtId="176" fontId="64" fillId="8" borderId="9" xfId="19" applyNumberFormat="1" applyFont="1" applyFill="1" applyBorder="1" applyAlignment="1">
      <alignment horizontal="right" vertical="center" indent="2"/>
    </xf>
    <xf numFmtId="176" fontId="64" fillId="8" borderId="10" xfId="19" applyNumberFormat="1" applyFont="1" applyFill="1" applyBorder="1" applyAlignment="1">
      <alignment horizontal="right" vertical="center" indent="2"/>
    </xf>
    <xf numFmtId="0" fontId="36" fillId="0" borderId="28" xfId="19" applyFont="1" applyBorder="1"/>
    <xf numFmtId="14" fontId="48" fillId="0" borderId="29" xfId="19" applyNumberFormat="1" applyFont="1" applyBorder="1"/>
    <xf numFmtId="14" fontId="48" fillId="0" borderId="34" xfId="19" applyNumberFormat="1" applyFont="1" applyBorder="1"/>
    <xf numFmtId="14" fontId="48" fillId="0" borderId="31" xfId="19" applyNumberFormat="1" applyFont="1" applyBorder="1"/>
    <xf numFmtId="0" fontId="35" fillId="0" borderId="35" xfId="19" applyFont="1" applyBorder="1" applyAlignment="1">
      <alignment horizontal="left" indent="1"/>
    </xf>
    <xf numFmtId="0" fontId="37" fillId="0" borderId="35" xfId="19" applyFont="1" applyBorder="1"/>
    <xf numFmtId="0" fontId="76" fillId="0" borderId="35" xfId="19" applyFont="1" applyBorder="1" applyAlignment="1">
      <alignment horizontal="left" vertical="top"/>
    </xf>
    <xf numFmtId="0" fontId="77" fillId="0" borderId="34" xfId="19" applyFont="1" applyBorder="1" applyAlignment="1">
      <alignment horizontal="center" vertical="top"/>
    </xf>
    <xf numFmtId="0" fontId="77" fillId="0" borderId="35" xfId="19" applyFont="1" applyBorder="1" applyAlignment="1">
      <alignment horizontal="left" vertical="top"/>
    </xf>
    <xf numFmtId="0" fontId="76" fillId="0" borderId="30" xfId="19" applyFont="1" applyBorder="1" applyAlignment="1">
      <alignment horizontal="left" vertical="top"/>
    </xf>
    <xf numFmtId="0" fontId="79" fillId="0" borderId="0" xfId="37" applyFont="1"/>
    <xf numFmtId="39" fontId="34" fillId="15" borderId="27" xfId="19" applyNumberFormat="1" applyFont="1" applyFill="1" applyBorder="1" applyAlignment="1">
      <alignment horizontal="center"/>
    </xf>
    <xf numFmtId="0" fontId="59" fillId="0" borderId="0" xfId="24" applyFont="1" applyBorder="1"/>
    <xf numFmtId="43" fontId="7" fillId="0" borderId="0" xfId="19" applyNumberFormat="1" applyFont="1"/>
    <xf numFmtId="5" fontId="58" fillId="8" borderId="0" xfId="19" applyNumberFormat="1" applyFont="1" applyFill="1" applyBorder="1" applyAlignment="1">
      <alignment horizontal="center"/>
    </xf>
    <xf numFmtId="178" fontId="32" fillId="0" borderId="0" xfId="19" applyNumberFormat="1" applyFont="1" applyAlignment="1">
      <alignment horizontal="right"/>
    </xf>
    <xf numFmtId="6" fontId="58" fillId="11" borderId="0" xfId="19" applyNumberFormat="1" applyFont="1" applyFill="1" applyBorder="1" applyAlignment="1">
      <alignment horizontal="center"/>
    </xf>
    <xf numFmtId="190" fontId="82" fillId="8" borderId="0" xfId="19" applyNumberFormat="1" applyFont="1" applyFill="1" applyBorder="1" applyAlignment="1">
      <alignment horizontal="center"/>
    </xf>
    <xf numFmtId="190" fontId="82" fillId="8" borderId="0" xfId="18" applyNumberFormat="1" applyFont="1" applyFill="1" applyBorder="1" applyAlignment="1">
      <alignment horizontal="center"/>
    </xf>
    <xf numFmtId="38" fontId="58" fillId="11" borderId="0" xfId="19" applyNumberFormat="1" applyFont="1" applyFill="1" applyBorder="1" applyAlignment="1">
      <alignment horizontal="center"/>
    </xf>
    <xf numFmtId="171" fontId="59" fillId="8" borderId="0" xfId="19" applyNumberFormat="1" applyFont="1" applyFill="1" applyBorder="1" applyAlignment="1">
      <alignment horizontal="center"/>
    </xf>
    <xf numFmtId="0" fontId="59" fillId="8" borderId="0" xfId="19" applyFont="1" applyFill="1" applyBorder="1" applyAlignment="1">
      <alignment horizontal="center"/>
    </xf>
    <xf numFmtId="37" fontId="59" fillId="0" borderId="0" xfId="19" applyNumberFormat="1" applyFont="1" applyBorder="1" applyAlignment="1">
      <alignment horizontal="center"/>
    </xf>
    <xf numFmtId="190" fontId="82" fillId="0" borderId="0" xfId="18" applyNumberFormat="1" applyFont="1" applyFill="1" applyBorder="1" applyAlignment="1">
      <alignment horizontal="center"/>
    </xf>
    <xf numFmtId="190" fontId="53" fillId="0" borderId="0" xfId="18" applyNumberFormat="1" applyFont="1" applyFill="1" applyBorder="1"/>
    <xf numFmtId="190" fontId="53" fillId="0" borderId="0" xfId="18" applyNumberFormat="1" applyFont="1" applyBorder="1"/>
    <xf numFmtId="0" fontId="83" fillId="8" borderId="0" xfId="19" applyFont="1" applyFill="1"/>
    <xf numFmtId="0" fontId="83" fillId="0" borderId="0" xfId="19" applyFont="1"/>
    <xf numFmtId="0" fontId="83" fillId="8" borderId="15" xfId="19" applyFont="1" applyFill="1" applyBorder="1"/>
    <xf numFmtId="5" fontId="83" fillId="8" borderId="15" xfId="19" applyNumberFormat="1" applyFont="1" applyFill="1" applyBorder="1"/>
    <xf numFmtId="0" fontId="83" fillId="0" borderId="2" xfId="19" applyFont="1" applyBorder="1"/>
    <xf numFmtId="1" fontId="83" fillId="0" borderId="2" xfId="19" applyNumberFormat="1" applyFont="1" applyBorder="1"/>
    <xf numFmtId="1" fontId="83" fillId="0" borderId="3" xfId="19" applyNumberFormat="1" applyFont="1" applyBorder="1"/>
    <xf numFmtId="37" fontId="83" fillId="0" borderId="9" xfId="19" applyNumberFormat="1" applyFont="1" applyBorder="1"/>
    <xf numFmtId="1" fontId="83" fillId="0" borderId="9" xfId="19" applyNumberFormat="1" applyFont="1" applyBorder="1"/>
    <xf numFmtId="1" fontId="83" fillId="0" borderId="10" xfId="19" applyNumberFormat="1" applyFont="1" applyBorder="1"/>
    <xf numFmtId="0" fontId="84" fillId="0" borderId="0" xfId="19" applyFont="1"/>
    <xf numFmtId="5" fontId="58" fillId="11" borderId="0" xfId="17" applyNumberFormat="1" applyFont="1" applyFill="1" applyBorder="1" applyAlignment="1">
      <alignment horizontal="center"/>
    </xf>
    <xf numFmtId="0" fontId="84" fillId="0" borderId="0" xfId="19" applyFont="1" applyBorder="1"/>
    <xf numFmtId="0" fontId="84" fillId="0" borderId="34" xfId="19" applyFont="1" applyBorder="1"/>
    <xf numFmtId="37" fontId="59" fillId="8" borderId="0" xfId="17" applyNumberFormat="1" applyFont="1" applyFill="1" applyBorder="1" applyAlignment="1">
      <alignment horizontal="center"/>
    </xf>
    <xf numFmtId="37" fontId="58" fillId="11" borderId="0" xfId="17" applyNumberFormat="1" applyFont="1" applyFill="1" applyBorder="1" applyAlignment="1">
      <alignment horizontal="center"/>
    </xf>
    <xf numFmtId="37" fontId="84" fillId="0" borderId="0" xfId="19" applyNumberFormat="1" applyFont="1" applyBorder="1"/>
    <xf numFmtId="37" fontId="84" fillId="0" borderId="34" xfId="19" applyNumberFormat="1" applyFont="1" applyBorder="1"/>
    <xf numFmtId="190" fontId="82" fillId="0" borderId="0" xfId="19" applyNumberFormat="1" applyFont="1" applyBorder="1"/>
    <xf numFmtId="190" fontId="82" fillId="0" borderId="15" xfId="19" applyNumberFormat="1" applyFont="1" applyBorder="1"/>
    <xf numFmtId="173" fontId="59" fillId="8" borderId="5" xfId="19" applyNumberFormat="1" applyFont="1" applyFill="1" applyBorder="1"/>
    <xf numFmtId="169" fontId="59" fillId="8" borderId="5" xfId="19" applyNumberFormat="1" applyFont="1" applyFill="1" applyBorder="1"/>
    <xf numFmtId="174" fontId="59" fillId="8" borderId="12" xfId="19" applyNumberFormat="1" applyFont="1" applyFill="1" applyBorder="1"/>
    <xf numFmtId="0" fontId="59" fillId="8" borderId="5" xfId="19" applyFont="1" applyFill="1" applyBorder="1"/>
    <xf numFmtId="166" fontId="59" fillId="8" borderId="5" xfId="16" applyNumberFormat="1" applyFont="1" applyFill="1" applyBorder="1"/>
    <xf numFmtId="1" fontId="59" fillId="8" borderId="12" xfId="19" applyNumberFormat="1" applyFont="1" applyFill="1" applyBorder="1"/>
    <xf numFmtId="174" fontId="59" fillId="8" borderId="5" xfId="19" applyNumberFormat="1" applyFont="1" applyFill="1" applyBorder="1"/>
    <xf numFmtId="9" fontId="59" fillId="8" borderId="5" xfId="18" applyFont="1" applyFill="1" applyBorder="1"/>
    <xf numFmtId="9" fontId="59" fillId="8" borderId="10" xfId="19" applyNumberFormat="1" applyFont="1" applyFill="1" applyBorder="1"/>
    <xf numFmtId="37" fontId="59" fillId="0" borderId="5" xfId="39" applyNumberFormat="1" applyFont="1" applyFill="1" applyBorder="1" applyAlignment="1">
      <alignment horizontal="right"/>
    </xf>
    <xf numFmtId="167" fontId="59" fillId="0" borderId="5" xfId="24" applyNumberFormat="1" applyFont="1" applyBorder="1" applyAlignment="1">
      <alignment horizontal="right"/>
    </xf>
    <xf numFmtId="37" fontId="59" fillId="0" borderId="19" xfId="26" applyNumberFormat="1" applyFont="1" applyBorder="1" applyAlignment="1">
      <alignment horizontal="right"/>
    </xf>
    <xf numFmtId="0" fontId="59" fillId="0" borderId="5" xfId="24" applyFont="1" applyBorder="1" applyAlignment="1">
      <alignment horizontal="right"/>
    </xf>
    <xf numFmtId="2" fontId="59" fillId="0" borderId="0" xfId="19" applyNumberFormat="1" applyFont="1" applyBorder="1" applyAlignment="1">
      <alignment horizontal="center"/>
    </xf>
    <xf numFmtId="5" fontId="59" fillId="0" borderId="0" xfId="19" applyNumberFormat="1" applyFont="1" applyBorder="1" applyAlignment="1">
      <alignment horizontal="center"/>
    </xf>
    <xf numFmtId="9" fontId="59" fillId="0" borderId="0" xfId="19" applyNumberFormat="1" applyFont="1" applyBorder="1" applyAlignment="1">
      <alignment horizontal="center"/>
    </xf>
    <xf numFmtId="2" fontId="59" fillId="0" borderId="34" xfId="19" applyNumberFormat="1" applyFont="1" applyBorder="1" applyAlignment="1">
      <alignment horizontal="center"/>
    </xf>
    <xf numFmtId="0" fontId="59" fillId="9" borderId="30" xfId="19" applyFont="1" applyFill="1" applyBorder="1" applyAlignment="1">
      <alignment horizontal="left" vertical="top" wrapText="1"/>
    </xf>
    <xf numFmtId="2" fontId="59" fillId="9" borderId="15" xfId="19" applyNumberFormat="1" applyFont="1" applyFill="1" applyBorder="1" applyAlignment="1">
      <alignment horizontal="center"/>
    </xf>
    <xf numFmtId="5" fontId="59" fillId="9" borderId="15" xfId="19" applyNumberFormat="1" applyFont="1" applyFill="1" applyBorder="1" applyAlignment="1">
      <alignment horizontal="center"/>
    </xf>
    <xf numFmtId="9" fontId="59" fillId="9" borderId="15" xfId="19" applyNumberFormat="1" applyFont="1" applyFill="1" applyBorder="1" applyAlignment="1">
      <alignment horizontal="center"/>
    </xf>
    <xf numFmtId="9" fontId="59" fillId="9" borderId="0" xfId="19" applyNumberFormat="1" applyFont="1" applyFill="1" applyBorder="1" applyAlignment="1">
      <alignment horizontal="center"/>
    </xf>
    <xf numFmtId="2" fontId="59" fillId="9" borderId="34" xfId="19" applyNumberFormat="1" applyFont="1" applyFill="1" applyBorder="1" applyAlignment="1">
      <alignment horizontal="center"/>
    </xf>
    <xf numFmtId="10" fontId="59" fillId="8" borderId="5" xfId="18" applyNumberFormat="1" applyFont="1" applyFill="1" applyBorder="1"/>
    <xf numFmtId="2" fontId="59" fillId="0" borderId="5" xfId="19" applyNumberFormat="1" applyFont="1" applyBorder="1"/>
    <xf numFmtId="168" fontId="59" fillId="8" borderId="10" xfId="19" applyNumberFormat="1" applyFont="1" applyFill="1" applyBorder="1"/>
    <xf numFmtId="9" fontId="58" fillId="8" borderId="5" xfId="19" applyNumberFormat="1" applyFont="1" applyFill="1" applyBorder="1"/>
    <xf numFmtId="168" fontId="59" fillId="0" borderId="5" xfId="18" applyNumberFormat="1" applyFont="1" applyFill="1" applyBorder="1"/>
    <xf numFmtId="168" fontId="58" fillId="0" borderId="5" xfId="18" applyNumberFormat="1" applyFont="1" applyFill="1" applyBorder="1"/>
    <xf numFmtId="168" fontId="59" fillId="8" borderId="5" xfId="18" applyNumberFormat="1" applyFont="1" applyFill="1" applyBorder="1"/>
    <xf numFmtId="168" fontId="58" fillId="0" borderId="10" xfId="18" applyNumberFormat="1" applyFont="1" applyFill="1" applyBorder="1"/>
    <xf numFmtId="168" fontId="59" fillId="8" borderId="5" xfId="19" applyNumberFormat="1" applyFont="1" applyFill="1" applyBorder="1"/>
    <xf numFmtId="6" fontId="59" fillId="8" borderId="5" xfId="16" applyNumberFormat="1" applyFont="1" applyFill="1" applyBorder="1"/>
    <xf numFmtId="9" fontId="59" fillId="8" borderId="3" xfId="18" applyFont="1" applyFill="1" applyBorder="1" applyAlignment="1">
      <alignment horizontal="right"/>
    </xf>
    <xf numFmtId="2" fontId="59" fillId="8" borderId="5" xfId="19" applyNumberFormat="1" applyFont="1" applyFill="1" applyBorder="1" applyAlignment="1">
      <alignment horizontal="right"/>
    </xf>
    <xf numFmtId="2" fontId="59" fillId="8" borderId="10" xfId="19" applyNumberFormat="1" applyFont="1" applyFill="1" applyBorder="1" applyAlignment="1">
      <alignment horizontal="right"/>
    </xf>
    <xf numFmtId="164" fontId="85" fillId="0" borderId="0" xfId="19" applyNumberFormat="1" applyFont="1" applyBorder="1" applyAlignment="1">
      <alignment horizontal="center" vertical="top" wrapText="1"/>
    </xf>
    <xf numFmtId="164" fontId="85" fillId="0" borderId="34" xfId="19" applyNumberFormat="1" applyFont="1" applyBorder="1" applyAlignment="1">
      <alignment horizontal="center" vertical="top" wrapText="1"/>
    </xf>
    <xf numFmtId="164" fontId="86" fillId="0" borderId="0" xfId="19" applyNumberFormat="1" applyFont="1" applyBorder="1" applyAlignment="1">
      <alignment horizontal="center" vertical="top" wrapText="1"/>
    </xf>
    <xf numFmtId="164" fontId="86" fillId="0" borderId="34" xfId="19" applyNumberFormat="1" applyFont="1" applyBorder="1" applyAlignment="1">
      <alignment horizontal="center" vertical="top" wrapText="1"/>
    </xf>
    <xf numFmtId="0" fontId="85" fillId="0" borderId="0" xfId="19" applyFont="1" applyBorder="1" applyAlignment="1">
      <alignment horizontal="center" vertical="top"/>
    </xf>
    <xf numFmtId="0" fontId="85" fillId="0" borderId="34" xfId="19" applyFont="1" applyBorder="1" applyAlignment="1">
      <alignment horizontal="center" vertical="top"/>
    </xf>
    <xf numFmtId="164" fontId="86" fillId="0" borderId="15" xfId="19" applyNumberFormat="1" applyFont="1" applyBorder="1" applyAlignment="1">
      <alignment horizontal="center" vertical="top" wrapText="1"/>
    </xf>
    <xf numFmtId="164" fontId="86" fillId="0" borderId="31" xfId="19" applyNumberFormat="1" applyFont="1" applyBorder="1" applyAlignment="1">
      <alignment horizontal="center" vertical="top" wrapText="1"/>
    </xf>
    <xf numFmtId="164" fontId="58" fillId="0" borderId="0" xfId="19" applyNumberFormat="1" applyFont="1" applyAlignment="1">
      <alignment horizontal="right" vertical="top" wrapText="1"/>
    </xf>
    <xf numFmtId="0" fontId="59" fillId="0" borderId="0" xfId="19" applyFont="1" applyAlignment="1">
      <alignment horizontal="left" vertical="top"/>
    </xf>
    <xf numFmtId="164" fontId="59" fillId="0" borderId="0" xfId="19" applyNumberFormat="1" applyFont="1" applyAlignment="1">
      <alignment horizontal="right" vertical="top" wrapText="1"/>
    </xf>
    <xf numFmtId="0" fontId="72" fillId="0" borderId="0" xfId="37" applyFont="1" applyBorder="1"/>
    <xf numFmtId="0" fontId="72" fillId="0" borderId="9" xfId="37" applyFont="1" applyBorder="1"/>
    <xf numFmtId="0" fontId="2" fillId="0" borderId="4" xfId="37" applyBorder="1"/>
    <xf numFmtId="183" fontId="7" fillId="0" borderId="0" xfId="19" applyNumberFormat="1" applyFont="1"/>
    <xf numFmtId="0" fontId="7" fillId="16" borderId="0" xfId="19" applyFont="1" applyFill="1"/>
    <xf numFmtId="0" fontId="87" fillId="0" borderId="35" xfId="19" applyFont="1" applyBorder="1" applyAlignment="1">
      <alignment horizontal="left" vertical="top"/>
    </xf>
    <xf numFmtId="0" fontId="86" fillId="0" borderId="0" xfId="19" applyFont="1" applyAlignment="1">
      <alignment horizontal="right" vertical="top" wrapText="1"/>
    </xf>
    <xf numFmtId="0" fontId="85" fillId="0" borderId="0" xfId="19" applyFont="1"/>
    <xf numFmtId="187" fontId="85" fillId="0" borderId="0" xfId="19" applyNumberFormat="1" applyFont="1" applyAlignment="1">
      <alignment horizontal="right" vertical="top" wrapText="1"/>
    </xf>
    <xf numFmtId="186" fontId="85" fillId="0" borderId="0" xfId="19" applyNumberFormat="1" applyFont="1" applyAlignment="1">
      <alignment horizontal="right"/>
    </xf>
    <xf numFmtId="0" fontId="86" fillId="0" borderId="0" xfId="19" applyFont="1" applyAlignment="1">
      <alignment vertical="top" wrapText="1"/>
    </xf>
    <xf numFmtId="186" fontId="85" fillId="0" borderId="0" xfId="19" applyNumberFormat="1" applyFont="1"/>
    <xf numFmtId="0" fontId="47" fillId="0" borderId="0" xfId="19" applyFont="1" applyAlignment="1">
      <alignment horizontal="left" vertical="top" wrapText="1"/>
    </xf>
    <xf numFmtId="0" fontId="58" fillId="0" borderId="0" xfId="19" applyFont="1" applyAlignment="1">
      <alignment horizontal="right" vertical="top" wrapText="1"/>
    </xf>
    <xf numFmtId="187" fontId="59" fillId="0" borderId="0" xfId="19" applyNumberFormat="1" applyFont="1" applyAlignment="1">
      <alignment horizontal="right" vertical="top" wrapText="1"/>
    </xf>
    <xf numFmtId="183" fontId="59" fillId="0" borderId="0" xfId="19" applyNumberFormat="1" applyFont="1" applyAlignment="1">
      <alignment horizontal="right" vertical="top" wrapText="1"/>
    </xf>
    <xf numFmtId="0" fontId="59" fillId="0" borderId="0" xfId="19" applyFont="1" applyAlignment="1">
      <alignment horizontal="right" vertical="top" wrapText="1"/>
    </xf>
    <xf numFmtId="188" fontId="59" fillId="0" borderId="0" xfId="19" applyNumberFormat="1" applyFont="1"/>
    <xf numFmtId="0" fontId="47" fillId="0" borderId="0" xfId="19" applyFont="1" applyAlignment="1">
      <alignment vertical="top" wrapText="1"/>
    </xf>
    <xf numFmtId="0" fontId="58" fillId="0" borderId="0" xfId="19" applyFont="1" applyAlignment="1">
      <alignment vertical="top" wrapText="1"/>
    </xf>
    <xf numFmtId="187" fontId="40" fillId="0" borderId="0" xfId="19" applyNumberFormat="1" applyFont="1" applyAlignment="1">
      <alignment horizontal="right" vertical="top" wrapText="1"/>
    </xf>
    <xf numFmtId="189" fontId="40" fillId="0" borderId="0" xfId="19" applyNumberFormat="1" applyFont="1" applyAlignment="1">
      <alignment horizontal="right" vertical="top" wrapText="1"/>
    </xf>
    <xf numFmtId="189" fontId="36" fillId="0" borderId="0" xfId="19" applyNumberFormat="1" applyFont="1"/>
    <xf numFmtId="10" fontId="36" fillId="0" borderId="0" xfId="19" applyNumberFormat="1" applyFont="1"/>
    <xf numFmtId="0" fontId="59" fillId="0" borderId="4" xfId="37" applyFont="1" applyBorder="1"/>
    <xf numFmtId="0" fontId="59" fillId="0" borderId="0" xfId="37" applyFont="1"/>
    <xf numFmtId="185" fontId="59" fillId="0" borderId="0" xfId="37" applyNumberFormat="1" applyFont="1"/>
    <xf numFmtId="184" fontId="59" fillId="0" borderId="0" xfId="37" applyNumberFormat="1" applyFont="1" applyBorder="1"/>
    <xf numFmtId="184" fontId="59" fillId="0" borderId="5" xfId="37" applyNumberFormat="1" applyFont="1" applyBorder="1"/>
    <xf numFmtId="6" fontId="59" fillId="0" borderId="0" xfId="37" applyNumberFormat="1" applyFont="1" applyAlignment="1">
      <alignment horizontal="center" vertical="center"/>
    </xf>
    <xf numFmtId="0" fontId="59" fillId="0" borderId="0" xfId="37" applyFont="1" applyAlignment="1">
      <alignment horizontal="center" vertical="center"/>
    </xf>
    <xf numFmtId="186" fontId="59" fillId="0" borderId="0" xfId="37" applyNumberFormat="1" applyFont="1" applyAlignment="1">
      <alignment horizontal="center" vertical="center"/>
    </xf>
    <xf numFmtId="186" fontId="59" fillId="0" borderId="0" xfId="37" applyNumberFormat="1" applyFont="1" applyBorder="1" applyAlignment="1">
      <alignment horizontal="center" vertical="center"/>
    </xf>
    <xf numFmtId="186" fontId="59" fillId="0" borderId="5" xfId="37" applyNumberFormat="1" applyFont="1" applyBorder="1" applyAlignment="1">
      <alignment horizontal="center" vertical="center"/>
    </xf>
    <xf numFmtId="0" fontId="59" fillId="8" borderId="0" xfId="37" applyFont="1" applyFill="1" applyAlignment="1">
      <alignment horizontal="center" vertical="center"/>
    </xf>
    <xf numFmtId="0" fontId="59" fillId="8" borderId="4" xfId="37" applyFont="1" applyFill="1" applyBorder="1" applyAlignment="1">
      <alignment vertical="center"/>
    </xf>
    <xf numFmtId="5" fontId="52" fillId="8" borderId="0" xfId="37" applyNumberFormat="1" applyFont="1" applyFill="1" applyAlignment="1">
      <alignment horizontal="center" vertical="center"/>
    </xf>
    <xf numFmtId="0" fontId="52" fillId="8" borderId="0" xfId="37" applyFont="1" applyFill="1" applyAlignment="1">
      <alignment horizontal="center" vertical="center"/>
    </xf>
    <xf numFmtId="186" fontId="52" fillId="8" borderId="0" xfId="37" applyNumberFormat="1" applyFont="1" applyFill="1" applyAlignment="1">
      <alignment horizontal="center" vertical="center"/>
    </xf>
    <xf numFmtId="186" fontId="52" fillId="8" borderId="0" xfId="37" applyNumberFormat="1" applyFont="1" applyFill="1" applyBorder="1" applyAlignment="1">
      <alignment horizontal="center" vertical="center"/>
    </xf>
    <xf numFmtId="186" fontId="52" fillId="8" borderId="5" xfId="37" applyNumberFormat="1" applyFont="1" applyFill="1" applyBorder="1" applyAlignment="1">
      <alignment horizontal="center" vertical="center"/>
    </xf>
    <xf numFmtId="0" fontId="59" fillId="0" borderId="4" xfId="37" applyFont="1" applyBorder="1" applyAlignment="1">
      <alignment vertical="center"/>
    </xf>
    <xf numFmtId="5" fontId="59" fillId="0" borderId="0" xfId="37" applyNumberFormat="1" applyFont="1" applyAlignment="1">
      <alignment horizontal="center" vertical="center"/>
    </xf>
    <xf numFmtId="185" fontId="59" fillId="0" borderId="0" xfId="37" applyNumberFormat="1" applyFont="1" applyAlignment="1">
      <alignment horizontal="center" vertical="center"/>
    </xf>
    <xf numFmtId="184" fontId="59" fillId="0" borderId="0" xfId="37" applyNumberFormat="1" applyFont="1" applyBorder="1" applyAlignment="1">
      <alignment horizontal="center" vertical="center"/>
    </xf>
    <xf numFmtId="0" fontId="34" fillId="17" borderId="36" xfId="19" applyFont="1" applyFill="1" applyBorder="1"/>
    <xf numFmtId="180" fontId="71" fillId="17" borderId="21" xfId="19" applyNumberFormat="1" applyFont="1" applyFill="1" applyBorder="1" applyAlignment="1">
      <alignment horizontal="center"/>
    </xf>
    <xf numFmtId="181" fontId="71" fillId="17" borderId="21" xfId="19" applyNumberFormat="1" applyFont="1" applyFill="1" applyBorder="1" applyAlignment="1">
      <alignment horizontal="center"/>
    </xf>
    <xf numFmtId="0" fontId="34" fillId="17" borderId="30" xfId="19" applyFont="1" applyFill="1" applyBorder="1"/>
    <xf numFmtId="0" fontId="34" fillId="17" borderId="15" xfId="19" applyFont="1" applyFill="1" applyBorder="1" applyAlignment="1">
      <alignment horizontal="center"/>
    </xf>
    <xf numFmtId="172" fontId="34" fillId="17" borderId="15" xfId="17" applyNumberFormat="1" applyFont="1" applyFill="1" applyBorder="1" applyAlignment="1">
      <alignment horizontal="center"/>
    </xf>
    <xf numFmtId="5" fontId="34" fillId="17" borderId="15" xfId="17" applyNumberFormat="1" applyFont="1" applyFill="1" applyBorder="1" applyAlignment="1">
      <alignment horizontal="center"/>
    </xf>
    <xf numFmtId="0" fontId="34" fillId="17" borderId="1" xfId="19" applyFont="1" applyFill="1" applyBorder="1"/>
    <xf numFmtId="0" fontId="31" fillId="17" borderId="2" xfId="19" applyFont="1" applyFill="1" applyBorder="1"/>
    <xf numFmtId="0" fontId="46" fillId="17" borderId="0" xfId="19" applyFont="1" applyFill="1"/>
    <xf numFmtId="0" fontId="88" fillId="17" borderId="0" xfId="19" applyFont="1" applyFill="1"/>
    <xf numFmtId="0" fontId="89" fillId="17" borderId="0" xfId="13" applyFont="1" applyFill="1" applyAlignment="1"/>
    <xf numFmtId="0" fontId="90" fillId="17" borderId="0" xfId="13" applyFont="1" applyFill="1" applyAlignment="1"/>
    <xf numFmtId="0" fontId="19" fillId="17" borderId="0" xfId="13" applyFill="1" applyAlignment="1"/>
    <xf numFmtId="0" fontId="73" fillId="17" borderId="0" xfId="13" applyFont="1" applyFill="1" applyAlignment="1"/>
    <xf numFmtId="0" fontId="34" fillId="17" borderId="0" xfId="19" applyFont="1" applyFill="1" applyAlignment="1">
      <alignment horizontal="left" vertical="top" wrapText="1"/>
    </xf>
    <xf numFmtId="0" fontId="38" fillId="17" borderId="0" xfId="19" applyFont="1" applyFill="1" applyAlignment="1">
      <alignment horizontal="left" vertical="top" wrapText="1"/>
    </xf>
    <xf numFmtId="0" fontId="34" fillId="17" borderId="6" xfId="19" applyFont="1" applyFill="1" applyBorder="1" applyAlignment="1">
      <alignment horizontal="center"/>
    </xf>
    <xf numFmtId="0" fontId="34" fillId="17" borderId="0" xfId="19" applyFont="1" applyFill="1" applyAlignment="1">
      <alignment horizontal="center" vertical="top" wrapText="1"/>
    </xf>
    <xf numFmtId="0" fontId="34" fillId="17" borderId="28" xfId="19" applyFont="1" applyFill="1" applyBorder="1"/>
    <xf numFmtId="0" fontId="34" fillId="17" borderId="17" xfId="19" applyFont="1" applyFill="1" applyBorder="1"/>
    <xf numFmtId="0" fontId="34" fillId="17" borderId="29" xfId="19" applyFont="1" applyFill="1" applyBorder="1"/>
    <xf numFmtId="0" fontId="25" fillId="17" borderId="30" xfId="36" applyFont="1" applyFill="1" applyBorder="1"/>
    <xf numFmtId="0" fontId="34" fillId="17" borderId="15" xfId="19" applyFont="1" applyFill="1" applyBorder="1"/>
    <xf numFmtId="0" fontId="34" fillId="17" borderId="31" xfId="19" applyFont="1" applyFill="1" applyBorder="1"/>
    <xf numFmtId="0" fontId="78" fillId="17" borderId="30" xfId="19" applyFont="1" applyFill="1" applyBorder="1"/>
    <xf numFmtId="0" fontId="34" fillId="17" borderId="32" xfId="19" applyFont="1" applyFill="1" applyBorder="1"/>
    <xf numFmtId="0" fontId="34" fillId="17" borderId="24" xfId="19" applyFont="1" applyFill="1" applyBorder="1"/>
    <xf numFmtId="0" fontId="38" fillId="17" borderId="24" xfId="19" applyFont="1" applyFill="1" applyBorder="1"/>
    <xf numFmtId="0" fontId="38" fillId="17" borderId="33" xfId="19" applyFont="1" applyFill="1" applyBorder="1"/>
    <xf numFmtId="0" fontId="78" fillId="17" borderId="32" xfId="19" applyFont="1" applyFill="1" applyBorder="1"/>
    <xf numFmtId="0" fontId="34" fillId="17" borderId="11" xfId="19" applyFont="1" applyFill="1" applyBorder="1"/>
    <xf numFmtId="0" fontId="34" fillId="17" borderId="7" xfId="19" applyFont="1" applyFill="1" applyBorder="1"/>
    <xf numFmtId="0" fontId="34" fillId="17" borderId="2" xfId="19" applyFont="1" applyFill="1" applyBorder="1"/>
    <xf numFmtId="0" fontId="34" fillId="17" borderId="3" xfId="19" applyFont="1" applyFill="1" applyBorder="1"/>
    <xf numFmtId="174" fontId="34" fillId="17" borderId="7" xfId="19" applyNumberFormat="1" applyFont="1" applyFill="1" applyBorder="1"/>
    <xf numFmtId="9" fontId="34" fillId="17" borderId="7" xfId="18" applyFont="1" applyFill="1" applyBorder="1"/>
    <xf numFmtId="0" fontId="34" fillId="17" borderId="6" xfId="19" applyFont="1" applyFill="1" applyBorder="1"/>
    <xf numFmtId="0" fontId="34" fillId="17" borderId="1" xfId="37" applyFont="1" applyFill="1" applyBorder="1"/>
    <xf numFmtId="0" fontId="34" fillId="17" borderId="2" xfId="37" applyFont="1" applyFill="1" applyBorder="1" applyAlignment="1">
      <alignment horizontal="center"/>
    </xf>
    <xf numFmtId="0" fontId="34" fillId="17" borderId="2" xfId="37" applyFont="1" applyFill="1" applyBorder="1"/>
    <xf numFmtId="0" fontId="34" fillId="17" borderId="26" xfId="37" applyFont="1" applyFill="1" applyBorder="1" applyAlignment="1">
      <alignment horizontal="centerContinuous"/>
    </xf>
    <xf numFmtId="0" fontId="34" fillId="17" borderId="3" xfId="37" applyFont="1" applyFill="1" applyBorder="1" applyAlignment="1">
      <alignment horizontal="center"/>
    </xf>
    <xf numFmtId="0" fontId="34" fillId="17" borderId="8" xfId="37" applyFont="1" applyFill="1" applyBorder="1"/>
    <xf numFmtId="0" fontId="34" fillId="17" borderId="9" xfId="37" applyFont="1" applyFill="1" applyBorder="1" applyAlignment="1">
      <alignment horizontal="center"/>
    </xf>
    <xf numFmtId="0" fontId="34" fillId="17" borderId="9" xfId="37" applyFont="1" applyFill="1" applyBorder="1"/>
    <xf numFmtId="179" fontId="34" fillId="17" borderId="9" xfId="37" applyNumberFormat="1" applyFont="1" applyFill="1" applyBorder="1" applyAlignment="1">
      <alignment horizontal="center"/>
    </xf>
    <xf numFmtId="0" fontId="34" fillId="17" borderId="10" xfId="37" applyFont="1" applyFill="1" applyBorder="1" applyAlignment="1">
      <alignment horizontal="center"/>
    </xf>
    <xf numFmtId="0" fontId="38" fillId="17" borderId="4" xfId="37" applyFont="1" applyFill="1" applyBorder="1" applyAlignment="1">
      <alignment vertical="center"/>
    </xf>
    <xf numFmtId="5" fontId="52" fillId="17" borderId="0" xfId="37" applyNumberFormat="1" applyFont="1" applyFill="1" applyAlignment="1">
      <alignment horizontal="center" vertical="center"/>
    </xf>
    <xf numFmtId="0" fontId="52" fillId="17" borderId="0" xfId="37" applyFont="1" applyFill="1" applyAlignment="1">
      <alignment horizontal="center" vertical="center"/>
    </xf>
    <xf numFmtId="186" fontId="38" fillId="17" borderId="0" xfId="37" applyNumberFormat="1" applyFont="1" applyFill="1" applyAlignment="1">
      <alignment horizontal="center" vertical="center"/>
    </xf>
    <xf numFmtId="186" fontId="38" fillId="17" borderId="0" xfId="37" applyNumberFormat="1" applyFont="1" applyFill="1" applyBorder="1" applyAlignment="1">
      <alignment horizontal="center" vertical="center"/>
    </xf>
    <xf numFmtId="186" fontId="38" fillId="17" borderId="5" xfId="37" applyNumberFormat="1" applyFont="1" applyFill="1" applyBorder="1" applyAlignment="1">
      <alignment horizontal="center" vertical="center"/>
    </xf>
    <xf numFmtId="5" fontId="38" fillId="17" borderId="0" xfId="37" applyNumberFormat="1" applyFont="1" applyFill="1" applyAlignment="1">
      <alignment horizontal="center" vertical="center"/>
    </xf>
    <xf numFmtId="0" fontId="38" fillId="17" borderId="0" xfId="37" applyFont="1" applyFill="1" applyAlignment="1">
      <alignment horizontal="center" vertical="center"/>
    </xf>
    <xf numFmtId="0" fontId="38" fillId="17" borderId="8" xfId="37" applyFont="1" applyFill="1" applyBorder="1" applyAlignment="1">
      <alignment vertical="center"/>
    </xf>
    <xf numFmtId="5" fontId="38" fillId="17" borderId="9" xfId="37" applyNumberFormat="1" applyFont="1" applyFill="1" applyBorder="1" applyAlignment="1">
      <alignment horizontal="center" vertical="center"/>
    </xf>
    <xf numFmtId="0" fontId="38" fillId="17" borderId="9" xfId="37" applyFont="1" applyFill="1" applyBorder="1" applyAlignment="1">
      <alignment horizontal="center" vertical="center"/>
    </xf>
    <xf numFmtId="185" fontId="38" fillId="17" borderId="9" xfId="37" applyNumberFormat="1" applyFont="1" applyFill="1" applyBorder="1" applyAlignment="1">
      <alignment horizontal="center" vertical="center"/>
    </xf>
    <xf numFmtId="184" fontId="38" fillId="17" borderId="9" xfId="37" applyNumberFormat="1" applyFont="1" applyFill="1" applyBorder="1" applyAlignment="1">
      <alignment horizontal="center" vertical="center"/>
    </xf>
    <xf numFmtId="0" fontId="34" fillId="17" borderId="1" xfId="24" applyFont="1" applyFill="1" applyBorder="1"/>
    <xf numFmtId="0" fontId="34" fillId="17" borderId="2" xfId="24" applyFont="1" applyFill="1" applyBorder="1"/>
    <xf numFmtId="0" fontId="34" fillId="17" borderId="3" xfId="24" applyFont="1" applyFill="1" applyBorder="1" applyAlignment="1">
      <alignment horizontal="right"/>
    </xf>
    <xf numFmtId="0" fontId="34" fillId="17" borderId="4" xfId="24" applyFont="1" applyFill="1" applyBorder="1"/>
    <xf numFmtId="0" fontId="34" fillId="17" borderId="0" xfId="24" applyFont="1" applyFill="1"/>
    <xf numFmtId="0" fontId="34" fillId="17" borderId="5" xfId="24" applyFont="1" applyFill="1" applyBorder="1"/>
    <xf numFmtId="0" fontId="34" fillId="17" borderId="14" xfId="24" applyFont="1" applyFill="1" applyBorder="1"/>
    <xf numFmtId="0" fontId="34" fillId="17" borderId="15" xfId="24" applyFont="1" applyFill="1" applyBorder="1"/>
    <xf numFmtId="0" fontId="34" fillId="17" borderId="12" xfId="24" applyFont="1" applyFill="1" applyBorder="1"/>
    <xf numFmtId="0" fontId="34" fillId="17" borderId="24" xfId="19" applyFont="1" applyFill="1" applyBorder="1" applyAlignment="1">
      <alignment horizontal="right"/>
    </xf>
    <xf numFmtId="0" fontId="34" fillId="17" borderId="24" xfId="19" applyFont="1" applyFill="1" applyBorder="1" applyAlignment="1">
      <alignment horizontal="center"/>
    </xf>
    <xf numFmtId="0" fontId="34" fillId="17" borderId="33" xfId="19" applyFont="1" applyFill="1" applyBorder="1" applyAlignment="1">
      <alignment horizontal="right"/>
    </xf>
    <xf numFmtId="0" fontId="34" fillId="17" borderId="13" xfId="19" applyFont="1" applyFill="1" applyBorder="1" applyAlignment="1">
      <alignment horizontal="center"/>
    </xf>
    <xf numFmtId="0" fontId="34" fillId="17" borderId="23" xfId="19" applyFont="1" applyFill="1" applyBorder="1" applyAlignment="1">
      <alignment horizontal="center"/>
    </xf>
    <xf numFmtId="0" fontId="24" fillId="18" borderId="0" xfId="19" applyFont="1" applyFill="1"/>
    <xf numFmtId="0" fontId="91" fillId="18" borderId="0" xfId="19" applyFont="1" applyFill="1"/>
    <xf numFmtId="5" fontId="83" fillId="8" borderId="0" xfId="19" applyNumberFormat="1" applyFont="1" applyFill="1"/>
    <xf numFmtId="0" fontId="36" fillId="0" borderId="4" xfId="19" applyFont="1" applyFill="1" applyBorder="1"/>
    <xf numFmtId="0" fontId="36" fillId="0" borderId="8" xfId="19" applyFont="1" applyFill="1" applyBorder="1"/>
    <xf numFmtId="166" fontId="59" fillId="0" borderId="5" xfId="16" applyNumberFormat="1" applyFont="1" applyFill="1" applyBorder="1"/>
    <xf numFmtId="190" fontId="35" fillId="0" borderId="0" xfId="18" applyNumberFormat="1" applyFont="1" applyFill="1" applyBorder="1" applyAlignment="1">
      <alignment horizontal="center"/>
    </xf>
    <xf numFmtId="37" fontId="36" fillId="14" borderId="28" xfId="19" applyNumberFormat="1" applyFont="1" applyFill="1" applyBorder="1" applyAlignment="1">
      <alignment horizontal="center"/>
    </xf>
    <xf numFmtId="37" fontId="36" fillId="14" borderId="17" xfId="19" applyNumberFormat="1" applyFont="1" applyFill="1" applyBorder="1" applyAlignment="1">
      <alignment horizontal="center"/>
    </xf>
    <xf numFmtId="37" fontId="36" fillId="14" borderId="29" xfId="19" applyNumberFormat="1" applyFont="1" applyFill="1" applyBorder="1" applyAlignment="1">
      <alignment horizontal="center"/>
    </xf>
    <xf numFmtId="37" fontId="36" fillId="14" borderId="35" xfId="19" applyNumberFormat="1" applyFont="1" applyFill="1" applyBorder="1" applyAlignment="1">
      <alignment horizontal="center"/>
    </xf>
    <xf numFmtId="37" fontId="36" fillId="14" borderId="0" xfId="19" applyNumberFormat="1" applyFont="1" applyFill="1" applyAlignment="1">
      <alignment horizontal="center"/>
    </xf>
    <xf numFmtId="37" fontId="36" fillId="14" borderId="34" xfId="19" applyNumberFormat="1" applyFont="1" applyFill="1" applyBorder="1" applyAlignment="1">
      <alignment horizontal="center"/>
    </xf>
    <xf numFmtId="37" fontId="36" fillId="14" borderId="30" xfId="19" applyNumberFormat="1" applyFont="1" applyFill="1" applyBorder="1" applyAlignment="1">
      <alignment horizontal="center"/>
    </xf>
    <xf numFmtId="37" fontId="36" fillId="14" borderId="15" xfId="19" applyNumberFormat="1" applyFont="1" applyFill="1" applyBorder="1" applyAlignment="1">
      <alignment horizontal="center"/>
    </xf>
    <xf numFmtId="37" fontId="36" fillId="14" borderId="31" xfId="19" applyNumberFormat="1" applyFont="1" applyFill="1" applyBorder="1" applyAlignment="1">
      <alignment horizontal="center"/>
    </xf>
    <xf numFmtId="0" fontId="34" fillId="17" borderId="30" xfId="19" applyFont="1" applyFill="1" applyBorder="1" applyAlignment="1">
      <alignment horizontal="left"/>
    </xf>
    <xf numFmtId="6" fontId="55" fillId="17" borderId="15" xfId="17" applyNumberFormat="1" applyFont="1" applyFill="1" applyBorder="1" applyAlignment="1">
      <alignment horizontal="center"/>
    </xf>
    <xf numFmtId="5" fontId="55" fillId="17" borderId="15" xfId="17" applyNumberFormat="1" applyFont="1" applyFill="1" applyBorder="1" applyAlignment="1">
      <alignment horizontal="center"/>
    </xf>
    <xf numFmtId="0" fontId="34" fillId="17" borderId="4" xfId="19" applyFont="1" applyFill="1" applyBorder="1" applyAlignment="1">
      <alignment wrapText="1"/>
    </xf>
    <xf numFmtId="0" fontId="34" fillId="17" borderId="0" xfId="19" applyFont="1" applyFill="1" applyAlignment="1">
      <alignment horizontal="center" wrapText="1"/>
    </xf>
    <xf numFmtId="0" fontId="75" fillId="17" borderId="38" xfId="19" applyFont="1" applyFill="1" applyBorder="1" applyAlignment="1">
      <alignment wrapText="1"/>
    </xf>
    <xf numFmtId="0" fontId="34" fillId="17" borderId="0" xfId="19" applyFont="1" applyFill="1" applyBorder="1" applyAlignment="1">
      <alignment horizontal="center" wrapText="1"/>
    </xf>
    <xf numFmtId="0" fontId="34" fillId="17" borderId="34" xfId="19" applyFont="1" applyFill="1" applyBorder="1" applyAlignment="1">
      <alignment horizontal="center" wrapText="1"/>
    </xf>
    <xf numFmtId="0" fontId="75" fillId="17" borderId="35" xfId="19" applyFont="1" applyFill="1" applyBorder="1" applyAlignment="1">
      <alignment wrapText="1"/>
    </xf>
    <xf numFmtId="0" fontId="75" fillId="17" borderId="0" xfId="19" applyFont="1" applyFill="1" applyBorder="1" applyAlignment="1">
      <alignment horizontal="center" wrapText="1"/>
    </xf>
    <xf numFmtId="0" fontId="75" fillId="17" borderId="34" xfId="19" applyFont="1" applyFill="1" applyBorder="1" applyAlignment="1">
      <alignment horizontal="center" wrapText="1"/>
    </xf>
    <xf numFmtId="0" fontId="34" fillId="17" borderId="0" xfId="19" applyFont="1" applyFill="1"/>
    <xf numFmtId="0" fontId="34" fillId="17" borderId="0" xfId="19" applyFont="1" applyFill="1" applyAlignment="1">
      <alignment wrapText="1"/>
    </xf>
    <xf numFmtId="0" fontId="34" fillId="17" borderId="0" xfId="19" applyFont="1" applyFill="1" applyAlignment="1">
      <alignment horizontal="right" wrapText="1"/>
    </xf>
    <xf numFmtId="0" fontId="34" fillId="17" borderId="24" xfId="19" applyFont="1" applyFill="1" applyBorder="1" applyAlignment="1">
      <alignment horizontal="center"/>
    </xf>
    <xf numFmtId="0" fontId="34" fillId="17" borderId="33" xfId="19" applyFont="1" applyFill="1" applyBorder="1" applyAlignment="1">
      <alignment horizontal="center"/>
    </xf>
    <xf numFmtId="0" fontId="50" fillId="0" borderId="0" xfId="19" applyFont="1" applyAlignment="1">
      <alignment horizontal="center"/>
    </xf>
    <xf numFmtId="0" fontId="75" fillId="17" borderId="36" xfId="19" applyFont="1" applyFill="1" applyBorder="1" applyAlignment="1">
      <alignment horizontal="left"/>
    </xf>
    <xf numFmtId="0" fontId="75" fillId="17" borderId="21" xfId="19" applyFont="1" applyFill="1" applyBorder="1" applyAlignment="1">
      <alignment horizontal="left"/>
    </xf>
    <xf numFmtId="0" fontId="75" fillId="17" borderId="37" xfId="19" applyFont="1" applyFill="1" applyBorder="1" applyAlignment="1">
      <alignment horizontal="left"/>
    </xf>
    <xf numFmtId="0" fontId="46" fillId="17" borderId="11" xfId="19" applyFont="1" applyFill="1" applyBorder="1" applyAlignment="1">
      <alignment horizontal="left"/>
    </xf>
    <xf numFmtId="0" fontId="46" fillId="17" borderId="6" xfId="19" applyFont="1" applyFill="1" applyBorder="1" applyAlignment="1">
      <alignment horizontal="left"/>
    </xf>
  </cellXfs>
  <cellStyles count="48">
    <cellStyle name="40% - Accent2 2" xfId="25" xr:uid="{4C50AE76-723B-497A-BA58-03CE730F00CB}"/>
    <cellStyle name="40% - Accent2 3" xfId="32" xr:uid="{C3190FF3-DC80-4126-A725-D27184047FB5}"/>
    <cellStyle name="40% - Accent2 3 2" xfId="38" xr:uid="{B839B438-0E30-469F-9194-DBE75948D39E}"/>
    <cellStyle name="40% - Accent4 2" xfId="27" xr:uid="{D3343909-23DC-4F93-AA92-20972535D1BA}"/>
    <cellStyle name="40% - Accent4 2 2" xfId="31" xr:uid="{B72E3993-F5AA-40B0-9A58-803B3BBD62C2}"/>
    <cellStyle name="40% - Accent4 2 2 2" xfId="39" xr:uid="{CB2A3939-3D07-49EE-97B2-4373F299D6C6}"/>
    <cellStyle name="ChartingText" xfId="14" xr:uid="{00000000-0005-0000-0000-000001000000}"/>
    <cellStyle name="CHPAboveAverage" xfId="15" xr:uid="{00000000-0005-0000-0000-000002000000}"/>
    <cellStyle name="CHPBelowAverage" xfId="15" xr:uid="{00000000-0005-0000-0000-000003000000}"/>
    <cellStyle name="CHPBottom" xfId="15" xr:uid="{00000000-0005-0000-0000-000004000000}"/>
    <cellStyle name="CHPTop" xfId="15" xr:uid="{00000000-0005-0000-0000-000005000000}"/>
    <cellStyle name="ColumnHeaderNormal" xfId="6" xr:uid="{00000000-0005-0000-0000-000006000000}"/>
    <cellStyle name="Comma" xfId="16" builtinId="3"/>
    <cellStyle name="Comma 2" xfId="41" xr:uid="{07CFDAFA-604E-4968-9C6E-B2D55CC1F827}"/>
    <cellStyle name="Comma 3" xfId="21" xr:uid="{00000000-0005-0000-0000-000008000000}"/>
    <cellStyle name="Comma 3 2" xfId="44" xr:uid="{9D62F1DE-CC75-46ED-8E77-E42A8A594193}"/>
    <cellStyle name="Currency" xfId="17" builtinId="4"/>
    <cellStyle name="Currency 2" xfId="43" xr:uid="{711D149A-6ABB-4FAA-8AC0-14ED2E3F5974}"/>
    <cellStyle name="Hyperlink" xfId="29" builtinId="8"/>
    <cellStyle name="Invisible" xfId="13" xr:uid="{00000000-0005-0000-0000-00000A000000}"/>
    <cellStyle name="Invisible 2" xfId="23" xr:uid="{00000000-0005-0000-0000-000044000000}"/>
    <cellStyle name="Invisible 2 2" xfId="35" xr:uid="{B5AB465D-6727-404A-8965-2497A86950FE}"/>
    <cellStyle name="Invisible 3" xfId="34" xr:uid="{DFEF2124-1B04-477D-9C26-20FE3B1DFB90}"/>
    <cellStyle name="NewColumnHeaderNormal" xfId="4" xr:uid="{00000000-0005-0000-0000-00000B000000}"/>
    <cellStyle name="NewSectionHeaderNormal" xfId="3" xr:uid="{00000000-0005-0000-0000-00000C000000}"/>
    <cellStyle name="NewTitleNormal" xfId="2" xr:uid="{00000000-0005-0000-0000-00000D000000}"/>
    <cellStyle name="Normal" xfId="0" builtinId="0"/>
    <cellStyle name="Normal 2" xfId="19" xr:uid="{00000000-0005-0000-0000-00000F000000}"/>
    <cellStyle name="Normal 2 2" xfId="22" xr:uid="{00000000-0005-0000-0000-000043000000}"/>
    <cellStyle name="Normal 3" xfId="24" xr:uid="{03488904-55C2-4359-9C3C-B1884D491B3D}"/>
    <cellStyle name="Normal 4" xfId="20" xr:uid="{00000000-0005-0000-0000-000010000000}"/>
    <cellStyle name="Normal 4 2" xfId="36" xr:uid="{E2108E94-6DE9-445D-B3C3-C015A4F6D58E}"/>
    <cellStyle name="Normal 4 3" xfId="40" xr:uid="{4F4BD9EF-CCC8-4C24-8CE3-B1876966438E}"/>
    <cellStyle name="Normal 5" xfId="28" xr:uid="{DC439C3F-2813-4C10-9F88-48AB539FCFFA}"/>
    <cellStyle name="Normal 6" xfId="30" xr:uid="{D441A5F3-9C55-4AA1-AD36-5E9AEF73B153}"/>
    <cellStyle name="Normal 7" xfId="33" xr:uid="{3AEBFCBA-A9CC-4EF0-B30B-C2439EED4B1E}"/>
    <cellStyle name="Normal 7 2" xfId="37" xr:uid="{61EC4CD7-1CAC-4FCF-BBB6-0A44182D0254}"/>
    <cellStyle name="Percent" xfId="18" builtinId="5"/>
    <cellStyle name="Percent 2" xfId="42" xr:uid="{BD1CC902-0517-4D78-9425-616A1AE14757}"/>
    <cellStyle name="SectionHeaderNormal" xfId="5" xr:uid="{00000000-0005-0000-0000-000012000000}"/>
    <cellStyle name="SubScript" xfId="9" xr:uid="{00000000-0005-0000-0000-000013000000}"/>
    <cellStyle name="SuperScript" xfId="8" xr:uid="{00000000-0005-0000-0000-000014000000}"/>
    <cellStyle name="TextBold" xfId="10" xr:uid="{00000000-0005-0000-0000-000015000000}"/>
    <cellStyle name="TextItalic" xfId="11" xr:uid="{00000000-0005-0000-0000-000016000000}"/>
    <cellStyle name="TextNormal" xfId="7" xr:uid="{00000000-0005-0000-0000-000017000000}"/>
    <cellStyle name="TitleNormal" xfId="1" xr:uid="{00000000-0005-0000-0000-000018000000}"/>
    <cellStyle name="Total" xfId="12" builtinId="25" customBuiltin="1"/>
    <cellStyle name="Total 2" xfId="26" xr:uid="{C924E7F1-5406-46C0-8984-8BC89DB2ED38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003876"/>
      <color rgb="FF3399FF"/>
      <color rgb="FF61AADF"/>
      <color rgb="FF008000"/>
      <color rgb="FFFF5B5B"/>
      <color rgb="FFEE9294"/>
      <color rgb="FF00368E"/>
      <color rgb="FF0000FF"/>
      <color rgb="FFA20000"/>
      <color rgb="FFF771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3831714492812122E-2"/>
          <c:w val="1"/>
          <c:h val="0.85958877399221112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dLbls>
            <c:dLbl>
              <c:idx val="6"/>
              <c:layout>
                <c:manualLayout>
                  <c:x val="0"/>
                  <c:y val="-0.216919541967857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38100" tIns="19050" rIns="38100" bIns="19050">
                <a:spAutoFit/>
              </a:bodyPr>
              <a:lstStyle/>
              <a:p>
                <a:pPr>
                  <a:defRPr sz="1000" b="1">
                    <a:solidFill>
                      <a:sysClr val="windowText" lastClr="000000"/>
                    </a:solidFill>
                    <a:latin typeface="Bookman Old Style" panose="020506040505050202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Summary'!$B$3:$B$6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Summary'!$C$3:$C$6</c:f>
              <c:numCache>
                <c:formatCode>"$"#,##0</c:formatCode>
                <c:ptCount val="4"/>
                <c:pt idx="0">
                  <c:v>-22.823131863312621</c:v>
                </c:pt>
                <c:pt idx="1">
                  <c:v>-14.565751463890697</c:v>
                </c:pt>
                <c:pt idx="2">
                  <c:v>22.320710356518322</c:v>
                </c:pt>
                <c:pt idx="3" formatCode="&quot;$&quot;#,##0.00_);[Red]\(&quot;$&quot;#,##0.00\)">
                  <c:v>22.320710356518322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2-47DC-9C9E-89E78EFEC87B}"/>
            </c:ext>
          </c:extLst>
        </c:ser>
        <c:ser>
          <c:idx val="1"/>
          <c:order val="1"/>
          <c:spPr>
            <a:solidFill>
              <a:srgbClr val="00206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36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22-47DC-9C9E-89E78EFEC87B}"/>
              </c:ext>
            </c:extLst>
          </c:dPt>
          <c:dPt>
            <c:idx val="1"/>
            <c:invertIfNegative val="0"/>
            <c:bubble3D val="0"/>
            <c:spPr>
              <a:solidFill>
                <a:srgbClr val="0036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22-47DC-9C9E-89E78EFEC87B}"/>
              </c:ext>
            </c:extLst>
          </c:dPt>
          <c:dPt>
            <c:idx val="2"/>
            <c:invertIfNegative val="0"/>
            <c:bubble3D val="0"/>
            <c:spPr>
              <a:solidFill>
                <a:srgbClr val="0036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82-44FE-B38B-D2995EF010E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E1-4622-93BB-56958CB88A4F}"/>
              </c:ext>
            </c:extLst>
          </c:dPt>
          <c:cat>
            <c:strRef>
              <c:f>'Valuation Summary'!$B$3:$B$6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Summary'!$D$3:$D$6</c:f>
              <c:numCache>
                <c:formatCode>"$"#,##0.00_);[Red]\("$"#,##0.00\)</c:formatCode>
                <c:ptCount val="4"/>
                <c:pt idx="0">
                  <c:v>14.588315729618037</c:v>
                </c:pt>
                <c:pt idx="1">
                  <c:v>11.596238095663224</c:v>
                </c:pt>
                <c:pt idx="2">
                  <c:v>6.5508837388184702</c:v>
                </c:pt>
                <c:pt idx="3">
                  <c:v>6.5508837388184702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22-47DC-9C9E-89E78EFEC87B}"/>
            </c:ext>
          </c:extLst>
        </c:ser>
        <c:ser>
          <c:idx val="2"/>
          <c:order val="2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38100" tIns="19050" rIns="38100" bIns="19050">
                <a:spAutoFit/>
              </a:bodyPr>
              <a:lstStyle/>
              <a:p>
                <a:pPr>
                  <a:defRPr sz="1000" b="1">
                    <a:solidFill>
                      <a:schemeClr val="tx1"/>
                    </a:solidFill>
                    <a:latin typeface="Bookman Old Style" panose="020506040505050202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Summary'!$B$3:$B$6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Summary'!$E$3:$E$6</c:f>
              <c:numCache>
                <c:formatCode>"$"#,##0</c:formatCode>
                <c:ptCount val="4"/>
                <c:pt idx="0">
                  <c:v>-8.2348161336945847</c:v>
                </c:pt>
                <c:pt idx="1">
                  <c:v>-2.9695133682274721</c:v>
                </c:pt>
                <c:pt idx="2" formatCode="&quot;$&quot;#,##0_);\(&quot;$&quot;#,##0\)">
                  <c:v>28.871594095336793</c:v>
                </c:pt>
                <c:pt idx="3" formatCode="&quot;$&quot;#,##0.00_);[Red]\(&quot;$&quot;#,##0.00\)">
                  <c:v>28.871594095336793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22-47DC-9C9E-89E78EFE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76562376"/>
        <c:axId val="776557784"/>
      </c:barChart>
      <c:lineChart>
        <c:grouping val="standard"/>
        <c:varyColors val="0"/>
        <c:ser>
          <c:idx val="3"/>
          <c:order val="3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'Valuation Summary'!$B$3:$B$6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22-47DC-9C9E-89E78EFEC87B}"/>
            </c:ext>
          </c:extLst>
        </c:ser>
        <c:ser>
          <c:idx val="4"/>
          <c:order val="4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'Valuation Summary'!$B$3:$B$6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22-47DC-9C9E-89E78EFEC87B}"/>
            </c:ext>
          </c:extLst>
        </c:ser>
        <c:ser>
          <c:idx val="5"/>
          <c:order val="5"/>
          <c:spPr>
            <a:ln>
              <a:solidFill>
                <a:schemeClr val="accent4"/>
              </a:solidFill>
            </a:ln>
          </c:spPr>
          <c:marker>
            <c:symbol val="none"/>
          </c:marker>
          <c:dLbls>
            <c:dLbl>
              <c:idx val="7"/>
              <c:layout>
                <c:manualLayout>
                  <c:x val="-5.7261440400132556E-3"/>
                  <c:y val="0"/>
                </c:manualLayout>
              </c:layout>
              <c:spPr/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Summary'!$B$3:$B$6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22-47DC-9C9E-89E78EFEC87B}"/>
            </c:ext>
          </c:extLst>
        </c:ser>
        <c:ser>
          <c:idx val="6"/>
          <c:order val="6"/>
          <c:spPr>
            <a:ln w="19050">
              <a:solidFill>
                <a:srgbClr val="00B0F0"/>
              </a:solidFill>
              <a:prstDash val="dash"/>
            </a:ln>
          </c:spPr>
          <c:marker>
            <c:symbol val="none"/>
          </c:marker>
          <c:dLbls>
            <c:dLbl>
              <c:idx val="7"/>
              <c:layout>
                <c:manualLayout>
                  <c:x val="-4.5092058132020166E-3"/>
                  <c:y val="-1.388889192670529E-3"/>
                </c:manualLayout>
              </c:layout>
              <c:spPr/>
              <c:txPr>
                <a:bodyPr lIns="38100" tIns="19050" rIns="38100" bIns="19050">
                  <a:no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121262150162604E-2"/>
                      <c:h val="3.75000082021015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Summary'!$B$3:$B$6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Summary'!$F$3:$F$6</c:f>
              <c:numCache>
                <c:formatCode>"$"#,##0.00;\("$"#,##0.00\);"--"</c:formatCode>
                <c:ptCount val="4"/>
                <c:pt idx="0">
                  <c:v>24.67</c:v>
                </c:pt>
                <c:pt idx="1">
                  <c:v>24.67</c:v>
                </c:pt>
                <c:pt idx="2">
                  <c:v>24.67</c:v>
                </c:pt>
                <c:pt idx="3">
                  <c:v>24.67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22-47DC-9C9E-89E78EFEC87B}"/>
            </c:ext>
          </c:extLst>
        </c:ser>
        <c:ser>
          <c:idx val="7"/>
          <c:order val="7"/>
          <c:spPr>
            <a:ln w="19050">
              <a:solidFill>
                <a:srgbClr val="00B0F0"/>
              </a:solidFill>
              <a:prstDash val="dash"/>
            </a:ln>
          </c:spPr>
          <c:marker>
            <c:symbol val="none"/>
          </c:marker>
          <c:dLbls>
            <c:dLbl>
              <c:idx val="7"/>
              <c:layout>
                <c:manualLayout>
                  <c:x val="-5.52076301489804E-3"/>
                  <c:y val="-2.7777783853409053E-3"/>
                </c:manualLayout>
              </c:layout>
              <c:spPr/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Summary'!$B$3:$B$6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Summary'!$G$3:$G$6</c:f>
              <c:numCache>
                <c:formatCode>"$"#,##0.00;\("$"#,##0.00\);"--"</c:formatCode>
                <c:ptCount val="4"/>
                <c:pt idx="0">
                  <c:v>45.4</c:v>
                </c:pt>
                <c:pt idx="1">
                  <c:v>45.4</c:v>
                </c:pt>
                <c:pt idx="2">
                  <c:v>45.4</c:v>
                </c:pt>
                <c:pt idx="3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22-47DC-9C9E-89E78EFEC87B}"/>
            </c:ext>
          </c:extLst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7"/>
              <c:layout>
                <c:manualLayout>
                  <c:x val="-5.5225257575257907E-3"/>
                  <c:y val="-2.7777783853408541E-3"/>
                </c:manualLayout>
              </c:layout>
              <c:spPr/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Summary'!$B$3:$B$6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Summary'!$H$3:$H$6</c:f>
              <c:numCache>
                <c:formatCode>"$"#,##0.00;\("$"#,##0.00\);"--"</c:formatCode>
                <c:ptCount val="4"/>
                <c:pt idx="0">
                  <c:v>19.3</c:v>
                </c:pt>
                <c:pt idx="1">
                  <c:v>19.3</c:v>
                </c:pt>
                <c:pt idx="2">
                  <c:v>19.3</c:v>
                </c:pt>
                <c:pt idx="3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922-47DC-9C9E-89E78EFEC87B}"/>
            </c:ext>
          </c:extLst>
        </c:ser>
        <c:ser>
          <c:idx val="9"/>
          <c:order val="9"/>
          <c:spPr>
            <a:ln w="12700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'Valuation Summary'!$B$3:$B$6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22-47DC-9C9E-89E78EFE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562376"/>
        <c:axId val="776557784"/>
      </c:lineChart>
      <c:catAx>
        <c:axId val="77656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Bookman Old Style" panose="0205060405050502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776557784"/>
        <c:crosses val="autoZero"/>
        <c:auto val="1"/>
        <c:lblAlgn val="ctr"/>
        <c:lblOffset val="100"/>
        <c:noMultiLvlLbl val="0"/>
      </c:catAx>
      <c:valAx>
        <c:axId val="776557784"/>
        <c:scaling>
          <c:orientation val="minMax"/>
          <c:max val="55"/>
          <c:min val="23"/>
        </c:scaling>
        <c:delete val="0"/>
        <c:axPos val="l"/>
        <c:numFmt formatCode="&quot;$&quot;#,##0" sourceLinked="1"/>
        <c:majorTickMark val="out"/>
        <c:minorTickMark val="none"/>
        <c:tickLblPos val="none"/>
        <c:crossAx val="7765623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4.xml"/><Relationship Id="rId13" Type="http://schemas.openxmlformats.org/officeDocument/2006/relationships/customXml" Target="../ink/ink19.xml"/><Relationship Id="rId3" Type="http://schemas.openxmlformats.org/officeDocument/2006/relationships/customXml" Target="../ink/ink9.xml"/><Relationship Id="rId7" Type="http://schemas.openxmlformats.org/officeDocument/2006/relationships/customXml" Target="../ink/ink13.xml"/><Relationship Id="rId12" Type="http://schemas.openxmlformats.org/officeDocument/2006/relationships/customXml" Target="../ink/ink18.xml"/><Relationship Id="rId2" Type="http://schemas.openxmlformats.org/officeDocument/2006/relationships/image" Target="../media/image8.png"/><Relationship Id="rId1" Type="http://schemas.openxmlformats.org/officeDocument/2006/relationships/customXml" Target="../ink/ink8.xml"/><Relationship Id="rId6" Type="http://schemas.openxmlformats.org/officeDocument/2006/relationships/customXml" Target="../ink/ink12.xml"/><Relationship Id="rId11" Type="http://schemas.openxmlformats.org/officeDocument/2006/relationships/customXml" Target="../ink/ink17.xml"/><Relationship Id="rId5" Type="http://schemas.openxmlformats.org/officeDocument/2006/relationships/customXml" Target="../ink/ink11.xml"/><Relationship Id="rId10" Type="http://schemas.openxmlformats.org/officeDocument/2006/relationships/customXml" Target="../ink/ink16.xml"/><Relationship Id="rId4" Type="http://schemas.openxmlformats.org/officeDocument/2006/relationships/customXml" Target="../ink/ink10.xml"/><Relationship Id="rId9" Type="http://schemas.openxmlformats.org/officeDocument/2006/relationships/customXml" Target="../ink/ink15.xml"/><Relationship Id="rId14" Type="http://schemas.openxmlformats.org/officeDocument/2006/relationships/customXml" Target="../ink/ink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2.xml"/><Relationship Id="rId2" Type="http://schemas.openxmlformats.org/officeDocument/2006/relationships/image" Target="../media/image12.png"/><Relationship Id="rId1" Type="http://schemas.openxmlformats.org/officeDocument/2006/relationships/customXml" Target="../ink/ink21.xml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24.xml"/><Relationship Id="rId2" Type="http://schemas.openxmlformats.org/officeDocument/2006/relationships/image" Target="../media/image9.png"/><Relationship Id="rId1" Type="http://schemas.openxmlformats.org/officeDocument/2006/relationships/customXml" Target="../ink/ink2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56521</xdr:colOff>
      <xdr:row>13</xdr:row>
      <xdr:rowOff>46005</xdr:rowOff>
    </xdr:from>
    <xdr:to>
      <xdr:col>7</xdr:col>
      <xdr:colOff>56881</xdr:colOff>
      <xdr:row>13</xdr:row>
      <xdr:rowOff>46365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8F808C9-33C8-4666-8238-B8AAA8F18079}"/>
                </a:ext>
              </a:extLst>
            </xdr14:cNvPr>
            <xdr14:cNvContentPartPr/>
          </xdr14:nvContentPartPr>
          <xdr14:nvPr macro=""/>
          <xdr14:xfrm>
            <a:off x="8863920" y="2529216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88F808C9-33C8-4666-8238-B8AAA8F1807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59600" y="2502576"/>
              <a:ext cx="900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660483</xdr:colOff>
      <xdr:row>5</xdr:row>
      <xdr:rowOff>133774</xdr:rowOff>
    </xdr:from>
    <xdr:to>
      <xdr:col>2</xdr:col>
      <xdr:colOff>660843</xdr:colOff>
      <xdr:row>5</xdr:row>
      <xdr:rowOff>134134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49BE47A-0D98-4B71-A6FC-D0BC406A2583}"/>
                </a:ext>
              </a:extLst>
            </xdr14:cNvPr>
            <xdr14:cNvContentPartPr/>
          </xdr14:nvContentPartPr>
          <xdr14:nvPr macro=""/>
          <xdr14:xfrm>
            <a:off x="4227840" y="1088856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49BE47A-0D98-4B71-A6FC-D0BC406A258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223520" y="1062216"/>
              <a:ext cx="900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485018</xdr:colOff>
      <xdr:row>2</xdr:row>
      <xdr:rowOff>113183</xdr:rowOff>
    </xdr:from>
    <xdr:to>
      <xdr:col>5</xdr:col>
      <xdr:colOff>485378</xdr:colOff>
      <xdr:row>2</xdr:row>
      <xdr:rowOff>113543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31B7F18-C8B0-47BD-8B2B-09CFE6B15637}"/>
                </a:ext>
              </a:extLst>
            </xdr14:cNvPr>
            <xdr14:cNvContentPartPr/>
          </xdr14:nvContentPartPr>
          <xdr14:nvPr macro=""/>
          <xdr14:xfrm>
            <a:off x="7196400" y="495216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31B7F18-C8B0-47BD-8B2B-09CFE6B1563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92080" y="468576"/>
              <a:ext cx="900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609003</xdr:colOff>
      <xdr:row>5</xdr:row>
      <xdr:rowOff>4534</xdr:rowOff>
    </xdr:from>
    <xdr:to>
      <xdr:col>2</xdr:col>
      <xdr:colOff>609363</xdr:colOff>
      <xdr:row>5</xdr:row>
      <xdr:rowOff>4894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44BC1F9-7E43-41AB-B364-03398EACF98E}"/>
                </a:ext>
              </a:extLst>
            </xdr14:cNvPr>
            <xdr14:cNvContentPartPr/>
          </xdr14:nvContentPartPr>
          <xdr14:nvPr macro=""/>
          <xdr14:xfrm>
            <a:off x="4176360" y="959616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44BC1F9-7E43-41AB-B364-03398EACF98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172040" y="932976"/>
              <a:ext cx="900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2529266</xdr:colOff>
      <xdr:row>18</xdr:row>
      <xdr:rowOff>25123</xdr:rowOff>
    </xdr:from>
    <xdr:to>
      <xdr:col>1</xdr:col>
      <xdr:colOff>2529626</xdr:colOff>
      <xdr:row>18</xdr:row>
      <xdr:rowOff>25483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FDEDDEE0-DBA5-4895-A0CA-103D139316DB}"/>
                </a:ext>
              </a:extLst>
            </xdr14:cNvPr>
            <xdr14:cNvContentPartPr/>
          </xdr14:nvContentPartPr>
          <xdr14:nvPr macro=""/>
          <xdr14:xfrm>
            <a:off x="2715120" y="3463416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FDEDDEE0-DBA5-4895-A0CA-103D139316D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10800" y="3436776"/>
              <a:ext cx="900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1026963</xdr:colOff>
      <xdr:row>15</xdr:row>
      <xdr:rowOff>35852</xdr:rowOff>
    </xdr:from>
    <xdr:to>
      <xdr:col>3</xdr:col>
      <xdr:colOff>32719</xdr:colOff>
      <xdr:row>15</xdr:row>
      <xdr:rowOff>36212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7843FE1-336C-4193-A197-2DAAD22F91D3}"/>
                </a:ext>
              </a:extLst>
            </xdr14:cNvPr>
            <xdr14:cNvContentPartPr/>
          </xdr14:nvContentPartPr>
          <xdr14:nvPr macro=""/>
          <xdr14:xfrm>
            <a:off x="4594320" y="2901096"/>
            <a:ext cx="3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7843FE1-336C-4193-A197-2DAAD22F91D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590000" y="2874456"/>
              <a:ext cx="900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1806746</xdr:colOff>
      <xdr:row>20</xdr:row>
      <xdr:rowOff>35850</xdr:rowOff>
    </xdr:from>
    <xdr:to>
      <xdr:col>1</xdr:col>
      <xdr:colOff>1807106</xdr:colOff>
      <xdr:row>20</xdr:row>
      <xdr:rowOff>36210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0C9493B-85C1-401C-9222-8E9CE16EB805}"/>
                </a:ext>
              </a:extLst>
            </xdr14:cNvPr>
            <xdr14:cNvContentPartPr/>
          </xdr14:nvContentPartPr>
          <xdr14:nvPr macro=""/>
          <xdr14:xfrm>
            <a:off x="1992600" y="3856176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D0C9493B-85C1-401C-9222-8E9CE16EB80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88280" y="3829176"/>
              <a:ext cx="9000" cy="54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470981</xdr:colOff>
      <xdr:row>8</xdr:row>
      <xdr:rowOff>47694</xdr:rowOff>
    </xdr:from>
    <xdr:to>
      <xdr:col>2</xdr:col>
      <xdr:colOff>487901</xdr:colOff>
      <xdr:row>8</xdr:row>
      <xdr:rowOff>80454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C89143E-7726-4D99-8F51-779F1FE77DC9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04EE4D5-2816-430A-91C6-BCD62C15919F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54E377B-3A83-4CC7-B09A-3D6B4389A7E4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3FC3D33-9122-48A2-AF35-C39D76AA5610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7E97E11-2BDB-4E8B-8DF1-B5A6782E1B04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FA5AB0E-3451-4A1E-B3E8-4B40F66F8846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00CFF9D-3303-48D9-AE4B-E11D7DD12689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9917CD8-798F-4878-89B4-AF642CEE2429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4444DBB-B182-42E9-A199-A58B8FDE4D1A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13EC123-F040-437B-8C14-7EFF955DC602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56FDB2F-317A-4F69-8E5E-FD9195A1EBCD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470981</xdr:colOff>
      <xdr:row>8</xdr:row>
      <xdr:rowOff>47694</xdr:rowOff>
    </xdr:from>
    <xdr:ext cx="16920" cy="327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048888F-7921-4821-897A-0D097E815BE0}"/>
                </a:ext>
              </a:extLst>
            </xdr14:cNvPr>
            <xdr14:cNvContentPartPr/>
          </xdr14:nvContentPartPr>
          <xdr14:nvPr macro=""/>
          <xdr14:xfrm>
            <a:off x="3889800" y="1376640"/>
            <a:ext cx="16920" cy="32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34EF22-9C02-43D9-B1F5-DFD7731A33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85480" y="1350000"/>
              <a:ext cx="25560" cy="864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277170</xdr:colOff>
      <xdr:row>7</xdr:row>
      <xdr:rowOff>218671</xdr:rowOff>
    </xdr:from>
    <xdr:to>
      <xdr:col>15</xdr:col>
      <xdr:colOff>5211</xdr:colOff>
      <xdr:row>7</xdr:row>
      <xdr:rowOff>219031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2D59D36-4179-4646-AC4C-C72143F281D5}"/>
                </a:ext>
              </a:extLst>
            </xdr14:cNvPr>
            <xdr14:cNvContentPartPr/>
          </xdr14:nvContentPartPr>
          <xdr14:nvPr macro=""/>
          <xdr14:xfrm>
            <a:off x="14181480" y="14302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2D59D36-4179-4646-AC4C-C72143F281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63840" y="13222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50577</xdr:colOff>
      <xdr:row>8</xdr:row>
      <xdr:rowOff>21396</xdr:rowOff>
    </xdr:from>
    <xdr:to>
      <xdr:col>10</xdr:col>
      <xdr:colOff>50937</xdr:colOff>
      <xdr:row>8</xdr:row>
      <xdr:rowOff>21756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C33AAFA-C042-45AC-B760-94A2563912AA}"/>
                </a:ext>
              </a:extLst>
            </xdr14:cNvPr>
            <xdr14:cNvContentPartPr/>
          </xdr14:nvContentPartPr>
          <xdr14:nvPr macro=""/>
          <xdr14:xfrm>
            <a:off x="9553680" y="152496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C33AAFA-C042-45AC-B760-94A2563912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535680" y="14173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109957</xdr:colOff>
      <xdr:row>6</xdr:row>
      <xdr:rowOff>138113</xdr:rowOff>
    </xdr:from>
    <xdr:to>
      <xdr:col>7</xdr:col>
      <xdr:colOff>1512092</xdr:colOff>
      <xdr:row>33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817D5-B779-4006-959F-128B254BE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473345</xdr:colOff>
      <xdr:row>11</xdr:row>
      <xdr:rowOff>104227</xdr:rowOff>
    </xdr:from>
    <xdr:to>
      <xdr:col>2</xdr:col>
      <xdr:colOff>473705</xdr:colOff>
      <xdr:row>11</xdr:row>
      <xdr:rowOff>104587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EAF43F-D594-4B9D-B91F-A8CBB02282CF}"/>
                </a:ext>
              </a:extLst>
            </xdr14:cNvPr>
            <xdr14:cNvContentPartPr/>
          </xdr14:nvContentPartPr>
          <xdr14:nvPr macro=""/>
          <xdr14:xfrm>
            <a:off x="4275886" y="1681936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EAF43F-D594-4B9D-B91F-A8CBB0228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71566" y="1654936"/>
              <a:ext cx="900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523745</xdr:colOff>
      <xdr:row>12</xdr:row>
      <xdr:rowOff>87444</xdr:rowOff>
    </xdr:from>
    <xdr:to>
      <xdr:col>2</xdr:col>
      <xdr:colOff>524105</xdr:colOff>
      <xdr:row>12</xdr:row>
      <xdr:rowOff>87804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E1912F9-1C5A-4B8F-A55B-A4DBCB26E08D}"/>
                </a:ext>
              </a:extLst>
            </xdr14:cNvPr>
            <xdr14:cNvContentPartPr/>
          </xdr14:nvContentPartPr>
          <xdr14:nvPr macro=""/>
          <xdr14:xfrm>
            <a:off x="4326286" y="1795696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E1912F9-1C5A-4B8F-A55B-A4DBCB26E08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21966" y="1769056"/>
              <a:ext cx="9000" cy="54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1107180</xdr:colOff>
      <xdr:row>3</xdr:row>
      <xdr:rowOff>151966</xdr:rowOff>
    </xdr:from>
    <xdr:to>
      <xdr:col>5</xdr:col>
      <xdr:colOff>1123462</xdr:colOff>
      <xdr:row>49</xdr:row>
      <xdr:rowOff>151965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4C923F4-EFDF-4CEC-85C9-71338F996B52}"/>
            </a:ext>
          </a:extLst>
        </xdr:cNvPr>
        <xdr:cNvCxnSpPr/>
      </xdr:nvCxnSpPr>
      <xdr:spPr bwMode="auto">
        <a:xfrm flipH="1">
          <a:off x="6860171" y="770684"/>
          <a:ext cx="16282" cy="74897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&amp;A\CLIENTS\Rona\2012\Comps\M&amp;A%20Trading%20Co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izontal Summary"/>
      <sheetName val="Vertical Summary"/>
      <sheetName val="Capitalization Table"/>
      <sheetName val="blank"/>
      <sheetName val="xyz"/>
      <sheetName val="abc"/>
      <sheetName val="WJX.UN"/>
    </sheetNames>
    <sheetDataSet>
      <sheetData sheetId="0">
        <row r="10">
          <cell r="F10" t="str">
            <v xml:space="preserve">Share </v>
          </cell>
          <cell r="H10" t="str">
            <v xml:space="preserve">Equity </v>
          </cell>
          <cell r="J10" t="str">
            <v>Enterprise</v>
          </cell>
          <cell r="L10" t="str">
            <v>EV/Sales</v>
          </cell>
          <cell r="S10" t="str">
            <v>EV/EBITDA</v>
          </cell>
          <cell r="Z10" t="str">
            <v>EV/EBIT</v>
          </cell>
          <cell r="AG10" t="str">
            <v>P/E</v>
          </cell>
          <cell r="AN10" t="str">
            <v>Fwd Growth</v>
          </cell>
          <cell r="AQ10" t="str">
            <v xml:space="preserve"> </v>
          </cell>
          <cell r="AR10" t="str">
            <v>Hist Growth</v>
          </cell>
          <cell r="AW10" t="str">
            <v>Net Debt</v>
          </cell>
          <cell r="BD10" t="str">
            <v>LTM Margin</v>
          </cell>
          <cell r="BI10" t="str">
            <v xml:space="preserve"> </v>
          </cell>
          <cell r="BK10" t="str">
            <v>FY+1 Margin</v>
          </cell>
          <cell r="BP10" t="str">
            <v xml:space="preserve"> </v>
          </cell>
          <cell r="BR10" t="str">
            <v>Capex/</v>
          </cell>
        </row>
        <row r="11">
          <cell r="F11" t="str">
            <v>Price</v>
          </cell>
          <cell r="H11" t="str">
            <v>Value</v>
          </cell>
          <cell r="J11" t="str">
            <v>Value</v>
          </cell>
          <cell r="L11" t="str">
            <v>LTM</v>
          </cell>
          <cell r="N11" t="str">
            <v>FY+1</v>
          </cell>
          <cell r="P11" t="str">
            <v>FY+2</v>
          </cell>
          <cell r="S11" t="str">
            <v>LTM</v>
          </cell>
          <cell r="U11" t="str">
            <v>FY+1</v>
          </cell>
          <cell r="W11" t="str">
            <v>FY+2</v>
          </cell>
          <cell r="Z11" t="str">
            <v>LTM</v>
          </cell>
          <cell r="AB11" t="str">
            <v>FY+1</v>
          </cell>
          <cell r="AD11" t="str">
            <v>FY+2</v>
          </cell>
          <cell r="AG11" t="str">
            <v>LTM</v>
          </cell>
          <cell r="AI11" t="str">
            <v>FY+1</v>
          </cell>
          <cell r="AK11" t="str">
            <v>FY+2</v>
          </cell>
          <cell r="AN11" t="str">
            <v>EPS</v>
          </cell>
          <cell r="AP11" t="str">
            <v>EBITDA</v>
          </cell>
          <cell r="AR11" t="str">
            <v>EPS</v>
          </cell>
          <cell r="AT11" t="str">
            <v>EBITDA</v>
          </cell>
          <cell r="AW11" t="str">
            <v>EBITDA</v>
          </cell>
          <cell r="AY11" t="str">
            <v>EV</v>
          </cell>
          <cell r="BA11" t="str">
            <v>Book Cap</v>
          </cell>
          <cell r="BD11" t="str">
            <v>EBITDA</v>
          </cell>
          <cell r="BF11" t="str">
            <v>EBIT</v>
          </cell>
          <cell r="BH11" t="str">
            <v>Net Income</v>
          </cell>
          <cell r="BK11" t="str">
            <v>EBITDA</v>
          </cell>
          <cell r="BM11" t="str">
            <v>EBIT</v>
          </cell>
          <cell r="BO11" t="str">
            <v>Net Income</v>
          </cell>
          <cell r="BR11" t="str">
            <v>LTM Sales</v>
          </cell>
        </row>
        <row r="12">
          <cell r="E12" t="str">
            <v>C$ Million unless otherwise noted</v>
          </cell>
          <cell r="F12" t="str">
            <v>C$</v>
          </cell>
        </row>
        <row r="14">
          <cell r="E14" t="str">
            <v>Group A</v>
          </cell>
        </row>
        <row r="15">
          <cell r="E15" t="str">
            <v xml:space="preserve">Company </v>
          </cell>
          <cell r="F15">
            <v>52.5</v>
          </cell>
          <cell r="H15">
            <v>8119.7339170999994</v>
          </cell>
          <cell r="J15">
            <v>9058.7159170999985</v>
          </cell>
          <cell r="L15">
            <v>2.172536805160338</v>
          </cell>
          <cell r="N15" t="str">
            <v xml:space="preserve">           na</v>
          </cell>
          <cell r="P15" t="str">
            <v xml:space="preserve">           na</v>
          </cell>
          <cell r="S15">
            <v>14.045500720360332</v>
          </cell>
          <cell r="U15" t="str">
            <v xml:space="preserve">           na</v>
          </cell>
          <cell r="W15" t="str">
            <v xml:space="preserve">           na</v>
          </cell>
          <cell r="Z15">
            <v>18.084806842655844</v>
          </cell>
          <cell r="AB15" t="str">
            <v xml:space="preserve">           na</v>
          </cell>
          <cell r="AD15" t="str">
            <v xml:space="preserve">           na</v>
          </cell>
          <cell r="AG15">
            <v>37.439948994896</v>
          </cell>
          <cell r="AI15" t="str">
            <v xml:space="preserve">           na</v>
          </cell>
          <cell r="AK15" t="str">
            <v xml:space="preserve">           na</v>
          </cell>
          <cell r="AN15">
            <v>-1</v>
          </cell>
          <cell r="AP15">
            <v>-1</v>
          </cell>
          <cell r="AR15" t="str">
            <v xml:space="preserve">          na</v>
          </cell>
          <cell r="AT15" t="str">
            <v xml:space="preserve">          na</v>
          </cell>
          <cell r="AW15">
            <v>1.4558876200665161</v>
          </cell>
          <cell r="AY15">
            <v>0.10365508849079792</v>
          </cell>
          <cell r="BA15">
            <v>0.43808511611111056</v>
          </cell>
          <cell r="BD15">
            <v>0.15467848732591161</v>
          </cell>
          <cell r="BF15">
            <v>0.12013049539661493</v>
          </cell>
          <cell r="BH15">
            <v>5.1649623265651382E-2</v>
          </cell>
          <cell r="BK15" t="str">
            <v xml:space="preserve">        na</v>
          </cell>
          <cell r="BM15" t="str">
            <v xml:space="preserve">        na</v>
          </cell>
          <cell r="BO15" t="str">
            <v xml:space="preserve">        na</v>
          </cell>
          <cell r="BR15">
            <v>4.1863955455243351E-2</v>
          </cell>
        </row>
        <row r="16">
          <cell r="E16" t="str">
            <v>ABC</v>
          </cell>
          <cell r="F16">
            <v>25</v>
          </cell>
          <cell r="H16">
            <v>4130.5779545999994</v>
          </cell>
          <cell r="J16">
            <v>5069.5599545999994</v>
          </cell>
          <cell r="L16">
            <v>1.2158241508098162</v>
          </cell>
          <cell r="N16" t="str">
            <v xml:space="preserve">           na</v>
          </cell>
          <cell r="P16" t="str">
            <v xml:space="preserve">           na</v>
          </cell>
          <cell r="S16">
            <v>7.8603312705537585</v>
          </cell>
          <cell r="U16" t="str">
            <v xml:space="preserve">           na</v>
          </cell>
          <cell r="W16" t="str">
            <v xml:space="preserve">           na</v>
          </cell>
          <cell r="Z16">
            <v>10.120861874378619</v>
          </cell>
          <cell r="AB16" t="str">
            <v xml:space="preserve">           na</v>
          </cell>
          <cell r="AD16" t="str">
            <v xml:space="preserve">           na</v>
          </cell>
          <cell r="AG16">
            <v>17.828547140426668</v>
          </cell>
          <cell r="AI16" t="str">
            <v xml:space="preserve">           na</v>
          </cell>
          <cell r="AK16" t="str">
            <v xml:space="preserve">           na</v>
          </cell>
          <cell r="AN16">
            <v>-1</v>
          </cell>
          <cell r="AP16">
            <v>-1</v>
          </cell>
          <cell r="AR16" t="str">
            <v xml:space="preserve">          na</v>
          </cell>
          <cell r="AT16" t="str">
            <v xml:space="preserve">          na</v>
          </cell>
          <cell r="AW16">
            <v>1.4558876200665161</v>
          </cell>
          <cell r="AY16">
            <v>0.18521962624152216</v>
          </cell>
          <cell r="BA16">
            <v>0.43808511611111056</v>
          </cell>
          <cell r="BD16">
            <v>0.15467848732591161</v>
          </cell>
          <cell r="BF16">
            <v>0.12013049539661493</v>
          </cell>
          <cell r="BH16">
            <v>5.1649623265651382E-2</v>
          </cell>
          <cell r="BK16" t="str">
            <v xml:space="preserve">        na</v>
          </cell>
          <cell r="BM16" t="str">
            <v xml:space="preserve">        na</v>
          </cell>
          <cell r="BO16" t="str">
            <v xml:space="preserve">        na</v>
          </cell>
          <cell r="BR16">
            <v>4.1863955455243351E-2</v>
          </cell>
        </row>
        <row r="17">
          <cell r="E17" t="str">
            <v xml:space="preserve">Company </v>
          </cell>
          <cell r="F17">
            <v>52.5</v>
          </cell>
          <cell r="H17">
            <v>8119.7339170999994</v>
          </cell>
          <cell r="J17">
            <v>9058.7159170999985</v>
          </cell>
          <cell r="L17">
            <v>2.172536805160338</v>
          </cell>
          <cell r="N17" t="str">
            <v xml:space="preserve">           na</v>
          </cell>
          <cell r="P17" t="str">
            <v xml:space="preserve">           na</v>
          </cell>
          <cell r="S17">
            <v>14.045500720360332</v>
          </cell>
          <cell r="U17" t="str">
            <v xml:space="preserve">           na</v>
          </cell>
          <cell r="W17" t="str">
            <v xml:space="preserve">           na</v>
          </cell>
          <cell r="Z17">
            <v>18.084806842655844</v>
          </cell>
          <cell r="AB17" t="str">
            <v xml:space="preserve">           na</v>
          </cell>
          <cell r="AD17" t="str">
            <v xml:space="preserve">           na</v>
          </cell>
          <cell r="AG17">
            <v>37.439948994896</v>
          </cell>
          <cell r="AI17" t="str">
            <v xml:space="preserve">           na</v>
          </cell>
          <cell r="AK17" t="str">
            <v xml:space="preserve">           na</v>
          </cell>
          <cell r="AN17">
            <v>-1</v>
          </cell>
          <cell r="AP17">
            <v>-1</v>
          </cell>
          <cell r="AR17" t="str">
            <v xml:space="preserve">          na</v>
          </cell>
          <cell r="AT17" t="str">
            <v xml:space="preserve">          na</v>
          </cell>
          <cell r="AW17">
            <v>1.4558876200665161</v>
          </cell>
          <cell r="AY17">
            <v>0.10365508849079792</v>
          </cell>
          <cell r="BA17">
            <v>0.43808511611111056</v>
          </cell>
          <cell r="BD17">
            <v>0.15467848732591161</v>
          </cell>
          <cell r="BF17">
            <v>0.12013049539661493</v>
          </cell>
          <cell r="BH17">
            <v>5.1649623265651382E-2</v>
          </cell>
          <cell r="BK17" t="str">
            <v xml:space="preserve">        na</v>
          </cell>
          <cell r="BM17" t="str">
            <v xml:space="preserve">        na</v>
          </cell>
          <cell r="BO17" t="str">
            <v xml:space="preserve">        na</v>
          </cell>
          <cell r="BR17">
            <v>4.1863955455243351E-2</v>
          </cell>
        </row>
        <row r="18">
          <cell r="E18" t="str">
            <v xml:space="preserve">Company </v>
          </cell>
          <cell r="F18">
            <v>52.5</v>
          </cell>
          <cell r="H18">
            <v>8119.7339170999994</v>
          </cell>
          <cell r="J18">
            <v>9058.7159170999985</v>
          </cell>
          <cell r="L18">
            <v>2.172536805160338</v>
          </cell>
          <cell r="N18" t="str">
            <v xml:space="preserve">           na</v>
          </cell>
          <cell r="P18" t="str">
            <v xml:space="preserve">           na</v>
          </cell>
          <cell r="S18">
            <v>14.045500720360332</v>
          </cell>
          <cell r="U18" t="str">
            <v xml:space="preserve">           na</v>
          </cell>
          <cell r="W18" t="str">
            <v xml:space="preserve">           na</v>
          </cell>
          <cell r="Z18">
            <v>18.084806842655844</v>
          </cell>
          <cell r="AB18" t="str">
            <v xml:space="preserve">           na</v>
          </cell>
          <cell r="AD18" t="str">
            <v xml:space="preserve">           na</v>
          </cell>
          <cell r="AG18">
            <v>37.439948994896</v>
          </cell>
          <cell r="AI18" t="str">
            <v xml:space="preserve">           na</v>
          </cell>
          <cell r="AK18" t="str">
            <v xml:space="preserve">           na</v>
          </cell>
          <cell r="AN18">
            <v>-1</v>
          </cell>
          <cell r="AP18">
            <v>-1</v>
          </cell>
          <cell r="AR18" t="str">
            <v xml:space="preserve">          na</v>
          </cell>
          <cell r="AT18" t="str">
            <v xml:space="preserve">          na</v>
          </cell>
          <cell r="AW18">
            <v>1.4558876200665161</v>
          </cell>
          <cell r="AY18">
            <v>0.10365508849079792</v>
          </cell>
          <cell r="BA18">
            <v>0.43808511611111056</v>
          </cell>
          <cell r="BD18">
            <v>0.15467848732591161</v>
          </cell>
          <cell r="BF18">
            <v>0.12013049539661493</v>
          </cell>
          <cell r="BH18">
            <v>5.1649623265651382E-2</v>
          </cell>
          <cell r="BK18" t="str">
            <v xml:space="preserve">        na</v>
          </cell>
          <cell r="BM18" t="str">
            <v xml:space="preserve">        na</v>
          </cell>
          <cell r="BO18" t="str">
            <v xml:space="preserve">        na</v>
          </cell>
          <cell r="BR18">
            <v>4.1863955455243351E-2</v>
          </cell>
        </row>
        <row r="19">
          <cell r="E19" t="str">
            <v xml:space="preserve">Company </v>
          </cell>
          <cell r="F19">
            <v>52.5</v>
          </cell>
          <cell r="H19">
            <v>8119.7339170999994</v>
          </cell>
          <cell r="J19">
            <v>9058.7159170999985</v>
          </cell>
          <cell r="L19">
            <v>2.172536805160338</v>
          </cell>
          <cell r="N19" t="str">
            <v xml:space="preserve">           na</v>
          </cell>
          <cell r="P19" t="str">
            <v xml:space="preserve">           na</v>
          </cell>
          <cell r="S19">
            <v>14.045500720360332</v>
          </cell>
          <cell r="U19" t="str">
            <v xml:space="preserve">           na</v>
          </cell>
          <cell r="W19" t="str">
            <v xml:space="preserve">           na</v>
          </cell>
          <cell r="Z19">
            <v>18.084806842655844</v>
          </cell>
          <cell r="AB19" t="str">
            <v xml:space="preserve">           na</v>
          </cell>
          <cell r="AD19" t="str">
            <v xml:space="preserve">           na</v>
          </cell>
          <cell r="AG19">
            <v>37.439948994896</v>
          </cell>
          <cell r="AI19" t="str">
            <v xml:space="preserve">           na</v>
          </cell>
          <cell r="AK19" t="str">
            <v xml:space="preserve">           na</v>
          </cell>
          <cell r="AN19">
            <v>-1</v>
          </cell>
          <cell r="AP19">
            <v>-1</v>
          </cell>
          <cell r="AR19" t="str">
            <v xml:space="preserve">          na</v>
          </cell>
          <cell r="AT19" t="str">
            <v xml:space="preserve">          na</v>
          </cell>
          <cell r="AW19">
            <v>1.4558876200665161</v>
          </cell>
          <cell r="AY19">
            <v>0.10365508849079792</v>
          </cell>
          <cell r="BA19">
            <v>0.43808511611111056</v>
          </cell>
          <cell r="BD19">
            <v>0.15467848732591161</v>
          </cell>
          <cell r="BF19">
            <v>0.12013049539661493</v>
          </cell>
          <cell r="BH19">
            <v>5.1649623265651382E-2</v>
          </cell>
          <cell r="BK19" t="str">
            <v xml:space="preserve">        na</v>
          </cell>
          <cell r="BM19" t="str">
            <v xml:space="preserve">        na</v>
          </cell>
          <cell r="BO19" t="str">
            <v xml:space="preserve">        na</v>
          </cell>
          <cell r="BR19">
            <v>4.1863955455243351E-2</v>
          </cell>
        </row>
        <row r="20">
          <cell r="E20" t="str">
            <v xml:space="preserve">Company </v>
          </cell>
          <cell r="F20">
            <v>52.5</v>
          </cell>
          <cell r="H20">
            <v>8119.7339170999994</v>
          </cell>
          <cell r="J20">
            <v>9058.7159170999985</v>
          </cell>
          <cell r="L20">
            <v>2.172536805160338</v>
          </cell>
          <cell r="N20" t="str">
            <v xml:space="preserve">           na</v>
          </cell>
          <cell r="P20" t="str">
            <v xml:space="preserve">           na</v>
          </cell>
          <cell r="S20">
            <v>14.045500720360332</v>
          </cell>
          <cell r="U20" t="str">
            <v xml:space="preserve">           na</v>
          </cell>
          <cell r="W20" t="str">
            <v xml:space="preserve">           na</v>
          </cell>
          <cell r="Z20">
            <v>18.084806842655844</v>
          </cell>
          <cell r="AB20" t="str">
            <v xml:space="preserve">           na</v>
          </cell>
          <cell r="AD20" t="str">
            <v xml:space="preserve">           na</v>
          </cell>
          <cell r="AG20">
            <v>37.439948994896</v>
          </cell>
          <cell r="AI20" t="str">
            <v xml:space="preserve">           na</v>
          </cell>
          <cell r="AK20" t="str">
            <v xml:space="preserve">           na</v>
          </cell>
          <cell r="AN20">
            <v>-1</v>
          </cell>
          <cell r="AP20">
            <v>-1</v>
          </cell>
          <cell r="AR20" t="str">
            <v xml:space="preserve">          na</v>
          </cell>
          <cell r="AT20" t="str">
            <v xml:space="preserve">          na</v>
          </cell>
          <cell r="AW20">
            <v>1.4558876200665161</v>
          </cell>
          <cell r="AY20">
            <v>0.10365508849079792</v>
          </cell>
          <cell r="BA20">
            <v>0.43808511611111056</v>
          </cell>
          <cell r="BD20">
            <v>0.15467848732591161</v>
          </cell>
          <cell r="BF20">
            <v>0.12013049539661493</v>
          </cell>
          <cell r="BH20">
            <v>5.1649623265651382E-2</v>
          </cell>
          <cell r="BK20" t="str">
            <v xml:space="preserve">        na</v>
          </cell>
          <cell r="BM20" t="str">
            <v xml:space="preserve">        na</v>
          </cell>
          <cell r="BO20" t="str">
            <v xml:space="preserve">        na</v>
          </cell>
          <cell r="BR20">
            <v>4.1863955455243351E-2</v>
          </cell>
        </row>
        <row r="21">
          <cell r="E21" t="str">
            <v xml:space="preserve">Company </v>
          </cell>
          <cell r="F21">
            <v>52.5</v>
          </cell>
          <cell r="H21">
            <v>8119.7339170999994</v>
          </cell>
          <cell r="J21">
            <v>9058.7159170999985</v>
          </cell>
          <cell r="L21">
            <v>2.172536805160338</v>
          </cell>
          <cell r="N21" t="str">
            <v xml:space="preserve">           na</v>
          </cell>
          <cell r="P21" t="str">
            <v xml:space="preserve">           na</v>
          </cell>
          <cell r="S21">
            <v>14.045500720360332</v>
          </cell>
          <cell r="U21" t="str">
            <v xml:space="preserve">           na</v>
          </cell>
          <cell r="W21" t="str">
            <v xml:space="preserve">           na</v>
          </cell>
          <cell r="Z21">
            <v>18.084806842655844</v>
          </cell>
          <cell r="AB21" t="str">
            <v xml:space="preserve">           na</v>
          </cell>
          <cell r="AD21" t="str">
            <v xml:space="preserve">           na</v>
          </cell>
          <cell r="AG21">
            <v>37.439948994896</v>
          </cell>
          <cell r="AI21" t="str">
            <v xml:space="preserve">           na</v>
          </cell>
          <cell r="AK21" t="str">
            <v xml:space="preserve">           na</v>
          </cell>
          <cell r="AN21">
            <v>-1</v>
          </cell>
          <cell r="AP21">
            <v>-1</v>
          </cell>
          <cell r="AR21" t="str">
            <v xml:space="preserve">          na</v>
          </cell>
          <cell r="AT21" t="str">
            <v xml:space="preserve">          na</v>
          </cell>
          <cell r="AW21">
            <v>1.4558876200665161</v>
          </cell>
          <cell r="AY21">
            <v>0.10365508849079792</v>
          </cell>
          <cell r="BA21">
            <v>0.43808511611111056</v>
          </cell>
          <cell r="BD21">
            <v>0.15467848732591161</v>
          </cell>
          <cell r="BF21">
            <v>0.12013049539661493</v>
          </cell>
          <cell r="BH21">
            <v>5.1649623265651382E-2</v>
          </cell>
          <cell r="BK21" t="str">
            <v xml:space="preserve">        na</v>
          </cell>
          <cell r="BM21" t="str">
            <v xml:space="preserve">        na</v>
          </cell>
          <cell r="BO21" t="str">
            <v xml:space="preserve">        na</v>
          </cell>
          <cell r="BR21">
            <v>4.1863955455243351E-2</v>
          </cell>
        </row>
        <row r="23">
          <cell r="E23" t="str">
            <v>Average</v>
          </cell>
          <cell r="L23">
            <v>2.0358635688245488</v>
          </cell>
          <cell r="N23" t="str">
            <v xml:space="preserve">           na</v>
          </cell>
          <cell r="P23" t="str">
            <v xml:space="preserve">           na</v>
          </cell>
          <cell r="S23">
            <v>13.16190508467368</v>
          </cell>
          <cell r="U23" t="str">
            <v xml:space="preserve">           na</v>
          </cell>
          <cell r="W23" t="str">
            <v xml:space="preserve">           na</v>
          </cell>
          <cell r="Z23">
            <v>16.947100418616238</v>
          </cell>
          <cell r="AB23" t="str">
            <v xml:space="preserve">           na</v>
          </cell>
          <cell r="AD23" t="str">
            <v xml:space="preserve">           na</v>
          </cell>
          <cell r="AG23">
            <v>34.638320158543237</v>
          </cell>
          <cell r="AI23" t="str">
            <v xml:space="preserve">           na</v>
          </cell>
          <cell r="AK23" t="str">
            <v xml:space="preserve">           na</v>
          </cell>
          <cell r="AN23">
            <v>-1</v>
          </cell>
          <cell r="AP23">
            <v>-1</v>
          </cell>
          <cell r="AR23" t="str">
            <v xml:space="preserve">           na</v>
          </cell>
          <cell r="AT23" t="str">
            <v xml:space="preserve">           na</v>
          </cell>
          <cell r="AW23">
            <v>1.4558876200665161</v>
          </cell>
          <cell r="AY23">
            <v>0.11530716531232997</v>
          </cell>
          <cell r="BA23">
            <v>0.43808511611111056</v>
          </cell>
          <cell r="BD23">
            <v>0.15467848732591158</v>
          </cell>
          <cell r="BF23">
            <v>0.12013049539661493</v>
          </cell>
          <cell r="BH23">
            <v>5.1649623265651375E-2</v>
          </cell>
          <cell r="BK23" t="str">
            <v xml:space="preserve">         na</v>
          </cell>
          <cell r="BM23" t="str">
            <v xml:space="preserve">         na</v>
          </cell>
          <cell r="BO23" t="str">
            <v xml:space="preserve">         na</v>
          </cell>
          <cell r="BR23">
            <v>4.1863955455243351E-2</v>
          </cell>
        </row>
        <row r="24">
          <cell r="E24" t="str">
            <v>Median</v>
          </cell>
          <cell r="L24">
            <v>2.172536805160338</v>
          </cell>
          <cell r="N24" t="str">
            <v xml:space="preserve">           na</v>
          </cell>
          <cell r="P24" t="str">
            <v xml:space="preserve">           na</v>
          </cell>
          <cell r="S24">
            <v>14.045500720360332</v>
          </cell>
          <cell r="U24" t="str">
            <v xml:space="preserve">           na</v>
          </cell>
          <cell r="W24" t="str">
            <v xml:space="preserve">           na</v>
          </cell>
          <cell r="Z24">
            <v>18.084806842655844</v>
          </cell>
          <cell r="AB24" t="str">
            <v xml:space="preserve">           na</v>
          </cell>
          <cell r="AD24" t="str">
            <v xml:space="preserve">           na</v>
          </cell>
          <cell r="AG24">
            <v>37.439948994896</v>
          </cell>
          <cell r="AI24" t="str">
            <v xml:space="preserve">           na</v>
          </cell>
          <cell r="AK24" t="str">
            <v xml:space="preserve">           na</v>
          </cell>
          <cell r="AN24">
            <v>-1</v>
          </cell>
          <cell r="AP24">
            <v>-1</v>
          </cell>
          <cell r="AR24" t="str">
            <v xml:space="preserve">           na</v>
          </cell>
          <cell r="AT24" t="str">
            <v xml:space="preserve">           na</v>
          </cell>
          <cell r="AW24">
            <v>1.4558876200665161</v>
          </cell>
          <cell r="AY24">
            <v>0.10365508849079792</v>
          </cell>
          <cell r="BA24">
            <v>0.43808511611111056</v>
          </cell>
          <cell r="BD24">
            <v>0.15467848732591161</v>
          </cell>
          <cell r="BF24">
            <v>0.12013049539661493</v>
          </cell>
          <cell r="BH24">
            <v>5.1649623265651382E-2</v>
          </cell>
          <cell r="BK24" t="str">
            <v xml:space="preserve">         na</v>
          </cell>
          <cell r="BM24" t="str">
            <v xml:space="preserve">         na</v>
          </cell>
          <cell r="BO24" t="str">
            <v xml:space="preserve">         na</v>
          </cell>
          <cell r="BR24">
            <v>4.1863955455243351E-2</v>
          </cell>
        </row>
        <row r="26">
          <cell r="E26" t="str">
            <v>Group B</v>
          </cell>
        </row>
        <row r="27">
          <cell r="E27" t="str">
            <v xml:space="preserve">Company </v>
          </cell>
          <cell r="F27">
            <v>52.5</v>
          </cell>
          <cell r="H27">
            <v>8119.7339170999994</v>
          </cell>
          <cell r="J27">
            <v>9058.7159170999985</v>
          </cell>
          <cell r="L27">
            <v>2.172536805160338</v>
          </cell>
          <cell r="N27" t="str">
            <v xml:space="preserve">           na</v>
          </cell>
          <cell r="P27" t="str">
            <v xml:space="preserve">           na</v>
          </cell>
          <cell r="S27">
            <v>14.045500720360332</v>
          </cell>
          <cell r="U27" t="str">
            <v xml:space="preserve">           na</v>
          </cell>
          <cell r="W27" t="str">
            <v xml:space="preserve">           na</v>
          </cell>
          <cell r="Z27">
            <v>18.084806842655844</v>
          </cell>
          <cell r="AB27" t="str">
            <v xml:space="preserve">           na</v>
          </cell>
          <cell r="AD27" t="str">
            <v xml:space="preserve">           na</v>
          </cell>
          <cell r="AG27">
            <v>37.439948994896</v>
          </cell>
          <cell r="AI27" t="str">
            <v xml:space="preserve">           na</v>
          </cell>
          <cell r="AK27" t="str">
            <v xml:space="preserve">           na</v>
          </cell>
          <cell r="AN27">
            <v>-1</v>
          </cell>
          <cell r="AP27">
            <v>-1</v>
          </cell>
          <cell r="AR27" t="str">
            <v xml:space="preserve">          na</v>
          </cell>
          <cell r="AT27" t="str">
            <v xml:space="preserve">          na</v>
          </cell>
          <cell r="AW27">
            <v>1.4558876200665161</v>
          </cell>
          <cell r="AY27">
            <v>0.10365508849079792</v>
          </cell>
          <cell r="BA27">
            <v>0.43808511611111056</v>
          </cell>
          <cell r="BD27">
            <v>0.15467848732591161</v>
          </cell>
          <cell r="BF27">
            <v>0.12013049539661493</v>
          </cell>
          <cell r="BH27">
            <v>5.1649623265651382E-2</v>
          </cell>
          <cell r="BK27" t="str">
            <v xml:space="preserve">        na</v>
          </cell>
          <cell r="BM27" t="str">
            <v xml:space="preserve">        na</v>
          </cell>
          <cell r="BO27" t="str">
            <v xml:space="preserve">        na</v>
          </cell>
          <cell r="BR27">
            <v>4.1863955455243351E-2</v>
          </cell>
        </row>
        <row r="28">
          <cell r="E28" t="str">
            <v xml:space="preserve">Company </v>
          </cell>
          <cell r="F28">
            <v>52.5</v>
          </cell>
          <cell r="H28">
            <v>8119.7339170999994</v>
          </cell>
          <cell r="J28">
            <v>9058.7159170999985</v>
          </cell>
          <cell r="L28">
            <v>2.172536805160338</v>
          </cell>
          <cell r="N28" t="str">
            <v xml:space="preserve">           na</v>
          </cell>
          <cell r="P28" t="str">
            <v xml:space="preserve">           na</v>
          </cell>
          <cell r="S28">
            <v>14.045500720360332</v>
          </cell>
          <cell r="U28" t="str">
            <v xml:space="preserve">           na</v>
          </cell>
          <cell r="W28" t="str">
            <v xml:space="preserve">           na</v>
          </cell>
          <cell r="Z28">
            <v>18.084806842655844</v>
          </cell>
          <cell r="AB28" t="str">
            <v xml:space="preserve">           na</v>
          </cell>
          <cell r="AD28" t="str">
            <v xml:space="preserve">           na</v>
          </cell>
          <cell r="AG28">
            <v>37.439948994896</v>
          </cell>
          <cell r="AI28" t="str">
            <v xml:space="preserve">           na</v>
          </cell>
          <cell r="AK28" t="str">
            <v xml:space="preserve">           na</v>
          </cell>
          <cell r="AN28">
            <v>-1</v>
          </cell>
          <cell r="AP28">
            <v>-1</v>
          </cell>
          <cell r="AR28" t="str">
            <v xml:space="preserve">          na</v>
          </cell>
          <cell r="AT28" t="str">
            <v xml:space="preserve">          na</v>
          </cell>
          <cell r="AW28">
            <v>1.4558876200665161</v>
          </cell>
          <cell r="AY28">
            <v>0.10365508849079792</v>
          </cell>
          <cell r="BA28">
            <v>0.43808511611111056</v>
          </cell>
          <cell r="BD28">
            <v>0.15467848732591161</v>
          </cell>
          <cell r="BF28">
            <v>0.12013049539661493</v>
          </cell>
          <cell r="BH28">
            <v>5.1649623265651382E-2</v>
          </cell>
          <cell r="BK28" t="str">
            <v xml:space="preserve">        na</v>
          </cell>
          <cell r="BM28" t="str">
            <v xml:space="preserve">        na</v>
          </cell>
          <cell r="BO28" t="str">
            <v xml:space="preserve">        na</v>
          </cell>
          <cell r="BR28">
            <v>4.1863955455243351E-2</v>
          </cell>
        </row>
        <row r="29">
          <cell r="E29" t="str">
            <v xml:space="preserve">Company </v>
          </cell>
          <cell r="F29">
            <v>52.5</v>
          </cell>
          <cell r="H29">
            <v>8119.7339170999994</v>
          </cell>
          <cell r="J29">
            <v>9058.7159170999985</v>
          </cell>
          <cell r="L29">
            <v>2.172536805160338</v>
          </cell>
          <cell r="N29" t="str">
            <v xml:space="preserve">           na</v>
          </cell>
          <cell r="P29" t="str">
            <v xml:space="preserve">           na</v>
          </cell>
          <cell r="S29">
            <v>14.045500720360332</v>
          </cell>
          <cell r="U29" t="str">
            <v xml:space="preserve">           na</v>
          </cell>
          <cell r="W29" t="str">
            <v xml:space="preserve">           na</v>
          </cell>
          <cell r="Z29">
            <v>18.084806842655844</v>
          </cell>
          <cell r="AB29" t="str">
            <v xml:space="preserve">           na</v>
          </cell>
          <cell r="AD29" t="str">
            <v xml:space="preserve">           na</v>
          </cell>
          <cell r="AG29">
            <v>37.439948994896</v>
          </cell>
          <cell r="AI29" t="str">
            <v xml:space="preserve">           na</v>
          </cell>
          <cell r="AK29" t="str">
            <v xml:space="preserve">           na</v>
          </cell>
          <cell r="AN29">
            <v>-1</v>
          </cell>
          <cell r="AP29">
            <v>-1</v>
          </cell>
          <cell r="AR29" t="str">
            <v xml:space="preserve">          na</v>
          </cell>
          <cell r="AT29" t="str">
            <v xml:space="preserve">          na</v>
          </cell>
          <cell r="AW29">
            <v>1.4558876200665161</v>
          </cell>
          <cell r="AY29">
            <v>0.10365508849079792</v>
          </cell>
          <cell r="BA29">
            <v>0.43808511611111056</v>
          </cell>
          <cell r="BD29">
            <v>0.15467848732591161</v>
          </cell>
          <cell r="BF29">
            <v>0.12013049539661493</v>
          </cell>
          <cell r="BH29">
            <v>5.1649623265651382E-2</v>
          </cell>
          <cell r="BK29" t="str">
            <v xml:space="preserve">        na</v>
          </cell>
          <cell r="BM29" t="str">
            <v xml:space="preserve">        na</v>
          </cell>
          <cell r="BO29" t="str">
            <v xml:space="preserve">        na</v>
          </cell>
          <cell r="BR29">
            <v>4.1863955455243351E-2</v>
          </cell>
        </row>
        <row r="30">
          <cell r="E30" t="str">
            <v xml:space="preserve">Company </v>
          </cell>
          <cell r="F30">
            <v>52.5</v>
          </cell>
          <cell r="H30">
            <v>8119.7339170999994</v>
          </cell>
          <cell r="J30">
            <v>9058.7159170999985</v>
          </cell>
          <cell r="L30">
            <v>2.172536805160338</v>
          </cell>
          <cell r="N30" t="str">
            <v xml:space="preserve">           na</v>
          </cell>
          <cell r="P30" t="str">
            <v xml:space="preserve">           na</v>
          </cell>
          <cell r="S30">
            <v>14.045500720360332</v>
          </cell>
          <cell r="U30" t="str">
            <v xml:space="preserve">           na</v>
          </cell>
          <cell r="W30" t="str">
            <v xml:space="preserve">           na</v>
          </cell>
          <cell r="Z30">
            <v>18.084806842655844</v>
          </cell>
          <cell r="AB30" t="str">
            <v xml:space="preserve">           na</v>
          </cell>
          <cell r="AD30" t="str">
            <v xml:space="preserve">           na</v>
          </cell>
          <cell r="AG30">
            <v>37.439948994896</v>
          </cell>
          <cell r="AI30" t="str">
            <v xml:space="preserve">           na</v>
          </cell>
          <cell r="AK30" t="str">
            <v xml:space="preserve">           na</v>
          </cell>
          <cell r="AN30">
            <v>-1</v>
          </cell>
          <cell r="AP30">
            <v>-1</v>
          </cell>
          <cell r="AR30" t="str">
            <v xml:space="preserve">          na</v>
          </cell>
          <cell r="AT30" t="str">
            <v xml:space="preserve">          na</v>
          </cell>
          <cell r="AW30">
            <v>1.4558876200665161</v>
          </cell>
          <cell r="AY30">
            <v>0.10365508849079792</v>
          </cell>
          <cell r="BA30">
            <v>0.43808511611111056</v>
          </cell>
          <cell r="BD30">
            <v>0.15467848732591161</v>
          </cell>
          <cell r="BF30">
            <v>0.12013049539661493</v>
          </cell>
          <cell r="BH30">
            <v>5.1649623265651382E-2</v>
          </cell>
          <cell r="BK30" t="str">
            <v xml:space="preserve">        na</v>
          </cell>
          <cell r="BM30" t="str">
            <v xml:space="preserve">        na</v>
          </cell>
          <cell r="BO30" t="str">
            <v xml:space="preserve">        na</v>
          </cell>
          <cell r="BR30">
            <v>4.1863955455243351E-2</v>
          </cell>
        </row>
        <row r="31">
          <cell r="E31" t="str">
            <v xml:space="preserve">Company </v>
          </cell>
          <cell r="F31">
            <v>52.5</v>
          </cell>
          <cell r="H31">
            <v>8119.7339170999994</v>
          </cell>
          <cell r="J31">
            <v>9058.7159170999985</v>
          </cell>
          <cell r="L31">
            <v>2.172536805160338</v>
          </cell>
          <cell r="N31" t="str">
            <v xml:space="preserve">           na</v>
          </cell>
          <cell r="P31" t="str">
            <v xml:space="preserve">           na</v>
          </cell>
          <cell r="S31">
            <v>14.045500720360332</v>
          </cell>
          <cell r="U31" t="str">
            <v xml:space="preserve">           na</v>
          </cell>
          <cell r="W31" t="str">
            <v xml:space="preserve">           na</v>
          </cell>
          <cell r="Z31">
            <v>18.084806842655844</v>
          </cell>
          <cell r="AB31" t="str">
            <v xml:space="preserve">           na</v>
          </cell>
          <cell r="AD31" t="str">
            <v xml:space="preserve">           na</v>
          </cell>
          <cell r="AG31">
            <v>37.439948994896</v>
          </cell>
          <cell r="AI31" t="str">
            <v xml:space="preserve">           na</v>
          </cell>
          <cell r="AK31" t="str">
            <v xml:space="preserve">           na</v>
          </cell>
          <cell r="AN31">
            <v>-1</v>
          </cell>
          <cell r="AP31">
            <v>-1</v>
          </cell>
          <cell r="AR31" t="str">
            <v xml:space="preserve">          na</v>
          </cell>
          <cell r="AT31" t="str">
            <v xml:space="preserve">          na</v>
          </cell>
          <cell r="AW31">
            <v>1.4558876200665161</v>
          </cell>
          <cell r="AY31">
            <v>0.10365508849079792</v>
          </cell>
          <cell r="BA31">
            <v>0.43808511611111056</v>
          </cell>
          <cell r="BD31">
            <v>0.15467848732591161</v>
          </cell>
          <cell r="BF31">
            <v>0.12013049539661493</v>
          </cell>
          <cell r="BH31">
            <v>5.1649623265651382E-2</v>
          </cell>
          <cell r="BK31" t="str">
            <v xml:space="preserve">        na</v>
          </cell>
          <cell r="BM31" t="str">
            <v xml:space="preserve">        na</v>
          </cell>
          <cell r="BO31" t="str">
            <v xml:space="preserve">        na</v>
          </cell>
          <cell r="BR31">
            <v>4.1863955455243351E-2</v>
          </cell>
        </row>
        <row r="32">
          <cell r="E32" t="str">
            <v xml:space="preserve">Company </v>
          </cell>
          <cell r="F32">
            <v>52.5</v>
          </cell>
          <cell r="H32">
            <v>8119.7339170999994</v>
          </cell>
          <cell r="J32">
            <v>9058.7159170999985</v>
          </cell>
          <cell r="L32">
            <v>2.172536805160338</v>
          </cell>
          <cell r="N32" t="str">
            <v xml:space="preserve">           na</v>
          </cell>
          <cell r="P32" t="str">
            <v xml:space="preserve">           na</v>
          </cell>
          <cell r="S32">
            <v>14.045500720360332</v>
          </cell>
          <cell r="U32" t="str">
            <v xml:space="preserve">           na</v>
          </cell>
          <cell r="W32" t="str">
            <v xml:space="preserve">           na</v>
          </cell>
          <cell r="Z32">
            <v>18.084806842655844</v>
          </cell>
          <cell r="AB32" t="str">
            <v xml:space="preserve">           na</v>
          </cell>
          <cell r="AD32" t="str">
            <v xml:space="preserve">           na</v>
          </cell>
          <cell r="AG32">
            <v>37.439948994896</v>
          </cell>
          <cell r="AI32" t="str">
            <v xml:space="preserve">           na</v>
          </cell>
          <cell r="AK32" t="str">
            <v xml:space="preserve">           na</v>
          </cell>
          <cell r="AN32">
            <v>-1</v>
          </cell>
          <cell r="AP32">
            <v>-1</v>
          </cell>
          <cell r="AR32" t="str">
            <v xml:space="preserve">          na</v>
          </cell>
          <cell r="AT32" t="str">
            <v xml:space="preserve">          na</v>
          </cell>
          <cell r="AW32">
            <v>1.4558876200665161</v>
          </cell>
          <cell r="AY32">
            <v>0.10365508849079792</v>
          </cell>
          <cell r="BA32">
            <v>0.43808511611111056</v>
          </cell>
          <cell r="BD32">
            <v>0.15467848732591161</v>
          </cell>
          <cell r="BF32">
            <v>0.12013049539661493</v>
          </cell>
          <cell r="BH32">
            <v>5.1649623265651382E-2</v>
          </cell>
          <cell r="BK32" t="str">
            <v xml:space="preserve">        na</v>
          </cell>
          <cell r="BM32" t="str">
            <v xml:space="preserve">        na</v>
          </cell>
          <cell r="BO32" t="str">
            <v xml:space="preserve">        na</v>
          </cell>
          <cell r="BR32">
            <v>4.1863955455243351E-2</v>
          </cell>
        </row>
        <row r="33">
          <cell r="E33" t="str">
            <v xml:space="preserve">Company </v>
          </cell>
          <cell r="F33">
            <v>52.5</v>
          </cell>
          <cell r="H33">
            <v>8119.7339170999994</v>
          </cell>
          <cell r="J33">
            <v>9058.7159170999985</v>
          </cell>
          <cell r="L33">
            <v>2.172536805160338</v>
          </cell>
          <cell r="N33" t="str">
            <v xml:space="preserve">           na</v>
          </cell>
          <cell r="P33" t="str">
            <v xml:space="preserve">           na</v>
          </cell>
          <cell r="S33">
            <v>14.045500720360332</v>
          </cell>
          <cell r="U33" t="str">
            <v xml:space="preserve">           na</v>
          </cell>
          <cell r="W33" t="str">
            <v xml:space="preserve">           na</v>
          </cell>
          <cell r="Z33">
            <v>18.084806842655844</v>
          </cell>
          <cell r="AB33" t="str">
            <v xml:space="preserve">           na</v>
          </cell>
          <cell r="AD33" t="str">
            <v xml:space="preserve">           na</v>
          </cell>
          <cell r="AG33">
            <v>37.439948994896</v>
          </cell>
          <cell r="AI33" t="str">
            <v xml:space="preserve">           na</v>
          </cell>
          <cell r="AK33" t="str">
            <v xml:space="preserve">           na</v>
          </cell>
          <cell r="AN33">
            <v>-1</v>
          </cell>
          <cell r="AP33">
            <v>-1</v>
          </cell>
          <cell r="AR33" t="str">
            <v xml:space="preserve">          na</v>
          </cell>
          <cell r="AT33" t="str">
            <v xml:space="preserve">          na</v>
          </cell>
          <cell r="AW33">
            <v>1.4558876200665161</v>
          </cell>
          <cell r="AY33">
            <v>0.10365508849079792</v>
          </cell>
          <cell r="BA33">
            <v>0.43808511611111056</v>
          </cell>
          <cell r="BD33">
            <v>0.15467848732591161</v>
          </cell>
          <cell r="BF33">
            <v>0.12013049539661493</v>
          </cell>
          <cell r="BH33">
            <v>5.1649623265651382E-2</v>
          </cell>
          <cell r="BK33" t="str">
            <v xml:space="preserve">        na</v>
          </cell>
          <cell r="BM33" t="str">
            <v xml:space="preserve">        na</v>
          </cell>
          <cell r="BO33" t="str">
            <v xml:space="preserve">        na</v>
          </cell>
          <cell r="BR33">
            <v>4.1863955455243351E-2</v>
          </cell>
        </row>
        <row r="35">
          <cell r="E35" t="str">
            <v>Average</v>
          </cell>
          <cell r="L35">
            <v>2.172536805160338</v>
          </cell>
          <cell r="N35" t="str">
            <v xml:space="preserve">           na</v>
          </cell>
          <cell r="P35" t="str">
            <v xml:space="preserve">           na</v>
          </cell>
          <cell r="S35">
            <v>14.045500720360334</v>
          </cell>
          <cell r="U35" t="str">
            <v xml:space="preserve">           na</v>
          </cell>
          <cell r="W35" t="str">
            <v xml:space="preserve">           na</v>
          </cell>
          <cell r="Z35">
            <v>18.084806842655841</v>
          </cell>
          <cell r="AB35" t="str">
            <v xml:space="preserve">           na</v>
          </cell>
          <cell r="AD35" t="str">
            <v xml:space="preserve">           na</v>
          </cell>
          <cell r="AG35">
            <v>37.439948994895992</v>
          </cell>
          <cell r="AI35" t="str">
            <v xml:space="preserve">           na</v>
          </cell>
          <cell r="AK35" t="str">
            <v xml:space="preserve">           na</v>
          </cell>
          <cell r="AN35">
            <v>-1</v>
          </cell>
          <cell r="AP35">
            <v>-1</v>
          </cell>
          <cell r="AR35" t="str">
            <v xml:space="preserve">           na</v>
          </cell>
          <cell r="AT35" t="str">
            <v xml:space="preserve">           na</v>
          </cell>
          <cell r="AW35">
            <v>1.4558876200665161</v>
          </cell>
          <cell r="AY35">
            <v>0.10365508849079794</v>
          </cell>
          <cell r="BA35">
            <v>0.43808511611111056</v>
          </cell>
          <cell r="BD35">
            <v>0.15467848732591158</v>
          </cell>
          <cell r="BF35">
            <v>0.12013049539661493</v>
          </cell>
          <cell r="BH35">
            <v>5.1649623265651375E-2</v>
          </cell>
          <cell r="BK35" t="str">
            <v xml:space="preserve">         na</v>
          </cell>
          <cell r="BM35" t="str">
            <v xml:space="preserve">         na</v>
          </cell>
          <cell r="BO35" t="str">
            <v xml:space="preserve">         na</v>
          </cell>
          <cell r="BR35">
            <v>4.1863955455243351E-2</v>
          </cell>
        </row>
        <row r="36">
          <cell r="E36" t="str">
            <v>Median</v>
          </cell>
          <cell r="L36">
            <v>2.172536805160338</v>
          </cell>
          <cell r="N36" t="str">
            <v xml:space="preserve">           na</v>
          </cell>
          <cell r="P36" t="str">
            <v xml:space="preserve">           na</v>
          </cell>
          <cell r="S36">
            <v>14.045500720360332</v>
          </cell>
          <cell r="U36" t="str">
            <v xml:space="preserve">           na</v>
          </cell>
          <cell r="W36" t="str">
            <v xml:space="preserve">           na</v>
          </cell>
          <cell r="Z36">
            <v>18.084806842655844</v>
          </cell>
          <cell r="AB36" t="str">
            <v xml:space="preserve">           na</v>
          </cell>
          <cell r="AD36" t="str">
            <v xml:space="preserve">           na</v>
          </cell>
          <cell r="AG36">
            <v>37.439948994896</v>
          </cell>
          <cell r="AI36" t="str">
            <v xml:space="preserve">           na</v>
          </cell>
          <cell r="AK36" t="str">
            <v xml:space="preserve">           na</v>
          </cell>
          <cell r="AN36">
            <v>-1</v>
          </cell>
          <cell r="AP36">
            <v>-1</v>
          </cell>
          <cell r="AR36" t="str">
            <v xml:space="preserve">           na</v>
          </cell>
          <cell r="AT36" t="str">
            <v xml:space="preserve">           na</v>
          </cell>
          <cell r="AW36">
            <v>1.4558876200665161</v>
          </cell>
          <cell r="AY36">
            <v>0.10365508849079792</v>
          </cell>
          <cell r="BA36">
            <v>0.43808511611111056</v>
          </cell>
          <cell r="BD36">
            <v>0.15467848732591161</v>
          </cell>
          <cell r="BF36">
            <v>0.12013049539661493</v>
          </cell>
          <cell r="BH36">
            <v>5.1649623265651382E-2</v>
          </cell>
          <cell r="BK36" t="str">
            <v xml:space="preserve">         na</v>
          </cell>
          <cell r="BM36" t="str">
            <v xml:space="preserve">         na</v>
          </cell>
          <cell r="BO36" t="str">
            <v xml:space="preserve">         na</v>
          </cell>
          <cell r="BR36">
            <v>4.1863955455243351E-2</v>
          </cell>
        </row>
        <row r="38">
          <cell r="E38" t="e">
            <v>#REF!</v>
          </cell>
          <cell r="F38" t="e">
            <v>#REF!</v>
          </cell>
          <cell r="H38" t="e">
            <v>#REF!</v>
          </cell>
          <cell r="J38" t="e">
            <v>#REF!</v>
          </cell>
          <cell r="L38" t="e">
            <v>#REF!</v>
          </cell>
          <cell r="N38" t="e">
            <v>#REF!</v>
          </cell>
          <cell r="P38" t="e">
            <v>#REF!</v>
          </cell>
          <cell r="S38" t="e">
            <v>#REF!</v>
          </cell>
          <cell r="U38" t="e">
            <v>#REF!</v>
          </cell>
          <cell r="W38" t="e">
            <v>#REF!</v>
          </cell>
          <cell r="Z38" t="e">
            <v>#REF!</v>
          </cell>
          <cell r="AB38" t="e">
            <v>#REF!</v>
          </cell>
          <cell r="AD38" t="e">
            <v>#REF!</v>
          </cell>
          <cell r="AG38" t="e">
            <v>#REF!</v>
          </cell>
          <cell r="AI38" t="e">
            <v>#REF!</v>
          </cell>
          <cell r="AK38" t="e">
            <v>#REF!</v>
          </cell>
          <cell r="AN38" t="e">
            <v>#REF!</v>
          </cell>
          <cell r="AP38" t="e">
            <v>#REF!</v>
          </cell>
          <cell r="AR38" t="e">
            <v>#REF!</v>
          </cell>
          <cell r="AT38" t="e">
            <v>#REF!</v>
          </cell>
          <cell r="AW38" t="e">
            <v>#REF!</v>
          </cell>
          <cell r="AY38" t="e">
            <v>#REF!</v>
          </cell>
          <cell r="BA38" t="e">
            <v>#REF!</v>
          </cell>
          <cell r="BD38" t="e">
            <v>#REF!</v>
          </cell>
          <cell r="BF38" t="e">
            <v>#REF!</v>
          </cell>
          <cell r="BH38" t="e">
            <v>#REF!</v>
          </cell>
          <cell r="BK38" t="e">
            <v>#REF!</v>
          </cell>
          <cell r="BM38" t="e">
            <v>#REF!</v>
          </cell>
          <cell r="BO38" t="e">
            <v>#REF!</v>
          </cell>
          <cell r="BR38" t="e">
            <v>#REF!</v>
          </cell>
        </row>
        <row r="40">
          <cell r="E40" t="str">
            <v>Selected Multiples</v>
          </cell>
          <cell r="L40">
            <v>1</v>
          </cell>
          <cell r="N40">
            <v>1</v>
          </cell>
          <cell r="P40">
            <v>1</v>
          </cell>
          <cell r="S40">
            <v>6</v>
          </cell>
          <cell r="U40">
            <v>6</v>
          </cell>
          <cell r="W40">
            <v>6</v>
          </cell>
          <cell r="Z40">
            <v>7</v>
          </cell>
          <cell r="AB40">
            <v>7</v>
          </cell>
          <cell r="AD40">
            <v>7</v>
          </cell>
          <cell r="AG40">
            <v>15</v>
          </cell>
          <cell r="AI40">
            <v>15</v>
          </cell>
          <cell r="AK40">
            <v>15</v>
          </cell>
        </row>
        <row r="41">
          <cell r="L41" t="str">
            <v xml:space="preserve">      -</v>
          </cell>
          <cell r="N41" t="str">
            <v xml:space="preserve">      -</v>
          </cell>
          <cell r="P41" t="str">
            <v xml:space="preserve">      -</v>
          </cell>
          <cell r="S41" t="str">
            <v xml:space="preserve">      -</v>
          </cell>
          <cell r="U41" t="str">
            <v xml:space="preserve">      -</v>
          </cell>
          <cell r="W41" t="str">
            <v xml:space="preserve">      -</v>
          </cell>
          <cell r="Z41" t="str">
            <v xml:space="preserve">      -</v>
          </cell>
          <cell r="AB41" t="str">
            <v xml:space="preserve">      -</v>
          </cell>
          <cell r="AD41" t="str">
            <v xml:space="preserve">      -</v>
          </cell>
          <cell r="AG41" t="str">
            <v xml:space="preserve">      -</v>
          </cell>
          <cell r="AI41" t="str">
            <v xml:space="preserve">      -</v>
          </cell>
          <cell r="AK41" t="str">
            <v xml:space="preserve">      -</v>
          </cell>
        </row>
        <row r="42">
          <cell r="L42">
            <v>2</v>
          </cell>
          <cell r="N42">
            <v>2</v>
          </cell>
          <cell r="P42">
            <v>2</v>
          </cell>
          <cell r="S42">
            <v>8</v>
          </cell>
          <cell r="U42">
            <v>8</v>
          </cell>
          <cell r="W42">
            <v>8</v>
          </cell>
          <cell r="Z42">
            <v>9</v>
          </cell>
          <cell r="AB42">
            <v>9</v>
          </cell>
          <cell r="AD42">
            <v>9</v>
          </cell>
          <cell r="AG42">
            <v>17</v>
          </cell>
          <cell r="AI42">
            <v>17</v>
          </cell>
          <cell r="AK42">
            <v>17</v>
          </cell>
        </row>
      </sheetData>
      <sheetData sheetId="1" refreshError="1"/>
      <sheetData sheetId="2" refreshError="1"/>
      <sheetData sheetId="3" refreshError="1"/>
      <sheetData sheetId="4">
        <row r="204">
          <cell r="M204">
            <v>1</v>
          </cell>
          <cell r="Q204">
            <v>1</v>
          </cell>
        </row>
      </sheetData>
      <sheetData sheetId="5" refreshError="1"/>
      <sheetData sheetId="6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8T22:28:56.214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5:50.432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5:50.435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5:50.438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5:50.441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5:50.444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6:20.329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6:20.332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6:20.335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6:20.338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6:20.341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8T22:28:54.567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1,'0'0</inkml:trace>
  <inkml:trace contextRef="#ctx0" brushRef="#br0" timeOffset="661.33">0 1,'0'0</inkml:trace>
  <inkml:trace contextRef="#ctx0" brushRef="#br0" timeOffset="858.81">0 1,'0'0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6:20.344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0T03:38:55.887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0T03:38:57.685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8T22:28:39.887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8T22:28:40.335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8T22:28:56.807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227.43">1 1,'0'0</inkml:trace>
  <inkml:trace contextRef="#ctx0" brushRef="#br0" timeOffset="411.94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8T22:28:59.113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1,'0'0</inkml:trace>
  <inkml:trace contextRef="#ctx0" brushRef="#br0" timeOffset="190.49">0 1,'0'0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8T22:29:01.499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230.61">1 1,'0'0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8T22:29:00.244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1,'0'0</inkml:trace>
  <inkml:trace contextRef="#ctx0" brushRef="#br0" timeOffset="183.5">0 1,'0'0</inkml:trace>
  <inkml:trace contextRef="#ctx0" brushRef="#br0" timeOffset="360.03">0 1,'0'0</inkml:trace>
  <inkml:trace contextRef="#ctx0" brushRef="#br0" timeOffset="566.53">0 1,'0'0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8T22:29:02.326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8T22:28:47.789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403.91">46 91,'0'0</inkml:trace>
  <inkml:trace contextRef="#ctx0" brushRef="#br0" timeOffset="654.25">46 91,'0'0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1:05:50.429"/>
    </inkml:context>
    <inkml:brush xml:id="br0">
      <inkml:brushProperty name="width" value="0.025" units="cm"/>
      <inkml:brushProperty name="height" value="0.15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1,'0'0</inkml:trace>
  <inkml:trace contextRef="#ctx0" brushRef="#br0" timeOffset="1">46 91,'0'0</inkml:trace>
  <inkml:trace contextRef="#ctx0" brushRef="#br0" timeOffset="2">46 91,'0'0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BBA-F80B-4E9A-BF3C-C99047CBAE4B}">
  <sheetPr>
    <tabColor theme="1"/>
    <pageSetUpPr fitToPage="1"/>
  </sheetPr>
  <dimension ref="B1:F11"/>
  <sheetViews>
    <sheetView showGridLines="0" view="pageBreakPreview" zoomScale="103" zoomScaleNormal="100" zoomScaleSheetLayoutView="103" workbookViewId="0"/>
  </sheetViews>
  <sheetFormatPr defaultColWidth="9.1328125" defaultRowHeight="10.15" x14ac:dyDescent="0.3"/>
  <cols>
    <col min="1" max="1" width="9.1328125" style="35"/>
    <col min="2" max="2" width="46.3984375" style="35" bestFit="1" customWidth="1"/>
    <col min="3" max="6" width="10.73046875" style="35" customWidth="1"/>
    <col min="7" max="16384" width="9.1328125" style="35"/>
  </cols>
  <sheetData>
    <row r="1" spans="2:6" ht="12.75" x14ac:dyDescent="0.35">
      <c r="B1" s="41"/>
      <c r="C1" s="41"/>
      <c r="D1" s="41"/>
      <c r="E1" s="41"/>
      <c r="F1" s="41"/>
    </row>
    <row r="2" spans="2:6" ht="68.25" x14ac:dyDescent="1.75">
      <c r="B2" s="107" t="s">
        <v>236</v>
      </c>
      <c r="C2" s="106"/>
      <c r="D2" s="106"/>
      <c r="E2" s="106"/>
      <c r="F2" s="106"/>
    </row>
    <row r="3" spans="2:6" ht="44.65" x14ac:dyDescent="1.1499999999999999">
      <c r="B3" s="105" t="s">
        <v>135</v>
      </c>
      <c r="C3" s="105"/>
      <c r="D3" s="105"/>
      <c r="E3" s="105"/>
      <c r="F3" s="105"/>
    </row>
    <row r="4" spans="2:6" ht="44.65" x14ac:dyDescent="1.1499999999999999">
      <c r="B4" s="104">
        <v>44259</v>
      </c>
      <c r="C4" s="104"/>
      <c r="D4" s="104"/>
      <c r="E4" s="104"/>
      <c r="F4" s="104"/>
    </row>
    <row r="5" spans="2:6" ht="12.75" x14ac:dyDescent="0.35">
      <c r="B5" s="41"/>
      <c r="C5" s="41"/>
      <c r="D5" s="41"/>
      <c r="E5" s="41"/>
      <c r="F5" s="41"/>
    </row>
    <row r="6" spans="2:6" ht="12.75" x14ac:dyDescent="0.35">
      <c r="B6" s="41"/>
      <c r="C6" s="41"/>
      <c r="D6" s="41"/>
      <c r="E6" s="41"/>
      <c r="F6" s="41"/>
    </row>
    <row r="7" spans="2:6" ht="12.75" x14ac:dyDescent="0.35">
      <c r="B7" s="41"/>
      <c r="C7" s="103"/>
      <c r="D7" s="103"/>
      <c r="E7" s="103"/>
      <c r="F7" s="103"/>
    </row>
    <row r="8" spans="2:6" ht="12.75" x14ac:dyDescent="0.35">
      <c r="B8" s="41"/>
      <c r="C8" s="103"/>
      <c r="D8" s="103"/>
      <c r="E8" s="103"/>
      <c r="F8" s="103"/>
    </row>
    <row r="9" spans="2:6" ht="12.75" x14ac:dyDescent="0.35">
      <c r="B9" s="41"/>
      <c r="C9" s="41"/>
      <c r="D9" s="41"/>
      <c r="E9" s="41"/>
      <c r="F9" s="41"/>
    </row>
    <row r="10" spans="2:6" ht="12.75" x14ac:dyDescent="0.35">
      <c r="B10" s="41"/>
      <c r="C10" s="41"/>
      <c r="D10" s="41"/>
      <c r="E10" s="41"/>
      <c r="F10" s="41"/>
    </row>
    <row r="11" spans="2:6" ht="12.75" x14ac:dyDescent="0.35">
      <c r="B11" s="41"/>
      <c r="C11" s="41"/>
      <c r="D11" s="41"/>
      <c r="E11" s="41"/>
      <c r="F11" s="41"/>
    </row>
  </sheetData>
  <pageMargins left="0.2" right="0.2" top="0.5" bottom="0.5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3289-50A2-4F52-898C-454184E2957A}">
  <sheetPr codeName="Sheet5">
    <tabColor theme="5" tint="0.39997558519241921"/>
  </sheetPr>
  <dimension ref="A1:H39"/>
  <sheetViews>
    <sheetView showGridLines="0" view="pageBreakPreview" zoomScaleNormal="80" zoomScaleSheetLayoutView="100" workbookViewId="0"/>
  </sheetViews>
  <sheetFormatPr defaultColWidth="15.73046875" defaultRowHeight="15" customHeight="1" x14ac:dyDescent="0.35"/>
  <cols>
    <col min="1" max="1" width="3.73046875" style="41" customWidth="1"/>
    <col min="2" max="2" width="51.59765625" style="41" bestFit="1" customWidth="1"/>
    <col min="3" max="7" width="20.73046875" style="41" customWidth="1"/>
    <col min="8" max="8" width="23.1328125" style="41" bestFit="1" customWidth="1"/>
    <col min="9" max="16384" width="15.73046875" style="41"/>
  </cols>
  <sheetData>
    <row r="1" spans="1:8" ht="15" customHeight="1" thickBot="1" x14ac:dyDescent="0.4"/>
    <row r="2" spans="1:8" ht="30" customHeight="1" thickBot="1" x14ac:dyDescent="0.45">
      <c r="A2" s="41" t="s">
        <v>69</v>
      </c>
      <c r="B2" s="368" t="s">
        <v>121</v>
      </c>
      <c r="C2" s="410" t="s">
        <v>14</v>
      </c>
      <c r="D2" s="354" t="s">
        <v>120</v>
      </c>
      <c r="E2" s="410" t="s">
        <v>13</v>
      </c>
      <c r="F2" s="410" t="s">
        <v>122</v>
      </c>
      <c r="G2" s="354" t="s">
        <v>123</v>
      </c>
      <c r="H2" s="411" t="s">
        <v>124</v>
      </c>
    </row>
    <row r="3" spans="1:8" ht="15" customHeight="1" x14ac:dyDescent="0.35">
      <c r="B3" s="82" t="s">
        <v>125</v>
      </c>
      <c r="C3" s="190">
        <f>' Comps'!M35</f>
        <v>-22.823131863312621</v>
      </c>
      <c r="D3" s="191">
        <f>E3-C3</f>
        <v>14.588315729618037</v>
      </c>
      <c r="E3" s="190">
        <f>' Comps'!M49</f>
        <v>-8.2348161336945847</v>
      </c>
      <c r="F3" s="192">
        <v>24.67</v>
      </c>
      <c r="G3" s="192">
        <v>45.4</v>
      </c>
      <c r="H3" s="193">
        <f>'Model Output'!K54</f>
        <v>19.3</v>
      </c>
    </row>
    <row r="4" spans="1:8" ht="15" customHeight="1" x14ac:dyDescent="0.35">
      <c r="B4" s="102" t="s">
        <v>184</v>
      </c>
      <c r="C4" s="190">
        <f>' Comps'!Y29</f>
        <v>-14.565751463890697</v>
      </c>
      <c r="D4" s="191">
        <f>E4-C4</f>
        <v>11.596238095663224</v>
      </c>
      <c r="E4" s="190">
        <f>' Comps'!Y39</f>
        <v>-2.9695133682274721</v>
      </c>
      <c r="F4" s="194">
        <f>F3</f>
        <v>24.67</v>
      </c>
      <c r="G4" s="194">
        <f>G3</f>
        <v>45.4</v>
      </c>
      <c r="H4" s="195">
        <f>H3</f>
        <v>19.3</v>
      </c>
    </row>
    <row r="5" spans="1:8" ht="15" customHeight="1" x14ac:dyDescent="0.35">
      <c r="B5" s="83" t="s">
        <v>126</v>
      </c>
      <c r="C5" s="190">
        <f>'Model Output'!Q46</f>
        <v>22.320710356518322</v>
      </c>
      <c r="D5" s="191">
        <f t="shared" ref="D5" si="0">E5-C5</f>
        <v>6.5508837388184702</v>
      </c>
      <c r="E5" s="196">
        <f>'Model Output'!U42</f>
        <v>28.871594095336793</v>
      </c>
      <c r="F5" s="194">
        <f t="shared" ref="F5:H6" si="1">F4</f>
        <v>24.67</v>
      </c>
      <c r="G5" s="194">
        <f t="shared" si="1"/>
        <v>45.4</v>
      </c>
      <c r="H5" s="195">
        <f t="shared" si="1"/>
        <v>19.3</v>
      </c>
    </row>
    <row r="6" spans="1:8" ht="15" customHeight="1" thickBot="1" x14ac:dyDescent="0.4">
      <c r="B6" s="84" t="s">
        <v>127</v>
      </c>
      <c r="C6" s="85">
        <f>C5</f>
        <v>22.320710356518322</v>
      </c>
      <c r="D6" s="85">
        <f>E6-C6</f>
        <v>6.5508837388184702</v>
      </c>
      <c r="E6" s="85">
        <f>E5</f>
        <v>28.871594095336793</v>
      </c>
      <c r="F6" s="197">
        <f t="shared" si="1"/>
        <v>24.67</v>
      </c>
      <c r="G6" s="197">
        <f t="shared" si="1"/>
        <v>45.4</v>
      </c>
      <c r="H6" s="198">
        <f t="shared" si="1"/>
        <v>19.3</v>
      </c>
    </row>
    <row r="7" spans="1:8" ht="15" customHeight="1" x14ac:dyDescent="0.35">
      <c r="B7" s="71"/>
      <c r="C7" s="72"/>
      <c r="D7" s="73"/>
      <c r="E7" s="72"/>
      <c r="F7" s="73"/>
      <c r="G7" s="73"/>
      <c r="H7" s="74"/>
    </row>
    <row r="8" spans="1:8" ht="15" customHeight="1" x14ac:dyDescent="0.35">
      <c r="B8" s="71"/>
      <c r="C8" s="72"/>
      <c r="D8" s="73"/>
      <c r="E8" s="72"/>
      <c r="F8" s="73"/>
      <c r="G8" s="73"/>
      <c r="H8" s="74"/>
    </row>
    <row r="9" spans="1:8" ht="15" customHeight="1" x14ac:dyDescent="0.35">
      <c r="B9" s="71"/>
      <c r="C9" s="72"/>
      <c r="D9" s="73"/>
      <c r="E9" s="72"/>
      <c r="F9" s="73"/>
      <c r="G9" s="73"/>
      <c r="H9" s="74"/>
    </row>
    <row r="10" spans="1:8" ht="15" customHeight="1" x14ac:dyDescent="0.35">
      <c r="B10" s="75"/>
      <c r="C10" s="76"/>
      <c r="D10" s="76"/>
      <c r="E10" s="76"/>
      <c r="F10" s="77"/>
      <c r="G10" s="77"/>
      <c r="H10" s="78"/>
    </row>
    <row r="11" spans="1:8" ht="15" customHeight="1" x14ac:dyDescent="0.35">
      <c r="B11" s="75"/>
      <c r="C11" s="76"/>
      <c r="D11" s="76"/>
      <c r="E11" s="76"/>
      <c r="F11" s="77"/>
      <c r="G11" s="77"/>
      <c r="H11" s="78"/>
    </row>
    <row r="12" spans="1:8" ht="15" customHeight="1" x14ac:dyDescent="0.35">
      <c r="B12" s="75"/>
      <c r="C12" s="76"/>
      <c r="D12" s="76"/>
      <c r="E12" s="76"/>
      <c r="F12" s="77"/>
      <c r="G12" s="77"/>
      <c r="H12" s="78"/>
    </row>
    <row r="13" spans="1:8" ht="15" customHeight="1" x14ac:dyDescent="0.35">
      <c r="B13" s="75"/>
      <c r="C13" s="76"/>
      <c r="D13" s="76"/>
      <c r="E13" s="76"/>
      <c r="F13" s="77"/>
      <c r="G13" s="77"/>
      <c r="H13" s="78"/>
    </row>
    <row r="14" spans="1:8" ht="15" customHeight="1" x14ac:dyDescent="0.35">
      <c r="B14" s="75"/>
      <c r="C14" s="76"/>
      <c r="D14" s="76"/>
      <c r="E14" s="76"/>
      <c r="F14" s="77"/>
      <c r="G14" s="77"/>
      <c r="H14" s="78"/>
    </row>
    <row r="15" spans="1:8" ht="15" customHeight="1" x14ac:dyDescent="0.35">
      <c r="B15" s="75"/>
      <c r="C15" s="76"/>
      <c r="D15" s="76"/>
      <c r="E15" s="76"/>
      <c r="F15" s="77"/>
      <c r="G15" s="77"/>
      <c r="H15" s="78"/>
    </row>
    <row r="16" spans="1:8" ht="15" customHeight="1" x14ac:dyDescent="0.35">
      <c r="B16" s="75"/>
      <c r="C16" s="76"/>
      <c r="D16" s="76"/>
      <c r="E16" s="76"/>
      <c r="F16" s="77"/>
      <c r="G16" s="77"/>
      <c r="H16" s="78"/>
    </row>
    <row r="17" spans="2:8" ht="15" customHeight="1" x14ac:dyDescent="0.35">
      <c r="B17" s="75"/>
      <c r="C17" s="76"/>
      <c r="D17" s="76"/>
      <c r="E17" s="76"/>
      <c r="F17" s="77"/>
      <c r="G17" s="77"/>
      <c r="H17" s="78"/>
    </row>
    <row r="18" spans="2:8" ht="15" customHeight="1" x14ac:dyDescent="0.35">
      <c r="B18" s="75"/>
      <c r="C18" s="76"/>
      <c r="D18" s="76"/>
      <c r="E18" s="76"/>
      <c r="F18" s="77"/>
      <c r="G18" s="77"/>
      <c r="H18" s="78"/>
    </row>
    <row r="19" spans="2:8" ht="15" customHeight="1" x14ac:dyDescent="0.35">
      <c r="B19" s="75"/>
      <c r="C19" s="76"/>
      <c r="D19" s="76"/>
      <c r="E19" s="76"/>
      <c r="F19" s="77"/>
      <c r="G19" s="77"/>
      <c r="H19" s="78"/>
    </row>
    <row r="20" spans="2:8" ht="15" customHeight="1" x14ac:dyDescent="0.35">
      <c r="B20" s="75"/>
      <c r="C20" s="76"/>
      <c r="D20" s="76"/>
      <c r="E20" s="76"/>
      <c r="F20" s="77"/>
      <c r="G20" s="77"/>
      <c r="H20" s="78"/>
    </row>
    <row r="21" spans="2:8" ht="15" customHeight="1" x14ac:dyDescent="0.35">
      <c r="B21" s="75"/>
      <c r="C21" s="76"/>
      <c r="D21" s="76"/>
      <c r="E21" s="76"/>
      <c r="F21" s="77"/>
      <c r="G21" s="77"/>
      <c r="H21" s="78"/>
    </row>
    <row r="22" spans="2:8" ht="15" customHeight="1" x14ac:dyDescent="0.35">
      <c r="B22" s="75"/>
      <c r="C22" s="76"/>
      <c r="D22" s="76"/>
      <c r="E22" s="76"/>
      <c r="F22" s="77"/>
      <c r="G22" s="77"/>
      <c r="H22" s="78"/>
    </row>
    <row r="23" spans="2:8" ht="15" customHeight="1" x14ac:dyDescent="0.35">
      <c r="B23" s="75"/>
      <c r="C23" s="76"/>
      <c r="D23" s="76"/>
      <c r="E23" s="76"/>
      <c r="F23" s="77"/>
      <c r="G23" s="77"/>
      <c r="H23" s="78"/>
    </row>
    <row r="24" spans="2:8" ht="15" customHeight="1" x14ac:dyDescent="0.35">
      <c r="B24" s="75"/>
      <c r="C24" s="76"/>
      <c r="D24" s="76"/>
      <c r="E24" s="76"/>
      <c r="F24" s="77"/>
      <c r="G24" s="77"/>
      <c r="H24" s="78"/>
    </row>
    <row r="25" spans="2:8" ht="15" customHeight="1" x14ac:dyDescent="0.35">
      <c r="B25" s="75"/>
      <c r="C25" s="76"/>
      <c r="D25" s="76"/>
      <c r="E25" s="76"/>
      <c r="F25" s="77"/>
      <c r="G25" s="77"/>
      <c r="H25" s="78"/>
    </row>
    <row r="26" spans="2:8" ht="15" customHeight="1" x14ac:dyDescent="0.35">
      <c r="B26" s="75"/>
      <c r="C26" s="76"/>
      <c r="D26" s="76"/>
      <c r="E26" s="76"/>
      <c r="F26" s="77"/>
      <c r="G26" s="77"/>
      <c r="H26" s="78"/>
    </row>
    <row r="27" spans="2:8" ht="15" customHeight="1" x14ac:dyDescent="0.35">
      <c r="B27" s="75"/>
      <c r="C27" s="76"/>
      <c r="D27" s="76"/>
      <c r="E27" s="76"/>
      <c r="F27" s="77"/>
      <c r="G27" s="77"/>
      <c r="H27" s="78"/>
    </row>
    <row r="28" spans="2:8" ht="15" customHeight="1" x14ac:dyDescent="0.35">
      <c r="B28" s="75"/>
      <c r="C28" s="76"/>
      <c r="D28" s="76"/>
      <c r="E28" s="76"/>
      <c r="F28" s="77"/>
      <c r="G28" s="77"/>
      <c r="H28" s="78"/>
    </row>
    <row r="29" spans="2:8" ht="15" customHeight="1" x14ac:dyDescent="0.35">
      <c r="B29" s="75"/>
      <c r="C29" s="76"/>
      <c r="D29" s="76"/>
      <c r="E29" s="76"/>
      <c r="F29" s="77"/>
      <c r="G29" s="77"/>
      <c r="H29" s="78"/>
    </row>
    <row r="30" spans="2:8" ht="15" customHeight="1" x14ac:dyDescent="0.35">
      <c r="B30" s="75"/>
      <c r="C30" s="76"/>
      <c r="D30" s="76"/>
      <c r="E30" s="76"/>
      <c r="F30" s="77"/>
      <c r="G30" s="77"/>
      <c r="H30" s="78"/>
    </row>
    <row r="31" spans="2:8" ht="15" customHeight="1" x14ac:dyDescent="0.35">
      <c r="B31" s="75"/>
      <c r="C31" s="76"/>
      <c r="D31" s="76"/>
      <c r="E31" s="76"/>
      <c r="F31" s="77"/>
      <c r="G31" s="77"/>
      <c r="H31" s="78"/>
    </row>
    <row r="32" spans="2:8" ht="15" customHeight="1" x14ac:dyDescent="0.35">
      <c r="B32" s="75"/>
      <c r="C32" s="76"/>
      <c r="D32" s="76"/>
      <c r="E32" s="76"/>
      <c r="F32" s="77"/>
      <c r="G32" s="77"/>
      <c r="H32" s="78"/>
    </row>
    <row r="33" spans="2:8" ht="15" customHeight="1" x14ac:dyDescent="0.35">
      <c r="B33" s="75"/>
      <c r="C33" s="76"/>
      <c r="D33" s="76"/>
      <c r="E33" s="76"/>
      <c r="F33" s="77"/>
      <c r="G33" s="77"/>
      <c r="H33" s="78"/>
    </row>
    <row r="34" spans="2:8" ht="15" customHeight="1" x14ac:dyDescent="0.35">
      <c r="B34" s="75"/>
      <c r="C34" s="76"/>
      <c r="D34" s="76"/>
      <c r="E34" s="76"/>
      <c r="F34" s="77"/>
      <c r="G34" s="77"/>
      <c r="H34" s="78"/>
    </row>
    <row r="35" spans="2:8" ht="15" customHeight="1" thickBot="1" x14ac:dyDescent="0.4">
      <c r="B35" s="79"/>
      <c r="C35" s="80"/>
      <c r="D35" s="80"/>
      <c r="E35" s="80"/>
      <c r="F35" s="80"/>
      <c r="G35" s="80"/>
      <c r="H35" s="81"/>
    </row>
    <row r="39" spans="2:8" ht="15" customHeight="1" x14ac:dyDescent="0.4">
      <c r="C39" s="444"/>
      <c r="D39" s="444"/>
      <c r="E39" s="444"/>
    </row>
  </sheetData>
  <mergeCells count="1">
    <mergeCell ref="C39:E39"/>
  </mergeCells>
  <pageMargins left="0.7" right="0.7" top="0.75" bottom="0.75" header="0.3" footer="0.3"/>
  <pageSetup scale="33" orientation="portrait" r:id="rId1"/>
  <ignoredErrors>
    <ignoredError sqref="D6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4EA9-1BCF-4EC3-9ACC-FEC104972CF9}">
  <sheetPr>
    <tabColor theme="8" tint="-0.249977111117893"/>
    <pageSetUpPr fitToPage="1"/>
  </sheetPr>
  <dimension ref="A1"/>
  <sheetViews>
    <sheetView showGridLines="0" view="pageBreakPreview" zoomScaleNormal="100" zoomScaleSheetLayoutView="100" workbookViewId="0">
      <selection activeCell="O52" sqref="O52"/>
    </sheetView>
  </sheetViews>
  <sheetFormatPr defaultColWidth="9.1328125" defaultRowHeight="10.15" x14ac:dyDescent="0.3"/>
  <cols>
    <col min="1" max="16384" width="9.1328125" style="35"/>
  </cols>
  <sheetData/>
  <pageMargins left="0.2" right="0.2" top="0.5" bottom="0.5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98DD-5E0A-430B-9242-09580B8D0020}">
  <sheetPr>
    <tabColor theme="8" tint="0.39997558519241921"/>
    <outlinePr summaryBelow="0" summaryRight="0"/>
    <pageSetUpPr autoPageBreaks="0" fitToPage="1"/>
  </sheetPr>
  <dimension ref="B2:IM31"/>
  <sheetViews>
    <sheetView showGridLines="0" view="pageBreakPreview" zoomScaleNormal="100" zoomScaleSheetLayoutView="100" workbookViewId="0">
      <selection activeCell="B2" sqref="B2:F30"/>
    </sheetView>
  </sheetViews>
  <sheetFormatPr defaultColWidth="9.1328125" defaultRowHeight="10.15" x14ac:dyDescent="0.3"/>
  <cols>
    <col min="1" max="1" width="2.73046875" style="35" customWidth="1"/>
    <col min="2" max="2" width="43.73046875" style="35" bestFit="1" customWidth="1"/>
    <col min="3" max="3" width="10.19921875" style="35" bestFit="1" customWidth="1"/>
    <col min="4" max="4" width="11" style="35" bestFit="1" customWidth="1"/>
    <col min="5" max="5" width="10.59765625" style="35" bestFit="1" customWidth="1"/>
    <col min="6" max="6" width="11" style="35" bestFit="1" customWidth="1"/>
    <col min="7" max="16384" width="9.1328125" style="35"/>
  </cols>
  <sheetData>
    <row r="2" spans="2:6" ht="10.5" thickBot="1" x14ac:dyDescent="0.35">
      <c r="B2" s="445" t="s">
        <v>6</v>
      </c>
      <c r="C2" s="446"/>
      <c r="D2" s="446"/>
      <c r="E2" s="446"/>
      <c r="F2" s="447"/>
    </row>
    <row r="3" spans="2:6" ht="21" x14ac:dyDescent="0.4">
      <c r="B3" s="433" t="s">
        <v>181</v>
      </c>
      <c r="C3" s="434">
        <v>2017</v>
      </c>
      <c r="D3" s="434">
        <v>2018</v>
      </c>
      <c r="E3" s="434">
        <v>2019</v>
      </c>
      <c r="F3" s="435">
        <v>2020</v>
      </c>
    </row>
    <row r="4" spans="2:6" x14ac:dyDescent="0.3">
      <c r="B4" s="436" t="s">
        <v>106</v>
      </c>
      <c r="C4" s="437" t="s">
        <v>105</v>
      </c>
      <c r="D4" s="437" t="s">
        <v>105</v>
      </c>
      <c r="E4" s="437" t="s">
        <v>105</v>
      </c>
      <c r="F4" s="438" t="s">
        <v>105</v>
      </c>
    </row>
    <row r="5" spans="2:6" x14ac:dyDescent="0.3">
      <c r="B5" s="205" t="s">
        <v>104</v>
      </c>
      <c r="C5" s="101"/>
      <c r="D5" s="101"/>
      <c r="E5" s="101"/>
      <c r="F5" s="206"/>
    </row>
    <row r="6" spans="2:6" x14ac:dyDescent="0.3">
      <c r="B6" s="207" t="s">
        <v>217</v>
      </c>
      <c r="C6" s="281">
        <v>6761</v>
      </c>
      <c r="D6" s="281">
        <v>7381</v>
      </c>
      <c r="E6" s="281">
        <v>7786</v>
      </c>
      <c r="F6" s="282">
        <v>2733</v>
      </c>
    </row>
    <row r="7" spans="2:6" x14ac:dyDescent="0.3">
      <c r="B7" s="207" t="s">
        <v>218</v>
      </c>
      <c r="C7" s="281">
        <v>251</v>
      </c>
      <c r="D7" s="281">
        <v>277</v>
      </c>
      <c r="E7" s="281">
        <v>308</v>
      </c>
      <c r="F7" s="282">
        <v>224</v>
      </c>
    </row>
    <row r="8" spans="2:6" x14ac:dyDescent="0.3">
      <c r="B8" s="205" t="s">
        <v>103</v>
      </c>
      <c r="C8" s="283">
        <f>C6+C7</f>
        <v>7012</v>
      </c>
      <c r="D8" s="283">
        <f t="shared" ref="D8:F8" si="0">D6+D7</f>
        <v>7658</v>
      </c>
      <c r="E8" s="283">
        <f t="shared" si="0"/>
        <v>8094</v>
      </c>
      <c r="F8" s="283">
        <f t="shared" si="0"/>
        <v>2957</v>
      </c>
    </row>
    <row r="9" spans="2:6" x14ac:dyDescent="0.3">
      <c r="B9" s="207"/>
      <c r="C9" s="285"/>
      <c r="D9" s="285"/>
      <c r="E9" s="285"/>
      <c r="F9" s="286"/>
    </row>
    <row r="10" spans="2:6" x14ac:dyDescent="0.3">
      <c r="B10" s="205" t="s">
        <v>102</v>
      </c>
      <c r="C10" s="285"/>
      <c r="D10" s="285"/>
      <c r="E10" s="285"/>
      <c r="F10" s="286"/>
    </row>
    <row r="11" spans="2:6" x14ac:dyDescent="0.3">
      <c r="B11" s="207" t="s">
        <v>264</v>
      </c>
      <c r="C11" s="281">
        <v>-2431.1930000000002</v>
      </c>
      <c r="D11" s="281">
        <v>-2400.14</v>
      </c>
      <c r="E11" s="281">
        <v>-2795.0050000000001</v>
      </c>
      <c r="F11" s="282">
        <v>-3123.0619999999999</v>
      </c>
    </row>
    <row r="12" spans="2:6" x14ac:dyDescent="0.3">
      <c r="B12" s="207" t="s">
        <v>263</v>
      </c>
      <c r="C12" s="281">
        <v>-622</v>
      </c>
      <c r="D12" s="281">
        <v>-625</v>
      </c>
      <c r="E12" s="281">
        <v>-619</v>
      </c>
      <c r="F12" s="282">
        <v>-441</v>
      </c>
    </row>
    <row r="13" spans="2:6" x14ac:dyDescent="0.3">
      <c r="B13" s="297" t="s">
        <v>251</v>
      </c>
      <c r="C13" s="283">
        <v>-4412</v>
      </c>
      <c r="D13" s="283">
        <v>-5134</v>
      </c>
      <c r="E13" s="283">
        <v>-5359</v>
      </c>
      <c r="F13" s="284">
        <v>-3547</v>
      </c>
    </row>
    <row r="14" spans="2:6" x14ac:dyDescent="0.3">
      <c r="B14" s="297" t="s">
        <v>252</v>
      </c>
      <c r="C14" s="283">
        <v>-271</v>
      </c>
      <c r="D14" s="283">
        <v>-294</v>
      </c>
      <c r="E14" s="283">
        <v>-290</v>
      </c>
      <c r="F14" s="284">
        <v>-110</v>
      </c>
    </row>
    <row r="15" spans="2:6" x14ac:dyDescent="0.3">
      <c r="B15" s="207" t="s">
        <v>262</v>
      </c>
      <c r="C15" s="281">
        <v>-522.91999999999996</v>
      </c>
      <c r="D15" s="281">
        <v>-506.255</v>
      </c>
      <c r="E15" s="281">
        <v>-597.41</v>
      </c>
      <c r="F15" s="282">
        <v>-781.40800000000002</v>
      </c>
    </row>
    <row r="16" spans="2:6" x14ac:dyDescent="0.3">
      <c r="B16" s="207" t="s">
        <v>261</v>
      </c>
      <c r="C16" s="281">
        <v>-85.132999999999996</v>
      </c>
      <c r="D16" s="281">
        <v>0</v>
      </c>
      <c r="E16" s="281">
        <v>0</v>
      </c>
      <c r="F16" s="282">
        <v>0</v>
      </c>
    </row>
    <row r="17" spans="2:247" x14ac:dyDescent="0.3">
      <c r="B17" s="207" t="s">
        <v>260</v>
      </c>
      <c r="C17" s="281">
        <v>-16.509</v>
      </c>
      <c r="D17" s="281">
        <v>-15.798</v>
      </c>
      <c r="E17" s="281">
        <v>-20.841999999999999</v>
      </c>
      <c r="F17" s="282">
        <v>-23.728999999999999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</row>
    <row r="18" spans="2:247" x14ac:dyDescent="0.3">
      <c r="B18" s="207" t="s">
        <v>259</v>
      </c>
      <c r="C18" s="281">
        <v>1.19</v>
      </c>
      <c r="D18" s="281">
        <v>2.4649999999999999</v>
      </c>
      <c r="E18" s="281">
        <v>2.71</v>
      </c>
      <c r="F18" s="282">
        <v>1.3</v>
      </c>
    </row>
    <row r="19" spans="2:247" x14ac:dyDescent="0.3">
      <c r="B19" s="207" t="s">
        <v>258</v>
      </c>
      <c r="C19" s="281">
        <v>932</v>
      </c>
      <c r="D19" s="281">
        <v>1060</v>
      </c>
      <c r="E19" s="281">
        <v>1106</v>
      </c>
      <c r="F19" s="282">
        <v>762</v>
      </c>
      <c r="H19" s="96"/>
    </row>
    <row r="20" spans="2:247" x14ac:dyDescent="0.3">
      <c r="B20" s="207" t="s">
        <v>223</v>
      </c>
      <c r="C20" s="281">
        <v>1.34</v>
      </c>
      <c r="D20" s="281">
        <v>5.6580000000000004</v>
      </c>
      <c r="E20" s="281">
        <v>-1.651</v>
      </c>
      <c r="F20" s="282">
        <v>-2.3919999999999999</v>
      </c>
    </row>
    <row r="21" spans="2:247" x14ac:dyDescent="0.3">
      <c r="B21" s="207" t="s">
        <v>222</v>
      </c>
      <c r="C21" s="281">
        <v>8</v>
      </c>
      <c r="D21" s="281">
        <v>10</v>
      </c>
      <c r="E21" s="281">
        <v>10</v>
      </c>
      <c r="F21" s="282">
        <v>14</v>
      </c>
    </row>
    <row r="22" spans="2:247" x14ac:dyDescent="0.3">
      <c r="B22" s="207" t="s">
        <v>146</v>
      </c>
      <c r="C22" s="281">
        <v>-111</v>
      </c>
      <c r="D22" s="281">
        <v>-71</v>
      </c>
      <c r="E22" s="281">
        <v>-70</v>
      </c>
      <c r="F22" s="282">
        <v>-79</v>
      </c>
    </row>
    <row r="23" spans="2:247" x14ac:dyDescent="0.3">
      <c r="B23" s="207" t="s">
        <v>221</v>
      </c>
      <c r="C23" s="281" t="s">
        <v>3</v>
      </c>
      <c r="D23" s="281" t="s">
        <v>3</v>
      </c>
      <c r="E23" s="281" t="s">
        <v>3</v>
      </c>
      <c r="F23" s="282">
        <v>15</v>
      </c>
    </row>
    <row r="24" spans="2:247" x14ac:dyDescent="0.3">
      <c r="B24" s="207" t="s">
        <v>220</v>
      </c>
      <c r="C24" s="281">
        <v>7</v>
      </c>
      <c r="D24" s="281">
        <v>6</v>
      </c>
      <c r="E24" s="281">
        <v>13</v>
      </c>
      <c r="F24" s="282">
        <v>18</v>
      </c>
    </row>
    <row r="25" spans="2:247" x14ac:dyDescent="0.3">
      <c r="B25" s="207" t="s">
        <v>219</v>
      </c>
      <c r="C25" s="281" t="s">
        <v>3</v>
      </c>
      <c r="D25" s="281" t="s">
        <v>3</v>
      </c>
      <c r="E25" s="281">
        <v>-435</v>
      </c>
      <c r="F25" s="282">
        <v>-14</v>
      </c>
    </row>
    <row r="26" spans="2:247" x14ac:dyDescent="0.3">
      <c r="B26" s="205" t="s">
        <v>145</v>
      </c>
      <c r="C26" s="283">
        <v>1164</v>
      </c>
      <c r="D26" s="283">
        <v>918</v>
      </c>
      <c r="E26" s="283">
        <v>219</v>
      </c>
      <c r="F26" s="284">
        <v>768</v>
      </c>
      <c r="G26" s="212"/>
    </row>
    <row r="27" spans="2:247" x14ac:dyDescent="0.3">
      <c r="B27" s="207"/>
      <c r="C27" s="285"/>
      <c r="D27" s="285"/>
      <c r="E27" s="285"/>
      <c r="F27" s="286"/>
    </row>
    <row r="28" spans="2:247" x14ac:dyDescent="0.3">
      <c r="B28" s="205" t="s">
        <v>101</v>
      </c>
      <c r="C28" s="285"/>
      <c r="D28" s="285"/>
      <c r="E28" s="285"/>
      <c r="F28" s="286"/>
    </row>
    <row r="29" spans="2:247" x14ac:dyDescent="0.3">
      <c r="B29" s="207" t="s">
        <v>100</v>
      </c>
      <c r="C29" s="281">
        <v>-437</v>
      </c>
      <c r="D29" s="281">
        <v>222</v>
      </c>
      <c r="E29" s="281">
        <v>-30</v>
      </c>
      <c r="F29" s="282">
        <v>-199</v>
      </c>
    </row>
    <row r="30" spans="2:247" x14ac:dyDescent="0.3">
      <c r="B30" s="208" t="s">
        <v>144</v>
      </c>
      <c r="C30" s="287">
        <v>727</v>
      </c>
      <c r="D30" s="287">
        <v>1140</v>
      </c>
      <c r="E30" s="287">
        <v>189</v>
      </c>
      <c r="F30" s="288">
        <v>569</v>
      </c>
    </row>
    <row r="31" spans="2:247" x14ac:dyDescent="0.3">
      <c r="B31" s="38"/>
      <c r="C31" s="38"/>
      <c r="D31" s="38"/>
      <c r="E31" s="38"/>
      <c r="F31" s="38"/>
    </row>
  </sheetData>
  <mergeCells count="1">
    <mergeCell ref="B2:F2"/>
  </mergeCells>
  <pageMargins left="0.2" right="0.2" top="0.5" bottom="0.5" header="0.5" footer="0.5"/>
  <pageSetup orientation="landscape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0DA7-4C4B-4625-8D0C-E0C20EFD2892}">
  <sheetPr>
    <tabColor theme="8" tint="0.39997558519241921"/>
    <outlinePr summaryBelow="0" summaryRight="0"/>
    <pageSetUpPr autoPageBreaks="0" fitToPage="1"/>
  </sheetPr>
  <dimension ref="B1:IQ53"/>
  <sheetViews>
    <sheetView showGridLines="0" view="pageBreakPreview" zoomScale="59" zoomScaleNormal="100" zoomScaleSheetLayoutView="81" workbookViewId="0">
      <selection activeCell="J29" sqref="J29"/>
    </sheetView>
  </sheetViews>
  <sheetFormatPr defaultColWidth="9.1328125" defaultRowHeight="10.15" x14ac:dyDescent="0.3"/>
  <cols>
    <col min="1" max="1" width="2.73046875" style="35" customWidth="1"/>
    <col min="2" max="2" width="45.86328125" style="35" customWidth="1"/>
    <col min="3" max="3" width="15.73046875" style="35" hidden="1" customWidth="1"/>
    <col min="4" max="6" width="15.73046875" style="35" customWidth="1"/>
    <col min="7" max="8" width="9.1328125" style="35"/>
    <col min="9" max="9" width="21" style="35" bestFit="1" customWidth="1"/>
    <col min="10" max="11" width="11.19921875" style="35" bestFit="1" customWidth="1"/>
    <col min="12" max="12" width="10" style="35" bestFit="1" customWidth="1"/>
    <col min="13" max="13" width="11.19921875" style="35" bestFit="1" customWidth="1"/>
    <col min="14" max="14" width="11.1328125" style="35" bestFit="1" customWidth="1"/>
    <col min="15" max="16384" width="9.1328125" style="35"/>
  </cols>
  <sheetData>
    <row r="1" spans="2:6" ht="10.5" thickBot="1" x14ac:dyDescent="0.35"/>
    <row r="2" spans="2:6" ht="13.5" thickBot="1" x14ac:dyDescent="0.45">
      <c r="B2" s="448" t="s">
        <v>93</v>
      </c>
      <c r="C2" s="449"/>
      <c r="D2" s="449"/>
      <c r="E2" s="449"/>
      <c r="F2" s="449"/>
    </row>
    <row r="3" spans="2:6" ht="26.25" x14ac:dyDescent="0.4">
      <c r="B3" s="431" t="s">
        <v>8</v>
      </c>
      <c r="C3" s="432">
        <v>2016</v>
      </c>
      <c r="D3" s="432">
        <v>2017</v>
      </c>
      <c r="E3" s="432">
        <v>2018</v>
      </c>
      <c r="F3" s="432">
        <v>2019</v>
      </c>
    </row>
    <row r="4" spans="2:6" ht="13.15" x14ac:dyDescent="0.4">
      <c r="B4" s="431" t="s">
        <v>106</v>
      </c>
      <c r="C4" s="432" t="s">
        <v>105</v>
      </c>
      <c r="D4" s="432" t="s">
        <v>105</v>
      </c>
      <c r="E4" s="432" t="s">
        <v>105</v>
      </c>
      <c r="F4" s="432" t="s">
        <v>105</v>
      </c>
    </row>
    <row r="5" spans="2:6" ht="13.15" x14ac:dyDescent="0.3">
      <c r="B5" s="42" t="s">
        <v>114</v>
      </c>
      <c r="C5" s="172"/>
      <c r="D5" s="171"/>
      <c r="E5" s="171"/>
      <c r="F5" s="171"/>
    </row>
    <row r="6" spans="2:6" ht="12.75" x14ac:dyDescent="0.3">
      <c r="B6" s="43" t="s">
        <v>270</v>
      </c>
      <c r="C6" s="170">
        <v>0</v>
      </c>
      <c r="D6" s="170">
        <v>303</v>
      </c>
      <c r="E6" s="170">
        <v>474</v>
      </c>
      <c r="F6" s="170">
        <v>959</v>
      </c>
    </row>
    <row r="7" spans="2:6" ht="13.15" x14ac:dyDescent="0.3">
      <c r="B7" s="42" t="s">
        <v>224</v>
      </c>
      <c r="C7" s="169">
        <v>0</v>
      </c>
      <c r="D7" s="169">
        <v>390</v>
      </c>
      <c r="E7" s="169">
        <v>413</v>
      </c>
      <c r="F7" s="169">
        <v>369</v>
      </c>
    </row>
    <row r="8" spans="2:6" ht="13.15" x14ac:dyDescent="0.3">
      <c r="B8" s="42" t="s">
        <v>225</v>
      </c>
      <c r="C8" s="169"/>
      <c r="D8" s="169">
        <v>245</v>
      </c>
      <c r="E8" s="169">
        <v>211</v>
      </c>
      <c r="F8" s="169">
        <v>231</v>
      </c>
    </row>
    <row r="9" spans="2:6" ht="13.15" x14ac:dyDescent="0.3">
      <c r="B9" s="42" t="s">
        <v>226</v>
      </c>
      <c r="C9" s="169" t="e">
        <f>SUM(#REF!)</f>
        <v>#REF!</v>
      </c>
      <c r="D9" s="169">
        <v>55</v>
      </c>
      <c r="E9" s="169">
        <v>78</v>
      </c>
      <c r="F9" s="169">
        <v>81</v>
      </c>
    </row>
    <row r="10" spans="2:6" ht="13.15" x14ac:dyDescent="0.3">
      <c r="B10" s="42" t="s">
        <v>227</v>
      </c>
      <c r="C10" s="169" t="e">
        <f>SUM(#REF!)</f>
        <v>#REF!</v>
      </c>
      <c r="D10" s="169">
        <v>213</v>
      </c>
      <c r="E10" s="169">
        <v>212</v>
      </c>
      <c r="F10" s="169">
        <v>146</v>
      </c>
    </row>
    <row r="11" spans="2:6" ht="13.15" x14ac:dyDescent="0.3">
      <c r="B11" s="42" t="s">
        <v>9</v>
      </c>
      <c r="C11" s="169" t="e">
        <f>SUM(#REF!)</f>
        <v>#REF!</v>
      </c>
      <c r="D11" s="169">
        <v>1206</v>
      </c>
      <c r="E11" s="169">
        <v>1388</v>
      </c>
      <c r="F11" s="169">
        <v>1786</v>
      </c>
    </row>
    <row r="12" spans="2:6" ht="12.75" x14ac:dyDescent="0.3">
      <c r="B12" s="43"/>
      <c r="C12" s="171"/>
      <c r="D12" s="171"/>
      <c r="E12" s="171"/>
      <c r="F12" s="171"/>
    </row>
    <row r="13" spans="2:6" ht="13.15" x14ac:dyDescent="0.3">
      <c r="B13" s="42" t="s">
        <v>113</v>
      </c>
      <c r="C13" s="172"/>
      <c r="D13" s="171"/>
      <c r="E13" s="171"/>
      <c r="F13" s="171"/>
    </row>
    <row r="14" spans="2:6" ht="12.75" x14ac:dyDescent="0.3">
      <c r="B14" s="43" t="s">
        <v>265</v>
      </c>
      <c r="C14" s="170" t="e">
        <f>SUM(#REF!)</f>
        <v>#REF!</v>
      </c>
      <c r="D14" s="170" t="s">
        <v>3</v>
      </c>
      <c r="E14" s="170">
        <v>1056</v>
      </c>
      <c r="F14" s="170">
        <v>912</v>
      </c>
    </row>
    <row r="15" spans="2:6" ht="12.75" x14ac:dyDescent="0.3">
      <c r="B15" s="43" t="s">
        <v>228</v>
      </c>
      <c r="C15" s="170"/>
      <c r="D15" s="170">
        <v>1041</v>
      </c>
      <c r="E15" s="170">
        <v>1074</v>
      </c>
      <c r="F15" s="170">
        <v>1145</v>
      </c>
    </row>
    <row r="16" spans="2:6" ht="12.75" x14ac:dyDescent="0.3">
      <c r="B16" s="43" t="s">
        <v>229</v>
      </c>
      <c r="C16" s="170"/>
      <c r="D16" s="170">
        <v>8980</v>
      </c>
      <c r="E16" s="170">
        <v>9525</v>
      </c>
      <c r="F16" s="170">
        <v>10332</v>
      </c>
    </row>
    <row r="17" spans="2:251" ht="12.75" x14ac:dyDescent="0.3">
      <c r="B17" s="43" t="s">
        <v>230</v>
      </c>
      <c r="C17" s="170" t="e">
        <f>SUM(#REF!)</f>
        <v>#REF!</v>
      </c>
      <c r="D17" s="170">
        <f>-207-2125-405</f>
        <v>-2737</v>
      </c>
      <c r="E17" s="170">
        <f>-2448-461</f>
        <v>-2909</v>
      </c>
      <c r="F17" s="170">
        <f>-2768-528</f>
        <v>-3296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</row>
    <row r="18" spans="2:251" ht="12.75" x14ac:dyDescent="0.3">
      <c r="B18" s="43" t="s">
        <v>231</v>
      </c>
      <c r="C18" s="170" t="e">
        <f>SUM(#REF!)</f>
        <v>#REF!</v>
      </c>
      <c r="D18" s="170">
        <v>2</v>
      </c>
      <c r="E18" s="170">
        <v>3</v>
      </c>
      <c r="F18" s="170">
        <v>3</v>
      </c>
    </row>
    <row r="19" spans="2:251" ht="12.75" x14ac:dyDescent="0.3">
      <c r="B19" s="43" t="s">
        <v>232</v>
      </c>
      <c r="C19" s="170" t="e">
        <f>SUM(#REF!)</f>
        <v>#REF!</v>
      </c>
      <c r="D19" s="170">
        <v>56</v>
      </c>
      <c r="E19" s="170">
        <v>59</v>
      </c>
      <c r="F19" s="170">
        <v>59</v>
      </c>
    </row>
    <row r="20" spans="2:251" ht="12.75" x14ac:dyDescent="0.3">
      <c r="B20" s="43" t="s">
        <v>233</v>
      </c>
      <c r="C20" s="170" t="e">
        <f>SUM(#REF!)</f>
        <v>#REF!</v>
      </c>
      <c r="D20" s="170">
        <v>468</v>
      </c>
      <c r="E20" s="170">
        <v>470</v>
      </c>
      <c r="F20" s="170">
        <v>544</v>
      </c>
    </row>
    <row r="21" spans="2:251" ht="12.75" x14ac:dyDescent="0.3">
      <c r="B21" s="43" t="s">
        <v>234</v>
      </c>
      <c r="C21" s="170"/>
      <c r="D21" s="170">
        <v>204</v>
      </c>
      <c r="E21" s="170">
        <v>293</v>
      </c>
      <c r="F21" s="170">
        <v>433</v>
      </c>
    </row>
    <row r="22" spans="2:251" ht="12.75" x14ac:dyDescent="0.3">
      <c r="B22" s="43" t="s">
        <v>235</v>
      </c>
      <c r="C22" s="170"/>
      <c r="D22" s="170">
        <v>561</v>
      </c>
      <c r="E22" s="170" t="s">
        <v>3</v>
      </c>
      <c r="F22" s="170" t="s">
        <v>3</v>
      </c>
    </row>
    <row r="23" spans="2:251" ht="13.15" x14ac:dyDescent="0.3">
      <c r="B23" s="42" t="s">
        <v>112</v>
      </c>
      <c r="C23" s="169" t="e">
        <f>SUM(#REF!)</f>
        <v>#REF!</v>
      </c>
      <c r="D23" s="169">
        <f>SUM(D11:D22)</f>
        <v>9781</v>
      </c>
      <c r="E23" s="169">
        <f>SUM(E11:E21)</f>
        <v>10959</v>
      </c>
      <c r="F23" s="169">
        <f>SUM(F11:F21)</f>
        <v>11918</v>
      </c>
    </row>
    <row r="24" spans="2:251" ht="12.75" x14ac:dyDescent="0.3">
      <c r="B24" s="43"/>
      <c r="C24" s="171"/>
      <c r="D24" s="171"/>
      <c r="E24" s="171"/>
      <c r="F24" s="171"/>
      <c r="I24" s="96"/>
    </row>
    <row r="25" spans="2:251" ht="13.15" x14ac:dyDescent="0.3">
      <c r="B25" s="42" t="s">
        <v>111</v>
      </c>
      <c r="C25" s="172"/>
      <c r="D25" s="172"/>
      <c r="E25" s="172"/>
      <c r="F25" s="172"/>
    </row>
    <row r="26" spans="2:251" ht="13.15" x14ac:dyDescent="0.3">
      <c r="B26" s="42" t="s">
        <v>266</v>
      </c>
      <c r="C26" s="169" t="e">
        <f>SUM(#REF!)</f>
        <v>#REF!</v>
      </c>
      <c r="D26" s="169">
        <v>378</v>
      </c>
      <c r="E26" s="169">
        <v>437</v>
      </c>
      <c r="F26" s="169">
        <v>401</v>
      </c>
    </row>
    <row r="27" spans="2:251" ht="13.15" x14ac:dyDescent="0.3">
      <c r="B27" s="42" t="s">
        <v>237</v>
      </c>
      <c r="C27" s="169" t="e">
        <f>SUM(#REF!)</f>
        <v>#REF!</v>
      </c>
      <c r="D27" s="169">
        <v>293</v>
      </c>
      <c r="E27" s="169">
        <v>298</v>
      </c>
      <c r="F27" s="169">
        <v>295</v>
      </c>
    </row>
    <row r="28" spans="2:251" ht="13.15" x14ac:dyDescent="0.3">
      <c r="B28" s="42" t="s">
        <v>238</v>
      </c>
      <c r="C28" s="169"/>
      <c r="D28" s="169">
        <v>313</v>
      </c>
      <c r="E28" s="169">
        <v>313</v>
      </c>
      <c r="F28" s="169">
        <v>376</v>
      </c>
    </row>
    <row r="29" spans="2:251" ht="13.15" x14ac:dyDescent="0.3">
      <c r="B29" s="42" t="s">
        <v>239</v>
      </c>
      <c r="C29" s="169"/>
      <c r="D29" s="169">
        <v>196</v>
      </c>
      <c r="E29" s="169">
        <v>309</v>
      </c>
      <c r="F29" s="169">
        <v>344</v>
      </c>
    </row>
    <row r="30" spans="2:251" ht="13.15" x14ac:dyDescent="0.3">
      <c r="B30" s="42" t="s">
        <v>240</v>
      </c>
      <c r="C30" s="169"/>
      <c r="D30" s="169" t="s">
        <v>3</v>
      </c>
      <c r="E30" s="169">
        <v>133</v>
      </c>
      <c r="F30" s="169">
        <v>128</v>
      </c>
    </row>
    <row r="31" spans="2:251" ht="13.15" x14ac:dyDescent="0.3">
      <c r="B31" s="42" t="s">
        <v>241</v>
      </c>
      <c r="C31" s="169"/>
      <c r="D31" s="169">
        <v>966</v>
      </c>
      <c r="E31" s="169">
        <v>1035</v>
      </c>
      <c r="F31" s="169">
        <v>1119</v>
      </c>
    </row>
    <row r="32" spans="2:251" ht="13.15" x14ac:dyDescent="0.3">
      <c r="B32" s="42" t="s">
        <v>10</v>
      </c>
      <c r="C32" s="169" t="e">
        <f>SUM(#REF!)</f>
        <v>#REF!</v>
      </c>
      <c r="D32" s="169">
        <f>SUM(D26:D31)</f>
        <v>2146</v>
      </c>
      <c r="E32" s="169">
        <f>SUM(E26:E31)</f>
        <v>2525</v>
      </c>
      <c r="F32" s="169">
        <f>SUM(F26:F31)</f>
        <v>2663</v>
      </c>
    </row>
    <row r="33" spans="2:6" ht="12.75" x14ac:dyDescent="0.3">
      <c r="B33" s="43"/>
      <c r="C33" s="171"/>
      <c r="D33" s="171"/>
      <c r="E33" s="171"/>
      <c r="F33" s="171"/>
    </row>
    <row r="34" spans="2:6" ht="13.15" x14ac:dyDescent="0.3">
      <c r="B34" s="42" t="s">
        <v>110</v>
      </c>
      <c r="C34" s="172"/>
      <c r="D34" s="172"/>
      <c r="E34" s="172"/>
      <c r="F34" s="172"/>
    </row>
    <row r="35" spans="2:6" ht="12.75" x14ac:dyDescent="0.3">
      <c r="B35" s="43" t="s">
        <v>242</v>
      </c>
      <c r="C35" s="170" t="e">
        <f>SUM(#REF!)</f>
        <v>#REF!</v>
      </c>
      <c r="D35" s="170">
        <v>1003</v>
      </c>
      <c r="E35" s="170">
        <v>1361</v>
      </c>
      <c r="F35" s="170">
        <v>1990</v>
      </c>
    </row>
    <row r="36" spans="2:6" ht="12.75" x14ac:dyDescent="0.3">
      <c r="B36" s="43" t="s">
        <v>243</v>
      </c>
      <c r="C36" s="170"/>
      <c r="D36" s="170" t="s">
        <v>3</v>
      </c>
      <c r="E36" s="170">
        <v>798</v>
      </c>
      <c r="F36" s="170">
        <v>690</v>
      </c>
    </row>
    <row r="37" spans="2:6" ht="12.75" x14ac:dyDescent="0.3">
      <c r="B37" s="43" t="s">
        <v>244</v>
      </c>
      <c r="C37" s="170"/>
      <c r="D37" s="170">
        <v>385</v>
      </c>
      <c r="E37" s="170">
        <v>447</v>
      </c>
      <c r="F37" s="170">
        <v>481</v>
      </c>
    </row>
    <row r="38" spans="2:6" ht="12.75" x14ac:dyDescent="0.3">
      <c r="B38" s="43" t="s">
        <v>245</v>
      </c>
      <c r="C38" s="170"/>
      <c r="D38" s="170">
        <v>999</v>
      </c>
      <c r="E38" s="170">
        <v>1112</v>
      </c>
      <c r="F38" s="170">
        <v>1251</v>
      </c>
    </row>
    <row r="39" spans="2:6" ht="12.75" x14ac:dyDescent="0.3">
      <c r="B39" s="43" t="s">
        <v>246</v>
      </c>
      <c r="C39" s="170"/>
      <c r="D39" s="170" t="s">
        <v>3</v>
      </c>
      <c r="E39" s="170">
        <v>31</v>
      </c>
      <c r="F39" s="170">
        <v>44</v>
      </c>
    </row>
    <row r="40" spans="2:6" ht="12.75" x14ac:dyDescent="0.3">
      <c r="B40" s="43" t="s">
        <v>247</v>
      </c>
      <c r="C40" s="170"/>
      <c r="D40" s="170">
        <v>441</v>
      </c>
      <c r="E40" s="170" t="s">
        <v>3</v>
      </c>
      <c r="F40" s="170" t="s">
        <v>3</v>
      </c>
    </row>
    <row r="41" spans="2:6" ht="12.75" x14ac:dyDescent="0.3">
      <c r="B41" s="43" t="s">
        <v>248</v>
      </c>
      <c r="C41" s="170" t="e">
        <f>SUM(#REF!)</f>
        <v>#REF!</v>
      </c>
      <c r="D41" s="170">
        <v>75</v>
      </c>
      <c r="E41" s="170" t="s">
        <v>3</v>
      </c>
      <c r="F41" s="170" t="s">
        <v>3</v>
      </c>
    </row>
    <row r="42" spans="2:6" ht="12.75" x14ac:dyDescent="0.3">
      <c r="B42" s="43"/>
      <c r="C42" s="171"/>
      <c r="D42" s="171"/>
      <c r="E42" s="171"/>
      <c r="F42" s="171"/>
    </row>
    <row r="43" spans="2:6" ht="13.15" x14ac:dyDescent="0.3">
      <c r="B43" s="42" t="s">
        <v>109</v>
      </c>
      <c r="C43" s="172"/>
      <c r="D43" s="172"/>
      <c r="E43" s="172"/>
      <c r="F43" s="172"/>
    </row>
    <row r="44" spans="2:6" ht="12.75" x14ac:dyDescent="0.3">
      <c r="B44" s="43" t="s">
        <v>267</v>
      </c>
      <c r="C44" s="170">
        <v>-495</v>
      </c>
      <c r="D44" s="170">
        <v>4</v>
      </c>
      <c r="E44" s="170">
        <v>4</v>
      </c>
      <c r="F44" s="170">
        <v>4</v>
      </c>
    </row>
    <row r="45" spans="2:6" ht="12.75" x14ac:dyDescent="0.3">
      <c r="B45" s="43" t="s">
        <v>269</v>
      </c>
      <c r="C45" s="170"/>
      <c r="D45" s="170">
        <v>2127</v>
      </c>
      <c r="E45" s="170">
        <v>2203</v>
      </c>
      <c r="F45" s="170">
        <v>2253</v>
      </c>
    </row>
    <row r="46" spans="2:6" ht="12.75" x14ac:dyDescent="0.3">
      <c r="B46" s="43" t="s">
        <v>268</v>
      </c>
      <c r="C46" s="170"/>
      <c r="D46" s="170">
        <v>-890</v>
      </c>
      <c r="E46" s="170">
        <v>-1272</v>
      </c>
      <c r="F46" s="170">
        <v>-1782</v>
      </c>
    </row>
    <row r="47" spans="2:6" ht="12.75" x14ac:dyDescent="0.3">
      <c r="B47" s="43" t="s">
        <v>249</v>
      </c>
      <c r="C47" s="170"/>
      <c r="D47" s="170">
        <v>3491</v>
      </c>
      <c r="E47" s="170">
        <v>3753</v>
      </c>
      <c r="F47" s="170">
        <v>4322</v>
      </c>
    </row>
    <row r="48" spans="2:6" ht="12.75" x14ac:dyDescent="0.3">
      <c r="B48" s="43" t="s">
        <v>250</v>
      </c>
      <c r="C48" s="170"/>
      <c r="D48" s="170" t="s">
        <v>3</v>
      </c>
      <c r="E48" s="170">
        <v>-3</v>
      </c>
      <c r="F48" s="170">
        <v>2</v>
      </c>
    </row>
    <row r="49" spans="2:7" ht="13.15" x14ac:dyDescent="0.3">
      <c r="B49" s="42" t="s">
        <v>108</v>
      </c>
      <c r="C49" s="169" t="e">
        <f>SUM(#REF!)</f>
        <v>#REF!</v>
      </c>
      <c r="D49" s="169">
        <v>4732</v>
      </c>
      <c r="E49" s="169">
        <v>4685</v>
      </c>
      <c r="F49" s="169">
        <v>4779</v>
      </c>
      <c r="G49" s="169"/>
    </row>
    <row r="50" spans="2:7" ht="13.5" thickBot="1" x14ac:dyDescent="0.35">
      <c r="B50" s="44" t="s">
        <v>107</v>
      </c>
      <c r="C50" s="97" t="e">
        <f>SUM(#REF!)</f>
        <v>#REF!</v>
      </c>
      <c r="D50" s="97">
        <v>9781</v>
      </c>
      <c r="E50" s="97">
        <v>10959</v>
      </c>
      <c r="F50" s="97">
        <v>11918</v>
      </c>
    </row>
    <row r="51" spans="2:7" x14ac:dyDescent="0.3">
      <c r="B51" s="37"/>
      <c r="C51" s="37"/>
      <c r="D51" s="37"/>
      <c r="E51" s="37"/>
      <c r="F51" s="37"/>
    </row>
    <row r="53" spans="2:7" x14ac:dyDescent="0.3">
      <c r="B53" s="36" t="s">
        <v>86</v>
      </c>
      <c r="C53" s="36"/>
    </row>
  </sheetData>
  <mergeCells count="1">
    <mergeCell ref="B2:F2"/>
  </mergeCells>
  <pageMargins left="0.2" right="0.2" top="0.5" bottom="0.5" header="0.5" footer="0.5"/>
  <pageSetup scale="79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5E08-F207-4103-9B6F-D3050467C858}">
  <sheetPr>
    <tabColor theme="8" tint="0.39997558519241921"/>
    <outlinePr summaryBelow="0" summaryRight="0"/>
    <pageSetUpPr autoPageBreaks="0" fitToPage="1"/>
  </sheetPr>
  <dimension ref="B2:G9"/>
  <sheetViews>
    <sheetView showGridLines="0" view="pageBreakPreview" zoomScaleNormal="100" zoomScaleSheetLayoutView="100" workbookViewId="0">
      <selection activeCell="E15" sqref="E15"/>
    </sheetView>
  </sheetViews>
  <sheetFormatPr defaultColWidth="9.1328125" defaultRowHeight="10.15" x14ac:dyDescent="0.3"/>
  <cols>
    <col min="1" max="1" width="2.73046875" style="35" customWidth="1"/>
    <col min="2" max="2" width="45.86328125" style="35" customWidth="1"/>
    <col min="3" max="6" width="14.86328125" style="35" customWidth="1"/>
    <col min="7" max="16384" width="9.1328125" style="35"/>
  </cols>
  <sheetData>
    <row r="2" spans="2:7" ht="13.15" x14ac:dyDescent="0.4">
      <c r="B2" s="439" t="s">
        <v>88</v>
      </c>
      <c r="C2" s="439"/>
      <c r="D2" s="439"/>
      <c r="E2" s="439"/>
      <c r="F2" s="439"/>
    </row>
    <row r="3" spans="2:7" ht="26.25" x14ac:dyDescent="0.4">
      <c r="B3" s="440" t="s">
        <v>0</v>
      </c>
      <c r="C3" s="441">
        <v>2016</v>
      </c>
      <c r="D3" s="441">
        <v>2017</v>
      </c>
      <c r="E3" s="441">
        <v>2018</v>
      </c>
      <c r="F3" s="441">
        <v>2019</v>
      </c>
    </row>
    <row r="4" spans="2:7" ht="13.15" x14ac:dyDescent="0.4">
      <c r="B4" s="440" t="s">
        <v>106</v>
      </c>
      <c r="C4" s="441" t="s">
        <v>105</v>
      </c>
      <c r="D4" s="441" t="s">
        <v>105</v>
      </c>
      <c r="E4" s="441" t="s">
        <v>105</v>
      </c>
      <c r="F4" s="441" t="s">
        <v>105</v>
      </c>
    </row>
    <row r="5" spans="2:7" ht="13.15" x14ac:dyDescent="0.3">
      <c r="B5" s="174" t="s">
        <v>118</v>
      </c>
      <c r="C5" s="289">
        <v>337</v>
      </c>
      <c r="D5" s="289">
        <v>383</v>
      </c>
      <c r="E5" s="289">
        <v>423</v>
      </c>
      <c r="F5" s="289">
        <v>474</v>
      </c>
      <c r="G5" s="87"/>
    </row>
    <row r="6" spans="2:7" ht="12.75" x14ac:dyDescent="0.3">
      <c r="B6" s="173"/>
      <c r="C6" s="290"/>
      <c r="D6" s="290"/>
      <c r="E6" s="290"/>
      <c r="F6" s="290"/>
    </row>
    <row r="7" spans="2:7" ht="13.15" x14ac:dyDescent="0.3">
      <c r="B7" s="174" t="s">
        <v>116</v>
      </c>
      <c r="C7" s="290"/>
      <c r="D7" s="290"/>
      <c r="E7" s="290"/>
      <c r="F7" s="290"/>
    </row>
    <row r="8" spans="2:7" ht="12.75" x14ac:dyDescent="0.3">
      <c r="B8" s="173" t="s">
        <v>115</v>
      </c>
      <c r="C8" s="291">
        <v>-850</v>
      </c>
      <c r="D8" s="291">
        <v>-1074</v>
      </c>
      <c r="E8" s="291">
        <v>-908</v>
      </c>
      <c r="F8" s="291">
        <v>-932</v>
      </c>
      <c r="G8" s="87"/>
    </row>
    <row r="9" spans="2:7" x14ac:dyDescent="0.3">
      <c r="C9" s="37"/>
      <c r="D9" s="37"/>
      <c r="E9" s="37"/>
      <c r="F9" s="37"/>
    </row>
  </sheetData>
  <pageMargins left="0.2" right="0.2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2C0E-6308-453C-84AD-F0466FD0D8B4}">
  <sheetPr>
    <tabColor theme="9" tint="-0.499984740745262"/>
    <pageSetUpPr fitToPage="1"/>
  </sheetPr>
  <dimension ref="A1"/>
  <sheetViews>
    <sheetView showGridLines="0" view="pageBreakPreview" zoomScaleNormal="100" zoomScaleSheetLayoutView="100" workbookViewId="0"/>
  </sheetViews>
  <sheetFormatPr defaultColWidth="9.1328125" defaultRowHeight="10.15" x14ac:dyDescent="0.3"/>
  <cols>
    <col min="1" max="16384" width="9.1328125" style="35"/>
  </cols>
  <sheetData/>
  <pageMargins left="0.2" right="0.2" top="0.5" bottom="0.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FDD5-FEA6-4984-9553-E10247D17D09}">
  <sheetPr>
    <tabColor theme="9" tint="0.39997558519241921"/>
    <pageSetUpPr fitToPage="1"/>
  </sheetPr>
  <dimension ref="A2:R78"/>
  <sheetViews>
    <sheetView showGridLines="0" view="pageBreakPreview" zoomScale="85" zoomScaleNormal="70" zoomScaleSheetLayoutView="100" workbookViewId="0"/>
  </sheetViews>
  <sheetFormatPr defaultColWidth="11.3984375" defaultRowHeight="15" customHeight="1" x14ac:dyDescent="0.4"/>
  <cols>
    <col min="1" max="1" width="2.59765625" style="3" customWidth="1"/>
    <col min="2" max="2" width="47" style="3" bestFit="1" customWidth="1"/>
    <col min="3" max="4" width="14.59765625" style="6" customWidth="1"/>
    <col min="5" max="11" width="14.59765625" style="3" customWidth="1"/>
    <col min="12" max="12" width="11.3984375" style="3" customWidth="1"/>
    <col min="13" max="13" width="22.3984375" style="3" bestFit="1" customWidth="1"/>
    <col min="14" max="14" width="12.1328125" style="3" bestFit="1" customWidth="1"/>
    <col min="15" max="15" width="13.73046875" style="3" bestFit="1" customWidth="1"/>
    <col min="16" max="16384" width="11.3984375" style="3"/>
  </cols>
  <sheetData>
    <row r="2" spans="1:17" ht="15" customHeight="1" thickBot="1" x14ac:dyDescent="0.75">
      <c r="A2" s="3" t="s">
        <v>69</v>
      </c>
      <c r="B2" s="337" t="s">
        <v>18</v>
      </c>
      <c r="C2" s="338">
        <v>43100</v>
      </c>
      <c r="D2" s="338">
        <f t="shared" ref="D2:K2" si="0">EOMONTH(C2,12)</f>
        <v>43465</v>
      </c>
      <c r="E2" s="338">
        <f t="shared" si="0"/>
        <v>43830</v>
      </c>
      <c r="F2" s="338">
        <f t="shared" si="0"/>
        <v>44196</v>
      </c>
      <c r="G2" s="339">
        <f t="shared" si="0"/>
        <v>44561</v>
      </c>
      <c r="H2" s="339">
        <f t="shared" si="0"/>
        <v>44926</v>
      </c>
      <c r="I2" s="339">
        <f t="shared" si="0"/>
        <v>45291</v>
      </c>
      <c r="J2" s="339">
        <f t="shared" si="0"/>
        <v>45657</v>
      </c>
      <c r="K2" s="339">
        <f t="shared" si="0"/>
        <v>46022</v>
      </c>
      <c r="M2" s="2"/>
      <c r="N2" s="2"/>
      <c r="O2" s="2"/>
      <c r="P2" s="2"/>
    </row>
    <row r="3" spans="1:17" ht="15" customHeight="1" x14ac:dyDescent="0.4">
      <c r="B3" s="179" t="s">
        <v>19</v>
      </c>
      <c r="C3" s="90"/>
      <c r="D3" s="90"/>
      <c r="E3" s="91">
        <v>43342</v>
      </c>
      <c r="F3" s="91">
        <f>E3+365</f>
        <v>43707</v>
      </c>
      <c r="G3" s="91">
        <f>F3+365</f>
        <v>44072</v>
      </c>
      <c r="H3" s="91">
        <f>G3+365</f>
        <v>44437</v>
      </c>
      <c r="I3" s="91">
        <f>H3+365</f>
        <v>44802</v>
      </c>
      <c r="J3" s="91"/>
      <c r="K3" s="91"/>
      <c r="L3" s="2"/>
      <c r="M3" s="2"/>
      <c r="N3" s="2"/>
      <c r="O3" s="2"/>
      <c r="P3" s="2"/>
    </row>
    <row r="4" spans="1:17" ht="15" customHeight="1" x14ac:dyDescent="0.4">
      <c r="A4" s="3" t="s">
        <v>69</v>
      </c>
      <c r="B4" s="181" t="s">
        <v>1</v>
      </c>
      <c r="C4" s="215">
        <f>'JBLU Income Statement'!C8</f>
        <v>7012</v>
      </c>
      <c r="D4" s="215">
        <f>'JBLU Income Statement'!D8</f>
        <v>7658</v>
      </c>
      <c r="E4" s="215">
        <f>'JBLU Income Statement'!E8</f>
        <v>8094</v>
      </c>
      <c r="F4" s="215">
        <f>'JBLU Income Statement'!F8</f>
        <v>2957</v>
      </c>
      <c r="G4" s="215">
        <f>F4*(1+G5)</f>
        <v>3829.3149999999996</v>
      </c>
      <c r="H4" s="215">
        <f>G4*(1+H5)</f>
        <v>4193.0999249999995</v>
      </c>
      <c r="I4" s="215">
        <f t="shared" ref="I4:K4" si="1">H4*(1+I5)</f>
        <v>4381.7894216249988</v>
      </c>
      <c r="J4" s="215">
        <f t="shared" si="1"/>
        <v>4491.3341571656238</v>
      </c>
      <c r="K4" s="215">
        <f t="shared" si="1"/>
        <v>4603.6175110947643</v>
      </c>
      <c r="L4" s="35"/>
      <c r="M4" s="35"/>
      <c r="N4" s="35"/>
      <c r="O4" s="35"/>
      <c r="P4" s="35"/>
    </row>
    <row r="5" spans="1:17" s="88" customFormat="1" ht="15" customHeight="1" x14ac:dyDescent="0.4">
      <c r="B5" s="203" t="s">
        <v>20</v>
      </c>
      <c r="C5" s="216"/>
      <c r="D5" s="216">
        <f>(D4-C4)/C4</f>
        <v>9.2127780946948096E-2</v>
      </c>
      <c r="E5" s="217">
        <f>(E4-D4)/D4</f>
        <v>5.6933925306868631E-2</v>
      </c>
      <c r="F5" s="217">
        <f>(F4-E4)/E4</f>
        <v>-0.63466765505312572</v>
      </c>
      <c r="G5" s="418">
        <v>0.29499999999999998</v>
      </c>
      <c r="H5" s="418">
        <v>9.5000000000000001E-2</v>
      </c>
      <c r="I5" s="418">
        <v>4.4999999999999998E-2</v>
      </c>
      <c r="J5" s="418">
        <v>2.5000000000000001E-2</v>
      </c>
      <c r="K5" s="217">
        <v>2.5000000000000001E-2</v>
      </c>
      <c r="L5" s="136"/>
      <c r="M5" s="136"/>
      <c r="N5" s="136"/>
      <c r="O5" s="136"/>
      <c r="P5" s="136"/>
    </row>
    <row r="6" spans="1:17" ht="15" customHeight="1" x14ac:dyDescent="0.4">
      <c r="B6" s="186" t="s">
        <v>96</v>
      </c>
      <c r="C6" s="94">
        <f>'JBLU Income Statement'!C13</f>
        <v>-4412</v>
      </c>
      <c r="D6" s="94">
        <f>'JBLU Income Statement'!D13</f>
        <v>-5134</v>
      </c>
      <c r="E6" s="94">
        <f>'JBLU Income Statement'!E13</f>
        <v>-5359</v>
      </c>
      <c r="F6" s="94">
        <f>'JBLU Income Statement'!F13</f>
        <v>-3547</v>
      </c>
      <c r="G6" s="94">
        <f>-G4*G7</f>
        <v>-2504.37201</v>
      </c>
      <c r="H6" s="94">
        <f t="shared" ref="H6:K6" si="2">-H4*H7</f>
        <v>-2742.28735095</v>
      </c>
      <c r="I6" s="94">
        <f t="shared" si="2"/>
        <v>-2865.6902817427494</v>
      </c>
      <c r="J6" s="94">
        <f t="shared" si="2"/>
        <v>-2937.3325387863179</v>
      </c>
      <c r="K6" s="94">
        <f t="shared" si="2"/>
        <v>-3010.7658522559759</v>
      </c>
      <c r="L6" s="35"/>
      <c r="M6" s="35"/>
      <c r="N6" s="35"/>
      <c r="O6" s="35"/>
      <c r="P6" s="35"/>
    </row>
    <row r="7" spans="1:17" s="88" customFormat="1" ht="15" customHeight="1" x14ac:dyDescent="0.4">
      <c r="B7" s="203" t="s">
        <v>21</v>
      </c>
      <c r="C7" s="217">
        <f>-C6/C4</f>
        <v>0.62920707358813466</v>
      </c>
      <c r="D7" s="217">
        <f>-D6/D4</f>
        <v>0.67041002872812749</v>
      </c>
      <c r="E7" s="217">
        <f>-E6/E4</f>
        <v>0.66209537929330364</v>
      </c>
      <c r="F7" s="217">
        <f>-F6/F4</f>
        <v>1.199526547176192</v>
      </c>
      <c r="G7" s="217">
        <v>0.65400000000000003</v>
      </c>
      <c r="H7" s="217">
        <v>0.65400000000000003</v>
      </c>
      <c r="I7" s="217">
        <v>0.65400000000000003</v>
      </c>
      <c r="J7" s="217">
        <v>0.65400000000000003</v>
      </c>
      <c r="K7" s="217">
        <v>0.65400000000000003</v>
      </c>
      <c r="L7" s="136"/>
      <c r="M7" s="136"/>
      <c r="N7" s="89"/>
      <c r="O7" s="136"/>
      <c r="P7" s="136"/>
    </row>
    <row r="8" spans="1:17" ht="15" customHeight="1" x14ac:dyDescent="0.4">
      <c r="A8" s="3" t="s">
        <v>69</v>
      </c>
      <c r="B8" s="181" t="s">
        <v>2</v>
      </c>
      <c r="C8" s="218">
        <f>C4+C6</f>
        <v>2600</v>
      </c>
      <c r="D8" s="218">
        <f t="shared" ref="D8:K8" si="3">D4+D6</f>
        <v>2524</v>
      </c>
      <c r="E8" s="218">
        <f t="shared" si="3"/>
        <v>2735</v>
      </c>
      <c r="F8" s="93">
        <f t="shared" si="3"/>
        <v>-590</v>
      </c>
      <c r="G8" s="218">
        <f t="shared" si="3"/>
        <v>1324.9429899999996</v>
      </c>
      <c r="H8" s="218">
        <f t="shared" si="3"/>
        <v>1450.8125740499995</v>
      </c>
      <c r="I8" s="218">
        <f t="shared" si="3"/>
        <v>1516.0991398822493</v>
      </c>
      <c r="J8" s="218">
        <f t="shared" si="3"/>
        <v>1554.0016183793059</v>
      </c>
      <c r="K8" s="218">
        <f t="shared" si="3"/>
        <v>1592.8516588387884</v>
      </c>
      <c r="L8" s="35"/>
      <c r="M8" s="35"/>
      <c r="N8" s="35"/>
      <c r="O8" s="35"/>
      <c r="P8" s="35"/>
    </row>
    <row r="9" spans="1:17" ht="15" customHeight="1" x14ac:dyDescent="0.4">
      <c r="B9" s="186" t="s">
        <v>99</v>
      </c>
      <c r="C9" s="94">
        <f>'JBLU Income Statement'!C14</f>
        <v>-271</v>
      </c>
      <c r="D9" s="94">
        <f>'JBLU Income Statement'!D14</f>
        <v>-294</v>
      </c>
      <c r="E9" s="94">
        <f>'JBLU Income Statement'!E14</f>
        <v>-290</v>
      </c>
      <c r="F9" s="94">
        <f>'JBLU Income Statement'!F14</f>
        <v>-110</v>
      </c>
      <c r="G9" s="94">
        <f t="shared" ref="G9:K9" si="4">-G4*G10</f>
        <v>-168.48985999999996</v>
      </c>
      <c r="H9" s="94">
        <f t="shared" si="4"/>
        <v>-184.49639669999996</v>
      </c>
      <c r="I9" s="94">
        <f t="shared" si="4"/>
        <v>-192.79873455149993</v>
      </c>
      <c r="J9" s="94">
        <f t="shared" si="4"/>
        <v>-197.61870291528743</v>
      </c>
      <c r="K9" s="94">
        <f t="shared" si="4"/>
        <v>-202.55917048816963</v>
      </c>
      <c r="L9" s="35"/>
      <c r="M9" s="35"/>
      <c r="N9" s="35"/>
      <c r="O9" s="35"/>
      <c r="P9" s="35"/>
      <c r="Q9" s="4"/>
    </row>
    <row r="10" spans="1:17" ht="15" customHeight="1" x14ac:dyDescent="0.4">
      <c r="B10" s="203" t="s">
        <v>61</v>
      </c>
      <c r="C10" s="217">
        <f>-C9/C4</f>
        <v>3.8648031945236735E-2</v>
      </c>
      <c r="D10" s="217">
        <f>-D9/D4</f>
        <v>3.8391224862888484E-2</v>
      </c>
      <c r="E10" s="217">
        <f>-E9/E4</f>
        <v>3.5829009142574746E-2</v>
      </c>
      <c r="F10" s="217">
        <f>-F9/F4</f>
        <v>3.7199864727764625E-2</v>
      </c>
      <c r="G10" s="217">
        <v>4.3999999999999997E-2</v>
      </c>
      <c r="H10" s="217">
        <v>4.3999999999999997E-2</v>
      </c>
      <c r="I10" s="217">
        <v>4.3999999999999997E-2</v>
      </c>
      <c r="J10" s="217">
        <v>4.3999999999999997E-2</v>
      </c>
      <c r="K10" s="217">
        <v>4.3999999999999997E-2</v>
      </c>
      <c r="L10" s="40"/>
      <c r="M10" s="134"/>
      <c r="N10" s="134"/>
      <c r="O10" s="134"/>
      <c r="P10" s="134"/>
      <c r="Q10" s="4"/>
    </row>
    <row r="11" spans="1:17" ht="15" customHeight="1" x14ac:dyDescent="0.4">
      <c r="B11" s="186" t="s">
        <v>254</v>
      </c>
      <c r="C11" s="94">
        <f>-'JBLU Income Statement'!C19</f>
        <v>-932</v>
      </c>
      <c r="D11" s="94">
        <f>-'JBLU Income Statement'!D19</f>
        <v>-1060</v>
      </c>
      <c r="E11" s="94">
        <f>-'JBLU Income Statement'!E19</f>
        <v>-1106</v>
      </c>
      <c r="F11" s="94">
        <f>-'JBLU Income Statement'!F19</f>
        <v>-762</v>
      </c>
      <c r="G11" s="94">
        <f t="shared" ref="G11:K11" si="5">-G4*G12</f>
        <v>-589.7145099999999</v>
      </c>
      <c r="H11" s="94">
        <f t="shared" si="5"/>
        <v>-645.73738844999991</v>
      </c>
      <c r="I11" s="94">
        <f t="shared" si="5"/>
        <v>-674.79557093024982</v>
      </c>
      <c r="J11" s="94">
        <f t="shared" si="5"/>
        <v>-691.66546020350609</v>
      </c>
      <c r="K11" s="94">
        <f t="shared" si="5"/>
        <v>-708.95709670859367</v>
      </c>
      <c r="L11" s="135"/>
      <c r="M11" s="134"/>
      <c r="N11" s="134"/>
      <c r="O11" s="134"/>
      <c r="P11" s="134"/>
      <c r="Q11" s="4"/>
    </row>
    <row r="12" spans="1:17" ht="15" customHeight="1" x14ac:dyDescent="0.4">
      <c r="A12" s="3" t="s">
        <v>69</v>
      </c>
      <c r="B12" s="203" t="s">
        <v>206</v>
      </c>
      <c r="C12" s="217">
        <f>-C11/C4</f>
        <v>0.13291500285225327</v>
      </c>
      <c r="D12" s="217">
        <f>-D11/D4</f>
        <v>0.13841734134238703</v>
      </c>
      <c r="E12" s="217">
        <f>-E11/E4</f>
        <v>0.1366444279713368</v>
      </c>
      <c r="F12" s="217">
        <f>-F11/F4</f>
        <v>0.2576936083868786</v>
      </c>
      <c r="G12" s="217">
        <v>0.154</v>
      </c>
      <c r="H12" s="217">
        <v>0.154</v>
      </c>
      <c r="I12" s="217">
        <v>0.154</v>
      </c>
      <c r="J12" s="217">
        <v>0.154</v>
      </c>
      <c r="K12" s="217">
        <v>0.154</v>
      </c>
      <c r="L12" s="2"/>
      <c r="M12" s="2"/>
      <c r="N12" s="2"/>
      <c r="O12" s="2"/>
      <c r="P12" s="2"/>
    </row>
    <row r="13" spans="1:17" ht="15" customHeight="1" x14ac:dyDescent="0.4">
      <c r="B13" s="181" t="s">
        <v>4</v>
      </c>
      <c r="C13" s="93">
        <f t="shared" ref="C13:K13" si="6">C8+C9+C11</f>
        <v>1397</v>
      </c>
      <c r="D13" s="93">
        <f t="shared" si="6"/>
        <v>1170</v>
      </c>
      <c r="E13" s="93">
        <f t="shared" si="6"/>
        <v>1339</v>
      </c>
      <c r="F13" s="93">
        <f t="shared" si="6"/>
        <v>-1462</v>
      </c>
      <c r="G13" s="93">
        <f t="shared" si="6"/>
        <v>566.73861999999974</v>
      </c>
      <c r="H13" s="93">
        <f t="shared" si="6"/>
        <v>620.57878889999972</v>
      </c>
      <c r="I13" s="93">
        <f t="shared" si="6"/>
        <v>648.5048344004997</v>
      </c>
      <c r="J13" s="93">
        <f t="shared" si="6"/>
        <v>664.71745526051234</v>
      </c>
      <c r="K13" s="93">
        <f t="shared" si="6"/>
        <v>681.335391642025</v>
      </c>
      <c r="L13" s="2"/>
      <c r="M13" s="2"/>
      <c r="N13" s="2"/>
      <c r="O13" s="2"/>
      <c r="P13" s="2"/>
    </row>
    <row r="14" spans="1:17" ht="15" customHeight="1" x14ac:dyDescent="0.4">
      <c r="B14" s="204" t="s">
        <v>117</v>
      </c>
      <c r="C14" s="94">
        <f>'JBLU Income Statement'!C22</f>
        <v>-111</v>
      </c>
      <c r="D14" s="94">
        <f>'JBLU Income Statement'!D22</f>
        <v>-71</v>
      </c>
      <c r="E14" s="94">
        <f>'JBLU Income Statement'!E22</f>
        <v>-70</v>
      </c>
      <c r="F14" s="94">
        <f>'JBLU Income Statement'!F22</f>
        <v>-79</v>
      </c>
      <c r="G14" s="94">
        <v>-71.400000000000006</v>
      </c>
      <c r="H14" s="94">
        <v>-71.400000000000006</v>
      </c>
      <c r="I14" s="94">
        <v>-71.400000000000006</v>
      </c>
      <c r="J14" s="94">
        <v>-71.400000000000006</v>
      </c>
      <c r="K14" s="94">
        <v>-71.400000000000006</v>
      </c>
      <c r="L14" s="2"/>
      <c r="M14" s="2"/>
      <c r="N14" s="2"/>
      <c r="O14" s="2"/>
      <c r="P14" s="2"/>
    </row>
    <row r="15" spans="1:17" ht="15" customHeight="1" x14ac:dyDescent="0.4">
      <c r="B15" s="204" t="s">
        <v>70</v>
      </c>
      <c r="C15" s="94">
        <f t="shared" ref="C15:K15" si="7">C13+C14</f>
        <v>1286</v>
      </c>
      <c r="D15" s="94">
        <f t="shared" si="7"/>
        <v>1099</v>
      </c>
      <c r="E15" s="94">
        <f t="shared" si="7"/>
        <v>1269</v>
      </c>
      <c r="F15" s="94">
        <f t="shared" si="7"/>
        <v>-1541</v>
      </c>
      <c r="G15" s="94">
        <f t="shared" si="7"/>
        <v>495.33861999999976</v>
      </c>
      <c r="H15" s="94">
        <f t="shared" si="7"/>
        <v>549.17878889999974</v>
      </c>
      <c r="I15" s="94">
        <f t="shared" si="7"/>
        <v>577.10483440049973</v>
      </c>
      <c r="J15" s="94">
        <f t="shared" si="7"/>
        <v>593.31745526051236</v>
      </c>
      <c r="K15" s="94">
        <f t="shared" si="7"/>
        <v>609.93539164202502</v>
      </c>
      <c r="L15" s="2"/>
      <c r="M15" s="2"/>
      <c r="N15" s="2"/>
      <c r="O15" s="2"/>
      <c r="P15" s="2"/>
    </row>
    <row r="16" spans="1:17" ht="15" customHeight="1" x14ac:dyDescent="0.4">
      <c r="B16" s="204" t="s">
        <v>97</v>
      </c>
      <c r="C16" s="94">
        <f>'JBLU Income Statement'!C29</f>
        <v>-437</v>
      </c>
      <c r="D16" s="94">
        <f>'JBLU Income Statement'!D29</f>
        <v>222</v>
      </c>
      <c r="E16" s="94">
        <f>'JBLU Income Statement'!E29</f>
        <v>-30</v>
      </c>
      <c r="F16" s="94">
        <f>'JBLU Income Statement'!F29</f>
        <v>-199</v>
      </c>
      <c r="G16" s="94">
        <f t="shared" ref="G16:K16" si="8">-G13*G17</f>
        <v>-119.01511019999994</v>
      </c>
      <c r="H16" s="94">
        <f t="shared" si="8"/>
        <v>-133.36238173460995</v>
      </c>
      <c r="I16" s="94">
        <f t="shared" si="8"/>
        <v>-139.36368891266739</v>
      </c>
      <c r="J16" s="94">
        <f t="shared" si="8"/>
        <v>-142.8477811354841</v>
      </c>
      <c r="K16" s="94">
        <f t="shared" si="8"/>
        <v>-146.41897566387118</v>
      </c>
      <c r="L16" s="2"/>
      <c r="M16" s="2"/>
      <c r="N16" s="2"/>
      <c r="O16" s="2"/>
      <c r="P16" s="2"/>
    </row>
    <row r="17" spans="1:18" ht="15" customHeight="1" x14ac:dyDescent="0.4">
      <c r="A17" s="3" t="s">
        <v>69</v>
      </c>
      <c r="B17" s="203" t="s">
        <v>22</v>
      </c>
      <c r="C17" s="216">
        <f>C16/C15</f>
        <v>-0.33981337480559876</v>
      </c>
      <c r="D17" s="216">
        <f>D16/D15</f>
        <v>0.20200181983621474</v>
      </c>
      <c r="E17" s="217">
        <f>E16/E15</f>
        <v>-2.3640661938534278E-2</v>
      </c>
      <c r="F17" s="217">
        <f>F16/F15</f>
        <v>0.1291369240752758</v>
      </c>
      <c r="G17" s="217">
        <v>0.21</v>
      </c>
      <c r="H17" s="217">
        <v>0.21490000000000001</v>
      </c>
      <c r="I17" s="217">
        <v>0.21490000000000001</v>
      </c>
      <c r="J17" s="217">
        <v>0.21490000000000001</v>
      </c>
      <c r="K17" s="217">
        <v>0.21490000000000001</v>
      </c>
      <c r="L17" s="2"/>
      <c r="M17" s="2"/>
      <c r="N17" s="2"/>
      <c r="O17" s="2"/>
      <c r="P17" s="2"/>
    </row>
    <row r="18" spans="1:18" ht="15" customHeight="1" x14ac:dyDescent="0.4">
      <c r="B18" s="204" t="s">
        <v>134</v>
      </c>
      <c r="C18" s="94">
        <f t="shared" ref="C18:K18" si="9">C13+C16</f>
        <v>960</v>
      </c>
      <c r="D18" s="94">
        <f t="shared" si="9"/>
        <v>1392</v>
      </c>
      <c r="E18" s="94">
        <f t="shared" si="9"/>
        <v>1309</v>
      </c>
      <c r="F18" s="94">
        <f t="shared" si="9"/>
        <v>-1661</v>
      </c>
      <c r="G18" s="94">
        <f t="shared" si="9"/>
        <v>447.72350979999982</v>
      </c>
      <c r="H18" s="94">
        <f t="shared" si="9"/>
        <v>487.2164071653898</v>
      </c>
      <c r="I18" s="94">
        <f t="shared" si="9"/>
        <v>509.14114548783232</v>
      </c>
      <c r="J18" s="94">
        <f t="shared" si="9"/>
        <v>521.86967412502827</v>
      </c>
      <c r="K18" s="94">
        <f t="shared" si="9"/>
        <v>534.91641597815385</v>
      </c>
      <c r="L18" s="2"/>
      <c r="M18" s="2"/>
      <c r="N18" s="2"/>
      <c r="O18" s="2"/>
      <c r="P18" s="2"/>
    </row>
    <row r="19" spans="1:18" ht="15" customHeight="1" x14ac:dyDescent="0.4">
      <c r="B19" s="186"/>
      <c r="C19" s="219"/>
      <c r="D19" s="219"/>
      <c r="E19" s="219"/>
      <c r="F19" s="220"/>
      <c r="G19" s="220"/>
      <c r="H19" s="220"/>
      <c r="I19" s="220"/>
      <c r="J19" s="220"/>
      <c r="K19" s="220"/>
      <c r="L19" s="132"/>
      <c r="M19" s="2"/>
      <c r="N19" s="2"/>
      <c r="O19" s="2"/>
      <c r="P19" s="2"/>
    </row>
    <row r="20" spans="1:18" ht="15" customHeight="1" x14ac:dyDescent="0.4">
      <c r="B20" s="204" t="s">
        <v>143</v>
      </c>
      <c r="C20" s="221">
        <f>'JBLU Cash Flow'!D5</f>
        <v>383</v>
      </c>
      <c r="D20" s="221">
        <f>'JBLU Cash Flow'!E5</f>
        <v>423</v>
      </c>
      <c r="E20" s="221">
        <f>'JBLU Cash Flow'!F5</f>
        <v>474</v>
      </c>
      <c r="F20" s="221">
        <f>F4*F21</f>
        <v>177.42</v>
      </c>
      <c r="G20" s="221">
        <f t="shared" ref="G20:K20" si="10">G4*G21</f>
        <v>191.46574999999999</v>
      </c>
      <c r="H20" s="94">
        <f t="shared" si="10"/>
        <v>167.723997</v>
      </c>
      <c r="I20" s="94">
        <f t="shared" si="10"/>
        <v>175.27157686499996</v>
      </c>
      <c r="J20" s="94">
        <f t="shared" si="10"/>
        <v>179.65336628662496</v>
      </c>
      <c r="K20" s="94">
        <f t="shared" si="10"/>
        <v>184.14470044379058</v>
      </c>
      <c r="L20" s="2"/>
      <c r="M20" s="2"/>
      <c r="N20" s="2"/>
      <c r="O20" s="2"/>
      <c r="P20" s="2"/>
    </row>
    <row r="21" spans="1:18" ht="15" customHeight="1" x14ac:dyDescent="0.4">
      <c r="B21" s="203" t="s">
        <v>42</v>
      </c>
      <c r="C21" s="217">
        <f>C20/C4</f>
        <v>5.4620650313747861E-2</v>
      </c>
      <c r="D21" s="217">
        <f>D20/D4</f>
        <v>5.5236354139461999E-2</v>
      </c>
      <c r="E21" s="217">
        <f>E20/E4</f>
        <v>5.8561897702001479E-2</v>
      </c>
      <c r="F21" s="217">
        <v>0.06</v>
      </c>
      <c r="G21" s="217">
        <v>0.05</v>
      </c>
      <c r="H21" s="222">
        <v>0.04</v>
      </c>
      <c r="I21" s="222">
        <v>0.04</v>
      </c>
      <c r="J21" s="222">
        <v>0.04</v>
      </c>
      <c r="K21" s="222">
        <v>0.04</v>
      </c>
      <c r="L21" s="2"/>
      <c r="M21" s="2"/>
      <c r="N21" s="2"/>
      <c r="O21" s="2"/>
      <c r="P21" s="2"/>
    </row>
    <row r="22" spans="1:18" ht="15" customHeight="1" x14ac:dyDescent="0.4">
      <c r="B22" s="204" t="s">
        <v>98</v>
      </c>
      <c r="C22" s="221">
        <f>'JBLU Cash Flow'!C8</f>
        <v>-850</v>
      </c>
      <c r="D22" s="221">
        <f>'JBLU Cash Flow'!D8</f>
        <v>-1074</v>
      </c>
      <c r="E22" s="221">
        <f>'JBLU Cash Flow'!E8</f>
        <v>-908</v>
      </c>
      <c r="F22" s="221">
        <f>'JBLU Cash Flow'!F8</f>
        <v>-932</v>
      </c>
      <c r="G22" s="221">
        <f t="shared" ref="G22:K22" si="11">-G4*G23</f>
        <v>-474.83505999999994</v>
      </c>
      <c r="H22" s="94">
        <f t="shared" si="11"/>
        <v>-519.94439069999999</v>
      </c>
      <c r="I22" s="94">
        <f t="shared" si="11"/>
        <v>-543.34188828149979</v>
      </c>
      <c r="J22" s="94">
        <f t="shared" si="11"/>
        <v>-556.92543548853735</v>
      </c>
      <c r="K22" s="94">
        <f t="shared" si="11"/>
        <v>-570.84857137575079</v>
      </c>
      <c r="L22" s="2"/>
      <c r="M22" s="2"/>
      <c r="N22" s="2"/>
      <c r="O22" s="2"/>
      <c r="P22" s="2"/>
    </row>
    <row r="23" spans="1:18" ht="15" customHeight="1" x14ac:dyDescent="0.4">
      <c r="B23" s="203" t="s">
        <v>23</v>
      </c>
      <c r="C23" s="217">
        <f>-C22/C4</f>
        <v>0.12122076440387906</v>
      </c>
      <c r="D23" s="217">
        <f>-D22/D4</f>
        <v>0.14024549490728649</v>
      </c>
      <c r="E23" s="217">
        <f>-E22/E4</f>
        <v>0.11218186310847542</v>
      </c>
      <c r="F23" s="217">
        <f>-F22/F4</f>
        <v>0.31518430842069667</v>
      </c>
      <c r="G23" s="217">
        <v>0.124</v>
      </c>
      <c r="H23" s="217">
        <v>0.124</v>
      </c>
      <c r="I23" s="217">
        <v>0.124</v>
      </c>
      <c r="J23" s="217">
        <v>0.124</v>
      </c>
      <c r="K23" s="217">
        <v>0.124</v>
      </c>
      <c r="L23" s="2"/>
      <c r="M23" s="2"/>
      <c r="N23" s="2"/>
      <c r="O23" s="2"/>
      <c r="P23" s="2"/>
    </row>
    <row r="24" spans="1:18" ht="15" customHeight="1" x14ac:dyDescent="0.4">
      <c r="B24" s="204" t="s">
        <v>182</v>
      </c>
      <c r="C24" s="94" t="s">
        <v>200</v>
      </c>
      <c r="D24" s="94" t="s">
        <v>200</v>
      </c>
      <c r="E24" s="94">
        <f t="shared" ref="E24:K24" si="12">D78</f>
        <v>-310</v>
      </c>
      <c r="F24" s="94">
        <f t="shared" si="12"/>
        <v>342.24</v>
      </c>
      <c r="G24" s="94">
        <f t="shared" si="12"/>
        <v>630.36246485100003</v>
      </c>
      <c r="H24" s="94">
        <f t="shared" si="12"/>
        <v>-272.154919775655</v>
      </c>
      <c r="I24" s="94">
        <f t="shared" si="12"/>
        <v>-77.36775468785936</v>
      </c>
      <c r="J24" s="94">
        <f t="shared" si="12"/>
        <v>-53.51873781678546</v>
      </c>
      <c r="K24" s="94">
        <f t="shared" si="12"/>
        <v>-49.357741286879559</v>
      </c>
      <c r="M24" s="2"/>
      <c r="N24" s="199" t="s">
        <v>197</v>
      </c>
      <c r="O24" s="200">
        <v>44106</v>
      </c>
      <c r="P24" s="2"/>
    </row>
    <row r="25" spans="1:18" ht="15" customHeight="1" x14ac:dyDescent="0.4">
      <c r="A25" s="3" t="s">
        <v>69</v>
      </c>
      <c r="B25" s="203"/>
      <c r="C25" s="217"/>
      <c r="D25" s="217"/>
      <c r="E25" s="216"/>
      <c r="F25" s="216">
        <f t="shared" ref="F25:K25" si="13">(F24-E24)/E24</f>
        <v>-2.1040000000000001</v>
      </c>
      <c r="G25" s="216">
        <f t="shared" si="13"/>
        <v>0.84187255975631137</v>
      </c>
      <c r="H25" s="216">
        <f t="shared" si="13"/>
        <v>-1.4317435363794777</v>
      </c>
      <c r="I25" s="217">
        <f t="shared" si="13"/>
        <v>-0.715721638426982</v>
      </c>
      <c r="J25" s="216">
        <f t="shared" si="13"/>
        <v>-0.30825525397877829</v>
      </c>
      <c r="K25" s="217">
        <f t="shared" si="13"/>
        <v>-7.774840550519968E-2</v>
      </c>
      <c r="M25" s="2"/>
      <c r="N25" s="186" t="s">
        <v>85</v>
      </c>
      <c r="O25" s="201">
        <v>44561</v>
      </c>
      <c r="P25" s="2"/>
    </row>
    <row r="26" spans="1:18" ht="15" customHeight="1" x14ac:dyDescent="0.4">
      <c r="B26" s="181" t="s">
        <v>24</v>
      </c>
      <c r="C26" s="92">
        <f>C18+C20+C22</f>
        <v>493</v>
      </c>
      <c r="D26" s="92">
        <f>D18+D20+D22</f>
        <v>741</v>
      </c>
      <c r="E26" s="92">
        <f t="shared" ref="E26:J26" si="14">E18+E20+E22+E24</f>
        <v>565</v>
      </c>
      <c r="F26" s="92">
        <f t="shared" si="14"/>
        <v>-2073.34</v>
      </c>
      <c r="G26" s="92">
        <f t="shared" si="14"/>
        <v>794.71666465099997</v>
      </c>
      <c r="H26" s="92">
        <f t="shared" si="14"/>
        <v>-137.15890631026525</v>
      </c>
      <c r="I26" s="92">
        <f t="shared" si="14"/>
        <v>63.703079383473096</v>
      </c>
      <c r="J26" s="92">
        <f t="shared" si="14"/>
        <v>91.078867106330449</v>
      </c>
      <c r="K26" s="92">
        <f>K20+K22+K24+K18</f>
        <v>98.854803759314109</v>
      </c>
      <c r="M26" s="2"/>
      <c r="N26" s="186"/>
      <c r="O26" s="201">
        <v>44926</v>
      </c>
      <c r="P26" s="2"/>
    </row>
    <row r="27" spans="1:18" ht="15" customHeight="1" x14ac:dyDescent="0.4">
      <c r="B27" s="204"/>
      <c r="C27" s="213"/>
      <c r="D27" s="213"/>
      <c r="E27" s="213"/>
      <c r="F27" s="213"/>
      <c r="G27" s="213"/>
      <c r="H27" s="213"/>
      <c r="I27" s="213"/>
      <c r="J27" s="219"/>
      <c r="K27" s="219"/>
      <c r="M27" s="2"/>
      <c r="N27" s="186"/>
      <c r="O27" s="201">
        <v>45291</v>
      </c>
      <c r="P27" s="2"/>
    </row>
    <row r="28" spans="1:18" ht="15" customHeight="1" x14ac:dyDescent="0.4">
      <c r="B28" s="204" t="s">
        <v>71</v>
      </c>
      <c r="C28" s="219"/>
      <c r="D28" s="219"/>
      <c r="E28" s="219"/>
      <c r="F28" s="219"/>
      <c r="G28" s="217">
        <f>YEARFRAC(O24,O25)</f>
        <v>1.2472222222222222</v>
      </c>
      <c r="H28" s="217">
        <f>YEARFRAC(O24,O26)</f>
        <v>2.2472222222222222</v>
      </c>
      <c r="I28" s="217">
        <f>YEARFRAC(O24,O27)</f>
        <v>3.2472222222222222</v>
      </c>
      <c r="J28" s="217">
        <f>YEARFRAC(O24,O28)</f>
        <v>4.2472222222222218</v>
      </c>
      <c r="K28" s="217">
        <f>YEARFRAC(O24,O29)</f>
        <v>5.2472222222222218</v>
      </c>
      <c r="M28" s="132"/>
      <c r="N28" s="186"/>
      <c r="O28" s="201">
        <v>45657</v>
      </c>
      <c r="P28" s="2"/>
    </row>
    <row r="29" spans="1:18" ht="15" customHeight="1" x14ac:dyDescent="0.4">
      <c r="B29" s="204" t="s">
        <v>72</v>
      </c>
      <c r="C29" s="219"/>
      <c r="D29" s="219"/>
      <c r="E29" s="219"/>
      <c r="F29" s="219"/>
      <c r="G29" s="220">
        <v>1</v>
      </c>
      <c r="H29" s="220">
        <v>1</v>
      </c>
      <c r="I29" s="220">
        <v>1</v>
      </c>
      <c r="J29" s="220">
        <v>1</v>
      </c>
      <c r="K29" s="220">
        <v>1</v>
      </c>
      <c r="M29" s="2"/>
      <c r="N29" s="187"/>
      <c r="O29" s="202">
        <v>46022</v>
      </c>
      <c r="P29" s="2"/>
    </row>
    <row r="30" spans="1:18" ht="15" customHeight="1" x14ac:dyDescent="0.4">
      <c r="B30" s="204"/>
      <c r="C30" s="219"/>
      <c r="D30" s="219"/>
      <c r="E30" s="219"/>
      <c r="F30" s="219"/>
      <c r="G30" s="219"/>
      <c r="H30" s="220"/>
      <c r="I30" s="220"/>
      <c r="J30" s="220"/>
      <c r="K30" s="220"/>
      <c r="L30" s="35"/>
      <c r="M30" s="2"/>
      <c r="N30" s="2"/>
      <c r="O30" s="2"/>
      <c r="P30" s="2"/>
    </row>
    <row r="31" spans="1:18" ht="15" customHeight="1" x14ac:dyDescent="0.4">
      <c r="B31" s="340" t="s">
        <v>25</v>
      </c>
      <c r="C31" s="341"/>
      <c r="D31" s="341"/>
      <c r="E31" s="341"/>
      <c r="F31" s="342"/>
      <c r="G31" s="343">
        <f>G26*G29/(1+'Model Output'!$K$62)^(Inputs!G28-0.5*Inputs!G29)</f>
        <v>749.49797163488381</v>
      </c>
      <c r="H31" s="343">
        <f>H26*H29/(1+'Model Output'!$K$62)^(Inputs!H28-0.5*Inputs!H29)</f>
        <v>-119.60065882643458</v>
      </c>
      <c r="I31" s="343">
        <f>I26*I29/(1+'Model Output'!$K$62)^(Inputs!I28-0.5*Inputs!I29)</f>
        <v>51.359572681653169</v>
      </c>
      <c r="J31" s="343">
        <f>J26*J29/(1+'Model Output'!$K$62)^(Inputs!J28-0.5*Inputs!J29)</f>
        <v>67.893783603343564</v>
      </c>
      <c r="K31" s="343">
        <f>K26*K29/(1+'Model Output'!$K$62)^(Inputs!K28-0.5*Inputs!K29)</f>
        <v>68.133639270136186</v>
      </c>
      <c r="L31" s="131"/>
      <c r="M31" s="35"/>
      <c r="N31" s="35"/>
      <c r="O31" s="2"/>
      <c r="P31" s="2"/>
      <c r="Q31" s="2"/>
      <c r="R31" s="2"/>
    </row>
    <row r="32" spans="1:18" ht="15" customHeight="1" x14ac:dyDescent="0.4">
      <c r="L32" s="131"/>
      <c r="M32" s="35"/>
      <c r="N32" s="35"/>
      <c r="O32" s="2"/>
      <c r="P32" s="2"/>
      <c r="Q32" s="2"/>
      <c r="R32" s="2"/>
    </row>
    <row r="33" spans="1:18" ht="15" customHeight="1" x14ac:dyDescent="0.4">
      <c r="A33" s="3" t="s">
        <v>69</v>
      </c>
      <c r="L33" s="2"/>
      <c r="O33" s="2"/>
      <c r="P33" s="2"/>
      <c r="Q33" s="2"/>
      <c r="R33" s="2"/>
    </row>
    <row r="34" spans="1:18" ht="15" customHeight="1" thickBot="1" x14ac:dyDescent="0.45">
      <c r="F34" s="9"/>
    </row>
    <row r="35" spans="1:18" ht="15" customHeight="1" x14ac:dyDescent="0.4">
      <c r="E35" s="54" t="s">
        <v>91</v>
      </c>
      <c r="F35" s="229"/>
      <c r="G35" s="230">
        <f>(F36-G36)*-1</f>
        <v>630.36246485100003</v>
      </c>
      <c r="H35" s="230">
        <f t="shared" ref="H35:K35" si="15">(G36-H36)*-1</f>
        <v>-272.154919775655</v>
      </c>
      <c r="I35" s="230">
        <f t="shared" si="15"/>
        <v>-77.36775468785936</v>
      </c>
      <c r="J35" s="230">
        <f t="shared" si="15"/>
        <v>-53.51873781678546</v>
      </c>
      <c r="K35" s="231">
        <f t="shared" si="15"/>
        <v>-49.357741286879559</v>
      </c>
    </row>
    <row r="36" spans="1:18" ht="15" customHeight="1" thickBot="1" x14ac:dyDescent="0.45">
      <c r="E36" s="55" t="s">
        <v>92</v>
      </c>
      <c r="F36" s="232">
        <f t="shared" ref="F36:K36" si="16">E43+E51-E58-E66-E73</f>
        <v>-1103.76</v>
      </c>
      <c r="G36" s="232">
        <f t="shared" si="16"/>
        <v>-473.39753514899996</v>
      </c>
      <c r="H36" s="232">
        <f t="shared" si="16"/>
        <v>-745.55245492465497</v>
      </c>
      <c r="I36" s="232">
        <f t="shared" si="16"/>
        <v>-822.92020961251433</v>
      </c>
      <c r="J36" s="233">
        <f t="shared" si="16"/>
        <v>-876.43894742929979</v>
      </c>
      <c r="K36" s="234">
        <f t="shared" si="16"/>
        <v>-925.79668871617935</v>
      </c>
    </row>
    <row r="37" spans="1:18" ht="15" customHeight="1" thickBot="1" x14ac:dyDescent="0.45"/>
    <row r="38" spans="1:18" ht="15" customHeight="1" x14ac:dyDescent="0.4">
      <c r="B38" s="344" t="s">
        <v>73</v>
      </c>
      <c r="C38" s="345"/>
      <c r="D38" s="345"/>
      <c r="E38" s="345"/>
      <c r="F38" s="345"/>
      <c r="G38" s="345"/>
      <c r="H38" s="345"/>
      <c r="I38" s="345"/>
      <c r="J38" s="345"/>
    </row>
    <row r="39" spans="1:18" ht="15" customHeight="1" x14ac:dyDescent="0.4">
      <c r="B39" s="130" t="s">
        <v>128</v>
      </c>
      <c r="C39" s="129">
        <f t="shared" ref="C39:J39" si="17">D2</f>
        <v>43465</v>
      </c>
      <c r="D39" s="129">
        <f t="shared" si="17"/>
        <v>43830</v>
      </c>
      <c r="E39" s="129">
        <f t="shared" si="17"/>
        <v>44196</v>
      </c>
      <c r="F39" s="128">
        <f t="shared" si="17"/>
        <v>44561</v>
      </c>
      <c r="G39" s="128">
        <f t="shared" si="17"/>
        <v>44926</v>
      </c>
      <c r="H39" s="128">
        <f t="shared" si="17"/>
        <v>45291</v>
      </c>
      <c r="I39" s="128">
        <f t="shared" si="17"/>
        <v>45657</v>
      </c>
      <c r="J39" s="128">
        <f t="shared" si="17"/>
        <v>46022</v>
      </c>
    </row>
    <row r="40" spans="1:18" ht="15" customHeight="1" x14ac:dyDescent="0.4">
      <c r="A40" s="3" t="s">
        <v>69</v>
      </c>
      <c r="B40" s="127" t="s">
        <v>74</v>
      </c>
      <c r="C40" s="126"/>
      <c r="D40" s="126"/>
      <c r="E40" s="126"/>
      <c r="F40" s="126"/>
      <c r="G40" s="126"/>
      <c r="H40" s="126"/>
      <c r="I40" s="126"/>
      <c r="J40" s="126"/>
    </row>
    <row r="41" spans="1:18" ht="15" customHeight="1" x14ac:dyDescent="0.4">
      <c r="B41" s="114" t="s">
        <v>75</v>
      </c>
      <c r="C41" s="113" t="s">
        <v>204</v>
      </c>
      <c r="D41" s="113">
        <f>'JBLU Balance Sheet'!D7</f>
        <v>390</v>
      </c>
      <c r="E41" s="113">
        <f>'JBLU Balance Sheet'!E7</f>
        <v>413</v>
      </c>
      <c r="F41" s="113">
        <f t="shared" ref="F41:J41" si="18">E43</f>
        <v>369</v>
      </c>
      <c r="G41" s="125">
        <f t="shared" si="18"/>
        <v>306.34519999999998</v>
      </c>
      <c r="H41" s="125">
        <f t="shared" si="18"/>
        <v>209.65499624999998</v>
      </c>
      <c r="I41" s="125">
        <f t="shared" si="18"/>
        <v>219.08947108124994</v>
      </c>
      <c r="J41" s="125">
        <f t="shared" si="18"/>
        <v>224.56670785828121</v>
      </c>
    </row>
    <row r="42" spans="1:18" ht="15" customHeight="1" x14ac:dyDescent="0.4">
      <c r="B42" s="116" t="s">
        <v>76</v>
      </c>
      <c r="C42" s="113" t="s">
        <v>204</v>
      </c>
      <c r="D42" s="115">
        <f t="shared" ref="D42:J42" si="19">D43-D41</f>
        <v>23</v>
      </c>
      <c r="E42" s="115">
        <f t="shared" si="19"/>
        <v>-44</v>
      </c>
      <c r="F42" s="115">
        <f t="shared" si="19"/>
        <v>-62.654800000000023</v>
      </c>
      <c r="G42" s="115">
        <f t="shared" si="19"/>
        <v>-96.690203749999995</v>
      </c>
      <c r="H42" s="115">
        <f t="shared" si="19"/>
        <v>9.4344748312499576</v>
      </c>
      <c r="I42" s="115">
        <f t="shared" si="19"/>
        <v>5.4772367770312655</v>
      </c>
      <c r="J42" s="115">
        <f t="shared" si="19"/>
        <v>5.6141676964570308</v>
      </c>
    </row>
    <row r="43" spans="1:18" ht="15" customHeight="1" x14ac:dyDescent="0.4">
      <c r="B43" s="114" t="s">
        <v>77</v>
      </c>
      <c r="C43" s="120">
        <f>'JBLU Balance Sheet'!D7</f>
        <v>390</v>
      </c>
      <c r="D43" s="120">
        <f>'JBLU Balance Sheet'!E7</f>
        <v>413</v>
      </c>
      <c r="E43" s="120">
        <f>'JBLU Balance Sheet'!F7</f>
        <v>369</v>
      </c>
      <c r="F43" s="120">
        <f t="shared" ref="F43:J43" si="20">F45*G4</f>
        <v>306.34519999999998</v>
      </c>
      <c r="G43" s="120">
        <f t="shared" si="20"/>
        <v>209.65499624999998</v>
      </c>
      <c r="H43" s="120">
        <f t="shared" si="20"/>
        <v>219.08947108124994</v>
      </c>
      <c r="I43" s="120">
        <f t="shared" si="20"/>
        <v>224.56670785828121</v>
      </c>
      <c r="J43" s="120">
        <f t="shared" si="20"/>
        <v>230.18087555473824</v>
      </c>
    </row>
    <row r="44" spans="1:18" ht="15" customHeight="1" x14ac:dyDescent="0.4">
      <c r="B44" s="111"/>
      <c r="C44" s="112"/>
      <c r="D44" s="112"/>
      <c r="E44" s="112"/>
      <c r="F44" s="112"/>
      <c r="G44" s="112"/>
      <c r="H44" s="112"/>
      <c r="I44" s="112"/>
      <c r="J44" s="112"/>
    </row>
    <row r="45" spans="1:18" ht="15" customHeight="1" x14ac:dyDescent="0.4">
      <c r="B45" s="114" t="s">
        <v>78</v>
      </c>
      <c r="C45" s="110">
        <f>C43/D4</f>
        <v>5.0927135022199005E-2</v>
      </c>
      <c r="D45" s="110">
        <f>D43/E4</f>
        <v>5.1025450951321966E-2</v>
      </c>
      <c r="E45" s="110">
        <f>E43/F4</f>
        <v>0.12478863713222861</v>
      </c>
      <c r="F45" s="223">
        <v>0.08</v>
      </c>
      <c r="G45" s="224">
        <v>0.05</v>
      </c>
      <c r="H45" s="224">
        <v>0.05</v>
      </c>
      <c r="I45" s="224">
        <v>0.05</v>
      </c>
      <c r="J45" s="224">
        <v>0.05</v>
      </c>
    </row>
    <row r="46" spans="1:18" ht="15" customHeight="1" x14ac:dyDescent="0.4">
      <c r="B46" s="114" t="s">
        <v>79</v>
      </c>
      <c r="C46" s="122">
        <f t="shared" ref="C46:J46" si="21">365*C45</f>
        <v>18.588404283102637</v>
      </c>
      <c r="D46" s="122">
        <f t="shared" si="21"/>
        <v>18.624289597232519</v>
      </c>
      <c r="E46" s="122">
        <f t="shared" si="21"/>
        <v>45.547852553263446</v>
      </c>
      <c r="F46" s="122">
        <f t="shared" si="21"/>
        <v>29.2</v>
      </c>
      <c r="G46" s="122">
        <f t="shared" si="21"/>
        <v>18.25</v>
      </c>
      <c r="H46" s="122">
        <f t="shared" si="21"/>
        <v>18.25</v>
      </c>
      <c r="I46" s="122">
        <f t="shared" si="21"/>
        <v>18.25</v>
      </c>
      <c r="J46" s="122">
        <f t="shared" si="21"/>
        <v>18.25</v>
      </c>
    </row>
    <row r="47" spans="1:18" ht="15" customHeight="1" x14ac:dyDescent="0.4">
      <c r="B47" s="114"/>
      <c r="C47" s="121"/>
      <c r="D47" s="121"/>
      <c r="E47" s="121"/>
      <c r="F47" s="121"/>
      <c r="G47" s="121"/>
      <c r="H47" s="121"/>
      <c r="I47" s="121"/>
      <c r="J47" s="121"/>
    </row>
    <row r="48" spans="1:18" ht="15" customHeight="1" x14ac:dyDescent="0.4">
      <c r="B48" s="119" t="s">
        <v>87</v>
      </c>
      <c r="C48" s="118"/>
      <c r="D48" s="118"/>
      <c r="E48" s="118"/>
      <c r="F48" s="118"/>
      <c r="G48" s="117"/>
      <c r="H48" s="117"/>
      <c r="I48" s="117"/>
      <c r="J48" s="117"/>
    </row>
    <row r="49" spans="2:10" ht="15" customHeight="1" x14ac:dyDescent="0.4">
      <c r="B49" s="114" t="s">
        <v>75</v>
      </c>
      <c r="C49" s="113" t="s">
        <v>204</v>
      </c>
      <c r="D49" s="120">
        <f>C51</f>
        <v>816</v>
      </c>
      <c r="E49" s="120">
        <f>D51</f>
        <v>975</v>
      </c>
      <c r="F49" s="120">
        <f t="shared" ref="F49:J49" si="22">E51</f>
        <v>1417</v>
      </c>
      <c r="G49" s="120">
        <f t="shared" si="22"/>
        <v>500.87440200000003</v>
      </c>
      <c r="H49" s="120">
        <f t="shared" si="22"/>
        <v>493.61172317099999</v>
      </c>
      <c r="I49" s="120">
        <f t="shared" si="22"/>
        <v>515.82425071369494</v>
      </c>
      <c r="J49" s="120">
        <f t="shared" si="22"/>
        <v>528.71985698153719</v>
      </c>
    </row>
    <row r="50" spans="2:10" ht="15" customHeight="1" x14ac:dyDescent="0.4">
      <c r="B50" s="116" t="s">
        <v>76</v>
      </c>
      <c r="C50" s="113" t="s">
        <v>204</v>
      </c>
      <c r="D50" s="120">
        <f t="shared" ref="D50:J50" si="23">D51-D49</f>
        <v>159</v>
      </c>
      <c r="E50" s="115">
        <f t="shared" si="23"/>
        <v>442</v>
      </c>
      <c r="F50" s="115">
        <f t="shared" si="23"/>
        <v>-916.12559799999997</v>
      </c>
      <c r="G50" s="115">
        <f t="shared" si="23"/>
        <v>-7.2626788290000377</v>
      </c>
      <c r="H50" s="115">
        <f t="shared" si="23"/>
        <v>22.212527542694943</v>
      </c>
      <c r="I50" s="115">
        <f t="shared" si="23"/>
        <v>12.895606267842254</v>
      </c>
      <c r="J50" s="115">
        <f t="shared" si="23"/>
        <v>13.217996424538455</v>
      </c>
    </row>
    <row r="51" spans="2:10" ht="15" customHeight="1" x14ac:dyDescent="0.4">
      <c r="B51" s="114" t="s">
        <v>77</v>
      </c>
      <c r="C51" s="120">
        <f>'JBLU Balance Sheet'!D6+'JBLU Balance Sheet'!D8+'JBLU Balance Sheet'!D9+'JBLU Balance Sheet'!D10</f>
        <v>816</v>
      </c>
      <c r="D51" s="120">
        <f>'JBLU Balance Sheet'!E6+'JBLU Balance Sheet'!E8+'JBLU Balance Sheet'!E9+'JBLU Balance Sheet'!E10</f>
        <v>975</v>
      </c>
      <c r="E51" s="120">
        <f>'JBLU Balance Sheet'!F6+'JBLU Balance Sheet'!F8+'JBLU Balance Sheet'!F9+'JBLU Balance Sheet'!F10</f>
        <v>1417</v>
      </c>
      <c r="F51" s="120">
        <f t="shared" ref="F51:J51" si="24">-F53*G6</f>
        <v>500.87440200000003</v>
      </c>
      <c r="G51" s="120">
        <f t="shared" si="24"/>
        <v>493.61172317099999</v>
      </c>
      <c r="H51" s="120">
        <f t="shared" si="24"/>
        <v>515.82425071369494</v>
      </c>
      <c r="I51" s="120">
        <f t="shared" si="24"/>
        <v>528.71985698153719</v>
      </c>
      <c r="J51" s="120">
        <f t="shared" si="24"/>
        <v>541.93785340607565</v>
      </c>
    </row>
    <row r="52" spans="2:10" ht="15" customHeight="1" x14ac:dyDescent="0.4">
      <c r="B52" s="111"/>
      <c r="C52" s="124"/>
      <c r="D52" s="124"/>
      <c r="E52" s="112"/>
      <c r="F52" s="112"/>
      <c r="G52" s="112"/>
      <c r="H52" s="112"/>
      <c r="I52" s="112"/>
      <c r="J52" s="112"/>
    </row>
    <row r="53" spans="2:10" ht="15" customHeight="1" x14ac:dyDescent="0.4">
      <c r="B53" s="114" t="s">
        <v>89</v>
      </c>
      <c r="C53" s="110"/>
      <c r="D53" s="110">
        <f>-D51/E6</f>
        <v>0.18193692853144244</v>
      </c>
      <c r="E53" s="110">
        <f>-E51/F6</f>
        <v>0.39949252889766002</v>
      </c>
      <c r="F53" s="223">
        <v>0.2</v>
      </c>
      <c r="G53" s="224">
        <v>0.18</v>
      </c>
      <c r="H53" s="224">
        <v>0.18</v>
      </c>
      <c r="I53" s="224">
        <v>0.18</v>
      </c>
      <c r="J53" s="224">
        <v>0.18</v>
      </c>
    </row>
    <row r="54" spans="2:10" ht="15" customHeight="1" x14ac:dyDescent="0.4">
      <c r="B54" s="114"/>
      <c r="C54" s="123"/>
      <c r="D54" s="123"/>
      <c r="E54" s="121"/>
      <c r="F54" s="121"/>
      <c r="G54" s="121"/>
      <c r="H54" s="121"/>
      <c r="I54" s="121"/>
      <c r="J54" s="121"/>
    </row>
    <row r="55" spans="2:10" ht="15" customHeight="1" x14ac:dyDescent="0.4">
      <c r="B55" s="119" t="s">
        <v>80</v>
      </c>
      <c r="C55" s="118"/>
      <c r="D55" s="118"/>
      <c r="E55" s="118"/>
      <c r="F55" s="118"/>
      <c r="G55" s="117"/>
      <c r="H55" s="117"/>
      <c r="I55" s="117"/>
      <c r="J55" s="117"/>
    </row>
    <row r="56" spans="2:10" ht="15" customHeight="1" x14ac:dyDescent="0.4">
      <c r="B56" s="114" t="s">
        <v>75</v>
      </c>
      <c r="C56" s="113" t="s">
        <v>204</v>
      </c>
      <c r="D56" s="120">
        <f>C58</f>
        <v>378</v>
      </c>
      <c r="E56" s="120">
        <f>D58</f>
        <v>437</v>
      </c>
      <c r="F56" s="120">
        <f t="shared" ref="F56:J56" si="25">E58</f>
        <v>283.76</v>
      </c>
      <c r="G56" s="120">
        <f t="shared" si="25"/>
        <v>212.62118364900002</v>
      </c>
      <c r="H56" s="120">
        <f t="shared" si="25"/>
        <v>232.82019609565501</v>
      </c>
      <c r="I56" s="120">
        <f t="shared" si="25"/>
        <v>243.29710491995942</v>
      </c>
      <c r="J56" s="120">
        <f t="shared" si="25"/>
        <v>264.3599284907686</v>
      </c>
    </row>
    <row r="57" spans="2:10" ht="15" customHeight="1" x14ac:dyDescent="0.4">
      <c r="B57" s="116" t="s">
        <v>76</v>
      </c>
      <c r="C57" s="113" t="s">
        <v>204</v>
      </c>
      <c r="D57" s="115">
        <f t="shared" ref="D57:J57" si="26">D58-D56</f>
        <v>59</v>
      </c>
      <c r="E57" s="115">
        <f t="shared" si="26"/>
        <v>-153.24</v>
      </c>
      <c r="F57" s="115">
        <f t="shared" si="26"/>
        <v>-71.138816350999974</v>
      </c>
      <c r="G57" s="115">
        <f t="shared" si="26"/>
        <v>20.19901244665499</v>
      </c>
      <c r="H57" s="115">
        <f t="shared" si="26"/>
        <v>10.476908824304417</v>
      </c>
      <c r="I57" s="115">
        <f t="shared" si="26"/>
        <v>21.062823570809172</v>
      </c>
      <c r="J57" s="115">
        <f t="shared" si="26"/>
        <v>15.641295769037185</v>
      </c>
    </row>
    <row r="58" spans="2:10" ht="15" customHeight="1" x14ac:dyDescent="0.4">
      <c r="B58" s="114" t="s">
        <v>77</v>
      </c>
      <c r="C58" s="120">
        <f>'JBLU Balance Sheet'!D26</f>
        <v>378</v>
      </c>
      <c r="D58" s="120">
        <f>'JBLU Balance Sheet'!E26</f>
        <v>437</v>
      </c>
      <c r="E58" s="120">
        <f t="shared" ref="E58:J58" si="27">-E60*F6</f>
        <v>283.76</v>
      </c>
      <c r="F58" s="120">
        <f t="shared" si="27"/>
        <v>212.62118364900002</v>
      </c>
      <c r="G58" s="120">
        <f t="shared" si="27"/>
        <v>232.82019609565501</v>
      </c>
      <c r="H58" s="120">
        <f t="shared" si="27"/>
        <v>243.29710491995942</v>
      </c>
      <c r="I58" s="120">
        <f t="shared" si="27"/>
        <v>264.3599284907686</v>
      </c>
      <c r="J58" s="120">
        <f t="shared" si="27"/>
        <v>280.00122425980578</v>
      </c>
    </row>
    <row r="59" spans="2:10" ht="15" customHeight="1" x14ac:dyDescent="0.4">
      <c r="B59" s="111"/>
      <c r="C59" s="112"/>
      <c r="D59" s="112"/>
      <c r="E59" s="112"/>
      <c r="F59" s="112"/>
      <c r="G59" s="112"/>
      <c r="H59" s="112"/>
      <c r="I59" s="112"/>
      <c r="J59" s="112"/>
    </row>
    <row r="60" spans="2:10" ht="15" customHeight="1" x14ac:dyDescent="0.4">
      <c r="B60" s="114" t="s">
        <v>81</v>
      </c>
      <c r="C60" s="110">
        <f>-C58/D6</f>
        <v>7.3626801714063106E-2</v>
      </c>
      <c r="D60" s="110">
        <f>-D58/E6</f>
        <v>8.15450643776824E-2</v>
      </c>
      <c r="E60" s="110">
        <v>0.08</v>
      </c>
      <c r="F60" s="223">
        <v>8.4900000000000003E-2</v>
      </c>
      <c r="G60" s="224">
        <v>8.4900000000000003E-2</v>
      </c>
      <c r="H60" s="224">
        <v>8.4900000000000003E-2</v>
      </c>
      <c r="I60" s="224">
        <v>0.09</v>
      </c>
      <c r="J60" s="224">
        <v>9.2999999999999999E-2</v>
      </c>
    </row>
    <row r="61" spans="2:10" ht="15" customHeight="1" x14ac:dyDescent="0.4">
      <c r="B61" s="114" t="s">
        <v>82</v>
      </c>
      <c r="C61" s="214" t="s">
        <v>204</v>
      </c>
      <c r="D61" s="122">
        <f t="shared" ref="D61:J61" si="28">((D58+D56)/2)/-E6*365</f>
        <v>27.754711699944021</v>
      </c>
      <c r="E61" s="122">
        <f t="shared" si="28"/>
        <v>37.084493938539616</v>
      </c>
      <c r="F61" s="122">
        <f t="shared" si="28"/>
        <v>36.172567675336104</v>
      </c>
      <c r="G61" s="122">
        <f t="shared" si="28"/>
        <v>29.64425</v>
      </c>
      <c r="H61" s="122">
        <f t="shared" si="28"/>
        <v>30.321283492822971</v>
      </c>
      <c r="I61" s="122">
        <f t="shared" si="28"/>
        <v>31.541341463414632</v>
      </c>
      <c r="J61" s="122">
        <f t="shared" si="28"/>
        <v>32.996890243902435</v>
      </c>
    </row>
    <row r="62" spans="2:10" ht="15" customHeight="1" x14ac:dyDescent="0.4">
      <c r="B62" s="114"/>
      <c r="C62" s="121"/>
      <c r="D62" s="121"/>
      <c r="E62" s="121"/>
      <c r="F62" s="121"/>
      <c r="G62" s="121"/>
      <c r="H62" s="121"/>
      <c r="I62" s="121"/>
      <c r="J62" s="121"/>
    </row>
    <row r="63" spans="2:10" ht="15" customHeight="1" x14ac:dyDescent="0.4">
      <c r="B63" s="119" t="s">
        <v>119</v>
      </c>
      <c r="C63" s="118"/>
      <c r="D63" s="118"/>
      <c r="E63" s="118"/>
      <c r="F63" s="118"/>
      <c r="G63" s="117"/>
      <c r="H63" s="117"/>
      <c r="I63" s="117"/>
      <c r="J63" s="117"/>
    </row>
    <row r="64" spans="2:10" ht="15" customHeight="1" x14ac:dyDescent="0.4">
      <c r="B64" s="114" t="s">
        <v>75</v>
      </c>
      <c r="C64" s="113" t="s">
        <v>204</v>
      </c>
      <c r="D64" s="115">
        <f>'JBLU Balance Sheet'!D27</f>
        <v>293</v>
      </c>
      <c r="E64" s="115">
        <f>'JBLU Balance Sheet'!E27</f>
        <v>298</v>
      </c>
      <c r="F64" s="115">
        <f t="shared" ref="F64:J64" si="29">E66</f>
        <v>2262</v>
      </c>
      <c r="G64" s="115">
        <f t="shared" si="29"/>
        <v>914.82335349999994</v>
      </c>
      <c r="H64" s="115">
        <f t="shared" si="29"/>
        <v>1048.2749812499999</v>
      </c>
      <c r="I64" s="115">
        <f t="shared" si="29"/>
        <v>1139.2652496224998</v>
      </c>
      <c r="J64" s="115">
        <f t="shared" si="29"/>
        <v>1185.7122174917247</v>
      </c>
    </row>
    <row r="65" spans="2:10" ht="15" customHeight="1" x14ac:dyDescent="0.4">
      <c r="B65" s="116" t="s">
        <v>76</v>
      </c>
      <c r="C65" s="113" t="s">
        <v>204</v>
      </c>
      <c r="D65" s="115">
        <f t="shared" ref="D65:J65" si="30">D66-D64</f>
        <v>1795</v>
      </c>
      <c r="E65" s="115">
        <f t="shared" si="30"/>
        <v>1964</v>
      </c>
      <c r="F65" s="115">
        <f t="shared" si="30"/>
        <v>-1347.1766465000001</v>
      </c>
      <c r="G65" s="115">
        <f t="shared" si="30"/>
        <v>133.45162774999994</v>
      </c>
      <c r="H65" s="115">
        <f t="shared" si="30"/>
        <v>90.990268372499941</v>
      </c>
      <c r="I65" s="115">
        <f t="shared" si="30"/>
        <v>46.446967869224864</v>
      </c>
      <c r="J65" s="115">
        <f t="shared" si="30"/>
        <v>48.05727548167215</v>
      </c>
    </row>
    <row r="66" spans="2:10" ht="15" customHeight="1" x14ac:dyDescent="0.4">
      <c r="B66" s="114" t="s">
        <v>77</v>
      </c>
      <c r="C66" s="120">
        <f>SUM('JBLU Balance Sheet'!D27:D31)</f>
        <v>1768</v>
      </c>
      <c r="D66" s="120">
        <f>SUM('JBLU Balance Sheet'!E27:E31)</f>
        <v>2088</v>
      </c>
      <c r="E66" s="120">
        <f>SUM('JBLU Balance Sheet'!F27:F31)</f>
        <v>2262</v>
      </c>
      <c r="F66" s="120">
        <f t="shared" ref="F66:J66" si="31">F68*G4</f>
        <v>914.82335349999994</v>
      </c>
      <c r="G66" s="120">
        <f t="shared" si="31"/>
        <v>1048.2749812499999</v>
      </c>
      <c r="H66" s="120">
        <f t="shared" si="31"/>
        <v>1139.2652496224998</v>
      </c>
      <c r="I66" s="120">
        <f t="shared" si="31"/>
        <v>1185.7122174917247</v>
      </c>
      <c r="J66" s="120">
        <f t="shared" si="31"/>
        <v>1233.7694929733968</v>
      </c>
    </row>
    <row r="67" spans="2:10" ht="15" customHeight="1" x14ac:dyDescent="0.4">
      <c r="B67" s="111"/>
      <c r="C67" s="112"/>
      <c r="D67" s="112"/>
      <c r="E67" s="112"/>
      <c r="F67" s="112"/>
      <c r="G67" s="112"/>
      <c r="H67" s="112"/>
      <c r="I67" s="112"/>
      <c r="J67" s="112"/>
    </row>
    <row r="68" spans="2:10" ht="15" customHeight="1" x14ac:dyDescent="0.4">
      <c r="B68" s="114" t="s">
        <v>83</v>
      </c>
      <c r="C68" s="110">
        <f>C66/D4</f>
        <v>0.23086967876730216</v>
      </c>
      <c r="D68" s="110">
        <f>D66/E4</f>
        <v>0.25796886582653816</v>
      </c>
      <c r="E68" s="110">
        <f>E66/F4</f>
        <v>0.7649644910382144</v>
      </c>
      <c r="F68" s="223">
        <v>0.2389</v>
      </c>
      <c r="G68" s="224">
        <v>0.25</v>
      </c>
      <c r="H68" s="224">
        <v>0.26</v>
      </c>
      <c r="I68" s="224">
        <v>0.26400000000000001</v>
      </c>
      <c r="J68" s="224">
        <v>0.26800000000000002</v>
      </c>
    </row>
    <row r="69" spans="2:10" ht="15" customHeight="1" x14ac:dyDescent="0.4">
      <c r="B69" s="114"/>
      <c r="C69" s="112"/>
      <c r="D69" s="112"/>
      <c r="E69" s="112"/>
      <c r="F69" s="112"/>
      <c r="G69" s="112"/>
      <c r="H69" s="112"/>
      <c r="I69" s="112"/>
      <c r="J69" s="112"/>
    </row>
    <row r="70" spans="2:10" ht="15" customHeight="1" x14ac:dyDescent="0.4">
      <c r="B70" s="119" t="s">
        <v>199</v>
      </c>
      <c r="C70" s="118"/>
      <c r="D70" s="118"/>
      <c r="E70" s="118"/>
      <c r="F70" s="118"/>
      <c r="G70" s="117"/>
      <c r="H70" s="117"/>
      <c r="I70" s="117"/>
      <c r="J70" s="117"/>
    </row>
    <row r="71" spans="2:10" ht="15" customHeight="1" x14ac:dyDescent="0.4">
      <c r="B71" s="114" t="s">
        <v>75</v>
      </c>
      <c r="C71" s="113" t="s">
        <v>204</v>
      </c>
      <c r="D71" s="115">
        <f>C73</f>
        <v>196</v>
      </c>
      <c r="E71" s="115">
        <f>D73</f>
        <v>309</v>
      </c>
      <c r="F71" s="115">
        <f>E73</f>
        <v>344</v>
      </c>
      <c r="G71" s="115">
        <f t="shared" ref="G71:J71" si="32">F73</f>
        <v>153.17259999999999</v>
      </c>
      <c r="H71" s="115">
        <f t="shared" si="32"/>
        <v>167.723997</v>
      </c>
      <c r="I71" s="115">
        <f t="shared" si="32"/>
        <v>175.27157686499996</v>
      </c>
      <c r="J71" s="115">
        <f t="shared" si="32"/>
        <v>179.65336628662496</v>
      </c>
    </row>
    <row r="72" spans="2:10" ht="15" customHeight="1" x14ac:dyDescent="0.4">
      <c r="B72" s="116" t="s">
        <v>76</v>
      </c>
      <c r="C72" s="113" t="s">
        <v>204</v>
      </c>
      <c r="D72" s="115">
        <f t="shared" ref="D72:J72" si="33">D73-D71</f>
        <v>113</v>
      </c>
      <c r="E72" s="115">
        <f>E73-E71</f>
        <v>35</v>
      </c>
      <c r="F72" s="115">
        <f t="shared" si="33"/>
        <v>-190.82740000000001</v>
      </c>
      <c r="G72" s="115">
        <f t="shared" si="33"/>
        <v>14.551397000000009</v>
      </c>
      <c r="H72" s="115">
        <f t="shared" si="33"/>
        <v>7.5475798649999604</v>
      </c>
      <c r="I72" s="115">
        <f t="shared" si="33"/>
        <v>4.3817894216250011</v>
      </c>
      <c r="J72" s="115">
        <f t="shared" si="33"/>
        <v>4.4913341571656247</v>
      </c>
    </row>
    <row r="73" spans="2:10" ht="15" customHeight="1" x14ac:dyDescent="0.4">
      <c r="B73" s="114" t="s">
        <v>77</v>
      </c>
      <c r="C73" s="113">
        <f>'JBLU Balance Sheet'!D29</f>
        <v>196</v>
      </c>
      <c r="D73" s="113">
        <f>'JBLU Balance Sheet'!E29</f>
        <v>309</v>
      </c>
      <c r="E73" s="113">
        <f>'JBLU Balance Sheet'!F29</f>
        <v>344</v>
      </c>
      <c r="F73" s="113">
        <f>F75*G4</f>
        <v>153.17259999999999</v>
      </c>
      <c r="G73" s="113">
        <f t="shared" ref="G73:J73" si="34">G75*H4</f>
        <v>167.723997</v>
      </c>
      <c r="H73" s="113">
        <f t="shared" si="34"/>
        <v>175.27157686499996</v>
      </c>
      <c r="I73" s="113">
        <f t="shared" si="34"/>
        <v>179.65336628662496</v>
      </c>
      <c r="J73" s="113">
        <f t="shared" si="34"/>
        <v>184.14470044379058</v>
      </c>
    </row>
    <row r="74" spans="2:10" ht="15" customHeight="1" x14ac:dyDescent="0.4">
      <c r="B74" s="111"/>
      <c r="C74" s="112"/>
      <c r="D74" s="112"/>
      <c r="E74" s="112"/>
      <c r="F74" s="112"/>
      <c r="G74" s="112"/>
      <c r="H74" s="112"/>
      <c r="I74" s="112"/>
      <c r="J74" s="112"/>
    </row>
    <row r="75" spans="2:10" ht="15" customHeight="1" x14ac:dyDescent="0.4">
      <c r="B75" s="111" t="s">
        <v>142</v>
      </c>
      <c r="C75" s="110"/>
      <c r="D75" s="110">
        <f>D73/E4</f>
        <v>3.8176426982950332E-2</v>
      </c>
      <c r="E75" s="110">
        <f>E73/F4</f>
        <v>0.11633412242137302</v>
      </c>
      <c r="F75" s="223">
        <v>0.04</v>
      </c>
      <c r="G75" s="224">
        <v>0.04</v>
      </c>
      <c r="H75" s="224">
        <v>0.04</v>
      </c>
      <c r="I75" s="224">
        <v>0.04</v>
      </c>
      <c r="J75" s="224">
        <v>0.04</v>
      </c>
    </row>
    <row r="76" spans="2:10" ht="15" customHeight="1" x14ac:dyDescent="0.4">
      <c r="B76" s="109"/>
      <c r="C76" s="225"/>
      <c r="D76" s="225"/>
      <c r="E76" s="225"/>
      <c r="F76" s="226"/>
      <c r="G76" s="226"/>
      <c r="H76" s="226"/>
      <c r="I76" s="226"/>
      <c r="J76" s="226"/>
    </row>
    <row r="77" spans="2:10" ht="15" customHeight="1" x14ac:dyDescent="0.4">
      <c r="B77" s="109" t="s">
        <v>198</v>
      </c>
      <c r="C77" s="414">
        <f>C43+C51-C58-C66-C73</f>
        <v>-1136</v>
      </c>
      <c r="D77" s="414">
        <f>D43+D51-D58-D66-D73</f>
        <v>-1446</v>
      </c>
      <c r="E77" s="414">
        <f>E43+E51-E58-E66-E73</f>
        <v>-1103.76</v>
      </c>
      <c r="F77" s="414">
        <f>F43+F51-F58-F66-F73</f>
        <v>-473.39753514899996</v>
      </c>
      <c r="G77" s="414">
        <f t="shared" ref="G77:J77" si="35">G43+G51-G58-G66-G73</f>
        <v>-745.55245492465497</v>
      </c>
      <c r="H77" s="414">
        <f t="shared" si="35"/>
        <v>-822.92020961251433</v>
      </c>
      <c r="I77" s="414">
        <f t="shared" si="35"/>
        <v>-876.43894742929979</v>
      </c>
      <c r="J77" s="414">
        <f t="shared" si="35"/>
        <v>-925.79668871617935</v>
      </c>
    </row>
    <row r="78" spans="2:10" ht="15" customHeight="1" x14ac:dyDescent="0.4">
      <c r="B78" s="108" t="s">
        <v>129</v>
      </c>
      <c r="C78" s="227"/>
      <c r="D78" s="228">
        <f>(C77-D77)*-1</f>
        <v>-310</v>
      </c>
      <c r="E78" s="228">
        <f t="shared" ref="E78:J78" si="36">(D77-E77)*-1</f>
        <v>342.24</v>
      </c>
      <c r="F78" s="228">
        <f>(E77-F77)*-1</f>
        <v>630.36246485100003</v>
      </c>
      <c r="G78" s="228">
        <f t="shared" si="36"/>
        <v>-272.154919775655</v>
      </c>
      <c r="H78" s="228">
        <f t="shared" si="36"/>
        <v>-77.36775468785936</v>
      </c>
      <c r="I78" s="228">
        <f t="shared" si="36"/>
        <v>-53.51873781678546</v>
      </c>
      <c r="J78" s="228">
        <f t="shared" si="36"/>
        <v>-49.357741286879559</v>
      </c>
    </row>
  </sheetData>
  <pageMargins left="0.2" right="0.2" top="0.5" bottom="0.5" header="0.5" footer="0.5"/>
  <pageSetup scale="7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1E70-0A00-462F-B810-BF74699CFFC8}">
  <sheetPr>
    <tabColor theme="9" tint="0.39997558519241921"/>
    <outlinePr summaryBelow="0" summaryRight="0"/>
    <pageSetUpPr autoPageBreaks="0" fitToPage="1"/>
  </sheetPr>
  <dimension ref="B2:ID21"/>
  <sheetViews>
    <sheetView showGridLines="0" view="pageBreakPreview" topLeftCell="A3" zoomScaleNormal="85" zoomScaleSheetLayoutView="100" workbookViewId="0">
      <pane xSplit="2" topLeftCell="O1" activePane="topRight" state="frozen"/>
      <selection activeCell="O22" sqref="O22"/>
      <selection pane="topRight" activeCell="P39" sqref="P39"/>
    </sheetView>
  </sheetViews>
  <sheetFormatPr defaultColWidth="9.1328125" defaultRowHeight="10.15" x14ac:dyDescent="0.3"/>
  <cols>
    <col min="1" max="1" width="2.73046875" style="35" customWidth="1"/>
    <col min="2" max="2" width="47.86328125" style="35" customWidth="1"/>
    <col min="3" max="9" width="20.86328125" style="35" customWidth="1"/>
    <col min="10" max="10" width="19.19921875" style="35" bestFit="1" customWidth="1"/>
    <col min="11" max="11" width="13" style="35" bestFit="1" customWidth="1"/>
    <col min="12" max="22" width="20.86328125" style="35" customWidth="1"/>
    <col min="23" max="16384" width="9.1328125" style="35"/>
  </cols>
  <sheetData>
    <row r="2" spans="2:238" x14ac:dyDescent="0.3">
      <c r="D2" s="35" t="s">
        <v>179</v>
      </c>
      <c r="E2" s="35" t="s">
        <v>179</v>
      </c>
      <c r="F2" s="35" t="s">
        <v>179</v>
      </c>
      <c r="G2" s="35" t="s">
        <v>179</v>
      </c>
      <c r="H2" s="35" t="s">
        <v>179</v>
      </c>
      <c r="I2" s="35" t="s">
        <v>178</v>
      </c>
      <c r="J2" s="35" t="s">
        <v>178</v>
      </c>
      <c r="K2" s="35" t="s">
        <v>178</v>
      </c>
    </row>
    <row r="3" spans="2:238" s="100" customFormat="1" ht="13.15" x14ac:dyDescent="0.4">
      <c r="B3" s="346" t="s">
        <v>177</v>
      </c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7"/>
      <c r="T3" s="348"/>
      <c r="U3" s="349"/>
      <c r="V3" s="348"/>
      <c r="W3" s="348"/>
      <c r="X3" s="348"/>
      <c r="Y3" s="348"/>
      <c r="Z3" s="349"/>
      <c r="AA3" s="350"/>
      <c r="AB3" s="350"/>
      <c r="AC3" s="350"/>
      <c r="AD3" s="350"/>
      <c r="AE3" s="350"/>
      <c r="AF3" s="351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99"/>
      <c r="DX3" s="99"/>
      <c r="DY3" s="99"/>
      <c r="DZ3" s="99"/>
      <c r="EA3" s="99"/>
      <c r="EB3" s="99"/>
      <c r="EC3" s="99"/>
      <c r="ED3" s="99"/>
      <c r="EE3" s="99"/>
      <c r="EF3" s="99"/>
      <c r="EG3" s="99"/>
      <c r="EH3" s="99"/>
      <c r="EI3" s="99"/>
      <c r="EJ3" s="99"/>
      <c r="EK3" s="99"/>
      <c r="EL3" s="99"/>
      <c r="EM3" s="99"/>
      <c r="EN3" s="99"/>
      <c r="EO3" s="99"/>
      <c r="EP3" s="99"/>
      <c r="EQ3" s="99"/>
      <c r="ER3" s="99"/>
      <c r="ES3" s="99"/>
      <c r="ET3" s="99"/>
      <c r="EU3" s="99"/>
      <c r="EV3" s="99"/>
      <c r="EW3" s="99"/>
      <c r="EX3" s="99"/>
      <c r="EY3" s="99"/>
      <c r="EZ3" s="99"/>
      <c r="FA3" s="99"/>
      <c r="FB3" s="99"/>
      <c r="FC3" s="99"/>
      <c r="FD3" s="99"/>
      <c r="FE3" s="99"/>
      <c r="FF3" s="99"/>
      <c r="FG3" s="99"/>
      <c r="FH3" s="99"/>
      <c r="FI3" s="99"/>
      <c r="FJ3" s="99"/>
      <c r="FK3" s="99"/>
      <c r="FL3" s="99"/>
      <c r="FM3" s="99"/>
      <c r="FN3" s="99"/>
      <c r="FO3" s="99"/>
      <c r="FP3" s="99"/>
      <c r="FQ3" s="99"/>
      <c r="FR3" s="99"/>
      <c r="FS3" s="99"/>
      <c r="FT3" s="99"/>
      <c r="FU3" s="99"/>
      <c r="FV3" s="99"/>
      <c r="FW3" s="99"/>
      <c r="FX3" s="99"/>
      <c r="FY3" s="99"/>
      <c r="FZ3" s="99"/>
      <c r="GA3" s="99"/>
      <c r="GB3" s="99"/>
      <c r="GC3" s="99"/>
      <c r="GD3" s="99"/>
      <c r="GE3" s="99"/>
      <c r="GF3" s="99"/>
      <c r="GG3" s="99"/>
      <c r="GH3" s="99"/>
      <c r="GI3" s="99"/>
      <c r="GJ3" s="99"/>
      <c r="GK3" s="99"/>
      <c r="GL3" s="99"/>
      <c r="GM3" s="99"/>
      <c r="GN3" s="99"/>
      <c r="GO3" s="99"/>
      <c r="GP3" s="99"/>
      <c r="GQ3" s="99"/>
      <c r="GR3" s="99"/>
      <c r="GS3" s="99"/>
      <c r="GT3" s="99"/>
      <c r="GU3" s="99"/>
      <c r="GV3" s="99"/>
      <c r="GW3" s="99"/>
      <c r="GX3" s="99"/>
      <c r="GY3" s="99"/>
      <c r="GZ3" s="99"/>
      <c r="HA3" s="99"/>
      <c r="HB3" s="99"/>
      <c r="HC3" s="99"/>
      <c r="HD3" s="99"/>
      <c r="HE3" s="99"/>
      <c r="HF3" s="99"/>
      <c r="HG3" s="99"/>
      <c r="HH3" s="99"/>
      <c r="HI3" s="99"/>
      <c r="HJ3" s="99"/>
      <c r="HK3" s="99"/>
      <c r="HL3" s="99"/>
      <c r="HM3" s="99"/>
      <c r="HN3" s="99"/>
      <c r="HO3" s="99"/>
      <c r="HP3" s="99"/>
      <c r="HQ3" s="99"/>
      <c r="HR3" s="99"/>
      <c r="HS3" s="99"/>
      <c r="HT3" s="99"/>
      <c r="HU3" s="99"/>
      <c r="HV3" s="99"/>
      <c r="HW3" s="99"/>
      <c r="HX3" s="99"/>
      <c r="HY3" s="99"/>
      <c r="HZ3" s="99"/>
      <c r="IA3" s="99"/>
      <c r="IB3" s="99"/>
      <c r="IC3" s="99"/>
      <c r="ID3" s="99"/>
    </row>
    <row r="4" spans="2:238" s="100" customFormat="1" ht="13.15" x14ac:dyDescent="0.4"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347"/>
      <c r="T4" s="349" t="s">
        <v>176</v>
      </c>
      <c r="U4" s="349"/>
      <c r="V4" s="349"/>
      <c r="W4" s="349" t="s">
        <v>175</v>
      </c>
      <c r="X4" s="349"/>
      <c r="Y4" s="349"/>
      <c r="Z4" s="349" t="s">
        <v>174</v>
      </c>
      <c r="AA4" s="351"/>
      <c r="AB4" s="351"/>
      <c r="AC4" s="351"/>
      <c r="AD4" s="351"/>
      <c r="AE4" s="351"/>
      <c r="AF4" s="351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99"/>
      <c r="DS4" s="99"/>
      <c r="DT4" s="99"/>
      <c r="DU4" s="99"/>
      <c r="DV4" s="99"/>
      <c r="DW4" s="99"/>
      <c r="DX4" s="99"/>
      <c r="DY4" s="99"/>
      <c r="DZ4" s="99"/>
      <c r="EA4" s="99"/>
      <c r="EB4" s="99"/>
      <c r="EC4" s="99"/>
      <c r="ED4" s="99"/>
      <c r="EE4" s="99"/>
      <c r="EF4" s="99"/>
      <c r="EG4" s="99"/>
      <c r="EH4" s="99"/>
      <c r="EI4" s="99"/>
      <c r="EJ4" s="99"/>
      <c r="EK4" s="99"/>
      <c r="EL4" s="99"/>
      <c r="EM4" s="99"/>
      <c r="EN4" s="99"/>
      <c r="EO4" s="99"/>
      <c r="EP4" s="99"/>
      <c r="EQ4" s="99"/>
      <c r="ER4" s="99"/>
      <c r="ES4" s="99"/>
      <c r="ET4" s="99"/>
      <c r="EU4" s="99"/>
      <c r="EV4" s="99"/>
      <c r="EW4" s="99"/>
      <c r="EX4" s="99"/>
      <c r="EY4" s="99"/>
      <c r="EZ4" s="99"/>
      <c r="FA4" s="99"/>
      <c r="FB4" s="99"/>
      <c r="FC4" s="99"/>
      <c r="FD4" s="99"/>
      <c r="FE4" s="99"/>
      <c r="FF4" s="99"/>
      <c r="FG4" s="99"/>
      <c r="FH4" s="99"/>
      <c r="FI4" s="99"/>
      <c r="FJ4" s="99"/>
      <c r="FK4" s="99"/>
      <c r="FL4" s="99"/>
      <c r="FM4" s="99"/>
      <c r="FN4" s="99"/>
      <c r="FO4" s="99"/>
      <c r="FP4" s="99"/>
      <c r="FQ4" s="99"/>
      <c r="FR4" s="99"/>
      <c r="FS4" s="99"/>
      <c r="FT4" s="99"/>
      <c r="FU4" s="99"/>
      <c r="FV4" s="99"/>
      <c r="FW4" s="99"/>
      <c r="FX4" s="99"/>
      <c r="FY4" s="99"/>
      <c r="FZ4" s="99"/>
      <c r="GA4" s="99"/>
      <c r="GB4" s="99"/>
      <c r="GC4" s="99"/>
      <c r="GD4" s="99"/>
      <c r="GE4" s="99"/>
      <c r="GF4" s="99"/>
      <c r="GG4" s="99"/>
      <c r="GH4" s="99"/>
      <c r="GI4" s="99"/>
      <c r="GJ4" s="99"/>
      <c r="GK4" s="99"/>
      <c r="GL4" s="99"/>
      <c r="GM4" s="99"/>
      <c r="GN4" s="99"/>
      <c r="GO4" s="99"/>
      <c r="GP4" s="99"/>
      <c r="GQ4" s="99"/>
      <c r="GR4" s="99"/>
      <c r="GS4" s="99"/>
      <c r="GT4" s="99"/>
      <c r="GU4" s="99"/>
      <c r="GV4" s="99"/>
      <c r="GW4" s="99"/>
      <c r="GX4" s="99"/>
      <c r="GY4" s="99"/>
      <c r="GZ4" s="99"/>
      <c r="HA4" s="99"/>
      <c r="HB4" s="99"/>
      <c r="HC4" s="99"/>
      <c r="HD4" s="99"/>
      <c r="HE4" s="99"/>
      <c r="HF4" s="99"/>
      <c r="HG4" s="99"/>
      <c r="HH4" s="99"/>
      <c r="HI4" s="99"/>
      <c r="HJ4" s="99"/>
      <c r="HK4" s="99"/>
      <c r="HL4" s="99"/>
      <c r="HM4" s="99"/>
      <c r="HN4" s="99"/>
      <c r="HO4" s="99"/>
      <c r="HP4" s="99"/>
      <c r="HQ4" s="99"/>
      <c r="HR4" s="99"/>
      <c r="HS4" s="99"/>
      <c r="HT4" s="99"/>
      <c r="HU4" s="99"/>
      <c r="HV4" s="99"/>
      <c r="HW4" s="99"/>
      <c r="HX4" s="99"/>
      <c r="HY4" s="99"/>
      <c r="HZ4" s="99"/>
      <c r="IA4" s="99"/>
      <c r="IB4" s="99"/>
      <c r="IC4" s="99"/>
      <c r="ID4" s="99"/>
    </row>
    <row r="5" spans="2:238" ht="30" customHeight="1" x14ac:dyDescent="0.3">
      <c r="B5" s="304" t="s">
        <v>173</v>
      </c>
      <c r="C5" s="305" t="s">
        <v>172</v>
      </c>
      <c r="D5" s="305" t="s">
        <v>171</v>
      </c>
      <c r="E5" s="305" t="s">
        <v>170</v>
      </c>
      <c r="F5" s="305" t="s">
        <v>169</v>
      </c>
      <c r="G5" s="305" t="s">
        <v>168</v>
      </c>
      <c r="H5" s="305" t="s">
        <v>167</v>
      </c>
      <c r="I5" s="305" t="s">
        <v>166</v>
      </c>
      <c r="J5" s="305" t="s">
        <v>165</v>
      </c>
      <c r="K5" s="305" t="s">
        <v>164</v>
      </c>
      <c r="L5" s="305" t="s">
        <v>62</v>
      </c>
      <c r="M5" s="305" t="s">
        <v>163</v>
      </c>
      <c r="N5" s="305" t="s">
        <v>162</v>
      </c>
      <c r="O5" s="305" t="s">
        <v>161</v>
      </c>
      <c r="P5" s="305" t="s">
        <v>160</v>
      </c>
      <c r="Q5" s="305" t="s">
        <v>159</v>
      </c>
      <c r="R5" s="305" t="s">
        <v>158</v>
      </c>
      <c r="S5" s="298"/>
      <c r="T5" s="299" t="s">
        <v>150</v>
      </c>
      <c r="U5" s="299">
        <v>2020</v>
      </c>
      <c r="V5" s="299">
        <v>2021</v>
      </c>
      <c r="W5" s="299" t="s">
        <v>150</v>
      </c>
      <c r="X5" s="299">
        <v>2020</v>
      </c>
      <c r="Y5" s="299">
        <v>2021</v>
      </c>
      <c r="Z5" s="299" t="s">
        <v>150</v>
      </c>
      <c r="AA5" s="235"/>
      <c r="AB5" s="235"/>
      <c r="AC5" s="235"/>
      <c r="AD5" s="235"/>
      <c r="AE5" s="235"/>
      <c r="AF5" s="235"/>
    </row>
    <row r="6" spans="2:238" ht="13.15" x14ac:dyDescent="0.35">
      <c r="B6" s="304" t="s">
        <v>208</v>
      </c>
      <c r="C6" s="306">
        <v>34442.400000000001</v>
      </c>
      <c r="D6" s="307">
        <v>9658</v>
      </c>
      <c r="E6" s="307">
        <v>137</v>
      </c>
      <c r="F6" s="308" t="s">
        <v>3</v>
      </c>
      <c r="G6" s="307" t="s">
        <v>3</v>
      </c>
      <c r="H6" s="308" t="s">
        <v>3</v>
      </c>
      <c r="I6" s="309">
        <v>11063</v>
      </c>
      <c r="J6" s="309">
        <v>2271</v>
      </c>
      <c r="K6" s="309" t="s">
        <v>3</v>
      </c>
      <c r="L6" s="307">
        <f t="shared" ref="L6:L12" si="0">SUM(C6:K6)</f>
        <v>57571.4</v>
      </c>
      <c r="M6" s="306">
        <v>-3989</v>
      </c>
      <c r="N6" s="307">
        <v>-3570.76</v>
      </c>
      <c r="O6" s="307">
        <v>310.92</v>
      </c>
      <c r="P6" s="306">
        <v>-3074</v>
      </c>
      <c r="Q6" s="307">
        <v>-3156.71</v>
      </c>
      <c r="R6" s="307">
        <v>-1076.79</v>
      </c>
      <c r="S6" s="300"/>
      <c r="T6" s="301">
        <f>($L6/M6)</f>
        <v>-14.432539483579845</v>
      </c>
      <c r="U6" s="301">
        <f>($L6/N6)</f>
        <v>-16.123010227514591</v>
      </c>
      <c r="V6" s="301">
        <f>($L6/O6)</f>
        <v>185.16467258458766</v>
      </c>
      <c r="W6" s="301">
        <f>($C6/P6)</f>
        <v>-11.204424202992843</v>
      </c>
      <c r="X6" s="301">
        <f>($C6/Q6)</f>
        <v>-10.910853388496252</v>
      </c>
      <c r="Y6" s="301">
        <f>($C6/R6)</f>
        <v>-31.986181149527766</v>
      </c>
      <c r="Z6" s="301">
        <f>(SUM(D6:F6)/M6)</f>
        <v>-2.4555026322386562</v>
      </c>
      <c r="AA6" s="235"/>
      <c r="AB6" s="235"/>
      <c r="AC6" s="235"/>
      <c r="AD6" s="235"/>
      <c r="AE6" s="235"/>
      <c r="AF6" s="235"/>
    </row>
    <row r="7" spans="2:238" ht="13.15" x14ac:dyDescent="0.35">
      <c r="B7" s="304" t="s">
        <v>211</v>
      </c>
      <c r="C7" s="306">
        <v>30683.599999999999</v>
      </c>
      <c r="D7" s="307">
        <v>26531</v>
      </c>
      <c r="E7" s="307">
        <v>1443</v>
      </c>
      <c r="F7" s="308">
        <v>1100</v>
      </c>
      <c r="G7" s="308" t="s">
        <v>3</v>
      </c>
      <c r="H7" s="308" t="s">
        <v>3</v>
      </c>
      <c r="I7" s="309">
        <v>8307</v>
      </c>
      <c r="J7" s="309">
        <v>5789</v>
      </c>
      <c r="K7" s="309" t="s">
        <v>3</v>
      </c>
      <c r="L7" s="307">
        <f t="shared" ref="L7:L8" si="1">SUM(C7:K7)</f>
        <v>73853.600000000006</v>
      </c>
      <c r="M7" s="306">
        <v>-7214</v>
      </c>
      <c r="N7" s="307">
        <v>-5034.7</v>
      </c>
      <c r="O7" s="307">
        <v>2138.33</v>
      </c>
      <c r="P7" s="306">
        <v>-12385</v>
      </c>
      <c r="Q7" s="307">
        <v>-12234.04</v>
      </c>
      <c r="R7" s="307">
        <v>-855.77</v>
      </c>
      <c r="S7" s="300"/>
      <c r="T7" s="301">
        <f t="shared" ref="T7:T14" si="2">($L7/M7)</f>
        <v>-10.237538120321597</v>
      </c>
      <c r="U7" s="301">
        <f t="shared" ref="U7:U12" si="3">($L7/N7)</f>
        <v>-14.668917711085072</v>
      </c>
      <c r="V7" s="301">
        <f t="shared" ref="V7:V12" si="4">($L7/O7)</f>
        <v>34.537980573625219</v>
      </c>
      <c r="W7" s="301">
        <f t="shared" ref="W7:W14" si="5">($C7/P7)</f>
        <v>-2.4774808235769075</v>
      </c>
      <c r="X7" s="301">
        <f t="shared" ref="X7:X14" si="6">($C7/Q7)</f>
        <v>-2.5080513060280984</v>
      </c>
      <c r="Y7" s="301">
        <f t="shared" ref="Y7:Y14" si="7">($C7/R7)</f>
        <v>-35.854961029248514</v>
      </c>
      <c r="Z7" s="301">
        <f t="shared" ref="Z7:Z12" si="8">(SUM(D7:F7)/M7)</f>
        <v>-4.0302190185749929</v>
      </c>
      <c r="AA7" s="235"/>
      <c r="AB7" s="235"/>
      <c r="AC7" s="235"/>
      <c r="AD7" s="235"/>
      <c r="AE7" s="235"/>
      <c r="AF7" s="235"/>
    </row>
    <row r="8" spans="2:238" ht="13.15" x14ac:dyDescent="0.35">
      <c r="B8" s="304" t="s">
        <v>210</v>
      </c>
      <c r="C8" s="306">
        <v>16147.3</v>
      </c>
      <c r="D8" s="307">
        <v>24836</v>
      </c>
      <c r="E8" s="308">
        <v>1911</v>
      </c>
      <c r="F8" s="307" t="s">
        <v>3</v>
      </c>
      <c r="G8" s="308" t="s">
        <v>3</v>
      </c>
      <c r="H8" s="308" t="s">
        <v>3</v>
      </c>
      <c r="I8" s="309">
        <v>11269</v>
      </c>
      <c r="J8" s="309">
        <v>414</v>
      </c>
      <c r="K8" s="309">
        <v>1000</v>
      </c>
      <c r="L8" s="307">
        <f t="shared" si="1"/>
        <v>55577.3</v>
      </c>
      <c r="M8" s="306">
        <v>-6487</v>
      </c>
      <c r="N8" s="307">
        <v>-5870.59</v>
      </c>
      <c r="O8" s="307">
        <v>-61.3</v>
      </c>
      <c r="P8" s="306">
        <v>-7069</v>
      </c>
      <c r="Q8" s="307">
        <v>-6778.73</v>
      </c>
      <c r="R8" s="307">
        <v>-2565.62</v>
      </c>
      <c r="S8" s="300"/>
      <c r="T8" s="301">
        <f t="shared" si="2"/>
        <v>-8.5674888238014493</v>
      </c>
      <c r="U8" s="301">
        <f t="shared" si="3"/>
        <v>-9.4670723044872833</v>
      </c>
      <c r="V8" s="301">
        <f t="shared" si="4"/>
        <v>-906.64437194127254</v>
      </c>
      <c r="W8" s="301">
        <f t="shared" si="5"/>
        <v>-2.2842410524826708</v>
      </c>
      <c r="X8" s="301">
        <f t="shared" si="6"/>
        <v>-2.3820538655470864</v>
      </c>
      <c r="Y8" s="301">
        <f t="shared" si="7"/>
        <v>-6.293722375098417</v>
      </c>
      <c r="Z8" s="301">
        <f t="shared" si="8"/>
        <v>-4.1231694157545862</v>
      </c>
      <c r="AA8" s="235"/>
      <c r="AB8" s="235"/>
      <c r="AC8" s="235"/>
      <c r="AD8" s="235"/>
      <c r="AE8" s="235"/>
      <c r="AF8" s="235"/>
    </row>
    <row r="9" spans="2:238" ht="13.15" x14ac:dyDescent="0.35">
      <c r="B9" s="304" t="s">
        <v>213</v>
      </c>
      <c r="C9" s="306">
        <v>13343.6</v>
      </c>
      <c r="D9" s="307">
        <v>29324</v>
      </c>
      <c r="E9" s="307">
        <v>2697</v>
      </c>
      <c r="F9" s="308" t="s">
        <v>3</v>
      </c>
      <c r="G9" s="307" t="s">
        <v>3</v>
      </c>
      <c r="H9" s="308" t="s">
        <v>3</v>
      </c>
      <c r="I9" s="309">
        <v>245</v>
      </c>
      <c r="J9" s="309">
        <v>6619</v>
      </c>
      <c r="K9" s="309" t="s">
        <v>3</v>
      </c>
      <c r="L9" s="307">
        <f>SUM(C9:K9)</f>
        <v>52228.6</v>
      </c>
      <c r="M9" s="306">
        <v>-8746</v>
      </c>
      <c r="N9" s="307">
        <v>-8117.12</v>
      </c>
      <c r="O9" s="307">
        <v>-3396.13</v>
      </c>
      <c r="P9" s="306">
        <v>-8885</v>
      </c>
      <c r="Q9" s="307">
        <v>-9418.52</v>
      </c>
      <c r="R9" s="307">
        <v>-4407.49</v>
      </c>
      <c r="S9" s="300"/>
      <c r="T9" s="301">
        <f t="shared" si="2"/>
        <v>-5.9717127829865078</v>
      </c>
      <c r="U9" s="301">
        <f t="shared" si="3"/>
        <v>-6.434375739178428</v>
      </c>
      <c r="V9" s="301">
        <f t="shared" si="4"/>
        <v>-15.378857699793588</v>
      </c>
      <c r="W9" s="301">
        <f t="shared" si="5"/>
        <v>-1.5018120427687114</v>
      </c>
      <c r="X9" s="301">
        <f t="shared" si="6"/>
        <v>-1.4167406344096525</v>
      </c>
      <c r="Y9" s="301">
        <f t="shared" si="7"/>
        <v>-3.027482762297816</v>
      </c>
      <c r="Z9" s="301">
        <f t="shared" si="8"/>
        <v>-3.6612165561399497</v>
      </c>
      <c r="AA9" s="235"/>
      <c r="AB9" s="235"/>
      <c r="AC9" s="235"/>
      <c r="AD9" s="235"/>
      <c r="AE9" s="235"/>
      <c r="AF9" s="235"/>
    </row>
    <row r="10" spans="2:238" ht="13.15" x14ac:dyDescent="0.35">
      <c r="B10" s="304" t="s">
        <v>215</v>
      </c>
      <c r="C10" s="306">
        <v>8143.7</v>
      </c>
      <c r="D10" s="307">
        <v>2357</v>
      </c>
      <c r="E10" s="307">
        <v>1138</v>
      </c>
      <c r="F10" s="308" t="s">
        <v>3</v>
      </c>
      <c r="G10" s="308" t="s">
        <v>3</v>
      </c>
      <c r="H10" s="308" t="s">
        <v>3</v>
      </c>
      <c r="I10" s="309">
        <v>3346</v>
      </c>
      <c r="J10" s="309" t="s">
        <v>3</v>
      </c>
      <c r="K10" s="309" t="s">
        <v>3</v>
      </c>
      <c r="L10" s="307">
        <f t="shared" si="0"/>
        <v>14984.7</v>
      </c>
      <c r="M10" s="306">
        <v>-1285.3</v>
      </c>
      <c r="N10" s="307">
        <v>-1029.8499999999999</v>
      </c>
      <c r="O10" s="307">
        <v>890</v>
      </c>
      <c r="P10" s="306">
        <v>-1307</v>
      </c>
      <c r="Q10" s="307">
        <v>-1245.96</v>
      </c>
      <c r="R10" s="307">
        <v>-181.99</v>
      </c>
      <c r="S10" s="300"/>
      <c r="T10" s="301">
        <f t="shared" si="2"/>
        <v>-11.658523301952853</v>
      </c>
      <c r="U10" s="301">
        <f t="shared" si="3"/>
        <v>-14.55037141331262</v>
      </c>
      <c r="V10" s="301">
        <f t="shared" si="4"/>
        <v>16.836741573033709</v>
      </c>
      <c r="W10" s="301">
        <f t="shared" si="5"/>
        <v>-6.2308339709257838</v>
      </c>
      <c r="X10" s="301">
        <f t="shared" si="6"/>
        <v>-6.5360846255096465</v>
      </c>
      <c r="Y10" s="301">
        <f t="shared" si="7"/>
        <v>-44.748063080389031</v>
      </c>
      <c r="Z10" s="301">
        <f t="shared" si="8"/>
        <v>-2.7192095230685442</v>
      </c>
      <c r="AA10" s="235"/>
      <c r="AB10" s="235"/>
      <c r="AC10" s="235"/>
      <c r="AD10" s="235"/>
      <c r="AE10" s="235"/>
      <c r="AF10" s="235"/>
    </row>
    <row r="11" spans="2:238" ht="13.15" x14ac:dyDescent="0.35">
      <c r="B11" s="304" t="s">
        <v>212</v>
      </c>
      <c r="C11" s="306">
        <v>3466.4</v>
      </c>
      <c r="D11" s="307">
        <v>3065.52</v>
      </c>
      <c r="E11" s="308">
        <v>383.53</v>
      </c>
      <c r="F11" s="308" t="s">
        <v>3</v>
      </c>
      <c r="G11" s="308" t="s">
        <v>3</v>
      </c>
      <c r="H11" s="308" t="s">
        <v>3</v>
      </c>
      <c r="I11" s="309">
        <v>1789.7</v>
      </c>
      <c r="J11" s="309">
        <v>106.34</v>
      </c>
      <c r="K11" s="309" t="s">
        <v>3</v>
      </c>
      <c r="L11" s="307">
        <f t="shared" ref="L11" si="9">SUM(C11:K11)</f>
        <v>8811.49</v>
      </c>
      <c r="M11" s="306">
        <v>-628.79999999999995</v>
      </c>
      <c r="N11" s="307">
        <v>-338.89</v>
      </c>
      <c r="O11" s="307">
        <v>266.83</v>
      </c>
      <c r="P11" s="306">
        <v>-428.7</v>
      </c>
      <c r="Q11" s="307">
        <v>-453.26</v>
      </c>
      <c r="R11" s="307">
        <v>-339.46</v>
      </c>
      <c r="S11" s="300"/>
      <c r="T11" s="301">
        <f t="shared" si="2"/>
        <v>-14.013183842239187</v>
      </c>
      <c r="U11" s="301">
        <f t="shared" si="3"/>
        <v>-26.00103278349907</v>
      </c>
      <c r="V11" s="301">
        <f t="shared" si="4"/>
        <v>33.022860997638951</v>
      </c>
      <c r="W11" s="301">
        <f t="shared" si="5"/>
        <v>-8.0858409143923495</v>
      </c>
      <c r="X11" s="301">
        <f t="shared" si="6"/>
        <v>-7.6477077174248782</v>
      </c>
      <c r="Y11" s="301">
        <f t="shared" si="7"/>
        <v>-10.211512402050316</v>
      </c>
      <c r="Z11" s="301">
        <f t="shared" si="8"/>
        <v>-5.4851304071246823</v>
      </c>
      <c r="AA11" s="235"/>
      <c r="AB11" s="235"/>
      <c r="AC11" s="235"/>
      <c r="AD11" s="235"/>
      <c r="AE11" s="235"/>
      <c r="AF11" s="235"/>
    </row>
    <row r="12" spans="2:238" ht="13.15" x14ac:dyDescent="0.35">
      <c r="B12" s="304" t="s">
        <v>209</v>
      </c>
      <c r="C12" s="306">
        <v>2808.7</v>
      </c>
      <c r="D12" s="307">
        <v>2801.54</v>
      </c>
      <c r="E12" s="307">
        <v>402.16</v>
      </c>
      <c r="F12" s="308" t="s">
        <v>3</v>
      </c>
      <c r="G12" s="307" t="s">
        <v>3</v>
      </c>
      <c r="H12" s="308" t="s">
        <v>3</v>
      </c>
      <c r="I12" s="309">
        <v>215.7</v>
      </c>
      <c r="J12" s="309">
        <v>610.19000000000005</v>
      </c>
      <c r="K12" s="309">
        <v>25.5</v>
      </c>
      <c r="L12" s="307">
        <f t="shared" si="0"/>
        <v>6863.7899999999991</v>
      </c>
      <c r="M12" s="306">
        <v>238.3</v>
      </c>
      <c r="N12" s="307">
        <v>665.79</v>
      </c>
      <c r="O12" s="307">
        <v>629.87</v>
      </c>
      <c r="P12" s="306">
        <v>-8.5</v>
      </c>
      <c r="Q12" s="307">
        <v>3.79</v>
      </c>
      <c r="R12" s="307">
        <v>81.38</v>
      </c>
      <c r="S12" s="300"/>
      <c r="T12" s="301">
        <f t="shared" si="2"/>
        <v>28.803147293327733</v>
      </c>
      <c r="U12" s="301">
        <f t="shared" si="3"/>
        <v>10.309241652773396</v>
      </c>
      <c r="V12" s="301">
        <f t="shared" si="4"/>
        <v>10.897153380856366</v>
      </c>
      <c r="W12" s="301">
        <f t="shared" si="5"/>
        <v>-330.43529411764706</v>
      </c>
      <c r="X12" s="301">
        <f t="shared" si="6"/>
        <v>741.08179419525061</v>
      </c>
      <c r="Y12" s="301">
        <f t="shared" si="7"/>
        <v>34.513393954288524</v>
      </c>
      <c r="Z12" s="301">
        <f t="shared" si="8"/>
        <v>13.44397817876626</v>
      </c>
      <c r="AA12" s="235"/>
      <c r="AB12" s="235"/>
      <c r="AC12" s="235"/>
      <c r="AD12" s="235"/>
      <c r="AE12" s="235"/>
      <c r="AF12" s="235"/>
    </row>
    <row r="13" spans="2:238" ht="13.15" x14ac:dyDescent="0.3">
      <c r="B13" s="310" t="s">
        <v>5</v>
      </c>
      <c r="C13" s="311"/>
      <c r="D13" s="311"/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02"/>
      <c r="T13" s="301"/>
      <c r="U13" s="303"/>
      <c r="V13" s="303"/>
      <c r="W13" s="301"/>
      <c r="X13" s="301"/>
      <c r="Y13" s="301"/>
      <c r="Z13" s="301"/>
      <c r="AA13" s="235"/>
      <c r="AB13" s="235"/>
      <c r="AC13" s="235"/>
      <c r="AD13" s="235"/>
      <c r="AE13" s="235"/>
      <c r="AF13" s="235"/>
    </row>
    <row r="14" spans="2:238" ht="13.15" x14ac:dyDescent="0.35">
      <c r="B14" s="304" t="s">
        <v>214</v>
      </c>
      <c r="C14" s="306">
        <v>5814.3</v>
      </c>
      <c r="D14" s="307">
        <v>4035</v>
      </c>
      <c r="E14" s="307">
        <v>2241.0300000000002</v>
      </c>
      <c r="F14" s="307" t="s">
        <v>3</v>
      </c>
      <c r="G14" s="308" t="s">
        <v>3</v>
      </c>
      <c r="H14" s="308" t="s">
        <v>3</v>
      </c>
      <c r="I14" s="309">
        <v>1918</v>
      </c>
      <c r="J14" s="309">
        <v>1135</v>
      </c>
      <c r="K14" s="309">
        <v>34</v>
      </c>
      <c r="L14" s="307">
        <f>SUM(C14:K14)</f>
        <v>15177.33</v>
      </c>
      <c r="M14" s="306">
        <v>-1454.3</v>
      </c>
      <c r="N14" s="307">
        <v>-1466.31</v>
      </c>
      <c r="O14" s="307">
        <v>-290.36</v>
      </c>
      <c r="P14" s="306">
        <v>-1362</v>
      </c>
      <c r="Q14" s="307">
        <v>-1561.4</v>
      </c>
      <c r="R14" s="307">
        <v>-637.09</v>
      </c>
      <c r="S14" s="300"/>
      <c r="T14" s="301">
        <f t="shared" si="2"/>
        <v>-10.436175479612185</v>
      </c>
      <c r="U14" s="303">
        <f>$L14/N14</f>
        <v>-10.350696646684534</v>
      </c>
      <c r="V14" s="303">
        <f>$L14/O14</f>
        <v>-52.270732883317258</v>
      </c>
      <c r="W14" s="301">
        <f t="shared" si="5"/>
        <v>-4.2689427312775328</v>
      </c>
      <c r="X14" s="301">
        <f t="shared" si="6"/>
        <v>-3.7237735365697451</v>
      </c>
      <c r="Y14" s="301">
        <f t="shared" si="7"/>
        <v>-9.126340077540064</v>
      </c>
      <c r="Z14" s="301">
        <v>-2.5</v>
      </c>
      <c r="AA14" s="235"/>
      <c r="AB14" s="235"/>
      <c r="AC14" s="235"/>
      <c r="AD14" s="235"/>
      <c r="AE14" s="235"/>
      <c r="AF14" s="235"/>
    </row>
    <row r="15" spans="2:238" x14ac:dyDescent="0.3"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</row>
    <row r="21" spans="2:2" x14ac:dyDescent="0.3">
      <c r="B21" s="295"/>
    </row>
  </sheetData>
  <pageMargins left="0.2" right="0.2" top="0.5" bottom="0.5" header="0.5" footer="0.5"/>
  <pageSetup scale="1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E30B-64B4-40A6-9059-E60B167EFA21}">
  <sheetPr>
    <tabColor theme="9" tint="0.39997558519241921"/>
    <outlinePr summaryBelow="0" summaryRight="0"/>
    <pageSetUpPr autoPageBreaks="0" fitToPage="1"/>
  </sheetPr>
  <dimension ref="B1:IU11"/>
  <sheetViews>
    <sheetView view="pageBreakPreview" zoomScaleNormal="100" zoomScaleSheetLayoutView="100" workbookViewId="0">
      <pane xSplit="2" topLeftCell="H1" activePane="topRight" state="frozen"/>
      <selection activeCell="O22" sqref="O22"/>
      <selection pane="topRight"/>
    </sheetView>
  </sheetViews>
  <sheetFormatPr defaultColWidth="9.1328125" defaultRowHeight="10.15" x14ac:dyDescent="0.3"/>
  <cols>
    <col min="1" max="1" width="2.73046875" style="35" customWidth="1"/>
    <col min="2" max="2" width="47.86328125" style="296" customWidth="1"/>
    <col min="3" max="3" width="17.73046875" style="35" bestFit="1" customWidth="1"/>
    <col min="4" max="4" width="18.86328125" style="35" bestFit="1" customWidth="1"/>
    <col min="5" max="9" width="20.19921875" style="35" bestFit="1" customWidth="1"/>
    <col min="10" max="11" width="25.1328125" style="35" bestFit="1" customWidth="1"/>
    <col min="12" max="16384" width="9.1328125" style="35"/>
  </cols>
  <sheetData>
    <row r="1" spans="2:255" ht="10.5" thickBot="1" x14ac:dyDescent="0.35"/>
    <row r="2" spans="2:255" s="100" customFormat="1" ht="13.5" thickBot="1" x14ac:dyDescent="0.45">
      <c r="B2" s="346" t="s">
        <v>177</v>
      </c>
      <c r="C2" s="346"/>
      <c r="D2" s="346"/>
      <c r="E2" s="346"/>
      <c r="F2" s="346"/>
      <c r="G2" s="346"/>
      <c r="H2" s="346"/>
      <c r="I2" s="346"/>
      <c r="J2" s="354" t="s">
        <v>195</v>
      </c>
      <c r="K2" s="354" t="s">
        <v>196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99"/>
      <c r="DX2" s="99"/>
      <c r="DY2" s="99"/>
      <c r="DZ2" s="99"/>
      <c r="EA2" s="99"/>
      <c r="EB2" s="99"/>
      <c r="EC2" s="99"/>
      <c r="ED2" s="99"/>
      <c r="EE2" s="99"/>
      <c r="EF2" s="99"/>
      <c r="EG2" s="99"/>
      <c r="EH2" s="99"/>
      <c r="EI2" s="99"/>
      <c r="EJ2" s="99"/>
      <c r="EK2" s="99"/>
      <c r="EL2" s="99"/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99"/>
      <c r="FE2" s="99"/>
      <c r="FF2" s="99"/>
      <c r="FG2" s="99"/>
      <c r="FH2" s="99"/>
      <c r="FI2" s="99"/>
      <c r="FJ2" s="99"/>
      <c r="FK2" s="99"/>
      <c r="FL2" s="99"/>
      <c r="FM2" s="99"/>
      <c r="FN2" s="99"/>
      <c r="FO2" s="99"/>
      <c r="FP2" s="99"/>
      <c r="FQ2" s="99"/>
      <c r="FR2" s="99"/>
      <c r="FS2" s="99"/>
      <c r="FT2" s="99"/>
      <c r="FU2" s="99"/>
      <c r="FV2" s="99"/>
      <c r="FW2" s="99"/>
      <c r="FX2" s="99"/>
      <c r="FY2" s="99"/>
      <c r="FZ2" s="99"/>
      <c r="GA2" s="99"/>
      <c r="GB2" s="99"/>
      <c r="GC2" s="99"/>
      <c r="GD2" s="99"/>
      <c r="GE2" s="99"/>
      <c r="GF2" s="99"/>
      <c r="GG2" s="99"/>
      <c r="GH2" s="99"/>
      <c r="GI2" s="99"/>
      <c r="GJ2" s="99"/>
      <c r="GK2" s="99"/>
      <c r="GL2" s="99"/>
      <c r="GM2" s="99"/>
      <c r="GN2" s="99"/>
      <c r="GO2" s="99"/>
      <c r="GP2" s="99"/>
      <c r="GQ2" s="99"/>
      <c r="GR2" s="99"/>
      <c r="GS2" s="99"/>
      <c r="GT2" s="99"/>
      <c r="GU2" s="99"/>
      <c r="GV2" s="99"/>
      <c r="GW2" s="99"/>
      <c r="GX2" s="99"/>
      <c r="GY2" s="99"/>
      <c r="GZ2" s="99"/>
      <c r="HA2" s="99"/>
      <c r="HB2" s="99"/>
      <c r="HC2" s="99"/>
      <c r="HD2" s="99"/>
      <c r="HE2" s="99"/>
      <c r="HF2" s="99"/>
      <c r="HG2" s="99"/>
      <c r="HH2" s="99"/>
      <c r="HI2" s="99"/>
      <c r="HJ2" s="99"/>
      <c r="HK2" s="99"/>
      <c r="HL2" s="99"/>
      <c r="HM2" s="99"/>
      <c r="HN2" s="99"/>
      <c r="HO2" s="99"/>
      <c r="HP2" s="99"/>
      <c r="HQ2" s="99"/>
      <c r="HR2" s="99"/>
      <c r="HS2" s="99"/>
      <c r="HT2" s="99"/>
      <c r="HU2" s="99"/>
      <c r="HV2" s="99"/>
      <c r="HW2" s="99"/>
      <c r="HX2" s="99"/>
      <c r="HY2" s="99"/>
      <c r="HZ2" s="99"/>
      <c r="IA2" s="99"/>
      <c r="IB2" s="99"/>
      <c r="IC2" s="99"/>
      <c r="ID2" s="99"/>
      <c r="IE2" s="99"/>
      <c r="IF2" s="99"/>
      <c r="IG2" s="99"/>
      <c r="IH2" s="99"/>
      <c r="II2" s="99"/>
      <c r="IJ2" s="99"/>
      <c r="IK2" s="99"/>
      <c r="IL2" s="99"/>
      <c r="IM2" s="99"/>
      <c r="IN2" s="99"/>
      <c r="IO2" s="99"/>
      <c r="IP2" s="99"/>
      <c r="IQ2" s="99"/>
      <c r="IR2" s="99"/>
      <c r="IS2" s="99"/>
      <c r="IT2" s="99"/>
      <c r="IU2" s="99"/>
    </row>
    <row r="3" spans="2:255" s="100" customFormat="1" ht="39.75" thickBot="1" x14ac:dyDescent="0.45">
      <c r="B3" s="352" t="s">
        <v>173</v>
      </c>
      <c r="C3" s="355" t="s">
        <v>172</v>
      </c>
      <c r="D3" s="355" t="s">
        <v>194</v>
      </c>
      <c r="E3" s="355" t="s">
        <v>193</v>
      </c>
      <c r="F3" s="355" t="s">
        <v>192</v>
      </c>
      <c r="G3" s="355" t="s">
        <v>191</v>
      </c>
      <c r="H3" s="355" t="s">
        <v>190</v>
      </c>
      <c r="I3" s="355" t="s">
        <v>189</v>
      </c>
      <c r="J3" s="354" t="s">
        <v>66</v>
      </c>
      <c r="K3" s="354" t="s">
        <v>66</v>
      </c>
    </row>
    <row r="4" spans="2:255" ht="12" customHeight="1" x14ac:dyDescent="0.35">
      <c r="B4" s="353" t="str">
        <f>' Comps'!B6</f>
        <v>Southwest Airlines Co</v>
      </c>
      <c r="C4" s="312">
        <f>' Comps'!C6</f>
        <v>34442.400000000001</v>
      </c>
      <c r="D4" s="313" t="s">
        <v>3</v>
      </c>
      <c r="E4" s="313" t="s">
        <v>3</v>
      </c>
      <c r="F4" s="313" t="s">
        <v>3</v>
      </c>
      <c r="G4" s="313">
        <v>0.2122</v>
      </c>
      <c r="H4" s="313">
        <v>0.22220000000000001</v>
      </c>
      <c r="I4" s="313">
        <v>0.21460000000000001</v>
      </c>
      <c r="J4" s="314">
        <f>SUM(E4:I4)</f>
        <v>0.64900000000000002</v>
      </c>
      <c r="K4" s="315">
        <f>J4/5</f>
        <v>0.1298</v>
      </c>
    </row>
    <row r="5" spans="2:255" ht="12" customHeight="1" x14ac:dyDescent="0.35">
      <c r="B5" s="353" t="str">
        <f>' Comps'!B7</f>
        <v>Delta Air Lines</v>
      </c>
      <c r="C5" s="312">
        <f>' Comps'!C7</f>
        <v>30683.599999999999</v>
      </c>
      <c r="D5" s="313" t="s">
        <v>3</v>
      </c>
      <c r="E5" s="313" t="s">
        <v>3</v>
      </c>
      <c r="F5" s="313" t="s">
        <v>3</v>
      </c>
      <c r="G5" s="313">
        <v>0.24590000000000001</v>
      </c>
      <c r="H5" s="313">
        <v>0.23089999999999999</v>
      </c>
      <c r="I5" s="313">
        <v>0.23710000000000001</v>
      </c>
      <c r="J5" s="314">
        <f>SUM(E5:I5)</f>
        <v>0.71389999999999998</v>
      </c>
      <c r="K5" s="315">
        <f>J5/5</f>
        <v>0.14277999999999999</v>
      </c>
    </row>
    <row r="6" spans="2:255" ht="12" customHeight="1" x14ac:dyDescent="0.35">
      <c r="B6" s="353" t="str">
        <f>' Comps'!B8</f>
        <v>United Airlines Holdings</v>
      </c>
      <c r="C6" s="312">
        <f>' Comps'!C8</f>
        <v>16147.3</v>
      </c>
      <c r="D6" s="313" t="s">
        <v>3</v>
      </c>
      <c r="E6" s="313" t="s">
        <v>3</v>
      </c>
      <c r="F6" s="313" t="s">
        <v>3</v>
      </c>
      <c r="G6" s="313">
        <v>0.29310000000000003</v>
      </c>
      <c r="H6" s="313">
        <v>0.23119999999999999</v>
      </c>
      <c r="I6" s="313">
        <v>0.21920000000000001</v>
      </c>
      <c r="J6" s="314">
        <f t="shared" ref="J6:J11" si="0">SUM(E6:I6)</f>
        <v>0.74350000000000005</v>
      </c>
      <c r="K6" s="315">
        <f t="shared" ref="K6:K11" si="1">J6/5</f>
        <v>0.1487</v>
      </c>
    </row>
    <row r="7" spans="2:255" ht="12" customHeight="1" x14ac:dyDescent="0.35">
      <c r="B7" s="353" t="str">
        <f>' Comps'!B9</f>
        <v>American Airlines Group Inc</v>
      </c>
      <c r="C7" s="312">
        <f>' Comps'!C9</f>
        <v>13343.6</v>
      </c>
      <c r="D7" s="313" t="s">
        <v>3</v>
      </c>
      <c r="E7" s="313" t="s">
        <v>3</v>
      </c>
      <c r="F7" s="313" t="s">
        <v>3</v>
      </c>
      <c r="G7" s="313" t="s">
        <v>3</v>
      </c>
      <c r="H7" s="313">
        <v>0.25269999999999998</v>
      </c>
      <c r="I7" s="313">
        <v>0.23269999999999999</v>
      </c>
      <c r="J7" s="314">
        <f t="shared" si="0"/>
        <v>0.48539999999999994</v>
      </c>
      <c r="K7" s="315">
        <f t="shared" si="1"/>
        <v>9.7079999999999986E-2</v>
      </c>
    </row>
    <row r="8" spans="2:255" ht="12" customHeight="1" x14ac:dyDescent="0.35">
      <c r="B8" s="353" t="str">
        <f>' Comps'!B10</f>
        <v>Alaska Air Group Inc</v>
      </c>
      <c r="C8" s="312">
        <f>' Comps'!C10</f>
        <v>8143.7</v>
      </c>
      <c r="D8" s="313" t="s">
        <v>3</v>
      </c>
      <c r="E8" s="313" t="s">
        <v>3</v>
      </c>
      <c r="F8" s="313" t="s">
        <v>3</v>
      </c>
      <c r="G8" s="313">
        <v>0.23089999999999999</v>
      </c>
      <c r="H8" s="313">
        <v>0.24310000000000001</v>
      </c>
      <c r="I8" s="313">
        <v>0.2447</v>
      </c>
      <c r="J8" s="314">
        <f t="shared" si="0"/>
        <v>0.71870000000000001</v>
      </c>
      <c r="K8" s="315">
        <f t="shared" si="1"/>
        <v>0.14374000000000001</v>
      </c>
    </row>
    <row r="9" spans="2:255" ht="12" customHeight="1" x14ac:dyDescent="0.35">
      <c r="B9" s="353" t="str">
        <f>' Comps'!B11</f>
        <v>Spirit Airlines</v>
      </c>
      <c r="C9" s="312">
        <f>' Comps'!C11</f>
        <v>3466.4</v>
      </c>
      <c r="D9" s="313" t="s">
        <v>3</v>
      </c>
      <c r="E9" s="313" t="s">
        <v>3</v>
      </c>
      <c r="F9" s="313" t="s">
        <v>3</v>
      </c>
      <c r="G9" s="313">
        <v>0.13250000000000001</v>
      </c>
      <c r="H9" s="313">
        <v>0.23180000000000001</v>
      </c>
      <c r="I9" s="313">
        <v>0.2321</v>
      </c>
      <c r="J9" s="314">
        <f t="shared" si="0"/>
        <v>0.59640000000000004</v>
      </c>
      <c r="K9" s="315">
        <f t="shared" si="1"/>
        <v>0.11928000000000001</v>
      </c>
    </row>
    <row r="10" spans="2:255" ht="12" customHeight="1" x14ac:dyDescent="0.35">
      <c r="B10" s="353" t="str">
        <f>' Comps'!B12</f>
        <v>SkyWest Inc</v>
      </c>
      <c r="C10" s="312">
        <f>' Comps'!C12</f>
        <v>2808.7</v>
      </c>
      <c r="D10" s="313" t="s">
        <v>3</v>
      </c>
      <c r="E10" s="313">
        <v>0.26279999999999998</v>
      </c>
      <c r="F10" s="313">
        <v>0.24390000000000001</v>
      </c>
      <c r="G10" s="313">
        <v>0.24</v>
      </c>
      <c r="H10" s="313">
        <v>0.23799999999999999</v>
      </c>
      <c r="I10" s="313">
        <v>0.23830000000000001</v>
      </c>
      <c r="J10" s="314">
        <f t="shared" si="0"/>
        <v>1.2229999999999999</v>
      </c>
      <c r="K10" s="315">
        <f t="shared" si="1"/>
        <v>0.24459999999999998</v>
      </c>
    </row>
    <row r="11" spans="2:255" ht="12" customHeight="1" x14ac:dyDescent="0.35">
      <c r="B11" s="352" t="s">
        <v>214</v>
      </c>
      <c r="C11" s="312">
        <f>' Comps'!C19</f>
        <v>5814.3</v>
      </c>
      <c r="D11" s="313" t="s">
        <v>3</v>
      </c>
      <c r="E11" s="313" t="s">
        <v>3</v>
      </c>
      <c r="F11" s="313" t="s">
        <v>3</v>
      </c>
      <c r="G11" s="313">
        <v>0.27250000000000002</v>
      </c>
      <c r="H11" s="313">
        <v>0.2591</v>
      </c>
      <c r="I11" s="313">
        <v>0.2273</v>
      </c>
      <c r="J11" s="314">
        <f t="shared" si="0"/>
        <v>0.75890000000000013</v>
      </c>
      <c r="K11" s="315">
        <f t="shared" si="1"/>
        <v>0.15178000000000003</v>
      </c>
    </row>
  </sheetData>
  <pageMargins left="0.2" right="0.2" top="0.5" bottom="0.5" header="0.5" footer="0.5"/>
  <pageSetup scale="5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6103-9C19-4AE9-AB40-D3628BA7119C}">
  <sheetPr>
    <tabColor theme="5" tint="-0.249977111117893"/>
    <pageSetUpPr fitToPage="1"/>
  </sheetPr>
  <dimension ref="A1"/>
  <sheetViews>
    <sheetView view="pageBreakPreview" zoomScaleNormal="100" zoomScaleSheetLayoutView="100" workbookViewId="0"/>
  </sheetViews>
  <sheetFormatPr defaultColWidth="9.1328125" defaultRowHeight="10.15" x14ac:dyDescent="0.3"/>
  <cols>
    <col min="1" max="16384" width="9.1328125" style="35"/>
  </cols>
  <sheetData/>
  <pageMargins left="0.2" right="0.2" top="0.5" bottom="0.5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50D0-6A99-4475-BC4E-488D244FC75C}">
  <sheetPr>
    <tabColor theme="5" tint="0.39997558519241921"/>
    <pageSetUpPr fitToPage="1"/>
  </sheetPr>
  <dimension ref="A1:W62"/>
  <sheetViews>
    <sheetView showGridLines="0" tabSelected="1" view="pageBreakPreview" zoomScaleNormal="100" zoomScaleSheetLayoutView="100" workbookViewId="0"/>
  </sheetViews>
  <sheetFormatPr defaultColWidth="11.3984375" defaultRowHeight="15.4" x14ac:dyDescent="0.6"/>
  <cols>
    <col min="1" max="1" width="2.59765625" style="1" customWidth="1"/>
    <col min="2" max="2" width="44.86328125" style="1" bestFit="1" customWidth="1"/>
    <col min="3" max="9" width="13.1328125" style="1" bestFit="1" customWidth="1"/>
    <col min="10" max="10" width="33.59765625" style="1" bestFit="1" customWidth="1"/>
    <col min="11" max="11" width="13.73046875" style="1" bestFit="1" customWidth="1"/>
    <col min="12" max="12" width="11.3984375" style="1" customWidth="1"/>
    <col min="13" max="13" width="38.1328125" style="1" bestFit="1" customWidth="1"/>
    <col min="14" max="14" width="12.3984375" style="1" bestFit="1" customWidth="1"/>
    <col min="15" max="15" width="11.3984375" style="1" customWidth="1"/>
    <col min="16" max="16" width="10.73046875" style="1" bestFit="1" customWidth="1"/>
    <col min="17" max="16384" width="11.3984375" style="1"/>
  </cols>
  <sheetData>
    <row r="1" spans="1:10" x14ac:dyDescent="0.6">
      <c r="B1" s="8"/>
      <c r="C1" s="8"/>
      <c r="D1" s="8"/>
      <c r="E1" s="8"/>
    </row>
    <row r="2" spans="1:10" x14ac:dyDescent="0.6">
      <c r="A2" s="1" t="s">
        <v>69</v>
      </c>
      <c r="B2" s="356" t="s">
        <v>26</v>
      </c>
      <c r="C2" s="357"/>
      <c r="D2" s="357"/>
      <c r="E2" s="357"/>
      <c r="F2" s="357"/>
      <c r="G2" s="357"/>
      <c r="H2" s="357"/>
      <c r="I2" s="358"/>
    </row>
    <row r="3" spans="1:10" x14ac:dyDescent="0.6">
      <c r="B3" s="359" t="s">
        <v>253</v>
      </c>
      <c r="C3" s="360"/>
      <c r="D3" s="360"/>
      <c r="E3" s="360"/>
      <c r="F3" s="360"/>
      <c r="G3" s="360"/>
      <c r="H3" s="360"/>
      <c r="I3" s="361"/>
    </row>
    <row r="4" spans="1:10" x14ac:dyDescent="0.6">
      <c r="B4" s="362" t="s">
        <v>201</v>
      </c>
      <c r="C4" s="360"/>
      <c r="D4" s="442"/>
      <c r="E4" s="442"/>
      <c r="F4" s="442"/>
      <c r="G4" s="442"/>
      <c r="H4" s="442"/>
      <c r="I4" s="443"/>
    </row>
    <row r="5" spans="1:10" ht="16.149999999999999" thickBot="1" x14ac:dyDescent="0.7">
      <c r="B5" s="175" t="s">
        <v>183</v>
      </c>
      <c r="C5" s="176">
        <v>43830</v>
      </c>
      <c r="D5" s="176">
        <v>44196</v>
      </c>
      <c r="E5" s="177">
        <v>44561</v>
      </c>
      <c r="F5" s="177">
        <v>44926</v>
      </c>
      <c r="G5" s="177">
        <v>45291</v>
      </c>
      <c r="H5" s="177">
        <v>45657</v>
      </c>
      <c r="I5" s="178">
        <v>46022</v>
      </c>
    </row>
    <row r="6" spans="1:10" ht="3" customHeight="1" x14ac:dyDescent="0.6">
      <c r="B6" s="179"/>
      <c r="C6" s="45"/>
      <c r="D6" s="46"/>
      <c r="E6" s="46"/>
      <c r="F6" s="46"/>
      <c r="G6" s="46"/>
      <c r="H6" s="46"/>
      <c r="I6" s="180"/>
    </row>
    <row r="7" spans="1:10" x14ac:dyDescent="0.6">
      <c r="B7" s="181" t="s">
        <v>7</v>
      </c>
      <c r="C7" s="236">
        <f>Inputs!E4</f>
        <v>8094</v>
      </c>
      <c r="D7" s="236">
        <f>Inputs!F4</f>
        <v>2957</v>
      </c>
      <c r="E7" s="236">
        <f>Inputs!G4</f>
        <v>3829.3149999999996</v>
      </c>
      <c r="F7" s="236">
        <f>Inputs!H4</f>
        <v>4193.0999249999995</v>
      </c>
      <c r="G7" s="236">
        <f>Inputs!I4</f>
        <v>4381.7894216249988</v>
      </c>
      <c r="H7" s="236">
        <f>Inputs!J4</f>
        <v>4491.3341571656238</v>
      </c>
      <c r="I7" s="236">
        <f>Inputs!K4</f>
        <v>4603.6175110947643</v>
      </c>
      <c r="J7" s="412"/>
    </row>
    <row r="8" spans="1:10" s="35" customFormat="1" ht="10.15" x14ac:dyDescent="0.3">
      <c r="B8" s="182"/>
      <c r="C8" s="237"/>
      <c r="D8" s="237"/>
      <c r="E8" s="237"/>
      <c r="F8" s="237"/>
      <c r="G8" s="237"/>
      <c r="H8" s="237"/>
      <c r="I8" s="238"/>
      <c r="J8" s="413"/>
    </row>
    <row r="9" spans="1:10" x14ac:dyDescent="0.6">
      <c r="B9" s="184" t="s">
        <v>96</v>
      </c>
      <c r="C9" s="239">
        <f>Inputs!E6</f>
        <v>-5359</v>
      </c>
      <c r="D9" s="239">
        <f>Inputs!F6</f>
        <v>-3547</v>
      </c>
      <c r="E9" s="239">
        <f>Inputs!G6</f>
        <v>-2504.37201</v>
      </c>
      <c r="F9" s="239">
        <f>Inputs!H6</f>
        <v>-2742.28735095</v>
      </c>
      <c r="G9" s="239">
        <f>Inputs!I6</f>
        <v>-2865.6902817427494</v>
      </c>
      <c r="H9" s="239">
        <f>Inputs!J6</f>
        <v>-2937.3325387863179</v>
      </c>
      <c r="I9" s="239">
        <f>Inputs!K6</f>
        <v>-3010.7658522559759</v>
      </c>
    </row>
    <row r="10" spans="1:10" x14ac:dyDescent="0.6">
      <c r="B10" s="181" t="s">
        <v>2</v>
      </c>
      <c r="C10" s="240">
        <f>Inputs!E8</f>
        <v>2735</v>
      </c>
      <c r="D10" s="240">
        <f>Inputs!F8</f>
        <v>-590</v>
      </c>
      <c r="E10" s="240">
        <f>Inputs!G8</f>
        <v>1324.9429899999996</v>
      </c>
      <c r="F10" s="240">
        <f>Inputs!H8</f>
        <v>1450.8125740499995</v>
      </c>
      <c r="G10" s="240">
        <f>Inputs!I8</f>
        <v>1516.0991398822493</v>
      </c>
      <c r="H10" s="240">
        <f>Inputs!J8</f>
        <v>1554.0016183793059</v>
      </c>
      <c r="I10" s="240">
        <f>Inputs!K8</f>
        <v>1592.8516588387884</v>
      </c>
    </row>
    <row r="11" spans="1:10" s="35" customFormat="1" ht="10.15" x14ac:dyDescent="0.3">
      <c r="B11" s="182"/>
      <c r="C11" s="237"/>
      <c r="D11" s="237"/>
      <c r="E11" s="237"/>
      <c r="F11" s="237"/>
      <c r="G11" s="237"/>
      <c r="H11" s="237"/>
      <c r="I11" s="238"/>
    </row>
    <row r="12" spans="1:10" x14ac:dyDescent="0.6">
      <c r="B12" s="184" t="s">
        <v>131</v>
      </c>
      <c r="C12" s="239">
        <f>(Inputs!E9)+(Inputs!E11)</f>
        <v>-1396</v>
      </c>
      <c r="D12" s="239">
        <f>(Inputs!F9)+(Inputs!F11)</f>
        <v>-872</v>
      </c>
      <c r="E12" s="239">
        <f>(Inputs!G9)+(Inputs!G11)</f>
        <v>-758.20436999999993</v>
      </c>
      <c r="F12" s="239">
        <f>(Inputs!H9)+(Inputs!H11)</f>
        <v>-830.2337851499999</v>
      </c>
      <c r="G12" s="239">
        <f>(Inputs!I9)+(Inputs!I11)</f>
        <v>-867.59430548174976</v>
      </c>
      <c r="H12" s="239">
        <f>(Inputs!J9)+(Inputs!J11)</f>
        <v>-889.28416311879346</v>
      </c>
      <c r="I12" s="239">
        <f>(Inputs!K9)+(Inputs!K11)</f>
        <v>-911.51626719676324</v>
      </c>
    </row>
    <row r="13" spans="1:10" x14ac:dyDescent="0.6">
      <c r="B13" s="181" t="s">
        <v>203</v>
      </c>
      <c r="C13" s="240">
        <f>Inputs!E13</f>
        <v>1339</v>
      </c>
      <c r="D13" s="240">
        <f>Inputs!F13</f>
        <v>-1462</v>
      </c>
      <c r="E13" s="240">
        <f>Inputs!G13</f>
        <v>566.73861999999974</v>
      </c>
      <c r="F13" s="240">
        <f>Inputs!H13</f>
        <v>620.57878889999972</v>
      </c>
      <c r="G13" s="240">
        <f>Inputs!I13</f>
        <v>648.5048344004997</v>
      </c>
      <c r="H13" s="240">
        <f>Inputs!J13</f>
        <v>664.71745526051234</v>
      </c>
      <c r="I13" s="240">
        <f>Inputs!K13</f>
        <v>681.335391642025</v>
      </c>
    </row>
    <row r="14" spans="1:10" s="35" customFormat="1" ht="10.15" x14ac:dyDescent="0.3">
      <c r="B14" s="182"/>
      <c r="C14" s="241"/>
      <c r="D14" s="241"/>
      <c r="E14" s="241"/>
      <c r="F14" s="241"/>
      <c r="G14" s="241"/>
      <c r="H14" s="241"/>
      <c r="I14" s="242"/>
    </row>
    <row r="15" spans="1:10" x14ac:dyDescent="0.6">
      <c r="B15" s="184" t="s">
        <v>202</v>
      </c>
      <c r="C15" s="239">
        <f>Inputs!E16</f>
        <v>-30</v>
      </c>
      <c r="D15" s="239">
        <f>Inputs!F16</f>
        <v>-199</v>
      </c>
      <c r="E15" s="239">
        <f>Inputs!G16</f>
        <v>-119.01511019999994</v>
      </c>
      <c r="F15" s="239">
        <f>Inputs!H16</f>
        <v>-133.36238173460995</v>
      </c>
      <c r="G15" s="239">
        <f>Inputs!I16</f>
        <v>-139.36368891266739</v>
      </c>
      <c r="H15" s="239">
        <f>Inputs!J16</f>
        <v>-142.8477811354841</v>
      </c>
      <c r="I15" s="239">
        <f>Inputs!K16</f>
        <v>-146.41897566387118</v>
      </c>
    </row>
    <row r="16" spans="1:10" x14ac:dyDescent="0.6">
      <c r="B16" s="181" t="s">
        <v>134</v>
      </c>
      <c r="C16" s="240">
        <f>Inputs!E18</f>
        <v>1309</v>
      </c>
      <c r="D16" s="240">
        <f>Inputs!F18</f>
        <v>-1661</v>
      </c>
      <c r="E16" s="240">
        <f>Inputs!G18</f>
        <v>447.72350979999982</v>
      </c>
      <c r="F16" s="240">
        <f>Inputs!H18</f>
        <v>487.2164071653898</v>
      </c>
      <c r="G16" s="240">
        <f>Inputs!I18</f>
        <v>509.14114548783232</v>
      </c>
      <c r="H16" s="240">
        <f>Inputs!J18</f>
        <v>521.86967412502827</v>
      </c>
      <c r="I16" s="240">
        <f>Inputs!K18</f>
        <v>534.91641597815385</v>
      </c>
    </row>
    <row r="17" spans="1:12" s="35" customFormat="1" ht="10.15" x14ac:dyDescent="0.3">
      <c r="B17" s="182"/>
      <c r="C17" s="241"/>
      <c r="D17" s="241"/>
      <c r="E17" s="241"/>
      <c r="F17" s="241"/>
      <c r="G17" s="241"/>
      <c r="H17" s="241"/>
      <c r="I17" s="242"/>
    </row>
    <row r="18" spans="1:12" x14ac:dyDescent="0.6">
      <c r="B18" s="184" t="s">
        <v>130</v>
      </c>
      <c r="C18" s="239">
        <f>Inputs!E20</f>
        <v>474</v>
      </c>
      <c r="D18" s="239">
        <f>Inputs!F20</f>
        <v>177.42</v>
      </c>
      <c r="E18" s="239">
        <f>Inputs!G20</f>
        <v>191.46574999999999</v>
      </c>
      <c r="F18" s="239">
        <f>Inputs!H20</f>
        <v>167.723997</v>
      </c>
      <c r="G18" s="239">
        <f>Inputs!I20</f>
        <v>175.27157686499996</v>
      </c>
      <c r="H18" s="239">
        <f>Inputs!J20</f>
        <v>179.65336628662496</v>
      </c>
      <c r="I18" s="239">
        <f>Inputs!K20</f>
        <v>184.14470044379058</v>
      </c>
    </row>
    <row r="19" spans="1:12" x14ac:dyDescent="0.6">
      <c r="B19" s="184" t="s">
        <v>132</v>
      </c>
      <c r="C19" s="239">
        <f>Inputs!E22</f>
        <v>-908</v>
      </c>
      <c r="D19" s="239">
        <f>Inputs!F22</f>
        <v>-932</v>
      </c>
      <c r="E19" s="239">
        <f>Inputs!G22</f>
        <v>-474.83505999999994</v>
      </c>
      <c r="F19" s="239">
        <f>Inputs!H22</f>
        <v>-519.94439069999999</v>
      </c>
      <c r="G19" s="239">
        <f>Inputs!I22</f>
        <v>-543.34188828149979</v>
      </c>
      <c r="H19" s="239">
        <f>Inputs!J22</f>
        <v>-556.92543548853735</v>
      </c>
      <c r="I19" s="239">
        <f>Inputs!K22</f>
        <v>-570.84857137575079</v>
      </c>
    </row>
    <row r="20" spans="1:12" x14ac:dyDescent="0.6">
      <c r="B20" s="184" t="s">
        <v>129</v>
      </c>
      <c r="C20" s="239">
        <f>Inputs!D78</f>
        <v>-310</v>
      </c>
      <c r="D20" s="239">
        <f>Inputs!E78</f>
        <v>342.24</v>
      </c>
      <c r="E20" s="239">
        <f>Inputs!F78</f>
        <v>630.36246485100003</v>
      </c>
      <c r="F20" s="239">
        <f>Inputs!G78</f>
        <v>-272.154919775655</v>
      </c>
      <c r="G20" s="239">
        <f>Inputs!H78</f>
        <v>-77.36775468785936</v>
      </c>
      <c r="H20" s="239">
        <f>Inputs!I78</f>
        <v>-53.51873781678546</v>
      </c>
      <c r="I20" s="239">
        <f>Inputs!J78</f>
        <v>-49.357741286879559</v>
      </c>
    </row>
    <row r="21" spans="1:12" x14ac:dyDescent="0.6">
      <c r="B21" s="181" t="s">
        <v>24</v>
      </c>
      <c r="C21" s="240">
        <f>Inputs!E26</f>
        <v>565</v>
      </c>
      <c r="D21" s="240">
        <f>Inputs!F26</f>
        <v>-2073.34</v>
      </c>
      <c r="E21" s="240">
        <f>Inputs!G26</f>
        <v>794.71666465099997</v>
      </c>
      <c r="F21" s="240">
        <f>Inputs!H26</f>
        <v>-137.15890631026525</v>
      </c>
      <c r="G21" s="240">
        <f>Inputs!I26</f>
        <v>63.703079383473096</v>
      </c>
      <c r="H21" s="240">
        <f>Inputs!J26</f>
        <v>91.078867106330449</v>
      </c>
      <c r="I21" s="240">
        <f>Inputs!K26</f>
        <v>98.854803759314109</v>
      </c>
    </row>
    <row r="22" spans="1:12" s="35" customFormat="1" ht="3" customHeight="1" x14ac:dyDescent="0.3">
      <c r="B22" s="182"/>
      <c r="C22" s="86"/>
      <c r="D22" s="86"/>
      <c r="E22" s="86"/>
      <c r="F22" s="86"/>
      <c r="G22" s="86"/>
      <c r="H22" s="86"/>
      <c r="I22" s="183"/>
    </row>
    <row r="23" spans="1:12" x14ac:dyDescent="0.6">
      <c r="B23" s="428" t="s">
        <v>25</v>
      </c>
      <c r="C23" s="342"/>
      <c r="D23" s="429"/>
      <c r="E23" s="429">
        <f>Inputs!G31</f>
        <v>749.49797163488381</v>
      </c>
      <c r="F23" s="430">
        <f>Inputs!H31</f>
        <v>-119.60065882643458</v>
      </c>
      <c r="G23" s="429">
        <f>Inputs!I31</f>
        <v>51.359572681653169</v>
      </c>
      <c r="H23" s="429">
        <f>Inputs!J31</f>
        <v>67.893783603343564</v>
      </c>
      <c r="I23" s="429">
        <f>Inputs!K31</f>
        <v>68.133639270136186</v>
      </c>
    </row>
    <row r="24" spans="1:12" x14ac:dyDescent="0.6">
      <c r="C24" s="7"/>
      <c r="D24" s="7"/>
      <c r="E24" s="7"/>
      <c r="F24" s="7"/>
      <c r="G24" s="7"/>
      <c r="H24" s="7"/>
    </row>
    <row r="25" spans="1:12" x14ac:dyDescent="0.6">
      <c r="C25" s="7"/>
      <c r="D25" s="7"/>
      <c r="E25" s="7"/>
      <c r="F25" s="7"/>
      <c r="G25" s="7"/>
      <c r="H25" s="7"/>
    </row>
    <row r="26" spans="1:12" x14ac:dyDescent="0.6">
      <c r="B26" s="363" t="s">
        <v>37</v>
      </c>
      <c r="C26" s="364"/>
      <c r="D26" s="364"/>
      <c r="E26" s="364"/>
      <c r="F26" s="364"/>
      <c r="G26" s="364"/>
      <c r="H26" s="365"/>
      <c r="I26" s="366"/>
      <c r="J26" s="1" t="s">
        <v>5</v>
      </c>
    </row>
    <row r="27" spans="1:12" x14ac:dyDescent="0.6">
      <c r="B27" s="367" t="s">
        <v>183</v>
      </c>
      <c r="C27" s="364"/>
      <c r="D27" s="364"/>
      <c r="E27" s="364"/>
      <c r="F27" s="364"/>
      <c r="G27" s="364"/>
      <c r="H27" s="365"/>
      <c r="I27" s="366"/>
    </row>
    <row r="28" spans="1:12" ht="15.75" x14ac:dyDescent="0.65">
      <c r="A28" s="1" t="s">
        <v>69</v>
      </c>
      <c r="B28" s="179" t="s">
        <v>201</v>
      </c>
      <c r="C28" s="47">
        <f>C5</f>
        <v>43830</v>
      </c>
      <c r="D28" s="48">
        <f t="shared" ref="D28:I28" si="0">EOMONTH(C28,12)</f>
        <v>44196</v>
      </c>
      <c r="E28" s="48">
        <f t="shared" si="0"/>
        <v>44561</v>
      </c>
      <c r="F28" s="48">
        <f t="shared" si="0"/>
        <v>44926</v>
      </c>
      <c r="G28" s="48">
        <f t="shared" si="0"/>
        <v>45291</v>
      </c>
      <c r="H28" s="48">
        <f t="shared" si="0"/>
        <v>45657</v>
      </c>
      <c r="I28" s="185">
        <f t="shared" si="0"/>
        <v>46022</v>
      </c>
    </row>
    <row r="29" spans="1:12" ht="5.0999999999999996" customHeight="1" x14ac:dyDescent="0.65">
      <c r="B29" s="179"/>
      <c r="C29" s="47"/>
      <c r="D29" s="47"/>
      <c r="E29" s="48"/>
      <c r="F29" s="48"/>
      <c r="G29" s="48"/>
      <c r="H29" s="48"/>
      <c r="I29" s="185"/>
    </row>
    <row r="30" spans="1:12" x14ac:dyDescent="0.6">
      <c r="B30" s="186" t="s">
        <v>20</v>
      </c>
      <c r="C30" s="243">
        <f>Inputs!E5</f>
        <v>5.6933925306868631E-2</v>
      </c>
      <c r="D30" s="243">
        <f>Inputs!F5</f>
        <v>-0.63466765505312572</v>
      </c>
      <c r="E30" s="243">
        <f>Inputs!G5</f>
        <v>0.29499999999999998</v>
      </c>
      <c r="F30" s="243">
        <f>Inputs!H5</f>
        <v>9.5000000000000001E-2</v>
      </c>
      <c r="G30" s="243">
        <f>Inputs!I5</f>
        <v>4.4999999999999998E-2</v>
      </c>
      <c r="H30" s="243">
        <f>Inputs!J5</f>
        <v>2.5000000000000001E-2</v>
      </c>
      <c r="I30" s="243">
        <f>Inputs!K5</f>
        <v>2.5000000000000001E-2</v>
      </c>
    </row>
    <row r="31" spans="1:12" x14ac:dyDescent="0.6">
      <c r="B31" s="186" t="s">
        <v>21</v>
      </c>
      <c r="C31" s="243">
        <f>Inputs!E7</f>
        <v>0.66209537929330364</v>
      </c>
      <c r="D31" s="243">
        <f>Inputs!F7</f>
        <v>1.199526547176192</v>
      </c>
      <c r="E31" s="243">
        <f>Inputs!G7</f>
        <v>0.65400000000000003</v>
      </c>
      <c r="F31" s="243">
        <f>Inputs!H7</f>
        <v>0.65400000000000003</v>
      </c>
      <c r="G31" s="243">
        <f>Inputs!I7</f>
        <v>0.65400000000000003</v>
      </c>
      <c r="H31" s="243">
        <f>Inputs!J7</f>
        <v>0.65400000000000003</v>
      </c>
      <c r="I31" s="243">
        <f>Inputs!K7</f>
        <v>0.65400000000000003</v>
      </c>
      <c r="L31" s="150"/>
    </row>
    <row r="32" spans="1:12" x14ac:dyDescent="0.6">
      <c r="B32" s="186" t="s">
        <v>68</v>
      </c>
      <c r="C32" s="243">
        <f>(Inputs!E9+Inputs!E11)/-(Inputs!E4)</f>
        <v>0.17247343711391153</v>
      </c>
      <c r="D32" s="243">
        <f>(Inputs!F9+Inputs!F11)/-(Inputs!F4)</f>
        <v>0.2948934731146432</v>
      </c>
      <c r="E32" s="243">
        <f>(Inputs!G9+Inputs!G11)/-(Inputs!G4)</f>
        <v>0.19800000000000001</v>
      </c>
      <c r="F32" s="243">
        <f>(Inputs!H9+Inputs!H11)/-(Inputs!H4)</f>
        <v>0.19800000000000001</v>
      </c>
      <c r="G32" s="243">
        <f>(Inputs!I9+Inputs!I11)/-(Inputs!I4)</f>
        <v>0.19800000000000001</v>
      </c>
      <c r="H32" s="243">
        <f>(Inputs!J9+Inputs!J11)/-(Inputs!J4)</f>
        <v>0.19799999999999998</v>
      </c>
      <c r="I32" s="243">
        <f>(Inputs!K9+Inputs!K11)/-(Inputs!K4)</f>
        <v>0.19799999999999998</v>
      </c>
      <c r="J32" s="52"/>
      <c r="L32" s="52"/>
    </row>
    <row r="33" spans="1:23" x14ac:dyDescent="0.6">
      <c r="B33" s="186" t="s">
        <v>22</v>
      </c>
      <c r="C33" s="243">
        <f>Inputs!E17</f>
        <v>-2.3640661938534278E-2</v>
      </c>
      <c r="D33" s="243">
        <f>Inputs!F17</f>
        <v>0.1291369240752758</v>
      </c>
      <c r="E33" s="243">
        <f>Inputs!G17</f>
        <v>0.21</v>
      </c>
      <c r="F33" s="243">
        <f>Inputs!H17</f>
        <v>0.21490000000000001</v>
      </c>
      <c r="G33" s="243">
        <f>Inputs!I17</f>
        <v>0.21490000000000001</v>
      </c>
      <c r="H33" s="243">
        <f>Inputs!J17</f>
        <v>0.21490000000000001</v>
      </c>
      <c r="I33" s="243">
        <f>Inputs!K17</f>
        <v>0.21490000000000001</v>
      </c>
    </row>
    <row r="34" spans="1:23" x14ac:dyDescent="0.6">
      <c r="B34" s="186" t="s">
        <v>42</v>
      </c>
      <c r="C34" s="243">
        <f>Inputs!E21</f>
        <v>5.8561897702001479E-2</v>
      </c>
      <c r="D34" s="243">
        <f>Inputs!F21</f>
        <v>0.06</v>
      </c>
      <c r="E34" s="243">
        <f>Inputs!G21</f>
        <v>0.05</v>
      </c>
      <c r="F34" s="243">
        <f>Inputs!H21</f>
        <v>0.04</v>
      </c>
      <c r="G34" s="243">
        <f>Inputs!I21</f>
        <v>0.04</v>
      </c>
      <c r="H34" s="243">
        <f>Inputs!J21</f>
        <v>0.04</v>
      </c>
      <c r="I34" s="243">
        <f>Inputs!K21</f>
        <v>0.04</v>
      </c>
    </row>
    <row r="35" spans="1:23" x14ac:dyDescent="0.6">
      <c r="B35" s="186" t="s">
        <v>44</v>
      </c>
      <c r="C35" s="243">
        <f>Inputs!E23</f>
        <v>0.11218186310847542</v>
      </c>
      <c r="D35" s="243">
        <f>Inputs!F23</f>
        <v>0.31518430842069667</v>
      </c>
      <c r="E35" s="243">
        <f>Inputs!G23</f>
        <v>0.124</v>
      </c>
      <c r="F35" s="243">
        <f>Inputs!H23</f>
        <v>0.124</v>
      </c>
      <c r="G35" s="243">
        <f>Inputs!I23</f>
        <v>0.124</v>
      </c>
      <c r="H35" s="243">
        <f>Inputs!J23</f>
        <v>0.124</v>
      </c>
      <c r="I35" s="243">
        <f>Inputs!K23</f>
        <v>0.124</v>
      </c>
    </row>
    <row r="36" spans="1:23" ht="15.75" thickBot="1" x14ac:dyDescent="0.65">
      <c r="A36" s="1" t="s">
        <v>69</v>
      </c>
      <c r="B36" s="187" t="s">
        <v>133</v>
      </c>
      <c r="C36" s="244">
        <f>Inputs!E25</f>
        <v>0</v>
      </c>
      <c r="D36" s="244">
        <f>Inputs!F25</f>
        <v>-2.1040000000000001</v>
      </c>
      <c r="E36" s="244">
        <f>Inputs!G25</f>
        <v>0.84187255975631137</v>
      </c>
      <c r="F36" s="244">
        <f>Inputs!H25</f>
        <v>-1.4317435363794777</v>
      </c>
      <c r="G36" s="244">
        <f>Inputs!I25</f>
        <v>-0.715721638426982</v>
      </c>
      <c r="H36" s="244">
        <f>Inputs!J25</f>
        <v>-0.30825525397877829</v>
      </c>
      <c r="I36" s="244">
        <f>Inputs!K25</f>
        <v>-7.774840550519968E-2</v>
      </c>
    </row>
    <row r="37" spans="1:23" ht="15.75" thickBot="1" x14ac:dyDescent="0.65">
      <c r="C37" s="7"/>
      <c r="D37" s="7"/>
      <c r="E37" s="149"/>
      <c r="F37" s="7"/>
      <c r="G37" s="7"/>
      <c r="H37" s="7"/>
      <c r="J37" s="368" t="s">
        <v>27</v>
      </c>
      <c r="K37" s="369"/>
      <c r="M37" s="344" t="s">
        <v>46</v>
      </c>
      <c r="N37" s="370"/>
      <c r="O37" s="370"/>
      <c r="P37" s="370"/>
      <c r="Q37" s="370"/>
      <c r="R37" s="370"/>
      <c r="S37" s="370"/>
      <c r="T37" s="370"/>
      <c r="U37" s="370"/>
      <c r="V37" s="370"/>
      <c r="W37" s="371"/>
    </row>
    <row r="38" spans="1:23" x14ac:dyDescent="0.6">
      <c r="C38" s="7"/>
      <c r="D38" s="7"/>
      <c r="E38" s="7"/>
      <c r="F38" s="7"/>
      <c r="G38" s="7"/>
      <c r="H38" s="7"/>
      <c r="I38" s="7"/>
      <c r="J38" s="11" t="s">
        <v>28</v>
      </c>
      <c r="K38" s="245">
        <f>SUM(D23:I23)</f>
        <v>817.28430836358211</v>
      </c>
      <c r="M38" s="14"/>
      <c r="N38" s="15" t="s">
        <v>47</v>
      </c>
      <c r="O38" s="16"/>
      <c r="P38" s="16"/>
      <c r="Q38" s="16"/>
      <c r="R38" s="15"/>
      <c r="S38" s="16"/>
      <c r="T38" s="16"/>
      <c r="U38" s="16"/>
      <c r="V38" s="16"/>
      <c r="W38" s="17"/>
    </row>
    <row r="39" spans="1:23" x14ac:dyDescent="0.6">
      <c r="A39" s="1" t="s">
        <v>69</v>
      </c>
      <c r="I39" s="7"/>
      <c r="J39" s="11" t="s">
        <v>257</v>
      </c>
      <c r="K39" s="246">
        <f>' Comps'!G17</f>
        <v>16.836741573033709</v>
      </c>
      <c r="M39" s="18"/>
      <c r="N39" s="148">
        <f>+N23</f>
        <v>0</v>
      </c>
      <c r="O39" s="147">
        <f>P39-$K$60</f>
        <v>16.436741573033704</v>
      </c>
      <c r="P39" s="147">
        <f>Q39-$K$60</f>
        <v>16.536741573033705</v>
      </c>
      <c r="Q39" s="147">
        <f>R39-$K$60</f>
        <v>16.636741573033706</v>
      </c>
      <c r="R39" s="147">
        <f>S39-$K$60</f>
        <v>16.736741573033708</v>
      </c>
      <c r="S39" s="147">
        <f>K39</f>
        <v>16.836741573033709</v>
      </c>
      <c r="T39" s="147">
        <f>S39+$K$60</f>
        <v>16.936741573033711</v>
      </c>
      <c r="U39" s="147">
        <f>T39+$K$60</f>
        <v>17.036741573033712</v>
      </c>
      <c r="V39" s="147">
        <f>U39+$K$60</f>
        <v>17.136741573033714</v>
      </c>
      <c r="W39" s="56">
        <f>V39+$K$60</f>
        <v>17.236741573033715</v>
      </c>
    </row>
    <row r="40" spans="1:23" x14ac:dyDescent="0.6">
      <c r="J40" s="11" t="s">
        <v>29</v>
      </c>
      <c r="K40" s="247">
        <f>K39*(I13+I18)</f>
        <v>14571.864647054295</v>
      </c>
      <c r="M40" s="18"/>
      <c r="N40" s="19">
        <f>$K$62-4*$K$61</f>
        <v>4.1554935135968078E-2</v>
      </c>
      <c r="O40" s="146">
        <f t="shared" ref="O40:W48" si="1">(-PV($N40,5,0,O$39*($I$13+$I$18),0)+$K$38-SUM($K$45:$K$46))/$K$50</f>
        <v>30.994378880826137</v>
      </c>
      <c r="P40" s="145">
        <f t="shared" si="1"/>
        <v>31.218883627456066</v>
      </c>
      <c r="Q40" s="145">
        <f t="shared" si="1"/>
        <v>31.443388374085995</v>
      </c>
      <c r="R40" s="145">
        <f t="shared" si="1"/>
        <v>31.66789312071592</v>
      </c>
      <c r="S40" s="145">
        <f t="shared" si="1"/>
        <v>31.892397867345842</v>
      </c>
      <c r="T40" s="145">
        <f t="shared" si="1"/>
        <v>32.116902613975768</v>
      </c>
      <c r="U40" s="145">
        <f t="shared" si="1"/>
        <v>32.341407360605693</v>
      </c>
      <c r="V40" s="145">
        <f t="shared" si="1"/>
        <v>32.565912107235611</v>
      </c>
      <c r="W40" s="144">
        <f t="shared" si="1"/>
        <v>32.790416853865544</v>
      </c>
    </row>
    <row r="41" spans="1:23" x14ac:dyDescent="0.6">
      <c r="J41" s="11"/>
      <c r="K41" s="248"/>
      <c r="M41" s="18"/>
      <c r="N41" s="19">
        <f>$K$62-3*$K$61</f>
        <v>5.155493513596808E-2</v>
      </c>
      <c r="O41" s="143">
        <f t="shared" si="1"/>
        <v>29.272829935788479</v>
      </c>
      <c r="P41" s="133">
        <f t="shared" si="1"/>
        <v>29.486860897590748</v>
      </c>
      <c r="Q41" s="133">
        <f t="shared" si="1"/>
        <v>29.700891859393018</v>
      </c>
      <c r="R41" s="133">
        <f t="shared" si="1"/>
        <v>29.914922821195283</v>
      </c>
      <c r="S41" s="133">
        <f t="shared" si="1"/>
        <v>30.128953782997552</v>
      </c>
      <c r="T41" s="133">
        <f t="shared" si="1"/>
        <v>30.342984744799818</v>
      </c>
      <c r="U41" s="133">
        <f t="shared" si="1"/>
        <v>30.55701570660209</v>
      </c>
      <c r="V41" s="133">
        <f t="shared" si="1"/>
        <v>30.771046668404349</v>
      </c>
      <c r="W41" s="142">
        <f t="shared" si="1"/>
        <v>30.985077630206622</v>
      </c>
    </row>
    <row r="42" spans="1:23" x14ac:dyDescent="0.6">
      <c r="J42" s="11" t="s">
        <v>30</v>
      </c>
      <c r="K42" s="245">
        <f>+-PV(K62,5,0,K40)</f>
        <v>9846.2806840326521</v>
      </c>
      <c r="M42" s="18"/>
      <c r="N42" s="19">
        <f>$K$62-2*$K$61</f>
        <v>6.1554935135968075E-2</v>
      </c>
      <c r="O42" s="143">
        <f t="shared" si="1"/>
        <v>27.646765506319021</v>
      </c>
      <c r="P42" s="133">
        <f t="shared" si="1"/>
        <v>27.850903604488654</v>
      </c>
      <c r="Q42" s="419">
        <f t="shared" si="1"/>
        <v>28.055041702658279</v>
      </c>
      <c r="R42" s="420">
        <f t="shared" si="1"/>
        <v>28.259179800827905</v>
      </c>
      <c r="S42" s="420">
        <f t="shared" si="1"/>
        <v>28.463317898997538</v>
      </c>
      <c r="T42" s="420">
        <f t="shared" si="1"/>
        <v>28.66745599716716</v>
      </c>
      <c r="U42" s="421">
        <f t="shared" si="1"/>
        <v>28.871594095336793</v>
      </c>
      <c r="V42" s="133">
        <f t="shared" si="1"/>
        <v>29.075732193506418</v>
      </c>
      <c r="W42" s="142">
        <f t="shared" si="1"/>
        <v>29.279870291676051</v>
      </c>
    </row>
    <row r="43" spans="1:23" x14ac:dyDescent="0.6">
      <c r="J43" s="11" t="s">
        <v>31</v>
      </c>
      <c r="K43" s="245">
        <f>K38+K42</f>
        <v>10663.564992396234</v>
      </c>
      <c r="M43" s="20" t="s">
        <v>48</v>
      </c>
      <c r="N43" s="19">
        <f>$K$62-1*$K$61</f>
        <v>7.1554935135968084E-2</v>
      </c>
      <c r="O43" s="143">
        <f t="shared" si="1"/>
        <v>26.110063710089207</v>
      </c>
      <c r="P43" s="133">
        <f t="shared" si="1"/>
        <v>26.30485262071214</v>
      </c>
      <c r="Q43" s="422">
        <f t="shared" si="1"/>
        <v>26.499641531335065</v>
      </c>
      <c r="R43" s="423">
        <f t="shared" si="1"/>
        <v>26.694430441957991</v>
      </c>
      <c r="S43" s="423">
        <f t="shared" si="1"/>
        <v>26.889219352580916</v>
      </c>
      <c r="T43" s="423">
        <f t="shared" si="1"/>
        <v>27.084008263203842</v>
      </c>
      <c r="U43" s="424">
        <f t="shared" si="1"/>
        <v>27.278797173826767</v>
      </c>
      <c r="V43" s="133">
        <f t="shared" si="1"/>
        <v>27.473586084449693</v>
      </c>
      <c r="W43" s="142">
        <f t="shared" si="1"/>
        <v>27.668374995072618</v>
      </c>
    </row>
    <row r="44" spans="1:23" x14ac:dyDescent="0.6">
      <c r="J44" s="11"/>
      <c r="K44" s="248"/>
      <c r="M44" s="18"/>
      <c r="N44" s="19">
        <f>K62</f>
        <v>8.1554935135968079E-2</v>
      </c>
      <c r="O44" s="143">
        <f t="shared" si="1"/>
        <v>24.657047150052602</v>
      </c>
      <c r="P44" s="133">
        <f t="shared" si="1"/>
        <v>24.842996008323421</v>
      </c>
      <c r="Q44" s="422">
        <f t="shared" si="1"/>
        <v>25.028944866594241</v>
      </c>
      <c r="R44" s="423">
        <f t="shared" si="1"/>
        <v>25.214893724865057</v>
      </c>
      <c r="S44" s="210">
        <f t="shared" si="1"/>
        <v>25.40084258313588</v>
      </c>
      <c r="T44" s="423">
        <f t="shared" si="1"/>
        <v>25.586791441406699</v>
      </c>
      <c r="U44" s="424">
        <f t="shared" si="1"/>
        <v>25.772740299677519</v>
      </c>
      <c r="V44" s="133">
        <f t="shared" si="1"/>
        <v>25.958689157948335</v>
      </c>
      <c r="W44" s="142">
        <f t="shared" si="1"/>
        <v>26.144638016219155</v>
      </c>
    </row>
    <row r="45" spans="1:23" x14ac:dyDescent="0.6">
      <c r="J45" s="51" t="s">
        <v>32</v>
      </c>
      <c r="K45" s="417">
        <f>SUM(5728-3053)</f>
        <v>2675</v>
      </c>
      <c r="M45" s="18"/>
      <c r="N45" s="19">
        <f>$K$62+1*$K$61</f>
        <v>9.1554935135968074E-2</v>
      </c>
      <c r="O45" s="143">
        <f t="shared" si="1"/>
        <v>23.282446935630691</v>
      </c>
      <c r="P45" s="133">
        <f t="shared" si="1"/>
        <v>23.460032821177787</v>
      </c>
      <c r="Q45" s="422">
        <f t="shared" si="1"/>
        <v>23.637618706724883</v>
      </c>
      <c r="R45" s="423">
        <f t="shared" si="1"/>
        <v>23.815204592271979</v>
      </c>
      <c r="S45" s="423">
        <f t="shared" si="1"/>
        <v>23.992790477819074</v>
      </c>
      <c r="T45" s="423">
        <f t="shared" si="1"/>
        <v>24.170376363366167</v>
      </c>
      <c r="U45" s="424">
        <f t="shared" si="1"/>
        <v>24.347962248913262</v>
      </c>
      <c r="V45" s="133">
        <f t="shared" si="1"/>
        <v>24.525548134460351</v>
      </c>
      <c r="W45" s="142">
        <f t="shared" si="1"/>
        <v>24.703134020007447</v>
      </c>
    </row>
    <row r="46" spans="1:23" x14ac:dyDescent="0.6">
      <c r="J46" s="51" t="s">
        <v>33</v>
      </c>
      <c r="K46" s="250">
        <v>0</v>
      </c>
      <c r="M46" s="18"/>
      <c r="N46" s="19">
        <f>$K$62+2*$K$61</f>
        <v>0.10155493513596808</v>
      </c>
      <c r="O46" s="143">
        <f t="shared" si="1"/>
        <v>21.981369910860373</v>
      </c>
      <c r="P46" s="133">
        <f t="shared" si="1"/>
        <v>22.151040133689349</v>
      </c>
      <c r="Q46" s="425">
        <f t="shared" si="1"/>
        <v>22.320710356518322</v>
      </c>
      <c r="R46" s="426">
        <f t="shared" si="1"/>
        <v>22.490380579347299</v>
      </c>
      <c r="S46" s="426">
        <f t="shared" si="1"/>
        <v>22.660050802176272</v>
      </c>
      <c r="T46" s="426">
        <f t="shared" si="1"/>
        <v>22.829721025005242</v>
      </c>
      <c r="U46" s="427">
        <f t="shared" si="1"/>
        <v>22.999391247834222</v>
      </c>
      <c r="V46" s="133">
        <f t="shared" si="1"/>
        <v>23.169061470663191</v>
      </c>
      <c r="W46" s="142">
        <f t="shared" si="1"/>
        <v>23.338731693492168</v>
      </c>
    </row>
    <row r="47" spans="1:23" x14ac:dyDescent="0.6">
      <c r="J47" s="11"/>
      <c r="K47" s="248"/>
      <c r="M47" s="18"/>
      <c r="N47" s="19">
        <f>$K$62+3*$K$61</f>
        <v>0.11155493513596808</v>
      </c>
      <c r="O47" s="143">
        <f t="shared" si="1"/>
        <v>20.749268777852468</v>
      </c>
      <c r="P47" s="133">
        <f t="shared" si="1"/>
        <v>20.911442982522779</v>
      </c>
      <c r="Q47" s="133">
        <f t="shared" si="1"/>
        <v>21.073617187193083</v>
      </c>
      <c r="R47" s="133">
        <f t="shared" si="1"/>
        <v>21.235791391863387</v>
      </c>
      <c r="S47" s="133">
        <f t="shared" si="1"/>
        <v>21.397965596533698</v>
      </c>
      <c r="T47" s="133">
        <f t="shared" si="1"/>
        <v>21.560139801204002</v>
      </c>
      <c r="U47" s="133">
        <f t="shared" si="1"/>
        <v>21.72231400587431</v>
      </c>
      <c r="V47" s="133">
        <f t="shared" si="1"/>
        <v>21.884488210544614</v>
      </c>
      <c r="W47" s="142">
        <f t="shared" si="1"/>
        <v>22.046662415214925</v>
      </c>
    </row>
    <row r="48" spans="1:23" ht="15.75" thickBot="1" x14ac:dyDescent="0.65">
      <c r="J48" s="11" t="s">
        <v>34</v>
      </c>
      <c r="K48" s="251">
        <f>+K43-K45-K46</f>
        <v>7988.5649923962337</v>
      </c>
      <c r="M48" s="21"/>
      <c r="N48" s="22">
        <f>$K$62+4*$K$61</f>
        <v>0.12155493513596807</v>
      </c>
      <c r="O48" s="141">
        <f t="shared" si="1"/>
        <v>19.581914836659543</v>
      </c>
      <c r="P48" s="140">
        <f t="shared" si="1"/>
        <v>19.73698694061234</v>
      </c>
      <c r="Q48" s="140">
        <f t="shared" si="1"/>
        <v>19.892059044565144</v>
      </c>
      <c r="R48" s="140">
        <f t="shared" si="1"/>
        <v>20.047131148517941</v>
      </c>
      <c r="S48" s="140">
        <f t="shared" si="1"/>
        <v>20.202203252470746</v>
      </c>
      <c r="T48" s="140">
        <f t="shared" si="1"/>
        <v>20.357275356423543</v>
      </c>
      <c r="U48" s="140">
        <f t="shared" si="1"/>
        <v>20.512347460376347</v>
      </c>
      <c r="V48" s="140">
        <f t="shared" si="1"/>
        <v>20.667419564329144</v>
      </c>
      <c r="W48" s="139">
        <f t="shared" si="1"/>
        <v>20.822491668281948</v>
      </c>
    </row>
    <row r="49" spans="1:11" x14ac:dyDescent="0.6">
      <c r="J49" s="11"/>
      <c r="K49" s="248"/>
    </row>
    <row r="50" spans="1:11" ht="15.75" thickBot="1" x14ac:dyDescent="0.65">
      <c r="A50" s="1" t="s">
        <v>69</v>
      </c>
      <c r="J50" s="11" t="s">
        <v>35</v>
      </c>
      <c r="K50" s="249">
        <v>314.5</v>
      </c>
    </row>
    <row r="51" spans="1:11" ht="15.75" thickBot="1" x14ac:dyDescent="0.65">
      <c r="J51" s="368" t="s">
        <v>27</v>
      </c>
      <c r="K51" s="372">
        <f>+K48/K50</f>
        <v>25.40084258313588</v>
      </c>
    </row>
    <row r="52" spans="1:11" x14ac:dyDescent="0.6">
      <c r="J52" s="27"/>
      <c r="K52" s="28"/>
    </row>
    <row r="53" spans="1:11" ht="15.75" thickBot="1" x14ac:dyDescent="0.65">
      <c r="J53" s="138"/>
      <c r="K53" s="137"/>
    </row>
    <row r="54" spans="1:11" x14ac:dyDescent="0.6">
      <c r="J54" s="25" t="s">
        <v>36</v>
      </c>
      <c r="K54" s="26">
        <v>19.3</v>
      </c>
    </row>
    <row r="55" spans="1:11" ht="15.75" thickBot="1" x14ac:dyDescent="0.65">
      <c r="J55" s="11" t="s">
        <v>38</v>
      </c>
      <c r="K55" s="24">
        <f>K51-K54</f>
        <v>6.1008425831358792</v>
      </c>
    </row>
    <row r="56" spans="1:11" ht="15.75" thickBot="1" x14ac:dyDescent="0.65">
      <c r="J56" s="368" t="s">
        <v>39</v>
      </c>
      <c r="K56" s="373">
        <f>K55/K54</f>
        <v>0.31610583332310255</v>
      </c>
    </row>
    <row r="57" spans="1:11" x14ac:dyDescent="0.6">
      <c r="J57" s="27"/>
      <c r="K57" s="28"/>
    </row>
    <row r="58" spans="1:11" ht="15.75" thickBot="1" x14ac:dyDescent="0.65">
      <c r="J58" s="27"/>
      <c r="K58" s="28"/>
    </row>
    <row r="59" spans="1:11" ht="15.75" thickBot="1" x14ac:dyDescent="0.65">
      <c r="J59" s="368" t="s">
        <v>40</v>
      </c>
      <c r="K59" s="374"/>
    </row>
    <row r="60" spans="1:11" x14ac:dyDescent="0.6">
      <c r="J60" s="11" t="s">
        <v>41</v>
      </c>
      <c r="K60" s="12">
        <v>0.1</v>
      </c>
    </row>
    <row r="61" spans="1:11" x14ac:dyDescent="0.6">
      <c r="J61" s="11" t="s">
        <v>43</v>
      </c>
      <c r="K61" s="252">
        <v>0.01</v>
      </c>
    </row>
    <row r="62" spans="1:11" ht="15.75" thickBot="1" x14ac:dyDescent="0.65">
      <c r="J62" s="13" t="s">
        <v>45</v>
      </c>
      <c r="K62" s="253">
        <f>WACC!C14</f>
        <v>8.1554935135968079E-2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D4:I4"/>
  </mergeCells>
  <pageMargins left="0.2" right="0.2" top="0.5" bottom="0.5" header="0.5" footer="0.5"/>
  <pageSetup scale="90" orientation="landscape" r:id="rId1"/>
  <headerFooter alignWithMargins="0"/>
  <colBreaks count="2" manualBreakCount="2">
    <brk id="3" min="1" max="22" man="1"/>
    <brk id="3" min="25" max="3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8C15-5690-406F-AE63-19249532B6AE}">
  <sheetPr>
    <tabColor theme="5" tint="0.39997558519241921"/>
    <pageSetUpPr fitToPage="1"/>
  </sheetPr>
  <dimension ref="B2:Y49"/>
  <sheetViews>
    <sheetView showGridLines="0" view="pageBreakPreview" zoomScaleNormal="100" zoomScaleSheetLayoutView="100" workbookViewId="0"/>
  </sheetViews>
  <sheetFormatPr defaultColWidth="9.1328125" defaultRowHeight="14.25" x14ac:dyDescent="0.45"/>
  <cols>
    <col min="1" max="1" width="2.73046875" style="151" customWidth="1"/>
    <col min="2" max="2" width="35.86328125" style="151" bestFit="1" customWidth="1"/>
    <col min="3" max="3" width="14.3984375" style="151" bestFit="1" customWidth="1"/>
    <col min="4" max="4" width="26.3984375" style="151" bestFit="1" customWidth="1"/>
    <col min="5" max="5" width="0.86328125" style="151" customWidth="1"/>
    <col min="6" max="8" width="10.73046875" style="151" customWidth="1"/>
    <col min="9" max="9" width="9" style="151" bestFit="1" customWidth="1"/>
    <col min="10" max="10" width="16" style="151" bestFit="1" customWidth="1"/>
    <col min="11" max="11" width="13.86328125" style="151" customWidth="1"/>
    <col min="12" max="12" width="24.86328125" style="151" bestFit="1" customWidth="1"/>
    <col min="13" max="14" width="10.73046875" style="151" customWidth="1"/>
    <col min="15" max="15" width="0.86328125" style="151" customWidth="1"/>
    <col min="16" max="16" width="16" style="151" bestFit="1" customWidth="1"/>
    <col min="17" max="18" width="9.1328125" style="151"/>
    <col min="19" max="19" width="10.73046875" style="151" bestFit="1" customWidth="1"/>
    <col min="20" max="24" width="9.1328125" style="151"/>
    <col min="25" max="25" width="10.59765625" style="151" bestFit="1" customWidth="1"/>
    <col min="26" max="16384" width="9.1328125" style="151"/>
  </cols>
  <sheetData>
    <row r="2" spans="2:20" ht="3" customHeight="1" thickBot="1" x14ac:dyDescent="0.5">
      <c r="B2" s="162" t="s">
        <v>157</v>
      </c>
      <c r="C2" s="162"/>
      <c r="D2" s="162"/>
      <c r="E2" s="162"/>
      <c r="F2" s="163"/>
      <c r="G2" s="163"/>
      <c r="H2" s="163"/>
      <c r="I2" s="163"/>
      <c r="J2" s="162"/>
      <c r="K2" s="162"/>
      <c r="L2" s="163"/>
      <c r="N2" s="161"/>
      <c r="O2" s="161"/>
      <c r="P2" s="161"/>
      <c r="Q2" s="161"/>
      <c r="R2" s="161"/>
      <c r="S2" s="161"/>
      <c r="T2" s="161"/>
    </row>
    <row r="3" spans="2:20" x14ac:dyDescent="0.45">
      <c r="B3" s="375"/>
      <c r="C3" s="376" t="s">
        <v>156</v>
      </c>
      <c r="D3" s="376" t="s">
        <v>147</v>
      </c>
      <c r="E3" s="377"/>
      <c r="F3" s="378" t="s">
        <v>155</v>
      </c>
      <c r="G3" s="378"/>
      <c r="H3" s="378" t="s">
        <v>154</v>
      </c>
      <c r="I3" s="378"/>
      <c r="J3" s="376" t="s">
        <v>153</v>
      </c>
      <c r="K3" s="379" t="s">
        <v>205</v>
      </c>
      <c r="L3" s="161"/>
      <c r="M3" s="161"/>
      <c r="N3" s="161"/>
      <c r="O3" s="161"/>
      <c r="P3" s="161"/>
      <c r="Q3" s="161"/>
      <c r="R3" s="161"/>
      <c r="S3" s="161"/>
    </row>
    <row r="4" spans="2:20" ht="14.65" thickBot="1" x14ac:dyDescent="0.5">
      <c r="B4" s="380" t="s">
        <v>152</v>
      </c>
      <c r="C4" s="381" t="s">
        <v>151</v>
      </c>
      <c r="D4" s="381" t="s">
        <v>151</v>
      </c>
      <c r="E4" s="382"/>
      <c r="F4" s="381" t="s">
        <v>150</v>
      </c>
      <c r="G4" s="383">
        <v>2021</v>
      </c>
      <c r="H4" s="381" t="s">
        <v>150</v>
      </c>
      <c r="I4" s="383">
        <v>2021</v>
      </c>
      <c r="J4" s="381" t="s">
        <v>149</v>
      </c>
      <c r="K4" s="384"/>
      <c r="M4" s="161"/>
      <c r="N4" s="161"/>
      <c r="O4" s="161"/>
      <c r="P4" s="161"/>
      <c r="Q4" s="161"/>
      <c r="R4" s="161"/>
      <c r="S4" s="161"/>
    </row>
    <row r="5" spans="2:20" ht="3" customHeight="1" x14ac:dyDescent="0.45">
      <c r="B5" s="316"/>
      <c r="C5" s="317">
        <f>'Comps Inputs'!C6</f>
        <v>34442.400000000001</v>
      </c>
      <c r="D5" s="317">
        <f>'Comps Inputs'!L6</f>
        <v>57571.4</v>
      </c>
      <c r="E5" s="317"/>
      <c r="F5" s="318"/>
      <c r="G5" s="318"/>
      <c r="H5" s="318"/>
      <c r="I5" s="318"/>
      <c r="J5" s="319"/>
      <c r="K5" s="320"/>
      <c r="M5" s="161"/>
      <c r="N5" s="161"/>
      <c r="O5" s="161"/>
      <c r="P5" s="161"/>
      <c r="Q5" s="161"/>
      <c r="R5" s="161"/>
      <c r="S5" s="161"/>
    </row>
    <row r="6" spans="2:20" ht="23.1" customHeight="1" x14ac:dyDescent="0.45">
      <c r="B6" s="304" t="s">
        <v>208</v>
      </c>
      <c r="C6" s="321">
        <f>'Comps Inputs'!C6</f>
        <v>34442.400000000001</v>
      </c>
      <c r="D6" s="321">
        <f>'Comps Inputs'!L6</f>
        <v>57571.4</v>
      </c>
      <c r="E6" s="322"/>
      <c r="F6" s="323">
        <f>'Comps Inputs'!T6</f>
        <v>-14.432539483579845</v>
      </c>
      <c r="G6" s="323">
        <f>'Comps Inputs'!V6</f>
        <v>185.16467258458766</v>
      </c>
      <c r="H6" s="323">
        <f>'Comps Inputs'!W6</f>
        <v>-11.204424202992843</v>
      </c>
      <c r="I6" s="323">
        <f>'Comps Inputs'!Y6</f>
        <v>-31.986181149527766</v>
      </c>
      <c r="J6" s="324">
        <f>'Comps Inputs'!Z6</f>
        <v>-2.4555026322386562</v>
      </c>
      <c r="K6" s="325">
        <v>1.1000000000000001</v>
      </c>
      <c r="M6" s="161"/>
      <c r="N6" s="161"/>
      <c r="O6" s="161"/>
      <c r="P6" s="161"/>
      <c r="Q6" s="161"/>
      <c r="R6" s="161"/>
      <c r="S6" s="161"/>
    </row>
    <row r="7" spans="2:20" ht="23.1" customHeight="1" x14ac:dyDescent="0.45">
      <c r="B7" s="304" t="s">
        <v>211</v>
      </c>
      <c r="C7" s="321">
        <f>'Comps Inputs'!C7</f>
        <v>30683.599999999999</v>
      </c>
      <c r="D7" s="321">
        <f>'Comps Inputs'!L7</f>
        <v>73853.600000000006</v>
      </c>
      <c r="E7" s="322"/>
      <c r="F7" s="323">
        <f>'Comps Inputs'!T7</f>
        <v>-10.237538120321597</v>
      </c>
      <c r="G7" s="323">
        <f>'Comps Inputs'!V7</f>
        <v>34.537980573625219</v>
      </c>
      <c r="H7" s="323">
        <f>'Comps Inputs'!W7</f>
        <v>-2.4774808235769075</v>
      </c>
      <c r="I7" s="323">
        <f>'Comps Inputs'!Y7</f>
        <v>-35.854961029248514</v>
      </c>
      <c r="J7" s="324">
        <f>'Comps Inputs'!Z7</f>
        <v>-4.0302190185749929</v>
      </c>
      <c r="K7" s="325">
        <v>1.2</v>
      </c>
      <c r="M7" s="161"/>
      <c r="N7" s="161"/>
      <c r="O7" s="161"/>
      <c r="P7" s="161"/>
      <c r="Q7" s="161"/>
      <c r="R7" s="161"/>
      <c r="S7" s="161"/>
    </row>
    <row r="8" spans="2:20" ht="23.1" customHeight="1" x14ac:dyDescent="0.45">
      <c r="B8" s="304" t="s">
        <v>210</v>
      </c>
      <c r="C8" s="321">
        <f>'Comps Inputs'!C8</f>
        <v>16147.3</v>
      </c>
      <c r="D8" s="321">
        <f>'Comps Inputs'!L8</f>
        <v>55577.3</v>
      </c>
      <c r="E8" s="322"/>
      <c r="F8" s="323">
        <f>'Comps Inputs'!T8</f>
        <v>-8.5674888238014493</v>
      </c>
      <c r="G8" s="323">
        <f>'Comps Inputs'!V8</f>
        <v>-906.64437194127254</v>
      </c>
      <c r="H8" s="323">
        <f>'Comps Inputs'!W8</f>
        <v>-2.2842410524826708</v>
      </c>
      <c r="I8" s="323">
        <f>'Comps Inputs'!Y8</f>
        <v>-6.293722375098417</v>
      </c>
      <c r="J8" s="324">
        <f>'Comps Inputs'!Z8</f>
        <v>-4.1231694157545862</v>
      </c>
      <c r="K8" s="325">
        <v>1</v>
      </c>
      <c r="L8" s="294"/>
      <c r="M8" s="161"/>
      <c r="N8" s="161"/>
      <c r="O8" s="161"/>
      <c r="P8" s="161"/>
      <c r="Q8" s="161"/>
      <c r="R8" s="161"/>
      <c r="S8" s="161"/>
    </row>
    <row r="9" spans="2:20" ht="23.1" customHeight="1" x14ac:dyDescent="0.45">
      <c r="B9" s="304" t="s">
        <v>213</v>
      </c>
      <c r="C9" s="321">
        <f>'Comps Inputs'!C9</f>
        <v>13343.6</v>
      </c>
      <c r="D9" s="321">
        <f>'Comps Inputs'!L9</f>
        <v>52228.6</v>
      </c>
      <c r="E9" s="322"/>
      <c r="F9" s="323">
        <f>'Comps Inputs'!T9</f>
        <v>-5.9717127829865078</v>
      </c>
      <c r="G9" s="323">
        <f>'Comps Inputs'!V9</f>
        <v>-15.378857699793588</v>
      </c>
      <c r="H9" s="323">
        <f>'Comps Inputs'!W9</f>
        <v>-1.5018120427687114</v>
      </c>
      <c r="I9" s="323">
        <f>'Comps Inputs'!Y9</f>
        <v>-3.027482762297816</v>
      </c>
      <c r="J9" s="324">
        <f>'Comps Inputs'!Z9</f>
        <v>-3.6612165561399497</v>
      </c>
      <c r="K9" s="325">
        <v>1.7</v>
      </c>
      <c r="M9" s="161"/>
      <c r="N9" s="161"/>
      <c r="O9" s="161"/>
      <c r="P9" s="161"/>
      <c r="Q9" s="161"/>
      <c r="R9" s="161"/>
      <c r="S9" s="161"/>
    </row>
    <row r="10" spans="2:20" ht="23.1" customHeight="1" x14ac:dyDescent="0.45">
      <c r="B10" s="304" t="s">
        <v>216</v>
      </c>
      <c r="C10" s="321">
        <f>'Comps Inputs'!C10</f>
        <v>8143.7</v>
      </c>
      <c r="D10" s="321">
        <f>'Comps Inputs'!L10</f>
        <v>14984.7</v>
      </c>
      <c r="E10" s="322"/>
      <c r="F10" s="323">
        <f>'Comps Inputs'!T10</f>
        <v>-11.658523301952853</v>
      </c>
      <c r="G10" s="323">
        <f>'Comps Inputs'!V10</f>
        <v>16.836741573033709</v>
      </c>
      <c r="H10" s="323">
        <f>'Comps Inputs'!W10</f>
        <v>-6.2308339709257838</v>
      </c>
      <c r="I10" s="323">
        <f>'Comps Inputs'!Y10</f>
        <v>-44.748063080389031</v>
      </c>
      <c r="J10" s="324">
        <f>'Comps Inputs'!Z10</f>
        <v>-2.7192095230685442</v>
      </c>
      <c r="K10" s="325">
        <v>1</v>
      </c>
      <c r="M10" s="161"/>
      <c r="N10" s="161"/>
      <c r="O10" s="161"/>
      <c r="P10" s="161"/>
      <c r="Q10" s="161"/>
      <c r="R10" s="161"/>
      <c r="S10" s="161"/>
    </row>
    <row r="11" spans="2:20" ht="23.1" customHeight="1" x14ac:dyDescent="0.45">
      <c r="B11" s="304" t="s">
        <v>212</v>
      </c>
      <c r="C11" s="321">
        <f>'Comps Inputs'!C11</f>
        <v>3466.4</v>
      </c>
      <c r="D11" s="321">
        <f>'Comps Inputs'!L11</f>
        <v>8811.49</v>
      </c>
      <c r="E11" s="322"/>
      <c r="F11" s="323">
        <f>'Comps Inputs'!T11</f>
        <v>-14.013183842239187</v>
      </c>
      <c r="G11" s="323">
        <f>'Comps Inputs'!V11</f>
        <v>33.022860997638951</v>
      </c>
      <c r="H11" s="323">
        <f>'Comps Inputs'!W11</f>
        <v>-8.0858409143923495</v>
      </c>
      <c r="I11" s="323">
        <f>'Comps Inputs'!Y11</f>
        <v>-10.211512402050316</v>
      </c>
      <c r="J11" s="324">
        <f>'Comps Inputs'!Z11</f>
        <v>-5.4851304071246823</v>
      </c>
      <c r="K11" s="325">
        <v>2</v>
      </c>
      <c r="M11" s="161"/>
      <c r="N11" s="161"/>
      <c r="O11" s="161"/>
      <c r="P11" s="161"/>
      <c r="Q11" s="161"/>
      <c r="R11" s="161"/>
      <c r="S11" s="161"/>
    </row>
    <row r="12" spans="2:20" ht="23.1" customHeight="1" x14ac:dyDescent="0.45">
      <c r="B12" s="304" t="s">
        <v>209</v>
      </c>
      <c r="C12" s="321">
        <f>'Comps Inputs'!C12</f>
        <v>2808.7</v>
      </c>
      <c r="D12" s="321">
        <f>'Comps Inputs'!L12</f>
        <v>6863.7899999999991</v>
      </c>
      <c r="E12" s="326"/>
      <c r="F12" s="323">
        <f>'Comps Inputs'!T12</f>
        <v>28.803147293327733</v>
      </c>
      <c r="G12" s="323">
        <f>'Comps Inputs'!V12</f>
        <v>10.897153380856366</v>
      </c>
      <c r="H12" s="323">
        <f>'Comps Inputs'!W12</f>
        <v>-330.43529411764706</v>
      </c>
      <c r="I12" s="323">
        <f>'Comps Inputs'!Y12</f>
        <v>34.513393954288524</v>
      </c>
      <c r="J12" s="324">
        <f>'Comps Inputs'!Z12</f>
        <v>13.44397817876626</v>
      </c>
      <c r="K12" s="325">
        <v>1.1000000000000001</v>
      </c>
      <c r="M12" s="161"/>
      <c r="N12" s="161"/>
      <c r="O12" s="161"/>
      <c r="P12" s="161"/>
      <c r="Q12" s="161"/>
      <c r="R12" s="161"/>
      <c r="S12" s="161"/>
    </row>
    <row r="13" spans="2:20" ht="5.0999999999999996" customHeight="1" x14ac:dyDescent="0.45">
      <c r="B13" s="327" t="s">
        <v>5</v>
      </c>
      <c r="C13" s="328"/>
      <c r="D13" s="328"/>
      <c r="E13" s="329"/>
      <c r="F13" s="330"/>
      <c r="G13" s="330"/>
      <c r="H13" s="330"/>
      <c r="I13" s="330"/>
      <c r="J13" s="331"/>
      <c r="K13" s="332"/>
      <c r="M13" s="161"/>
      <c r="N13" s="161"/>
      <c r="O13" s="161"/>
      <c r="P13" s="161"/>
      <c r="Q13" s="161"/>
      <c r="R13" s="161"/>
      <c r="S13" s="161"/>
    </row>
    <row r="14" spans="2:20" ht="23.1" customHeight="1" x14ac:dyDescent="0.45">
      <c r="B14" s="385" t="s">
        <v>94</v>
      </c>
      <c r="C14" s="386"/>
      <c r="D14" s="386"/>
      <c r="E14" s="387"/>
      <c r="F14" s="388">
        <f>_xlfn.PERCENTILE.EXC(F6:F12,0.25)</f>
        <v>-14.013183842239187</v>
      </c>
      <c r="G14" s="388">
        <f t="shared" ref="G14:K14" si="0">_xlfn.PERCENTILE.EXC(G6:G12,0.25)</f>
        <v>-15.378857699793588</v>
      </c>
      <c r="H14" s="388">
        <f t="shared" si="0"/>
        <v>-11.204424202992843</v>
      </c>
      <c r="I14" s="388">
        <f t="shared" si="0"/>
        <v>-35.854961029248514</v>
      </c>
      <c r="J14" s="389">
        <f t="shared" si="0"/>
        <v>-4.1231694157545862</v>
      </c>
      <c r="K14" s="390">
        <f t="shared" si="0"/>
        <v>1</v>
      </c>
      <c r="M14" s="161"/>
      <c r="N14" s="161"/>
      <c r="O14" s="161"/>
      <c r="P14" s="161"/>
      <c r="Q14" s="161"/>
      <c r="R14" s="161"/>
      <c r="S14" s="161"/>
    </row>
    <row r="15" spans="2:20" ht="23.1" customHeight="1" x14ac:dyDescent="0.45">
      <c r="B15" s="385" t="s">
        <v>180</v>
      </c>
      <c r="C15" s="386"/>
      <c r="D15" s="386"/>
      <c r="E15" s="387"/>
      <c r="F15" s="388">
        <f t="shared" ref="F15:K15" si="1">_xlfn.PERCENTILE.EXC(F6:F13,0.75)</f>
        <v>-5.9717127829865078</v>
      </c>
      <c r="G15" s="388">
        <f t="shared" si="1"/>
        <v>34.537980573625219</v>
      </c>
      <c r="H15" s="388">
        <f t="shared" si="1"/>
        <v>-2.2842410524826708</v>
      </c>
      <c r="I15" s="388">
        <f t="shared" si="1"/>
        <v>-3.027482762297816</v>
      </c>
      <c r="J15" s="389">
        <f t="shared" si="1"/>
        <v>-2.4555026322386562</v>
      </c>
      <c r="K15" s="390">
        <f t="shared" si="1"/>
        <v>1.7</v>
      </c>
      <c r="N15" s="161"/>
      <c r="O15" s="161"/>
      <c r="P15" s="161"/>
      <c r="Q15" s="161"/>
      <c r="R15" s="161"/>
      <c r="S15" s="161"/>
    </row>
    <row r="16" spans="2:20" ht="23.1" customHeight="1" x14ac:dyDescent="0.45">
      <c r="B16" s="385" t="s">
        <v>16</v>
      </c>
      <c r="C16" s="391"/>
      <c r="D16" s="391"/>
      <c r="E16" s="392"/>
      <c r="F16" s="388">
        <f t="shared" ref="F16:K16" si="2">AVERAGE(F6:F12)</f>
        <v>-5.1539770087933849</v>
      </c>
      <c r="G16" s="388">
        <f t="shared" si="2"/>
        <v>-91.651974361617732</v>
      </c>
      <c r="H16" s="388">
        <f t="shared" si="2"/>
        <v>-51.745703874969479</v>
      </c>
      <c r="I16" s="388">
        <f t="shared" si="2"/>
        <v>-13.944075549189048</v>
      </c>
      <c r="J16" s="389">
        <f t="shared" si="2"/>
        <v>-1.2900670534478791</v>
      </c>
      <c r="K16" s="390">
        <f t="shared" si="2"/>
        <v>1.3</v>
      </c>
      <c r="M16" s="161"/>
      <c r="N16" s="161"/>
      <c r="O16" s="161"/>
      <c r="P16" s="161"/>
      <c r="Q16" s="161"/>
      <c r="R16" s="161"/>
      <c r="S16" s="161"/>
    </row>
    <row r="17" spans="2:25" ht="23.1" customHeight="1" x14ac:dyDescent="0.45">
      <c r="B17" s="385" t="s">
        <v>17</v>
      </c>
      <c r="C17" s="391"/>
      <c r="D17" s="391"/>
      <c r="E17" s="392"/>
      <c r="F17" s="388">
        <f t="shared" ref="F17:K17" si="3">MEDIAN(F6:F12)</f>
        <v>-10.237538120321597</v>
      </c>
      <c r="G17" s="388">
        <f t="shared" si="3"/>
        <v>16.836741573033709</v>
      </c>
      <c r="H17" s="388">
        <f t="shared" si="3"/>
        <v>-6.2308339709257838</v>
      </c>
      <c r="I17" s="388">
        <f t="shared" si="3"/>
        <v>-10.211512402050316</v>
      </c>
      <c r="J17" s="389">
        <f t="shared" si="3"/>
        <v>-3.6612165561399497</v>
      </c>
      <c r="K17" s="390">
        <f t="shared" si="3"/>
        <v>1.1000000000000001</v>
      </c>
      <c r="M17" s="161"/>
      <c r="N17" s="161"/>
      <c r="O17" s="161"/>
      <c r="P17" s="161"/>
      <c r="Q17" s="161"/>
      <c r="R17" s="161"/>
      <c r="S17" s="161"/>
    </row>
    <row r="18" spans="2:25" ht="5.0999999999999996" customHeight="1" x14ac:dyDescent="0.45">
      <c r="B18" s="333"/>
      <c r="C18" s="334"/>
      <c r="D18" s="334"/>
      <c r="E18" s="322"/>
      <c r="F18" s="335"/>
      <c r="G18" s="335"/>
      <c r="H18" s="335"/>
      <c r="I18" s="335"/>
      <c r="J18" s="336"/>
      <c r="K18" s="336"/>
    </row>
    <row r="19" spans="2:25" ht="23.1" customHeight="1" thickBot="1" x14ac:dyDescent="0.5">
      <c r="B19" s="393" t="str">
        <f>'Comps Inputs'!B14</f>
        <v>JetBlue Airways Corp</v>
      </c>
      <c r="C19" s="394">
        <f>'Comps Inputs'!C14</f>
        <v>5814.3</v>
      </c>
      <c r="D19" s="394">
        <f>'Comps Inputs'!L14</f>
        <v>15177.33</v>
      </c>
      <c r="E19" s="395"/>
      <c r="F19" s="396">
        <f>'Comps Inputs'!T14</f>
        <v>-10.436175479612185</v>
      </c>
      <c r="G19" s="396">
        <f>'Comps Inputs'!V14</f>
        <v>-52.270732883317258</v>
      </c>
      <c r="H19" s="396">
        <f>'Comps Inputs'!W14</f>
        <v>-4.2689427312775328</v>
      </c>
      <c r="I19" s="396">
        <f>'Comps Inputs'!Y14</f>
        <v>-9.126340077540064</v>
      </c>
      <c r="J19" s="397">
        <f>'Comps Inputs'!Z14</f>
        <v>-2.5</v>
      </c>
      <c r="K19" s="397">
        <v>1.2</v>
      </c>
      <c r="L19" s="161"/>
      <c r="M19" s="161"/>
      <c r="N19" s="161"/>
      <c r="O19" s="161"/>
    </row>
    <row r="20" spans="2:25" x14ac:dyDescent="0.45">
      <c r="B20" s="161"/>
      <c r="C20" s="161"/>
      <c r="D20" s="161"/>
      <c r="E20" s="161"/>
      <c r="F20" s="161"/>
      <c r="G20" s="161"/>
      <c r="H20" s="161"/>
      <c r="I20" s="161"/>
      <c r="J20" s="292"/>
      <c r="K20" s="161"/>
      <c r="L20" s="161"/>
      <c r="M20" s="161"/>
      <c r="N20" s="161"/>
      <c r="O20" s="161"/>
      <c r="P20" s="161"/>
      <c r="Q20" s="161"/>
      <c r="R20" s="161"/>
      <c r="S20" s="161"/>
      <c r="T20" s="161"/>
    </row>
    <row r="21" spans="2:25" ht="14.65" thickBot="1" x14ac:dyDescent="0.5">
      <c r="B21" s="161"/>
      <c r="C21" s="161"/>
      <c r="D21" s="161"/>
      <c r="E21" s="161"/>
      <c r="F21" s="161" t="s">
        <v>188</v>
      </c>
      <c r="G21" s="161"/>
      <c r="H21" s="161"/>
      <c r="I21" s="161"/>
      <c r="J21" s="293"/>
      <c r="K21" s="161"/>
      <c r="L21" s="161"/>
      <c r="M21" s="161"/>
      <c r="N21" s="161"/>
      <c r="O21" s="161"/>
      <c r="P21" s="161"/>
      <c r="Q21" s="161"/>
      <c r="R21" s="161" t="s">
        <v>154</v>
      </c>
      <c r="S21" s="161"/>
      <c r="T21" s="161"/>
    </row>
    <row r="22" spans="2:25" ht="15.4" x14ac:dyDescent="0.6">
      <c r="D22" s="398"/>
      <c r="E22" s="399"/>
      <c r="F22" s="400" t="s">
        <v>16</v>
      </c>
      <c r="G22" s="1"/>
      <c r="H22" s="53"/>
      <c r="I22" s="398"/>
      <c r="J22" s="399"/>
      <c r="K22" s="399"/>
      <c r="L22" s="399"/>
      <c r="M22" s="400" t="s">
        <v>94</v>
      </c>
      <c r="Q22" s="398"/>
      <c r="R22" s="398"/>
      <c r="S22" s="400" t="s">
        <v>16</v>
      </c>
      <c r="W22" s="398"/>
      <c r="X22" s="399"/>
      <c r="Y22" s="400" t="s">
        <v>94</v>
      </c>
    </row>
    <row r="23" spans="2:25" ht="15.4" x14ac:dyDescent="0.6">
      <c r="D23" s="401" t="s">
        <v>136</v>
      </c>
      <c r="E23" s="402"/>
      <c r="F23" s="403"/>
      <c r="G23" s="1"/>
      <c r="H23" s="53"/>
      <c r="I23" s="404" t="s">
        <v>136</v>
      </c>
      <c r="J23" s="405"/>
      <c r="K23" s="405"/>
      <c r="L23" s="405"/>
      <c r="M23" s="406"/>
      <c r="Q23" s="401" t="s">
        <v>136</v>
      </c>
      <c r="R23" s="402"/>
      <c r="S23" s="403"/>
      <c r="W23" s="401" t="s">
        <v>136</v>
      </c>
      <c r="X23" s="402"/>
      <c r="Y23" s="403"/>
    </row>
    <row r="24" spans="2:25" ht="15.4" x14ac:dyDescent="0.6">
      <c r="D24" s="58" t="s">
        <v>137</v>
      </c>
      <c r="E24" s="59"/>
      <c r="F24" s="61">
        <f>F16</f>
        <v>-5.1539770087933849</v>
      </c>
      <c r="G24" s="1"/>
      <c r="H24" s="53"/>
      <c r="I24" s="60" t="s">
        <v>137</v>
      </c>
      <c r="J24" s="211"/>
      <c r="K24" s="211"/>
      <c r="L24" s="57"/>
      <c r="M24" s="255">
        <f>F14</f>
        <v>-14.013183842239187</v>
      </c>
      <c r="Q24" s="58" t="s">
        <v>62</v>
      </c>
      <c r="R24" s="59"/>
      <c r="S24" s="98">
        <f>$D$19</f>
        <v>15177.33</v>
      </c>
      <c r="W24" s="58" t="s">
        <v>62</v>
      </c>
      <c r="X24" s="59"/>
      <c r="Y24" s="98">
        <f>$D$19</f>
        <v>15177.33</v>
      </c>
    </row>
    <row r="25" spans="2:25" ht="15.4" x14ac:dyDescent="0.6">
      <c r="D25" s="60" t="s">
        <v>138</v>
      </c>
      <c r="E25" s="57"/>
      <c r="F25" s="63">
        <f>'Model Output'!K38</f>
        <v>817.28430836358211</v>
      </c>
      <c r="G25" s="1"/>
      <c r="H25" s="53"/>
      <c r="I25" s="60" t="s">
        <v>138</v>
      </c>
      <c r="J25" s="211"/>
      <c r="K25" s="211"/>
      <c r="L25" s="57"/>
      <c r="M25" s="63">
        <f>F40</f>
        <v>817.28430836358211</v>
      </c>
      <c r="Q25" s="60" t="s">
        <v>148</v>
      </c>
      <c r="R25" s="57"/>
      <c r="S25" s="63">
        <f>WACC!D24</f>
        <v>3492.2</v>
      </c>
      <c r="W25" s="60" t="s">
        <v>148</v>
      </c>
      <c r="X25" s="57"/>
      <c r="Y25" s="63">
        <f>S25</f>
        <v>3492.2</v>
      </c>
    </row>
    <row r="26" spans="2:25" ht="15.4" x14ac:dyDescent="0.6">
      <c r="B26" s="209"/>
      <c r="D26" s="60"/>
      <c r="E26" s="57"/>
      <c r="F26" s="63"/>
      <c r="G26" s="1"/>
      <c r="H26" s="53"/>
      <c r="I26" s="60"/>
      <c r="J26" s="211"/>
      <c r="K26" s="211"/>
      <c r="L26" s="57"/>
      <c r="M26" s="63"/>
      <c r="Q26" s="60" t="s">
        <v>187</v>
      </c>
      <c r="R26" s="57"/>
      <c r="S26" s="257">
        <v>1.3</v>
      </c>
      <c r="W26" s="60" t="s">
        <v>187</v>
      </c>
      <c r="X26" s="57"/>
      <c r="Y26" s="257">
        <f>S26</f>
        <v>1.3</v>
      </c>
    </row>
    <row r="27" spans="2:25" ht="15.4" x14ac:dyDescent="0.6">
      <c r="D27" s="60" t="s">
        <v>29</v>
      </c>
      <c r="E27" s="57"/>
      <c r="F27" s="63">
        <f>F24*('Model Output'!$H$13+'Model Output'!$H$18)</f>
        <v>-4351.8678011499278</v>
      </c>
      <c r="G27" s="1"/>
      <c r="H27" s="53"/>
      <c r="I27" s="60" t="s">
        <v>29</v>
      </c>
      <c r="J27" s="211"/>
      <c r="K27" s="211"/>
      <c r="L27" s="57"/>
      <c r="M27" s="63">
        <f>M24*('Model Output'!$H$13+'Model Output'!$H$18)</f>
        <v>-11832.323553362572</v>
      </c>
      <c r="Q27" s="60" t="s">
        <v>185</v>
      </c>
      <c r="R27" s="57"/>
      <c r="S27" s="63">
        <f>S26*S28*H16</f>
        <v>-21156.231029281273</v>
      </c>
      <c r="W27" s="60" t="s">
        <v>185</v>
      </c>
      <c r="X27" s="57"/>
      <c r="Y27" s="63">
        <f>Y26*Y28*H14</f>
        <v>-4580.9288353936245</v>
      </c>
    </row>
    <row r="28" spans="2:25" ht="15.4" x14ac:dyDescent="0.6">
      <c r="D28" s="60"/>
      <c r="E28" s="57"/>
      <c r="F28" s="63"/>
      <c r="G28" s="1"/>
      <c r="H28" s="53"/>
      <c r="I28" s="60"/>
      <c r="J28" s="211"/>
      <c r="K28" s="211"/>
      <c r="L28" s="57"/>
      <c r="M28" s="63"/>
      <c r="Q28" s="60" t="s">
        <v>186</v>
      </c>
      <c r="R28" s="57"/>
      <c r="S28" s="66">
        <f>F34</f>
        <v>314.5</v>
      </c>
      <c r="W28" s="60" t="s">
        <v>186</v>
      </c>
      <c r="X28" s="57"/>
      <c r="Y28" s="66">
        <f>F34</f>
        <v>314.5</v>
      </c>
    </row>
    <row r="29" spans="2:25" ht="15.75" thickBot="1" x14ac:dyDescent="0.65">
      <c r="D29" s="60" t="s">
        <v>139</v>
      </c>
      <c r="E29" s="57"/>
      <c r="F29" s="63">
        <f>+-PV('Model Output'!$K$62,5,0,F27)</f>
        <v>-2940.5784988943242</v>
      </c>
      <c r="G29" s="1"/>
      <c r="H29" s="53"/>
      <c r="I29" s="60" t="s">
        <v>139</v>
      </c>
      <c r="J29" s="211"/>
      <c r="K29" s="211"/>
      <c r="L29" s="57"/>
      <c r="M29" s="245">
        <f>+-PV('Model Output'!$K$62,5,0,M27)</f>
        <v>-7995.1592793754007</v>
      </c>
      <c r="Q29" s="154" t="s">
        <v>27</v>
      </c>
      <c r="R29" s="153"/>
      <c r="S29" s="152">
        <f>S27/S28</f>
        <v>-67.26941503746032</v>
      </c>
      <c r="W29" s="154" t="s">
        <v>27</v>
      </c>
      <c r="X29" s="153"/>
      <c r="Y29" s="152">
        <f>Y27/Y28</f>
        <v>-14.565751463890697</v>
      </c>
    </row>
    <row r="30" spans="2:25" ht="15.4" x14ac:dyDescent="0.6">
      <c r="D30" s="60" t="s">
        <v>31</v>
      </c>
      <c r="E30" s="57"/>
      <c r="F30" s="64">
        <f>F25+F29</f>
        <v>-2123.2941905307421</v>
      </c>
      <c r="G30" s="1"/>
      <c r="H30" s="53"/>
      <c r="I30" s="60" t="s">
        <v>31</v>
      </c>
      <c r="J30" s="211"/>
      <c r="K30" s="211"/>
      <c r="L30" s="57"/>
      <c r="M30" s="64">
        <f>M25+M29</f>
        <v>-7177.8749710118191</v>
      </c>
    </row>
    <row r="31" spans="2:25" ht="15.75" thickBot="1" x14ac:dyDescent="0.65">
      <c r="D31" s="157" t="s">
        <v>140</v>
      </c>
      <c r="E31" s="156"/>
      <c r="F31" s="254">
        <f>'Model Output'!I47</f>
        <v>0</v>
      </c>
      <c r="G31" s="1"/>
      <c r="H31" s="53"/>
      <c r="I31" s="157" t="s">
        <v>140</v>
      </c>
      <c r="J31" s="156"/>
      <c r="K31" s="156"/>
      <c r="L31" s="156"/>
      <c r="M31" s="254">
        <f>F45</f>
        <v>0</v>
      </c>
    </row>
    <row r="32" spans="2:25" ht="15.4" x14ac:dyDescent="0.6">
      <c r="D32" s="60"/>
      <c r="E32" s="57"/>
      <c r="F32" s="66"/>
      <c r="G32" s="1"/>
      <c r="H32" s="53"/>
      <c r="I32" s="60"/>
      <c r="J32" s="211"/>
      <c r="K32" s="211"/>
      <c r="L32" s="57"/>
      <c r="M32" s="66"/>
      <c r="Q32" s="398"/>
      <c r="R32" s="399"/>
      <c r="S32" s="400" t="s">
        <v>17</v>
      </c>
      <c r="W32" s="398"/>
      <c r="X32" s="399"/>
      <c r="Y32" s="400" t="s">
        <v>95</v>
      </c>
    </row>
    <row r="33" spans="4:25" ht="15.75" thickBot="1" x14ac:dyDescent="0.65">
      <c r="D33" s="60" t="s">
        <v>34</v>
      </c>
      <c r="E33" s="57"/>
      <c r="F33" s="68">
        <f>F30-F31</f>
        <v>-2123.2941905307421</v>
      </c>
      <c r="G33" s="1"/>
      <c r="H33" s="53"/>
      <c r="I33" s="60" t="s">
        <v>34</v>
      </c>
      <c r="J33" s="211"/>
      <c r="K33" s="211"/>
      <c r="L33" s="57"/>
      <c r="M33" s="256">
        <f>M30-M31</f>
        <v>-7177.8749710118191</v>
      </c>
      <c r="Q33" s="401" t="s">
        <v>136</v>
      </c>
      <c r="R33" s="402"/>
      <c r="S33" s="403"/>
      <c r="W33" s="401" t="s">
        <v>136</v>
      </c>
      <c r="X33" s="402"/>
      <c r="Y33" s="403"/>
    </row>
    <row r="34" spans="4:25" ht="15.75" thickTop="1" x14ac:dyDescent="0.6">
      <c r="D34" s="60" t="s">
        <v>141</v>
      </c>
      <c r="E34" s="57"/>
      <c r="F34" s="66">
        <f>'Model Output'!K50</f>
        <v>314.5</v>
      </c>
      <c r="G34" s="1"/>
      <c r="H34" s="53"/>
      <c r="I34" s="60" t="s">
        <v>141</v>
      </c>
      <c r="J34" s="211"/>
      <c r="K34" s="211"/>
      <c r="L34" s="57"/>
      <c r="M34" s="66">
        <f>F34</f>
        <v>314.5</v>
      </c>
      <c r="Q34" s="58" t="s">
        <v>62</v>
      </c>
      <c r="R34" s="59"/>
      <c r="S34" s="98">
        <f>$D$19</f>
        <v>15177.33</v>
      </c>
      <c r="W34" s="58" t="s">
        <v>62</v>
      </c>
      <c r="X34" s="59"/>
      <c r="Y34" s="98">
        <f>$D$19</f>
        <v>15177.33</v>
      </c>
    </row>
    <row r="35" spans="4:25" ht="15.75" thickBot="1" x14ac:dyDescent="0.65">
      <c r="D35" s="154" t="s">
        <v>27</v>
      </c>
      <c r="E35" s="153"/>
      <c r="F35" s="152">
        <f>F33/F34</f>
        <v>-6.7513328792710396</v>
      </c>
      <c r="G35" s="1"/>
      <c r="H35" s="53"/>
      <c r="I35" s="160" t="s">
        <v>27</v>
      </c>
      <c r="J35" s="159"/>
      <c r="K35" s="159"/>
      <c r="L35" s="159"/>
      <c r="M35" s="158">
        <f>M33/M34</f>
        <v>-22.823131863312621</v>
      </c>
      <c r="Q35" s="60" t="s">
        <v>148</v>
      </c>
      <c r="R35" s="57"/>
      <c r="S35" s="63">
        <f>S25</f>
        <v>3492.2</v>
      </c>
      <c r="W35" s="60" t="s">
        <v>148</v>
      </c>
      <c r="X35" s="57"/>
      <c r="Y35" s="63">
        <f>S25</f>
        <v>3492.2</v>
      </c>
    </row>
    <row r="36" spans="4:25" ht="15.75" thickBot="1" x14ac:dyDescent="0.65">
      <c r="D36" s="57"/>
      <c r="E36" s="57"/>
      <c r="F36" s="70"/>
      <c r="G36" s="1"/>
      <c r="H36" s="53"/>
      <c r="I36" s="57"/>
      <c r="J36" s="57"/>
      <c r="K36" s="57"/>
      <c r="L36" s="57"/>
      <c r="M36" s="70"/>
      <c r="Q36" s="60" t="s">
        <v>187</v>
      </c>
      <c r="R36" s="57"/>
      <c r="S36" s="257">
        <f>S26</f>
        <v>1.3</v>
      </c>
      <c r="W36" s="60" t="s">
        <v>187</v>
      </c>
      <c r="X36" s="57"/>
      <c r="Y36" s="257">
        <f>S26</f>
        <v>1.3</v>
      </c>
    </row>
    <row r="37" spans="4:25" ht="15.4" x14ac:dyDescent="0.6">
      <c r="D37" s="398"/>
      <c r="E37" s="399"/>
      <c r="F37" s="400" t="s">
        <v>17</v>
      </c>
      <c r="G37" s="1"/>
      <c r="H37" s="53"/>
      <c r="I37" s="398"/>
      <c r="J37" s="399"/>
      <c r="K37" s="399"/>
      <c r="L37" s="399"/>
      <c r="M37" s="400" t="s">
        <v>95</v>
      </c>
      <c r="Q37" s="60" t="s">
        <v>185</v>
      </c>
      <c r="R37" s="57"/>
      <c r="S37" s="63">
        <f>S36*S38*H17</f>
        <v>-2547.4764690130069</v>
      </c>
      <c r="W37" s="60" t="s">
        <v>185</v>
      </c>
      <c r="X37" s="57"/>
      <c r="Y37" s="63">
        <f>Y36*Y38*H15</f>
        <v>-933.91195430753999</v>
      </c>
    </row>
    <row r="38" spans="4:25" ht="15.4" x14ac:dyDescent="0.6">
      <c r="D38" s="401" t="s">
        <v>136</v>
      </c>
      <c r="E38" s="402"/>
      <c r="F38" s="403"/>
      <c r="G38" s="1"/>
      <c r="H38" s="53"/>
      <c r="I38" s="404" t="s">
        <v>136</v>
      </c>
      <c r="J38" s="405"/>
      <c r="K38" s="405"/>
      <c r="L38" s="405"/>
      <c r="M38" s="406"/>
      <c r="Q38" s="60" t="s">
        <v>186</v>
      </c>
      <c r="R38" s="57"/>
      <c r="S38" s="66">
        <f>F34</f>
        <v>314.5</v>
      </c>
      <c r="W38" s="60" t="s">
        <v>186</v>
      </c>
      <c r="X38" s="57"/>
      <c r="Y38" s="66">
        <f>F34</f>
        <v>314.5</v>
      </c>
    </row>
    <row r="39" spans="4:25" ht="15.75" thickBot="1" x14ac:dyDescent="0.65">
      <c r="D39" s="58" t="s">
        <v>137</v>
      </c>
      <c r="E39" s="59"/>
      <c r="F39" s="61">
        <f>F17</f>
        <v>-10.237538120321597</v>
      </c>
      <c r="G39" s="1"/>
      <c r="H39" s="53"/>
      <c r="I39" s="60" t="s">
        <v>137</v>
      </c>
      <c r="J39" s="211"/>
      <c r="K39" s="211"/>
      <c r="L39" s="57"/>
      <c r="M39" s="255">
        <f>F15</f>
        <v>-5.9717127829865078</v>
      </c>
      <c r="Q39" s="154" t="s">
        <v>27</v>
      </c>
      <c r="R39" s="153"/>
      <c r="S39" s="152">
        <f>S37/S38</f>
        <v>-8.1000841622035189</v>
      </c>
      <c r="W39" s="154" t="s">
        <v>27</v>
      </c>
      <c r="X39" s="153"/>
      <c r="Y39" s="152">
        <f>Y37/Y38</f>
        <v>-2.9695133682274721</v>
      </c>
    </row>
    <row r="40" spans="4:25" ht="15.4" x14ac:dyDescent="0.6">
      <c r="D40" s="60" t="s">
        <v>138</v>
      </c>
      <c r="E40" s="57"/>
      <c r="F40" s="62">
        <f>F25</f>
        <v>817.28430836358211</v>
      </c>
      <c r="G40" s="1"/>
      <c r="H40" s="53"/>
      <c r="I40" s="60" t="s">
        <v>138</v>
      </c>
      <c r="J40" s="211"/>
      <c r="K40" s="211"/>
      <c r="L40" s="57"/>
      <c r="M40" s="63">
        <f>M25</f>
        <v>817.28430836358211</v>
      </c>
    </row>
    <row r="41" spans="4:25" ht="15.4" x14ac:dyDescent="0.6">
      <c r="D41" s="60" t="s">
        <v>29</v>
      </c>
      <c r="E41" s="57"/>
      <c r="F41" s="63">
        <f>F39*('Model Output'!$H$13+'Model Output'!$H$18)</f>
        <v>-8644.2784732760829</v>
      </c>
      <c r="G41" s="1"/>
      <c r="H41" s="53"/>
      <c r="I41" s="60" t="s">
        <v>29</v>
      </c>
      <c r="J41" s="211"/>
      <c r="K41" s="211"/>
      <c r="L41" s="57"/>
      <c r="M41" s="63">
        <f>M39*('Model Output'!$H$13+'Model Output'!$H$18)</f>
        <v>-5042.3400286138594</v>
      </c>
    </row>
    <row r="42" spans="4:25" ht="15.4" x14ac:dyDescent="0.6">
      <c r="D42" s="60"/>
      <c r="E42" s="57"/>
      <c r="F42" s="62"/>
      <c r="G42" s="1"/>
      <c r="H42" s="53"/>
      <c r="I42" s="60"/>
      <c r="J42" s="211"/>
      <c r="K42" s="211"/>
      <c r="L42" s="57"/>
      <c r="M42" s="63"/>
    </row>
    <row r="43" spans="4:25" ht="15.4" x14ac:dyDescent="0.6">
      <c r="D43" s="60" t="s">
        <v>139</v>
      </c>
      <c r="E43" s="57"/>
      <c r="F43" s="23">
        <f>+-PV('Model Output'!L67,5,0,F41)</f>
        <v>-8644.2784732760829</v>
      </c>
      <c r="G43" s="1"/>
      <c r="H43" s="53"/>
      <c r="I43" s="60" t="s">
        <v>139</v>
      </c>
      <c r="J43" s="211"/>
      <c r="K43" s="211"/>
      <c r="L43" s="57"/>
      <c r="M43" s="245">
        <f>-+PV('Model Output'!$K$62,5,0,M41)</f>
        <v>-3407.1339824105289</v>
      </c>
    </row>
    <row r="44" spans="4:25" ht="15.4" x14ac:dyDescent="0.6">
      <c r="D44" s="60" t="s">
        <v>31</v>
      </c>
      <c r="E44" s="57"/>
      <c r="F44" s="65">
        <f>F40+F43</f>
        <v>-7826.9941649125012</v>
      </c>
      <c r="G44" s="1"/>
      <c r="H44" s="53"/>
      <c r="I44" s="60" t="s">
        <v>31</v>
      </c>
      <c r="J44" s="211"/>
      <c r="K44" s="211"/>
      <c r="L44" s="57"/>
      <c r="M44" s="64">
        <f>M40+M43</f>
        <v>-2589.8496740469468</v>
      </c>
    </row>
    <row r="45" spans="4:25" ht="15.4" x14ac:dyDescent="0.6">
      <c r="D45" s="157" t="s">
        <v>140</v>
      </c>
      <c r="E45" s="156"/>
      <c r="F45" s="155">
        <f>F31</f>
        <v>0</v>
      </c>
      <c r="G45" s="1"/>
      <c r="H45" s="53"/>
      <c r="I45" s="157" t="s">
        <v>140</v>
      </c>
      <c r="J45" s="156"/>
      <c r="K45" s="156"/>
      <c r="L45" s="156"/>
      <c r="M45" s="254">
        <f>M31</f>
        <v>0</v>
      </c>
    </row>
    <row r="46" spans="4:25" ht="15.4" x14ac:dyDescent="0.6">
      <c r="D46" s="60"/>
      <c r="E46" s="57"/>
      <c r="F46" s="67"/>
      <c r="G46" s="1"/>
      <c r="H46" s="53"/>
      <c r="I46" s="60"/>
      <c r="J46" s="211"/>
      <c r="K46" s="211"/>
      <c r="L46" s="57"/>
      <c r="M46" s="66"/>
    </row>
    <row r="47" spans="4:25" ht="15.75" thickBot="1" x14ac:dyDescent="0.65">
      <c r="D47" s="60" t="s">
        <v>34</v>
      </c>
      <c r="E47" s="57"/>
      <c r="F47" s="69">
        <f>F44-F45</f>
        <v>-7826.9941649125012</v>
      </c>
      <c r="G47" s="1"/>
      <c r="H47" s="53"/>
      <c r="I47" s="60" t="s">
        <v>34</v>
      </c>
      <c r="J47" s="211"/>
      <c r="K47" s="211"/>
      <c r="L47" s="57"/>
      <c r="M47" s="68">
        <f>M44-M45</f>
        <v>-2589.8496740469468</v>
      </c>
    </row>
    <row r="48" spans="4:25" ht="15.75" thickTop="1" x14ac:dyDescent="0.6">
      <c r="D48" s="60" t="s">
        <v>141</v>
      </c>
      <c r="E48" s="57"/>
      <c r="F48" s="67">
        <f>F34</f>
        <v>314.5</v>
      </c>
      <c r="G48" s="1"/>
      <c r="H48" s="53"/>
      <c r="I48" s="60" t="s">
        <v>141</v>
      </c>
      <c r="J48" s="211"/>
      <c r="K48" s="211"/>
      <c r="L48" s="57"/>
      <c r="M48" s="66">
        <f>F34</f>
        <v>314.5</v>
      </c>
    </row>
    <row r="49" spans="4:13" ht="15.75" thickBot="1" x14ac:dyDescent="0.65">
      <c r="D49" s="154" t="s">
        <v>27</v>
      </c>
      <c r="E49" s="153"/>
      <c r="F49" s="152">
        <f>F47/F48</f>
        <v>-24.887103862996824</v>
      </c>
      <c r="G49" s="1"/>
      <c r="H49" s="53"/>
      <c r="I49" s="154" t="s">
        <v>27</v>
      </c>
      <c r="J49" s="153"/>
      <c r="K49" s="153"/>
      <c r="L49" s="153"/>
      <c r="M49" s="152">
        <f>M47/M48</f>
        <v>-8.2348161336945847</v>
      </c>
    </row>
  </sheetData>
  <sheetProtection formatCells="0" formatColumns="0" formatRows="0" insertColumns="0" insertRows="0" insertHyperlinks="0" deleteColumns="0" deleteRows="0" sort="0" autoFilter="0" pivotTables="0"/>
  <pageMargins left="0.2" right="0.2" top="0.5" bottom="0.5" header="0.5" footer="0.5"/>
  <pageSetup scale="92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38C5-0E07-4690-95C9-1AAD273E3F6E}">
  <sheetPr>
    <tabColor theme="5" tint="0.39997558519241921"/>
    <pageSetUpPr fitToPage="1"/>
  </sheetPr>
  <dimension ref="A1:Q35"/>
  <sheetViews>
    <sheetView showGridLines="0" view="pageBreakPreview" zoomScale="85" zoomScaleNormal="110" zoomScaleSheetLayoutView="100" workbookViewId="0">
      <selection activeCell="F3" sqref="F3"/>
    </sheetView>
  </sheetViews>
  <sheetFormatPr defaultColWidth="8.86328125" defaultRowHeight="12.4" x14ac:dyDescent="0.5"/>
  <cols>
    <col min="1" max="1" width="2.59765625" style="5" customWidth="1"/>
    <col min="2" max="2" width="35" style="5" bestFit="1" customWidth="1"/>
    <col min="3" max="3" width="19.3984375" style="5" bestFit="1" customWidth="1"/>
    <col min="4" max="4" width="11.86328125" style="5" bestFit="1" customWidth="1"/>
    <col min="5" max="5" width="22.59765625" style="5" bestFit="1" customWidth="1"/>
    <col min="6" max="6" width="13.73046875" style="5" bestFit="1" customWidth="1"/>
    <col min="7" max="8" width="25.1328125" style="5" bestFit="1" customWidth="1"/>
    <col min="9" max="9" width="24" style="5" bestFit="1" customWidth="1"/>
    <col min="10" max="10" width="17" style="5" bestFit="1" customWidth="1"/>
    <col min="11" max="11" width="8.86328125" style="5"/>
    <col min="12" max="12" width="18.1328125" style="5" bestFit="1" customWidth="1"/>
    <col min="13" max="13" width="10.59765625" style="5" bestFit="1" customWidth="1"/>
    <col min="14" max="14" width="7.1328125" style="5" bestFit="1" customWidth="1"/>
    <col min="15" max="15" width="12.3984375" style="5" bestFit="1" customWidth="1"/>
    <col min="16" max="16" width="18.86328125" style="5" bestFit="1" customWidth="1"/>
    <col min="17" max="17" width="23.73046875" style="5" bestFit="1" customWidth="1"/>
    <col min="18" max="18" width="22.3984375" style="5" bestFit="1" customWidth="1"/>
    <col min="19" max="19" width="15.59765625" style="5" bestFit="1" customWidth="1"/>
    <col min="20" max="16384" width="8.86328125" style="5"/>
  </cols>
  <sheetData>
    <row r="1" spans="1:17" ht="12.75" thickBot="1" x14ac:dyDescent="0.55000000000000004"/>
    <row r="2" spans="1:17" ht="14.25" thickBot="1" x14ac:dyDescent="0.55000000000000004">
      <c r="A2" s="5" t="s">
        <v>69</v>
      </c>
      <c r="B2" s="368" t="s">
        <v>49</v>
      </c>
      <c r="C2" s="369"/>
      <c r="D2" s="27"/>
      <c r="E2" s="368" t="s">
        <v>12</v>
      </c>
      <c r="F2" s="369"/>
      <c r="G2" s="29"/>
      <c r="H2" s="368" t="s">
        <v>50</v>
      </c>
      <c r="I2" s="371"/>
      <c r="J2" s="29"/>
    </row>
    <row r="3" spans="1:17" ht="13.9" x14ac:dyDescent="0.5">
      <c r="B3" s="11" t="s">
        <v>51</v>
      </c>
      <c r="C3" s="268">
        <v>1.4200000000000001E-2</v>
      </c>
      <c r="D3" s="27"/>
      <c r="E3" s="11" t="s">
        <v>52</v>
      </c>
      <c r="F3" s="276">
        <v>0.16</v>
      </c>
      <c r="G3" s="29"/>
      <c r="H3" s="34" t="s">
        <v>64</v>
      </c>
      <c r="I3" s="278">
        <f>H25</f>
        <v>0.15178000000000003</v>
      </c>
      <c r="J3" s="29"/>
    </row>
    <row r="4" spans="1:17" ht="13.9" x14ac:dyDescent="0.5">
      <c r="B4" s="11" t="s">
        <v>90</v>
      </c>
      <c r="C4" s="269">
        <f>I7</f>
        <v>1.8061073653849342</v>
      </c>
      <c r="D4" s="27"/>
      <c r="E4" s="11" t="s">
        <v>53</v>
      </c>
      <c r="F4" s="277">
        <f>D25</f>
        <v>5734</v>
      </c>
      <c r="G4" s="29"/>
      <c r="H4" s="33" t="s">
        <v>67</v>
      </c>
      <c r="I4" s="279">
        <f>AVERAGE(I18:I25)</f>
        <v>0.78237278755886763</v>
      </c>
      <c r="J4" s="29"/>
    </row>
    <row r="5" spans="1:17" ht="14.25" thickBot="1" x14ac:dyDescent="0.55000000000000004">
      <c r="B5" s="13" t="s">
        <v>56</v>
      </c>
      <c r="C5" s="270">
        <f>F6</f>
        <v>7.6100000000000001E-2</v>
      </c>
      <c r="D5" s="27"/>
      <c r="E5" s="11" t="s">
        <v>54</v>
      </c>
      <c r="F5" s="277">
        <f>E25</f>
        <v>3717</v>
      </c>
      <c r="G5" s="29"/>
      <c r="H5" s="415" t="s">
        <v>255</v>
      </c>
      <c r="I5" s="279">
        <f>I25</f>
        <v>0.69309083395902882</v>
      </c>
      <c r="J5" s="29"/>
    </row>
    <row r="6" spans="1:17" ht="14.25" thickBot="1" x14ac:dyDescent="0.55000000000000004">
      <c r="B6" s="10" t="s">
        <v>55</v>
      </c>
      <c r="C6" s="271">
        <f>C3+(C4*C5)</f>
        <v>0.15164477050579347</v>
      </c>
      <c r="D6" s="27"/>
      <c r="E6" s="13" t="s">
        <v>56</v>
      </c>
      <c r="F6" s="270">
        <v>7.6100000000000001E-2</v>
      </c>
      <c r="G6" s="29"/>
      <c r="H6" s="33" t="s">
        <v>207</v>
      </c>
      <c r="I6" s="279">
        <f>MEDIAN(I18:I24)</f>
        <v>0.5808971997007718</v>
      </c>
      <c r="J6" s="29"/>
    </row>
    <row r="7" spans="1:17" ht="14.25" thickBot="1" x14ac:dyDescent="0.55000000000000004">
      <c r="B7" s="11"/>
      <c r="C7" s="248"/>
      <c r="D7" s="27"/>
      <c r="E7" s="27"/>
      <c r="F7" s="27"/>
      <c r="G7" s="29"/>
      <c r="H7" s="416" t="s">
        <v>256</v>
      </c>
      <c r="I7" s="280">
        <f>I4*(1+(1-I3)*F25)</f>
        <v>1.8061073653849342</v>
      </c>
      <c r="J7" s="29"/>
    </row>
    <row r="8" spans="1:17" ht="13.9" x14ac:dyDescent="0.5">
      <c r="B8" s="11"/>
      <c r="C8" s="248"/>
      <c r="D8" s="27"/>
      <c r="E8" s="27"/>
      <c r="F8" s="27"/>
      <c r="G8" s="29"/>
      <c r="J8" s="29"/>
    </row>
    <row r="9" spans="1:17" ht="13.9" x14ac:dyDescent="0.5">
      <c r="B9" s="11" t="s">
        <v>57</v>
      </c>
      <c r="C9" s="272">
        <v>4.2999999999999997E-2</v>
      </c>
      <c r="D9" s="188"/>
      <c r="E9" s="27"/>
      <c r="F9" s="27"/>
      <c r="G9" s="29"/>
      <c r="H9" s="31"/>
      <c r="I9" s="32"/>
      <c r="J9" s="29"/>
      <c r="K9" s="29"/>
      <c r="L9" s="29"/>
      <c r="M9" s="167"/>
      <c r="N9" s="29"/>
      <c r="O9" s="29"/>
      <c r="P9" s="29"/>
      <c r="Q9" s="29"/>
    </row>
    <row r="10" spans="1:17" ht="13.9" x14ac:dyDescent="0.5">
      <c r="B10" s="10" t="s">
        <v>58</v>
      </c>
      <c r="C10" s="273">
        <f>C9*(1-F3)</f>
        <v>3.6119999999999992E-2</v>
      </c>
      <c r="D10" s="27"/>
      <c r="E10" s="50"/>
      <c r="F10" s="27"/>
      <c r="G10" s="29"/>
      <c r="H10" s="29"/>
      <c r="I10" s="29"/>
      <c r="J10" s="29"/>
      <c r="K10" s="29"/>
      <c r="L10" s="29"/>
      <c r="M10" s="168"/>
      <c r="N10" s="29"/>
      <c r="O10" s="29"/>
      <c r="P10" s="29"/>
      <c r="Q10" s="29"/>
    </row>
    <row r="11" spans="1:17" ht="13.9" x14ac:dyDescent="0.5">
      <c r="B11" s="11"/>
      <c r="C11" s="248"/>
      <c r="D11" s="27"/>
      <c r="E11" s="27"/>
      <c r="F11" s="27"/>
      <c r="G11" s="29"/>
      <c r="H11" s="167"/>
      <c r="I11" s="29"/>
      <c r="J11" s="29"/>
      <c r="K11" s="29"/>
      <c r="L11" s="29"/>
      <c r="M11" s="29"/>
      <c r="N11" s="29"/>
      <c r="O11" s="29"/>
      <c r="P11" s="29"/>
      <c r="Q11" s="29"/>
    </row>
    <row r="12" spans="1:17" ht="13.9" x14ac:dyDescent="0.5">
      <c r="B12" s="11" t="s">
        <v>59</v>
      </c>
      <c r="C12" s="274">
        <f>F5/(F5+F4)</f>
        <v>0.39329171516241668</v>
      </c>
      <c r="D12" s="27"/>
      <c r="E12" s="27"/>
      <c r="F12" s="27"/>
      <c r="G12" s="29"/>
      <c r="H12" s="167"/>
      <c r="I12" s="29"/>
      <c r="J12" s="29"/>
      <c r="K12" s="29"/>
      <c r="L12" s="29"/>
      <c r="M12" s="29"/>
      <c r="N12" s="29"/>
      <c r="O12" s="29"/>
      <c r="P12" s="29"/>
      <c r="Q12" s="29"/>
    </row>
    <row r="13" spans="1:17" ht="13.9" x14ac:dyDescent="0.5">
      <c r="B13" s="11" t="s">
        <v>60</v>
      </c>
      <c r="C13" s="274">
        <f>F4/(F5+F4)</f>
        <v>0.60670828483758332</v>
      </c>
      <c r="D13" s="27"/>
      <c r="E13" s="27"/>
      <c r="F13" s="27"/>
      <c r="G13" s="29"/>
      <c r="H13" s="167"/>
      <c r="I13" s="29"/>
      <c r="J13" s="29"/>
      <c r="K13" s="29"/>
      <c r="L13" s="29"/>
      <c r="M13" s="29"/>
      <c r="N13" s="29"/>
      <c r="O13" s="29"/>
      <c r="P13" s="29"/>
      <c r="Q13" s="29"/>
    </row>
    <row r="14" spans="1:17" ht="14.25" thickBot="1" x14ac:dyDescent="0.55000000000000004">
      <c r="A14" s="5" t="s">
        <v>69</v>
      </c>
      <c r="B14" s="30" t="s">
        <v>49</v>
      </c>
      <c r="C14" s="275">
        <f>C6*C12+C10*C13</f>
        <v>8.1554935135968079E-2</v>
      </c>
      <c r="D14" s="27"/>
      <c r="E14" s="27"/>
      <c r="F14" s="27"/>
      <c r="G14" s="29"/>
      <c r="H14" s="166"/>
      <c r="I14" s="29"/>
      <c r="J14" s="29"/>
      <c r="K14" s="29"/>
      <c r="L14" s="29"/>
      <c r="M14" s="29"/>
      <c r="N14" s="29"/>
      <c r="O14" s="29"/>
      <c r="P14" s="29"/>
      <c r="Q14" s="29"/>
    </row>
    <row r="15" spans="1:17" ht="15.4" x14ac:dyDescent="0.5">
      <c r="H15" s="165"/>
    </row>
    <row r="16" spans="1:17" x14ac:dyDescent="0.5">
      <c r="H16" s="164"/>
      <c r="I16" s="164"/>
      <c r="J16" s="164"/>
    </row>
    <row r="17" spans="1:10" ht="13.9" x14ac:dyDescent="0.5">
      <c r="A17" s="5" t="s">
        <v>69</v>
      </c>
      <c r="B17" s="363" t="s">
        <v>15</v>
      </c>
      <c r="C17" s="407" t="s">
        <v>84</v>
      </c>
      <c r="D17" s="407" t="s">
        <v>11</v>
      </c>
      <c r="E17" s="408" t="s">
        <v>54</v>
      </c>
      <c r="F17" s="407" t="s">
        <v>63</v>
      </c>
      <c r="G17" s="407" t="s">
        <v>66</v>
      </c>
      <c r="H17" s="407" t="s">
        <v>64</v>
      </c>
      <c r="I17" s="409" t="s">
        <v>65</v>
      </c>
    </row>
    <row r="18" spans="1:10" ht="13.9" x14ac:dyDescent="0.5">
      <c r="B18" s="189" t="s">
        <v>208</v>
      </c>
      <c r="C18" s="258">
        <v>1.22</v>
      </c>
      <c r="D18" s="259">
        <v>12205</v>
      </c>
      <c r="E18" s="259">
        <v>8876</v>
      </c>
      <c r="F18" s="260">
        <f t="shared" ref="F18:F22" si="0">D18/E18</f>
        <v>1.3750563316809374</v>
      </c>
      <c r="G18" s="260">
        <f>'WACC Comps'!K4</f>
        <v>0.1298</v>
      </c>
      <c r="H18" s="260">
        <f t="shared" ref="H18:H25" si="1">AVERAGE(G18:G18)</f>
        <v>0.1298</v>
      </c>
      <c r="I18" s="261">
        <f t="shared" ref="I18:I25" si="2">C18/(1+(1-H18)*F18)</f>
        <v>0.55541037496888579</v>
      </c>
    </row>
    <row r="19" spans="1:10" ht="13.9" x14ac:dyDescent="0.5">
      <c r="B19" s="189" t="s">
        <v>211</v>
      </c>
      <c r="C19" s="258">
        <v>1.45</v>
      </c>
      <c r="D19" s="221">
        <v>41021</v>
      </c>
      <c r="E19" s="221">
        <v>1534</v>
      </c>
      <c r="F19" s="260">
        <f t="shared" si="0"/>
        <v>26.741199478487616</v>
      </c>
      <c r="G19" s="260">
        <f>'WACC Comps'!K5</f>
        <v>0.14277999999999999</v>
      </c>
      <c r="H19" s="260">
        <f t="shared" si="1"/>
        <v>0.14277999999999999</v>
      </c>
      <c r="I19" s="261">
        <f t="shared" si="2"/>
        <v>6.0610896768009473E-2</v>
      </c>
    </row>
    <row r="20" spans="1:10" ht="13.9" x14ac:dyDescent="0.5">
      <c r="B20" s="189" t="s">
        <v>210</v>
      </c>
      <c r="C20" s="258">
        <v>1.62</v>
      </c>
      <c r="D20" s="221">
        <v>33891</v>
      </c>
      <c r="E20" s="221">
        <v>5960</v>
      </c>
      <c r="F20" s="260">
        <f t="shared" si="0"/>
        <v>5.6864093959731541</v>
      </c>
      <c r="G20" s="260">
        <f>'WACC Comps'!K6</f>
        <v>0.1487</v>
      </c>
      <c r="H20" s="260">
        <f t="shared" si="1"/>
        <v>0.1487</v>
      </c>
      <c r="I20" s="261">
        <f t="shared" si="2"/>
        <v>0.27735735126808991</v>
      </c>
    </row>
    <row r="21" spans="1:10" ht="13.9" x14ac:dyDescent="0.5">
      <c r="B21" s="189" t="s">
        <v>213</v>
      </c>
      <c r="C21" s="258">
        <v>1.83</v>
      </c>
      <c r="D21" s="221">
        <v>1851</v>
      </c>
      <c r="E21" s="221">
        <v>-6867</v>
      </c>
      <c r="F21" s="260">
        <f t="shared" si="0"/>
        <v>-0.26955002184359983</v>
      </c>
      <c r="G21" s="260">
        <f>'WACC Comps'!K7</f>
        <v>9.7079999999999986E-2</v>
      </c>
      <c r="H21" s="260">
        <f t="shared" si="1"/>
        <v>9.7079999999999986E-2</v>
      </c>
      <c r="I21" s="261">
        <f t="shared" si="2"/>
        <v>2.4186581018530444</v>
      </c>
    </row>
    <row r="22" spans="1:10" ht="13.9" x14ac:dyDescent="0.5">
      <c r="B22" s="189" t="s">
        <v>216</v>
      </c>
      <c r="C22" s="258">
        <v>1.82</v>
      </c>
      <c r="D22" s="221">
        <v>5053</v>
      </c>
      <c r="E22" s="221">
        <v>3005</v>
      </c>
      <c r="F22" s="260">
        <f t="shared" si="0"/>
        <v>1.6815307820299501</v>
      </c>
      <c r="G22" s="260">
        <f>'WACC Comps'!K8</f>
        <v>0.14374000000000001</v>
      </c>
      <c r="H22" s="260">
        <f t="shared" si="1"/>
        <v>0.14374000000000001</v>
      </c>
      <c r="I22" s="261">
        <f t="shared" si="2"/>
        <v>0.74595436137436943</v>
      </c>
    </row>
    <row r="23" spans="1:10" ht="13.9" x14ac:dyDescent="0.5">
      <c r="A23" s="5" t="s">
        <v>69</v>
      </c>
      <c r="B23" s="189" t="s">
        <v>212</v>
      </c>
      <c r="C23" s="258">
        <v>1.68</v>
      </c>
      <c r="D23" s="221">
        <v>4833.1000000000004</v>
      </c>
      <c r="E23" s="221">
        <v>2249.6999999999998</v>
      </c>
      <c r="F23" s="260">
        <f>D23/E23</f>
        <v>2.1483308885629198</v>
      </c>
      <c r="G23" s="260">
        <f>'WACC Comps'!K9</f>
        <v>0.11928000000000001</v>
      </c>
      <c r="H23" s="260">
        <f t="shared" si="1"/>
        <v>0.11928000000000001</v>
      </c>
      <c r="I23" s="261">
        <f t="shared" si="2"/>
        <v>0.5808971997007718</v>
      </c>
    </row>
    <row r="24" spans="1:10" ht="13.9" x14ac:dyDescent="0.5">
      <c r="B24" s="189" t="s">
        <v>209</v>
      </c>
      <c r="C24" s="258">
        <v>2.0699999999999998</v>
      </c>
      <c r="D24" s="221">
        <v>3492.2</v>
      </c>
      <c r="E24" s="221">
        <v>2139.5</v>
      </c>
      <c r="F24" s="260">
        <f>D24/E24</f>
        <v>1.6322505258237905</v>
      </c>
      <c r="G24" s="260">
        <f>'WACC Comps'!K10</f>
        <v>0.24459999999999998</v>
      </c>
      <c r="H24" s="260">
        <f t="shared" si="1"/>
        <v>0.24459999999999998</v>
      </c>
      <c r="I24" s="261">
        <f t="shared" si="2"/>
        <v>0.92700318057874131</v>
      </c>
    </row>
    <row r="25" spans="1:10" ht="13.9" x14ac:dyDescent="0.5">
      <c r="B25" s="262" t="s">
        <v>214</v>
      </c>
      <c r="C25" s="263">
        <v>1.6</v>
      </c>
      <c r="D25" s="264">
        <v>5734</v>
      </c>
      <c r="E25" s="264">
        <v>3717</v>
      </c>
      <c r="F25" s="265">
        <f>D25/E25</f>
        <v>1.5426419155232713</v>
      </c>
      <c r="G25" s="266">
        <f>'WACC Comps'!K11</f>
        <v>0.15178000000000003</v>
      </c>
      <c r="H25" s="266">
        <f t="shared" si="1"/>
        <v>0.15178000000000003</v>
      </c>
      <c r="I25" s="267">
        <f t="shared" si="2"/>
        <v>0.69309083395902882</v>
      </c>
    </row>
    <row r="27" spans="1:10" x14ac:dyDescent="0.5">
      <c r="J27" s="49"/>
    </row>
    <row r="29" spans="1:10" x14ac:dyDescent="0.5">
      <c r="B29" s="35"/>
    </row>
    <row r="30" spans="1:10" x14ac:dyDescent="0.5">
      <c r="B30" s="35"/>
    </row>
    <row r="31" spans="1:10" x14ac:dyDescent="0.5">
      <c r="B31" s="35"/>
    </row>
    <row r="32" spans="1:10" x14ac:dyDescent="0.5">
      <c r="B32" s="35"/>
    </row>
    <row r="33" spans="2:2" x14ac:dyDescent="0.5">
      <c r="B33" s="35"/>
    </row>
    <row r="34" spans="2:2" x14ac:dyDescent="0.5">
      <c r="B34" s="35"/>
    </row>
    <row r="35" spans="2:2" x14ac:dyDescent="0.5">
      <c r="B35" s="35"/>
    </row>
  </sheetData>
  <pageMargins left="0.2" right="0.2" top="0.5" bottom="0.5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Cover</vt:lpstr>
      <vt:lpstr>Calculations &gt;&gt;</vt:lpstr>
      <vt:lpstr>Inputs</vt:lpstr>
      <vt:lpstr>Comps Inputs</vt:lpstr>
      <vt:lpstr>WACC Comps</vt:lpstr>
      <vt:lpstr>Outputs &gt;&gt;</vt:lpstr>
      <vt:lpstr>Model Output</vt:lpstr>
      <vt:lpstr> Comps</vt:lpstr>
      <vt:lpstr>WACC</vt:lpstr>
      <vt:lpstr>Valuation Summary</vt:lpstr>
      <vt:lpstr>Raw Data &gt;&gt;</vt:lpstr>
      <vt:lpstr>JBLU Income Statement</vt:lpstr>
      <vt:lpstr>JBLU Balance Sheet</vt:lpstr>
      <vt:lpstr>JBLU Cash Flow</vt:lpstr>
      <vt:lpstr>' Comps'!Print_Area</vt:lpstr>
      <vt:lpstr>'Comps Inputs'!Print_Area</vt:lpstr>
      <vt:lpstr>Cover!Print_Area</vt:lpstr>
      <vt:lpstr>Inputs!Print_Area</vt:lpstr>
      <vt:lpstr>'JBLU Balance Sheet'!Print_Area</vt:lpstr>
      <vt:lpstr>'JBLU Cash Flow'!Print_Area</vt:lpstr>
      <vt:lpstr>'JBLU Income Statement'!Print_Area</vt:lpstr>
      <vt:lpstr>'Model Output'!Print_Area</vt:lpstr>
      <vt:lpstr>'Valuation Summary'!Print_Area</vt:lpstr>
      <vt:lpstr>WACC!Print_Area</vt:lpstr>
      <vt:lpstr>'WACC Comps'!Print_Area</vt:lpstr>
      <vt:lpstr>'JBLU Balance Sheet'!Print_Titles</vt:lpstr>
      <vt:lpstr>'JBLU Cash Flow'!Print_Titles</vt:lpstr>
      <vt:lpstr>'JBLU Income Statement'!Print_Titles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Vertiv_DCF</dc:title>
  <dc:creator/>
  <cp:lastModifiedBy/>
  <dcterms:created xsi:type="dcterms:W3CDTF">2020-10-19T23:42:56Z</dcterms:created>
  <dcterms:modified xsi:type="dcterms:W3CDTF">2021-03-04T06:52:46Z</dcterms:modified>
</cp:coreProperties>
</file>