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mc:AlternateContent xmlns:mc="http://schemas.openxmlformats.org/markup-compatibility/2006">
    <mc:Choice Requires="x15">
      <x15ac:absPath xmlns:x15ac="http://schemas.microsoft.com/office/spreadsheetml/2010/11/ac" url="https://cooperunion-my.sharepoint.com/personal/brianna_connors_cooper_edu/Documents/"/>
    </mc:Choice>
  </mc:AlternateContent>
  <xr:revisionPtr revIDLastSave="0" documentId="8_{90BCB679-295D-426B-A8D9-B138FAAA175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MAIN PAGE" sheetId="3" r:id="rId1"/>
    <sheet name="Variable AOA Flat plate" sheetId="4" r:id="rId2"/>
    <sheet name="Wing Flap (rigid body)" sheetId="10" r:id="rId3"/>
    <sheet name="Wing Flap (particle)" sheetId="11" r:id="rId4"/>
    <sheet name="Variable AOA Dihedral" sheetId="7" r:id="rId5"/>
    <sheet name="Variable AOA Airfoil Frame" sheetId="8" r:id="rId6"/>
    <sheet name="ignore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3" l="1"/>
  <c r="P32" i="3"/>
  <c r="P33" i="3"/>
  <c r="P31" i="3"/>
  <c r="D19" i="3"/>
  <c r="P38" i="3"/>
  <c r="B4" i="10"/>
  <c r="B3" i="10"/>
  <c r="L13" i="11"/>
  <c r="I12" i="11"/>
  <c r="I13" i="11" s="1"/>
  <c r="K10" i="11"/>
  <c r="I6" i="11"/>
  <c r="I8" i="11" s="1"/>
  <c r="K5" i="11"/>
  <c r="A5" i="11"/>
  <c r="K4" i="11"/>
  <c r="D4" i="11"/>
  <c r="C4" i="11"/>
  <c r="B4" i="11"/>
  <c r="D3" i="11"/>
  <c r="C3" i="11"/>
  <c r="B3" i="11"/>
  <c r="L5" i="10"/>
  <c r="L4" i="10"/>
  <c r="L10" i="10"/>
  <c r="B25" i="3"/>
  <c r="M13" i="10"/>
  <c r="J12" i="10"/>
  <c r="J13" i="10" s="1"/>
  <c r="J6" i="10"/>
  <c r="J8" i="10" s="1"/>
  <c r="A5" i="10"/>
  <c r="A6" i="10" s="1"/>
  <c r="D4" i="10"/>
  <c r="E4" i="10" s="1"/>
  <c r="F4" i="10" s="1"/>
  <c r="G4" i="10" s="1"/>
  <c r="C4" i="10"/>
  <c r="D3" i="10"/>
  <c r="C3" i="10"/>
  <c r="H8" i="9"/>
  <c r="H12" i="9"/>
  <c r="H13" i="9" s="1"/>
  <c r="K13" i="9"/>
  <c r="H6" i="9"/>
  <c r="B3" i="9"/>
  <c r="D3" i="9"/>
  <c r="E3" i="9" s="1"/>
  <c r="D4" i="9"/>
  <c r="C4" i="9"/>
  <c r="C3" i="9"/>
  <c r="B4" i="9"/>
  <c r="A5" i="9"/>
  <c r="O50" i="3"/>
  <c r="B51" i="3"/>
  <c r="B52" i="3" s="1"/>
  <c r="B53" i="3" s="1"/>
  <c r="B20" i="3"/>
  <c r="B4" i="3"/>
  <c r="G8" i="3"/>
  <c r="B47" i="3" s="1"/>
  <c r="G5" i="3"/>
  <c r="O47" i="3" s="1"/>
  <c r="D18" i="3"/>
  <c r="D17" i="3"/>
  <c r="D16" i="3"/>
  <c r="D34" i="3"/>
  <c r="G6" i="3"/>
  <c r="G3" i="3"/>
  <c r="G2" i="3"/>
  <c r="B15" i="7"/>
  <c r="D15" i="7" s="1"/>
  <c r="F15" i="7" s="1"/>
  <c r="B4" i="7"/>
  <c r="D4" i="7" s="1"/>
  <c r="H15" i="4"/>
  <c r="H4" i="4"/>
  <c r="G23" i="3"/>
  <c r="J35" i="3" s="1"/>
  <c r="R33" i="3" l="1"/>
  <c r="R32" i="3"/>
  <c r="D20" i="3"/>
  <c r="B21" i="3"/>
  <c r="V4" i="4"/>
  <c r="V15" i="4"/>
  <c r="E3" i="11"/>
  <c r="F3" i="11" s="1"/>
  <c r="E4" i="11"/>
  <c r="F4" i="11" s="1"/>
  <c r="A6" i="11"/>
  <c r="D5" i="11"/>
  <c r="C5" i="11"/>
  <c r="B5" i="11"/>
  <c r="E3" i="10"/>
  <c r="I4" i="4"/>
  <c r="Q4" i="4"/>
  <c r="I15" i="4"/>
  <c r="Q15" i="4"/>
  <c r="G35" i="3"/>
  <c r="A7" i="10"/>
  <c r="D6" i="10"/>
  <c r="E6" i="10" s="1"/>
  <c r="F6" i="10" s="1"/>
  <c r="G6" i="10" s="1"/>
  <c r="C6" i="10"/>
  <c r="B6" i="10"/>
  <c r="C5" i="10"/>
  <c r="D5" i="10"/>
  <c r="E5" i="10" s="1"/>
  <c r="F5" i="10" s="1"/>
  <c r="G5" i="10" s="1"/>
  <c r="B5" i="10"/>
  <c r="D5" i="9"/>
  <c r="E5" i="9" s="1"/>
  <c r="C5" i="9"/>
  <c r="B5" i="9"/>
  <c r="A6" i="9"/>
  <c r="B14" i="7"/>
  <c r="D14" i="7" s="1"/>
  <c r="E14" i="7" s="1"/>
  <c r="B15" i="8"/>
  <c r="D15" i="8" s="1"/>
  <c r="F15" i="8" s="1"/>
  <c r="B14" i="8"/>
  <c r="D14" i="8" s="1"/>
  <c r="E14" i="8" s="1"/>
  <c r="B13" i="8"/>
  <c r="D13" i="8" s="1"/>
  <c r="B12" i="8"/>
  <c r="D12" i="8" s="1"/>
  <c r="B11" i="8"/>
  <c r="D11" i="8" s="1"/>
  <c r="B10" i="8"/>
  <c r="D10" i="8" s="1"/>
  <c r="B9" i="8"/>
  <c r="D9" i="8" s="1"/>
  <c r="F9" i="8" s="1"/>
  <c r="B8" i="8"/>
  <c r="D8" i="8" s="1"/>
  <c r="B7" i="8"/>
  <c r="D7" i="8" s="1"/>
  <c r="B6" i="8"/>
  <c r="D6" i="8" s="1"/>
  <c r="E6" i="8" s="1"/>
  <c r="B5" i="8"/>
  <c r="D5" i="8" s="1"/>
  <c r="F5" i="8" s="1"/>
  <c r="B4" i="8"/>
  <c r="D4" i="8" s="1"/>
  <c r="B3" i="8"/>
  <c r="D3" i="8" s="1"/>
  <c r="E3" i="8" s="1"/>
  <c r="H11" i="4"/>
  <c r="V11" i="4" s="1"/>
  <c r="H15" i="8"/>
  <c r="H14" i="8"/>
  <c r="H13" i="8"/>
  <c r="H12" i="8"/>
  <c r="H11" i="8"/>
  <c r="H10" i="8"/>
  <c r="H9" i="8"/>
  <c r="H8" i="8"/>
  <c r="H7" i="8"/>
  <c r="H6" i="8"/>
  <c r="H5" i="8"/>
  <c r="H4" i="8"/>
  <c r="H3" i="8"/>
  <c r="J3" i="8"/>
  <c r="I3" i="8"/>
  <c r="F4" i="8"/>
  <c r="E4" i="8"/>
  <c r="J4" i="8"/>
  <c r="I4" i="8"/>
  <c r="J5" i="8"/>
  <c r="I5" i="8"/>
  <c r="J6" i="8"/>
  <c r="I6" i="8"/>
  <c r="F7" i="8"/>
  <c r="E7" i="8"/>
  <c r="J7" i="8"/>
  <c r="I7" i="8"/>
  <c r="F8" i="8"/>
  <c r="E8" i="8"/>
  <c r="J8" i="8"/>
  <c r="I8" i="8"/>
  <c r="J9" i="8"/>
  <c r="I9" i="8"/>
  <c r="F10" i="8"/>
  <c r="E10" i="8"/>
  <c r="J10" i="8"/>
  <c r="I10" i="8"/>
  <c r="F11" i="8"/>
  <c r="E11" i="8"/>
  <c r="J11" i="8"/>
  <c r="I11" i="8"/>
  <c r="F12" i="8"/>
  <c r="E12" i="8"/>
  <c r="J12" i="8"/>
  <c r="I12" i="8"/>
  <c r="F13" i="8"/>
  <c r="E13" i="8"/>
  <c r="J13" i="8"/>
  <c r="I13" i="8"/>
  <c r="J14" i="8"/>
  <c r="I14" i="8"/>
  <c r="J15" i="8"/>
  <c r="I15" i="8"/>
  <c r="O51" i="3"/>
  <c r="B3" i="7"/>
  <c r="D3" i="7" s="1"/>
  <c r="E3" i="7" s="1"/>
  <c r="G7" i="3"/>
  <c r="G28" i="3" s="1"/>
  <c r="P35" i="3" s="1"/>
  <c r="H3" i="4"/>
  <c r="V3" i="4" s="1"/>
  <c r="G24" i="3"/>
  <c r="G17" i="3"/>
  <c r="G4" i="3"/>
  <c r="B5" i="4"/>
  <c r="D5" i="4" s="1"/>
  <c r="F5" i="4" s="1"/>
  <c r="J2" i="3"/>
  <c r="B4" i="4"/>
  <c r="D4" i="4" s="1"/>
  <c r="F4" i="4" s="1"/>
  <c r="B6" i="4"/>
  <c r="D6" i="4" s="1"/>
  <c r="F6" i="4" s="1"/>
  <c r="B48" i="3"/>
  <c r="B49" i="3"/>
  <c r="B57" i="3" s="1"/>
  <c r="O48" i="3"/>
  <c r="B7" i="4"/>
  <c r="D7" i="4" s="1"/>
  <c r="F7" i="4" s="1"/>
  <c r="H10" i="4"/>
  <c r="V10" i="4" s="1"/>
  <c r="B8" i="4"/>
  <c r="D8" i="4" s="1"/>
  <c r="E8" i="4" s="1"/>
  <c r="W8" i="4" s="1"/>
  <c r="B5" i="7"/>
  <c r="D5" i="7" s="1"/>
  <c r="F5" i="7" s="1"/>
  <c r="B9" i="4"/>
  <c r="D9" i="4" s="1"/>
  <c r="E9" i="4" s="1"/>
  <c r="W9" i="4" s="1"/>
  <c r="B6" i="7"/>
  <c r="D6" i="7" s="1"/>
  <c r="F6" i="7" s="1"/>
  <c r="B12" i="4"/>
  <c r="D12" i="4" s="1"/>
  <c r="E12" i="4" s="1"/>
  <c r="W12" i="4" s="1"/>
  <c r="B14" i="4"/>
  <c r="D14" i="4" s="1"/>
  <c r="E14" i="4" s="1"/>
  <c r="W14" i="4" s="1"/>
  <c r="B15" i="4"/>
  <c r="D15" i="4" s="1"/>
  <c r="F15" i="4" s="1"/>
  <c r="B7" i="7"/>
  <c r="D7" i="7" s="1"/>
  <c r="E7" i="7" s="1"/>
  <c r="B8" i="7"/>
  <c r="D8" i="7" s="1"/>
  <c r="F8" i="7" s="1"/>
  <c r="H5" i="4"/>
  <c r="V5" i="4" s="1"/>
  <c r="B10" i="4"/>
  <c r="D10" i="4" s="1"/>
  <c r="E10" i="4" s="1"/>
  <c r="W10" i="4" s="1"/>
  <c r="B9" i="7"/>
  <c r="D9" i="7" s="1"/>
  <c r="E9" i="7" s="1"/>
  <c r="B10" i="7"/>
  <c r="D10" i="7" s="1"/>
  <c r="E10" i="7" s="1"/>
  <c r="G25" i="3"/>
  <c r="H12" i="4"/>
  <c r="V12" i="4" s="1"/>
  <c r="X12" i="4" s="1"/>
  <c r="B11" i="7"/>
  <c r="D11" i="7" s="1"/>
  <c r="E11" i="7" s="1"/>
  <c r="H8" i="4"/>
  <c r="V8" i="4" s="1"/>
  <c r="X8" i="4" s="1"/>
  <c r="B11" i="4"/>
  <c r="D11" i="4" s="1"/>
  <c r="F11" i="4" s="1"/>
  <c r="B13" i="4"/>
  <c r="D13" i="4" s="1"/>
  <c r="F13" i="4" s="1"/>
  <c r="H9" i="4"/>
  <c r="V9" i="4" s="1"/>
  <c r="X9" i="4" s="1"/>
  <c r="B12" i="7"/>
  <c r="D12" i="7" s="1"/>
  <c r="E12" i="7" s="1"/>
  <c r="K47" i="3"/>
  <c r="H13" i="4"/>
  <c r="V13" i="4" s="1"/>
  <c r="H6" i="4"/>
  <c r="V6" i="4" s="1"/>
  <c r="H7" i="4"/>
  <c r="V7" i="4" s="1"/>
  <c r="H14" i="4"/>
  <c r="V14" i="4" s="1"/>
  <c r="X14" i="4" s="1"/>
  <c r="B3" i="4"/>
  <c r="D3" i="4" s="1"/>
  <c r="E3" i="4" s="1"/>
  <c r="W3" i="4" s="1"/>
  <c r="B13" i="7"/>
  <c r="D13" i="7" s="1"/>
  <c r="E13" i="7" s="1"/>
  <c r="B56" i="3"/>
  <c r="J3" i="4"/>
  <c r="J11" i="4"/>
  <c r="J15" i="4"/>
  <c r="F4" i="7"/>
  <c r="E4" i="7"/>
  <c r="J4" i="4"/>
  <c r="E15" i="7"/>
  <c r="F14" i="4"/>
  <c r="H4" i="7"/>
  <c r="H5" i="7"/>
  <c r="H6" i="7"/>
  <c r="H7" i="7"/>
  <c r="H8" i="7"/>
  <c r="H9" i="7"/>
  <c r="H10" i="7"/>
  <c r="H11" i="7"/>
  <c r="H12" i="7"/>
  <c r="H13" i="7"/>
  <c r="H14" i="7"/>
  <c r="H15" i="7"/>
  <c r="H3" i="7"/>
  <c r="X10" i="4" l="1"/>
  <c r="X3" i="4"/>
  <c r="F3" i="10"/>
  <c r="G3" i="10" s="1"/>
  <c r="Q12" i="4"/>
  <c r="R10" i="4"/>
  <c r="R14" i="4"/>
  <c r="R12" i="4"/>
  <c r="R9" i="4"/>
  <c r="R8" i="4"/>
  <c r="G29" i="3"/>
  <c r="I28" i="3"/>
  <c r="E5" i="11"/>
  <c r="F5" i="11" s="1"/>
  <c r="R3" i="4"/>
  <c r="Q3" i="4"/>
  <c r="S3" i="4" s="1"/>
  <c r="A7" i="11"/>
  <c r="D6" i="11"/>
  <c r="C6" i="11"/>
  <c r="B6" i="11"/>
  <c r="I14" i="4"/>
  <c r="Q14" i="4"/>
  <c r="I7" i="4"/>
  <c r="Q7" i="4"/>
  <c r="I6" i="4"/>
  <c r="Q6" i="4"/>
  <c r="I13" i="4"/>
  <c r="Q13" i="4"/>
  <c r="J9" i="4"/>
  <c r="Q9" i="4"/>
  <c r="I8" i="4"/>
  <c r="Q8" i="4"/>
  <c r="J5" i="4"/>
  <c r="Q5" i="4"/>
  <c r="I10" i="4"/>
  <c r="Q10" i="4"/>
  <c r="I3" i="4"/>
  <c r="I11" i="4"/>
  <c r="Q11" i="4"/>
  <c r="K5" i="4"/>
  <c r="F3" i="8"/>
  <c r="E15" i="8"/>
  <c r="F14" i="8"/>
  <c r="F6" i="8"/>
  <c r="F14" i="7"/>
  <c r="E9" i="8"/>
  <c r="E5" i="8"/>
  <c r="E13" i="4"/>
  <c r="W13" i="4" s="1"/>
  <c r="X13" i="4" s="1"/>
  <c r="C7" i="10"/>
  <c r="B7" i="10"/>
  <c r="A8" i="10"/>
  <c r="D7" i="10"/>
  <c r="E7" i="10" s="1"/>
  <c r="F7" i="10" s="1"/>
  <c r="G7" i="10" s="1"/>
  <c r="E4" i="9"/>
  <c r="D6" i="9"/>
  <c r="E6" i="9" s="1"/>
  <c r="C6" i="9"/>
  <c r="B6" i="9"/>
  <c r="A7" i="9"/>
  <c r="M15" i="8"/>
  <c r="M14" i="8"/>
  <c r="P54" i="3" s="1"/>
  <c r="M13" i="8"/>
  <c r="M12" i="8"/>
  <c r="M11" i="8"/>
  <c r="M10" i="8"/>
  <c r="M9" i="8"/>
  <c r="M8" i="8"/>
  <c r="M7" i="8"/>
  <c r="M6" i="8"/>
  <c r="M5" i="8"/>
  <c r="M4" i="8"/>
  <c r="M3" i="8"/>
  <c r="P57" i="3" s="1"/>
  <c r="M5" i="4"/>
  <c r="F10" i="7"/>
  <c r="F11" i="7"/>
  <c r="F12" i="7"/>
  <c r="F13" i="7"/>
  <c r="F9" i="7"/>
  <c r="F3" i="7"/>
  <c r="E4" i="4"/>
  <c r="W4" i="4" s="1"/>
  <c r="X4" i="4" s="1"/>
  <c r="M4" i="4"/>
  <c r="F3" i="4"/>
  <c r="M3" i="4" s="1"/>
  <c r="F50" i="3" s="1"/>
  <c r="J10" i="4"/>
  <c r="E6" i="4"/>
  <c r="W6" i="4" s="1"/>
  <c r="X6" i="4" s="1"/>
  <c r="E7" i="4"/>
  <c r="W7" i="4" s="1"/>
  <c r="X7" i="4" s="1"/>
  <c r="K14" i="4"/>
  <c r="N14" i="4" s="1"/>
  <c r="F48" i="3" s="1"/>
  <c r="K8" i="7"/>
  <c r="K9" i="7"/>
  <c r="K11" i="7"/>
  <c r="K12" i="7"/>
  <c r="K6" i="4"/>
  <c r="E5" i="4"/>
  <c r="W5" i="4" s="1"/>
  <c r="X5" i="4" s="1"/>
  <c r="K10" i="4"/>
  <c r="N10" i="4" s="1"/>
  <c r="K13" i="4"/>
  <c r="N13" i="4" s="1"/>
  <c r="K5" i="7"/>
  <c r="K8" i="4"/>
  <c r="N8" i="4" s="1"/>
  <c r="K7" i="7"/>
  <c r="J8" i="4"/>
  <c r="F8" i="4"/>
  <c r="K9" i="4"/>
  <c r="K14" i="7"/>
  <c r="E11" i="4"/>
  <c r="W11" i="4" s="1"/>
  <c r="X11" i="4" s="1"/>
  <c r="J36" i="3"/>
  <c r="M11" i="4"/>
  <c r="K15" i="7"/>
  <c r="K7" i="4"/>
  <c r="K10" i="7"/>
  <c r="K13" i="7"/>
  <c r="K3" i="7"/>
  <c r="K12" i="4"/>
  <c r="K4" i="4"/>
  <c r="K3" i="4"/>
  <c r="N3" i="4" s="1"/>
  <c r="F51" i="3" s="1"/>
  <c r="K6" i="7"/>
  <c r="G18" i="3"/>
  <c r="G20" i="3"/>
  <c r="J38" i="3" s="1"/>
  <c r="K4" i="7"/>
  <c r="K11" i="4"/>
  <c r="E15" i="4"/>
  <c r="W15" i="4" s="1"/>
  <c r="X15" i="4" s="1"/>
  <c r="F9" i="4"/>
  <c r="M9" i="4" s="1"/>
  <c r="J13" i="4"/>
  <c r="M13" i="4" s="1"/>
  <c r="M15" i="4"/>
  <c r="E6" i="7"/>
  <c r="E8" i="7"/>
  <c r="K48" i="3"/>
  <c r="K49" i="3"/>
  <c r="I5" i="4"/>
  <c r="J6" i="4"/>
  <c r="M6" i="4" s="1"/>
  <c r="J7" i="4"/>
  <c r="M7" i="4" s="1"/>
  <c r="I9" i="4"/>
  <c r="J14" i="4"/>
  <c r="M14" i="4" s="1"/>
  <c r="F7" i="7"/>
  <c r="F10" i="4"/>
  <c r="M10" i="4" s="1"/>
  <c r="I12" i="4"/>
  <c r="J12" i="4"/>
  <c r="F12" i="4"/>
  <c r="K15" i="4"/>
  <c r="E5" i="7"/>
  <c r="J3" i="7"/>
  <c r="I3" i="7"/>
  <c r="J15" i="7"/>
  <c r="M15" i="7" s="1"/>
  <c r="I15" i="7"/>
  <c r="J14" i="7"/>
  <c r="M14" i="7" s="1"/>
  <c r="L52" i="3" s="1"/>
  <c r="I14" i="7"/>
  <c r="J13" i="7"/>
  <c r="M13" i="7" s="1"/>
  <c r="I13" i="7"/>
  <c r="J12" i="7"/>
  <c r="I12" i="7"/>
  <c r="J11" i="7"/>
  <c r="I11" i="7"/>
  <c r="J10" i="7"/>
  <c r="I10" i="7"/>
  <c r="J9" i="7"/>
  <c r="I9" i="7"/>
  <c r="J8" i="7"/>
  <c r="M8" i="7" s="1"/>
  <c r="I8" i="7"/>
  <c r="J7" i="7"/>
  <c r="I7" i="7"/>
  <c r="J6" i="7"/>
  <c r="M6" i="7" s="1"/>
  <c r="I6" i="7"/>
  <c r="J5" i="7"/>
  <c r="M5" i="7" s="1"/>
  <c r="I5" i="7"/>
  <c r="J4" i="7"/>
  <c r="M4" i="7" s="1"/>
  <c r="I4" i="7"/>
  <c r="G36" i="3" l="1"/>
  <c r="G39" i="3" s="1"/>
  <c r="O52" i="3"/>
  <c r="K3" i="8" s="1"/>
  <c r="R15" i="4"/>
  <c r="R11" i="4"/>
  <c r="R5" i="4"/>
  <c r="R7" i="4"/>
  <c r="R6" i="4"/>
  <c r="R4" i="4"/>
  <c r="R13" i="4"/>
  <c r="S10" i="4"/>
  <c r="S8" i="4"/>
  <c r="S9" i="4"/>
  <c r="S14" i="4"/>
  <c r="E6" i="11"/>
  <c r="F6" i="11" s="1"/>
  <c r="S12" i="4"/>
  <c r="S11" i="4"/>
  <c r="S5" i="4"/>
  <c r="S13" i="4"/>
  <c r="S6" i="4"/>
  <c r="S7" i="4"/>
  <c r="A8" i="11"/>
  <c r="D7" i="11"/>
  <c r="C7" i="11"/>
  <c r="B7" i="11"/>
  <c r="M12" i="7"/>
  <c r="M10" i="7"/>
  <c r="M11" i="7"/>
  <c r="N12" i="7"/>
  <c r="A9" i="10"/>
  <c r="D8" i="10"/>
  <c r="E8" i="10" s="1"/>
  <c r="F8" i="10" s="1"/>
  <c r="G8" i="10" s="1"/>
  <c r="B8" i="10"/>
  <c r="C8" i="10"/>
  <c r="D7" i="9"/>
  <c r="E7" i="9" s="1"/>
  <c r="C7" i="9"/>
  <c r="B7" i="9"/>
  <c r="A8" i="9"/>
  <c r="N7" i="4"/>
  <c r="N6" i="4"/>
  <c r="M3" i="7"/>
  <c r="L55" i="3" s="1"/>
  <c r="M9" i="7"/>
  <c r="N11" i="4"/>
  <c r="N4" i="7"/>
  <c r="M8" i="4"/>
  <c r="M12" i="4"/>
  <c r="N14" i="7"/>
  <c r="L53" i="3" s="1"/>
  <c r="N4" i="4"/>
  <c r="N11" i="7"/>
  <c r="N9" i="4"/>
  <c r="N9" i="7"/>
  <c r="N5" i="4"/>
  <c r="N5" i="7"/>
  <c r="N13" i="7"/>
  <c r="N7" i="7"/>
  <c r="N15" i="7"/>
  <c r="N15" i="4"/>
  <c r="N6" i="7"/>
  <c r="N3" i="7"/>
  <c r="L56" i="3" s="1"/>
  <c r="N8" i="7"/>
  <c r="N12" i="4"/>
  <c r="N10" i="7"/>
  <c r="J37" i="3"/>
  <c r="J39" i="3" s="1"/>
  <c r="G32" i="3"/>
  <c r="G31" i="3"/>
  <c r="F47" i="3"/>
  <c r="M7" i="7"/>
  <c r="K15" i="8" l="1"/>
  <c r="N15" i="8" s="1"/>
  <c r="K14" i="8"/>
  <c r="N14" i="8" s="1"/>
  <c r="K13" i="8"/>
  <c r="N13" i="8" s="1"/>
  <c r="P55" i="3" s="1"/>
  <c r="K12" i="8"/>
  <c r="N12" i="8" s="1"/>
  <c r="K11" i="8"/>
  <c r="N11" i="8" s="1"/>
  <c r="K10" i="8"/>
  <c r="N10" i="8" s="1"/>
  <c r="K9" i="8"/>
  <c r="N9" i="8" s="1"/>
  <c r="K8" i="8"/>
  <c r="N8" i="8" s="1"/>
  <c r="K7" i="8"/>
  <c r="N7" i="8" s="1"/>
  <c r="K6" i="8"/>
  <c r="N6" i="8" s="1"/>
  <c r="K5" i="8"/>
  <c r="N5" i="8" s="1"/>
  <c r="K4" i="8"/>
  <c r="N4" i="8" s="1"/>
  <c r="N3" i="8"/>
  <c r="P58" i="3" s="1"/>
  <c r="E7" i="11"/>
  <c r="F7" i="11" s="1"/>
  <c r="S4" i="4"/>
  <c r="S15" i="4"/>
  <c r="A9" i="11"/>
  <c r="D8" i="11"/>
  <c r="C8" i="11"/>
  <c r="B8" i="11"/>
  <c r="A10" i="10"/>
  <c r="D9" i="10"/>
  <c r="E9" i="10" s="1"/>
  <c r="F9" i="10" s="1"/>
  <c r="G9" i="10" s="1"/>
  <c r="C9" i="10"/>
  <c r="B9" i="10"/>
  <c r="D8" i="9"/>
  <c r="E8" i="9" s="1"/>
  <c r="C8" i="9"/>
  <c r="B8" i="9"/>
  <c r="A9" i="9"/>
  <c r="E8" i="11" l="1"/>
  <c r="F8" i="11" s="1"/>
  <c r="A10" i="11"/>
  <c r="D9" i="11"/>
  <c r="C9" i="11"/>
  <c r="B9" i="11"/>
  <c r="C10" i="10"/>
  <c r="B10" i="10"/>
  <c r="A11" i="10"/>
  <c r="D10" i="10"/>
  <c r="E10" i="10" s="1"/>
  <c r="F10" i="10" s="1"/>
  <c r="G10" i="10" s="1"/>
  <c r="D9" i="9"/>
  <c r="E9" i="9" s="1"/>
  <c r="C9" i="9"/>
  <c r="B9" i="9"/>
  <c r="A10" i="9"/>
  <c r="E9" i="11" l="1"/>
  <c r="F9" i="11" s="1"/>
  <c r="A11" i="11"/>
  <c r="D10" i="11"/>
  <c r="C10" i="11"/>
  <c r="B10" i="11"/>
  <c r="A12" i="10"/>
  <c r="D11" i="10"/>
  <c r="E11" i="10" s="1"/>
  <c r="F11" i="10" s="1"/>
  <c r="G11" i="10" s="1"/>
  <c r="C11" i="10"/>
  <c r="B11" i="10"/>
  <c r="D10" i="9"/>
  <c r="E10" i="9" s="1"/>
  <c r="C10" i="9"/>
  <c r="B10" i="9"/>
  <c r="A11" i="9"/>
  <c r="E10" i="11" l="1"/>
  <c r="F10" i="11" s="1"/>
  <c r="A12" i="11"/>
  <c r="D11" i="11"/>
  <c r="C11" i="11"/>
  <c r="B11" i="11"/>
  <c r="A13" i="10"/>
  <c r="D12" i="10"/>
  <c r="E12" i="10" s="1"/>
  <c r="F12" i="10" s="1"/>
  <c r="G12" i="10" s="1"/>
  <c r="C12" i="10"/>
  <c r="B12" i="10"/>
  <c r="D11" i="9"/>
  <c r="E11" i="9" s="1"/>
  <c r="C11" i="9"/>
  <c r="B11" i="9"/>
  <c r="A12" i="9"/>
  <c r="P36" i="3" l="1"/>
  <c r="P37" i="3" s="1"/>
  <c r="P39" i="3" s="1"/>
  <c r="G40" i="3"/>
  <c r="E11" i="11"/>
  <c r="F11" i="11" s="1"/>
  <c r="A13" i="11"/>
  <c r="D12" i="11"/>
  <c r="C12" i="11"/>
  <c r="B12" i="11"/>
  <c r="C13" i="10"/>
  <c r="B13" i="10"/>
  <c r="A14" i="10"/>
  <c r="D13" i="10"/>
  <c r="E13" i="10" s="1"/>
  <c r="F13" i="10" s="1"/>
  <c r="G13" i="10" s="1"/>
  <c r="D12" i="9"/>
  <c r="E12" i="9" s="1"/>
  <c r="C12" i="9"/>
  <c r="B12" i="9"/>
  <c r="A13" i="9"/>
  <c r="E12" i="11" l="1"/>
  <c r="F12" i="11" s="1"/>
  <c r="A14" i="11"/>
  <c r="D13" i="11"/>
  <c r="C13" i="11"/>
  <c r="B13" i="11"/>
  <c r="A15" i="10"/>
  <c r="D14" i="10"/>
  <c r="E14" i="10" s="1"/>
  <c r="F14" i="10" s="1"/>
  <c r="G14" i="10" s="1"/>
  <c r="C14" i="10"/>
  <c r="B14" i="10"/>
  <c r="D13" i="9"/>
  <c r="E13" i="9" s="1"/>
  <c r="C13" i="9"/>
  <c r="B13" i="9"/>
  <c r="A14" i="9"/>
  <c r="E13" i="11" l="1"/>
  <c r="F13" i="11" s="1"/>
  <c r="A15" i="11"/>
  <c r="D14" i="11"/>
  <c r="C14" i="11"/>
  <c r="B14" i="11"/>
  <c r="A16" i="10"/>
  <c r="D15" i="10"/>
  <c r="E15" i="10" s="1"/>
  <c r="F15" i="10" s="1"/>
  <c r="G15" i="10" s="1"/>
  <c r="C15" i="10"/>
  <c r="B15" i="10"/>
  <c r="D14" i="9"/>
  <c r="E14" i="9" s="1"/>
  <c r="C14" i="9"/>
  <c r="B14" i="9"/>
  <c r="A15" i="9"/>
  <c r="E14" i="11" l="1"/>
  <c r="F14" i="11" s="1"/>
  <c r="A16" i="11"/>
  <c r="D15" i="11"/>
  <c r="C15" i="11"/>
  <c r="B15" i="11"/>
  <c r="B16" i="10"/>
  <c r="C16" i="10"/>
  <c r="D16" i="10"/>
  <c r="E16" i="10" s="1"/>
  <c r="F16" i="10" s="1"/>
  <c r="G16" i="10" s="1"/>
  <c r="A17" i="10"/>
  <c r="D15" i="9"/>
  <c r="E15" i="9" s="1"/>
  <c r="C15" i="9"/>
  <c r="B15" i="9"/>
  <c r="A16" i="9"/>
  <c r="E15" i="11" l="1"/>
  <c r="F15" i="11" s="1"/>
  <c r="A17" i="11"/>
  <c r="D16" i="11"/>
  <c r="C16" i="11"/>
  <c r="B16" i="11"/>
  <c r="A18" i="10"/>
  <c r="D17" i="10"/>
  <c r="E17" i="10" s="1"/>
  <c r="F17" i="10" s="1"/>
  <c r="G17" i="10" s="1"/>
  <c r="C17" i="10"/>
  <c r="B17" i="10"/>
  <c r="D16" i="9"/>
  <c r="E16" i="9" s="1"/>
  <c r="C16" i="9"/>
  <c r="B16" i="9"/>
  <c r="A17" i="9"/>
  <c r="E16" i="11" l="1"/>
  <c r="F16" i="11" s="1"/>
  <c r="A18" i="11"/>
  <c r="D17" i="11"/>
  <c r="C17" i="11"/>
  <c r="B17" i="11"/>
  <c r="A19" i="10"/>
  <c r="D18" i="10"/>
  <c r="E18" i="10" s="1"/>
  <c r="F18" i="10" s="1"/>
  <c r="G18" i="10" s="1"/>
  <c r="C18" i="10"/>
  <c r="B18" i="10"/>
  <c r="D17" i="9"/>
  <c r="E17" i="9" s="1"/>
  <c r="C17" i="9"/>
  <c r="B17" i="9"/>
  <c r="A18" i="9"/>
  <c r="E17" i="11" l="1"/>
  <c r="F17" i="11" s="1"/>
  <c r="A19" i="11"/>
  <c r="D18" i="11"/>
  <c r="C18" i="11"/>
  <c r="B18" i="11"/>
  <c r="C19" i="10"/>
  <c r="B19" i="10"/>
  <c r="D19" i="10"/>
  <c r="E19" i="10" s="1"/>
  <c r="F19" i="10" s="1"/>
  <c r="G19" i="10" s="1"/>
  <c r="A20" i="10"/>
  <c r="D18" i="9"/>
  <c r="E18" i="9" s="1"/>
  <c r="C18" i="9"/>
  <c r="B18" i="9"/>
  <c r="A19" i="9"/>
  <c r="E18" i="11" l="1"/>
  <c r="F18" i="11" s="1"/>
  <c r="A20" i="11"/>
  <c r="D19" i="11"/>
  <c r="C19" i="11"/>
  <c r="B19" i="11"/>
  <c r="A21" i="10"/>
  <c r="D20" i="10"/>
  <c r="E20" i="10" s="1"/>
  <c r="F20" i="10" s="1"/>
  <c r="G20" i="10" s="1"/>
  <c r="C20" i="10"/>
  <c r="B20" i="10"/>
  <c r="D19" i="9"/>
  <c r="E19" i="9" s="1"/>
  <c r="C19" i="9"/>
  <c r="B19" i="9"/>
  <c r="A20" i="9"/>
  <c r="E19" i="11" l="1"/>
  <c r="F19" i="11" s="1"/>
  <c r="A21" i="11"/>
  <c r="D20" i="11"/>
  <c r="C20" i="11"/>
  <c r="B20" i="11"/>
  <c r="A22" i="10"/>
  <c r="D21" i="10"/>
  <c r="E21" i="10" s="1"/>
  <c r="F21" i="10" s="1"/>
  <c r="G21" i="10" s="1"/>
  <c r="C21" i="10"/>
  <c r="B21" i="10"/>
  <c r="D20" i="9"/>
  <c r="E20" i="9" s="1"/>
  <c r="C20" i="9"/>
  <c r="B20" i="9"/>
  <c r="A21" i="9"/>
  <c r="E20" i="11" l="1"/>
  <c r="F20" i="11" s="1"/>
  <c r="A22" i="11"/>
  <c r="D21" i="11"/>
  <c r="C21" i="11"/>
  <c r="B21" i="11"/>
  <c r="D22" i="10"/>
  <c r="E22" i="10" s="1"/>
  <c r="F22" i="10" s="1"/>
  <c r="G22" i="10" s="1"/>
  <c r="C22" i="10"/>
  <c r="B22" i="10"/>
  <c r="D21" i="9"/>
  <c r="E21" i="9" s="1"/>
  <c r="C21" i="9"/>
  <c r="B21" i="9"/>
  <c r="A22" i="9"/>
  <c r="E21" i="11" l="1"/>
  <c r="F21" i="11" s="1"/>
  <c r="D22" i="11"/>
  <c r="C22" i="11"/>
  <c r="B22" i="11"/>
  <c r="D22" i="9"/>
  <c r="E22" i="9" s="1"/>
  <c r="C22" i="9"/>
  <c r="B22" i="9"/>
  <c r="E22" i="11" l="1"/>
  <c r="F22" i="11" s="1"/>
</calcChain>
</file>

<file path=xl/sharedStrings.xml><?xml version="1.0" encoding="utf-8"?>
<sst xmlns="http://schemas.openxmlformats.org/spreadsheetml/2006/main" count="413" uniqueCount="201">
  <si>
    <t>ASSUMPTIONS &amp; INPUTS</t>
  </si>
  <si>
    <t>UNITS</t>
  </si>
  <si>
    <t>conversions</t>
  </si>
  <si>
    <t>CALCULATIONS</t>
  </si>
  <si>
    <t>KEY</t>
  </si>
  <si>
    <t>density of air (at 20 C 1 atm)</t>
  </si>
  <si>
    <t>kg/m^3</t>
  </si>
  <si>
    <t>Aspect Ratio:</t>
  </si>
  <si>
    <t>NA</t>
  </si>
  <si>
    <t>check:</t>
  </si>
  <si>
    <t xml:space="preserve">variable for all designs </t>
  </si>
  <si>
    <t>density of foam (EVA)</t>
  </si>
  <si>
    <t>Cross section @ AOA 0:</t>
  </si>
  <si>
    <t>m^2</t>
  </si>
  <si>
    <t>important results</t>
  </si>
  <si>
    <t xml:space="preserve">density of print (PLA) </t>
  </si>
  <si>
    <t>g/cm^3</t>
  </si>
  <si>
    <t>**Cross section @ AOA 11:</t>
  </si>
  <si>
    <t>design type</t>
  </si>
  <si>
    <t>velocity (v)</t>
  </si>
  <si>
    <t>m/s</t>
  </si>
  <si>
    <t>Cross section variable AOA</t>
  </si>
  <si>
    <t>inputs</t>
  </si>
  <si>
    <t xml:space="preserve">coefficient drag flat plate (Cd) </t>
  </si>
  <si>
    <t>Top down area:</t>
  </si>
  <si>
    <t xml:space="preserve">coefficient drag airfoil (Cd) </t>
  </si>
  <si>
    <t>Volume:</t>
  </si>
  <si>
    <t>m^3</t>
  </si>
  <si>
    <t>coefficient lift plate (Cl)</t>
  </si>
  <si>
    <t>Cross section fin:</t>
  </si>
  <si>
    <t>coefficient lift airfoil (Cl)</t>
  </si>
  <si>
    <t>flapping:</t>
  </si>
  <si>
    <t>frequency (f)</t>
  </si>
  <si>
    <t>Hz</t>
  </si>
  <si>
    <t>amplitude (A)</t>
  </si>
  <si>
    <t>m</t>
  </si>
  <si>
    <t>dimensions:</t>
  </si>
  <si>
    <t>TAIL FORCES</t>
  </si>
  <si>
    <t>span (s)</t>
  </si>
  <si>
    <t>in</t>
  </si>
  <si>
    <t>Stationary tail  (flat plate)</t>
  </si>
  <si>
    <t>chord length (c)</t>
  </si>
  <si>
    <t>Total Drag:</t>
  </si>
  <si>
    <t>N</t>
  </si>
  <si>
    <t>thickness (t)</t>
  </si>
  <si>
    <t>negative -z (down)</t>
  </si>
  <si>
    <t>MOMENTS</t>
  </si>
  <si>
    <t>additional fuselage???</t>
  </si>
  <si>
    <t>body fuselage(l)</t>
  </si>
  <si>
    <t>negative x (back)</t>
  </si>
  <si>
    <t>dist tail to COL</t>
  </si>
  <si>
    <t xml:space="preserve">dihedral angle </t>
  </si>
  <si>
    <t>deg</t>
  </si>
  <si>
    <t>fin height</t>
  </si>
  <si>
    <t>Total Lift:</t>
  </si>
  <si>
    <t>fin length</t>
  </si>
  <si>
    <t>positive -z (up)</t>
  </si>
  <si>
    <t>center gravity (g)</t>
  </si>
  <si>
    <t>dist COL from COG (x)</t>
  </si>
  <si>
    <t>angle of attack:</t>
  </si>
  <si>
    <t>* includes 1g motor, plate, fin</t>
  </si>
  <si>
    <t>Total Weight:</t>
  </si>
  <si>
    <t>kg</t>
  </si>
  <si>
    <t>g</t>
  </si>
  <si>
    <t>AOA tail (alpha)</t>
  </si>
  <si>
    <t>Force gravity</t>
  </si>
  <si>
    <t>variable</t>
  </si>
  <si>
    <t>Time tail needs to move theta for forces to counter:</t>
  </si>
  <si>
    <t>New Simplifications</t>
  </si>
  <si>
    <t>AOA body (beta)</t>
  </si>
  <si>
    <t>Net Force in x</t>
  </si>
  <si>
    <t>Force wing (Fwing)</t>
  </si>
  <si>
    <t>X2 is estimated as 1/4 of the entire body length</t>
  </si>
  <si>
    <t>Net Force in -z</t>
  </si>
  <si>
    <t>dist Fwing to COM (X2)</t>
  </si>
  <si>
    <t>X1 estimated as 1/3 body plus distance to COG</t>
  </si>
  <si>
    <t>components:</t>
  </si>
  <si>
    <t>dist Ftail to COM (X1)</t>
  </si>
  <si>
    <t>time is est by using nonlinear motion eqn and delta theta=2x the angle of attack (with max torque so abt 10 deg)</t>
  </si>
  <si>
    <t>motor</t>
  </si>
  <si>
    <t>TORQUES (about base of tail)</t>
  </si>
  <si>
    <t>Torque abt center of body</t>
  </si>
  <si>
    <t>Ftail theoretical (needed)</t>
  </si>
  <si>
    <t>SIMPLIFICATIONS</t>
  </si>
  <si>
    <t>Lift (clockwise)</t>
  </si>
  <si>
    <t>Nm</t>
  </si>
  <si>
    <t>Lift</t>
  </si>
  <si>
    <t>cw (-)</t>
  </si>
  <si>
    <t>mass tail</t>
  </si>
  <si>
    <t>**added cross section at 0 to other AOA to prevent treating infinitely flat</t>
  </si>
  <si>
    <t>Gravity  (counterclockwise)</t>
  </si>
  <si>
    <t>Gravity</t>
  </si>
  <si>
    <t>ccw</t>
  </si>
  <si>
    <t>**</t>
  </si>
  <si>
    <t>acc tail</t>
  </si>
  <si>
    <t>m/s^2</t>
  </si>
  <si>
    <t>drag acts at the center of plate at end of tail (bc max torque)</t>
  </si>
  <si>
    <t>Drag</t>
  </si>
  <si>
    <t xml:space="preserve">Drag </t>
  </si>
  <si>
    <t xml:space="preserve">ccw </t>
  </si>
  <si>
    <t>angular acc @ tip of tail</t>
  </si>
  <si>
    <t>rad/s^2</t>
  </si>
  <si>
    <t>lift&amp;gravity act at 1/4 chord (!!Offset to eventually adjust)</t>
  </si>
  <si>
    <t>cw(-)</t>
  </si>
  <si>
    <t>deg -&gt; rad for AOA max</t>
  </si>
  <si>
    <t>rad</t>
  </si>
  <si>
    <t>for now approx for fuselage length is 4-6x chord of wing</t>
  </si>
  <si>
    <t>Net Torque</t>
  </si>
  <si>
    <t>Net</t>
  </si>
  <si>
    <t>(want this to be positive for ccw)</t>
  </si>
  <si>
    <t>time for 1 flap</t>
  </si>
  <si>
    <t>s</t>
  </si>
  <si>
    <t>Cl/Cd airfoil basic for flat bottom (S7055)</t>
  </si>
  <si>
    <t>Wing Flap need to resist</t>
  </si>
  <si>
    <t>hm maybe see if we could make solonoid powerful enough I can't find mini actuator specs</t>
  </si>
  <si>
    <t>Coeff plate estimated based on Fig 4.36</t>
  </si>
  <si>
    <t>DESIGN CONSIDERATIONS</t>
  </si>
  <si>
    <t xml:space="preserve">Tailfin </t>
  </si>
  <si>
    <t>**yaw stability</t>
  </si>
  <si>
    <t>Whole Flat Tail Movement</t>
  </si>
  <si>
    <t>Elevator</t>
  </si>
  <si>
    <t>Dihedral</t>
  </si>
  <si>
    <t>**lateral stability</t>
  </si>
  <si>
    <t>Airfoil Frame</t>
  </si>
  <si>
    <t>NA  too heavy</t>
  </si>
  <si>
    <t xml:space="preserve"> </t>
  </si>
  <si>
    <t>Drag:</t>
  </si>
  <si>
    <t>max</t>
  </si>
  <si>
    <t>net x force (@11 deg)</t>
  </si>
  <si>
    <t>(barely enough lift now)</t>
  </si>
  <si>
    <t>Lift:</t>
  </si>
  <si>
    <t>net -z force (@11 deg)</t>
  </si>
  <si>
    <t>min</t>
  </si>
  <si>
    <t>net x force (@0 deg)</t>
  </si>
  <si>
    <t xml:space="preserve">**idk what I was doing here. </t>
  </si>
  <si>
    <t>net -z force (@0 deg)</t>
  </si>
  <si>
    <t>Weight:</t>
  </si>
  <si>
    <t>Fg</t>
  </si>
  <si>
    <t>**note changes w values so this is approx (max btwn 10-12)</t>
  </si>
  <si>
    <t>realistically more like 7, too much AOA=x component lift creating drag</t>
  </si>
  <si>
    <t>Net added forces</t>
  </si>
  <si>
    <t>net -z force (@10 deg)</t>
  </si>
  <si>
    <t>negative z (down)</t>
  </si>
  <si>
    <t>cons:</t>
  </si>
  <si>
    <t>lasercut from foam means harsh leading edge</t>
  </si>
  <si>
    <t>dihedral ang can range btwn 2-10, higher means more stability, less rollability</t>
  </si>
  <si>
    <t>minimal stability, especially during roll will slip</t>
  </si>
  <si>
    <t>bit less lift directed upward</t>
  </si>
  <si>
    <t>pros:</t>
  </si>
  <si>
    <t xml:space="preserve">maximum lift for lasercut </t>
  </si>
  <si>
    <t>passive restoring force to prevent roll</t>
  </si>
  <si>
    <t>components of lift that aren't vertical balance</t>
  </si>
  <si>
    <t>for 3d visuals of what designs evaluated:</t>
  </si>
  <si>
    <t>https://cad.onshape.com/documents/2a11f90e2867a607c61cf4cd/w/a55fb2b5cc785497ad048c21/e/26296ba7726a97b7d51dee0d?renderMode=0&amp;uiState=66b5a50bd5f9631601493c8f</t>
  </si>
  <si>
    <t>AOA (deg)</t>
  </si>
  <si>
    <t>Cross section</t>
  </si>
  <si>
    <t>Cd</t>
  </si>
  <si>
    <t>Dz (down)</t>
  </si>
  <si>
    <t>Dx (back)</t>
  </si>
  <si>
    <t>Cl</t>
  </si>
  <si>
    <t xml:space="preserve">Lift </t>
  </si>
  <si>
    <t>Lz (up)</t>
  </si>
  <si>
    <t>Lx (back)</t>
  </si>
  <si>
    <t>Weight (down)</t>
  </si>
  <si>
    <t>NET X (back)</t>
  </si>
  <si>
    <t>NET Z (up)</t>
  </si>
  <si>
    <t>Base of Tail Torques:</t>
  </si>
  <si>
    <t xml:space="preserve">Gravity </t>
  </si>
  <si>
    <t xml:space="preserve">Net </t>
  </si>
  <si>
    <t>Fuselage Torques:</t>
  </si>
  <si>
    <t>Flapping Data</t>
  </si>
  <si>
    <t>position (y)</t>
  </si>
  <si>
    <r>
      <rPr>
        <i/>
        <sz val="11"/>
        <color rgb="FF000000"/>
        <rFont val="Aptos Narrow"/>
        <scheme val="minor"/>
      </rPr>
      <t>acceleration</t>
    </r>
    <r>
      <rPr>
        <sz val="11"/>
        <color rgb="FF000000"/>
        <rFont val="Aptos Narrow"/>
        <scheme val="minor"/>
      </rPr>
      <t xml:space="preserve"> (a)</t>
    </r>
  </si>
  <si>
    <t>acc (α)</t>
  </si>
  <si>
    <t>torque (τ)</t>
  </si>
  <si>
    <t>TOTAL (for 2 wings)</t>
  </si>
  <si>
    <t>Wing Calculations</t>
  </si>
  <si>
    <t>**note flapping inputs are on first page</t>
  </si>
  <si>
    <t>sec</t>
  </si>
  <si>
    <t>**estimate as rectangle</t>
  </si>
  <si>
    <t>chord</t>
  </si>
  <si>
    <t>span</t>
  </si>
  <si>
    <t>area wing</t>
  </si>
  <si>
    <t>thickness</t>
  </si>
  <si>
    <t>volume</t>
  </si>
  <si>
    <t>density material</t>
  </si>
  <si>
    <t>mass</t>
  </si>
  <si>
    <t xml:space="preserve">Inertia center </t>
  </si>
  <si>
    <t>Inertia edge</t>
  </si>
  <si>
    <t>kg.m^2</t>
  </si>
  <si>
    <t>check??</t>
  </si>
  <si>
    <t>**for 10 hz shows one period of motion estimated using cos wave</t>
  </si>
  <si>
    <t>TOTAL</t>
  </si>
  <si>
    <t>Lift Torque</t>
  </si>
  <si>
    <t>Gravity Torque</t>
  </si>
  <si>
    <t>**These r from S7055</t>
  </si>
  <si>
    <t>position (θ)</t>
  </si>
  <si>
    <t>velocity (ω)</t>
  </si>
  <si>
    <r>
      <rPr>
        <i/>
        <sz val="11"/>
        <color rgb="FF000000"/>
        <rFont val="Aptos Narrow"/>
        <scheme val="minor"/>
      </rPr>
      <t>acceleration</t>
    </r>
    <r>
      <rPr>
        <sz val="11"/>
        <color rgb="FF000000"/>
        <rFont val="Aptos Narrow"/>
        <scheme val="minor"/>
      </rPr>
      <t xml:space="preserve"> (α)</t>
    </r>
  </si>
  <si>
    <t>rad/s</t>
  </si>
  <si>
    <t>**for 10 hz shows one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</si>
</sst>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E+00"/>
  </numFmts>
  <fonts count="13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i/>
      <sz val="11"/>
      <color rgb="FF000000"/>
      <name val="Aptos Narrow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scheme val="minor"/>
    </font>
    <font>
      <u/>
      <sz val="11"/>
      <color rgb="FF000000"/>
      <name val="Aptos Narrow"/>
      <scheme val="minor"/>
    </font>
    <font>
      <i/>
      <u/>
      <sz val="11"/>
      <color rgb="FF000000"/>
      <name val="Aptos Narrow"/>
      <scheme val="minor"/>
    </font>
    <font>
      <i/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CFCA7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EE5C5C"/>
        <bgColor indexed="64"/>
      </patternFill>
    </fill>
    <fill>
      <patternFill patternType="solid">
        <fgColor rgb="FFF7A8A8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7">
    <xf numFmtId="0" fontId="0" fillId="0" borderId="0" xfId="0"/>
    <xf numFmtId="0" fontId="0" fillId="2" borderId="0" xfId="0" applyFill="1"/>
    <xf numFmtId="0" fontId="0" fillId="4" borderId="0" xfId="0" applyFill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5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2" xfId="0" applyFont="1" applyBorder="1"/>
    <xf numFmtId="0" fontId="4" fillId="0" borderId="4" xfId="0" applyFont="1" applyBorder="1"/>
    <xf numFmtId="0" fontId="2" fillId="0" borderId="1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12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9" xfId="0" applyBorder="1" applyAlignment="1">
      <alignment horizontal="left"/>
    </xf>
    <xf numFmtId="0" fontId="0" fillId="4" borderId="9" xfId="0" applyFill="1" applyBorder="1"/>
    <xf numFmtId="0" fontId="0" fillId="2" borderId="9" xfId="0" applyFill="1" applyBorder="1"/>
    <xf numFmtId="0" fontId="0" fillId="3" borderId="9" xfId="0" applyFill="1" applyBorder="1"/>
    <xf numFmtId="0" fontId="0" fillId="8" borderId="9" xfId="0" applyFill="1" applyBorder="1"/>
    <xf numFmtId="0" fontId="0" fillId="8" borderId="0" xfId="0" applyFill="1"/>
    <xf numFmtId="0" fontId="0" fillId="3" borderId="0" xfId="0" applyFill="1"/>
    <xf numFmtId="0" fontId="2" fillId="0" borderId="0" xfId="0" applyFont="1"/>
    <xf numFmtId="0" fontId="2" fillId="7" borderId="0" xfId="0" applyFont="1" applyFill="1"/>
    <xf numFmtId="0" fontId="2" fillId="6" borderId="0" xfId="0" applyFont="1" applyFill="1"/>
    <xf numFmtId="0" fontId="2" fillId="5" borderId="0" xfId="0" applyFont="1" applyFill="1"/>
    <xf numFmtId="0" fontId="2" fillId="4" borderId="0" xfId="0" applyFont="1" applyFill="1"/>
    <xf numFmtId="0" fontId="4" fillId="0" borderId="0" xfId="0" applyFont="1"/>
    <xf numFmtId="0" fontId="6" fillId="0" borderId="4" xfId="0" applyFont="1" applyBorder="1"/>
    <xf numFmtId="0" fontId="4" fillId="0" borderId="9" xfId="0" applyFont="1" applyBorder="1"/>
    <xf numFmtId="0" fontId="4" fillId="0" borderId="6" xfId="0" applyFont="1" applyBorder="1"/>
    <xf numFmtId="0" fontId="6" fillId="3" borderId="4" xfId="0" applyFont="1" applyFill="1" applyBorder="1"/>
    <xf numFmtId="0" fontId="6" fillId="3" borderId="9" xfId="0" applyFont="1" applyFill="1" applyBorder="1"/>
    <xf numFmtId="0" fontId="6" fillId="3" borderId="0" xfId="0" applyFont="1" applyFill="1"/>
    <xf numFmtId="0" fontId="4" fillId="0" borderId="7" xfId="0" applyFont="1" applyBorder="1"/>
    <xf numFmtId="0" fontId="2" fillId="0" borderId="17" xfId="0" applyFont="1" applyBorder="1"/>
    <xf numFmtId="0" fontId="0" fillId="0" borderId="18" xfId="0" applyBorder="1"/>
    <xf numFmtId="0" fontId="0" fillId="0" borderId="19" xfId="0" applyBorder="1"/>
    <xf numFmtId="0" fontId="4" fillId="0" borderId="11" xfId="0" applyFont="1" applyBorder="1"/>
    <xf numFmtId="0" fontId="0" fillId="2" borderId="11" xfId="0" applyFill="1" applyBorder="1"/>
    <xf numFmtId="164" fontId="0" fillId="2" borderId="20" xfId="0" applyNumberForma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0" xfId="0" applyFont="1"/>
    <xf numFmtId="0" fontId="8" fillId="0" borderId="0" xfId="1"/>
    <xf numFmtId="0" fontId="7" fillId="0" borderId="0" xfId="0" applyFont="1"/>
    <xf numFmtId="0" fontId="10" fillId="0" borderId="0" xfId="0" applyFont="1"/>
    <xf numFmtId="0" fontId="3" fillId="0" borderId="2" xfId="0" applyFont="1" applyBorder="1"/>
    <xf numFmtId="0" fontId="9" fillId="0" borderId="2" xfId="0" applyFont="1" applyBorder="1"/>
    <xf numFmtId="0" fontId="3" fillId="0" borderId="3" xfId="0" applyFont="1" applyBorder="1"/>
    <xf numFmtId="0" fontId="3" fillId="0" borderId="0" xfId="0" applyFont="1"/>
    <xf numFmtId="0" fontId="11" fillId="0" borderId="0" xfId="0" applyFont="1"/>
    <xf numFmtId="0" fontId="12" fillId="0" borderId="0" xfId="0" applyFont="1"/>
    <xf numFmtId="0" fontId="1" fillId="0" borderId="15" xfId="0" applyFont="1" applyBorder="1"/>
    <xf numFmtId="0" fontId="0" fillId="7" borderId="0" xfId="0" applyFill="1"/>
    <xf numFmtId="165" fontId="0" fillId="0" borderId="0" xfId="0" applyNumberFormat="1"/>
    <xf numFmtId="0" fontId="0" fillId="6" borderId="2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CC99FF"/>
      <color rgb="FFEE5C5C"/>
      <color rgb="FFFCFCA7"/>
      <color rgb="FFF7A8A8"/>
      <color rgb="FFFFEE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Forces (flat plate)</a:t>
            </a:r>
          </a:p>
        </c:rich>
      </c:tx>
      <c:layout>
        <c:manualLayout>
          <c:xMode val="edge"/>
          <c:yMode val="edge"/>
          <c:x val="0.41947875861454603"/>
          <c:y val="8.76549998715987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691789145935442E-2"/>
          <c:y val="0.10299902902310622"/>
          <c:w val="0.88978611254757967"/>
          <c:h val="0.78383854474838044"/>
        </c:manualLayout>
      </c:layout>
      <c:lineChart>
        <c:grouping val="standard"/>
        <c:varyColors val="0"/>
        <c:ser>
          <c:idx val="11"/>
          <c:order val="10"/>
          <c:tx>
            <c:v>net z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'Variable AOA Flat plate'!$N$3:$N$15</c:f>
              <c:numCache>
                <c:formatCode>General</c:formatCode>
                <c:ptCount val="13"/>
                <c:pt idx="0">
                  <c:v>-4.5451518000000002E-3</c:v>
                </c:pt>
                <c:pt idx="1">
                  <c:v>-2.7379323471684964E-3</c:v>
                </c:pt>
                <c:pt idx="2">
                  <c:v>-9.4093223457879065E-4</c:v>
                </c:pt>
                <c:pt idx="3">
                  <c:v>8.4574632336984531E-4</c:v>
                </c:pt>
                <c:pt idx="4">
                  <c:v>2.6167545139023345E-3</c:v>
                </c:pt>
                <c:pt idx="5">
                  <c:v>4.3513180660492232E-3</c:v>
                </c:pt>
                <c:pt idx="6">
                  <c:v>4.9598909386706479E-3</c:v>
                </c:pt>
                <c:pt idx="7">
                  <c:v>5.5192641781841977E-3</c:v>
                </c:pt>
                <c:pt idx="8">
                  <c:v>6.0208462195391072E-3</c:v>
                </c:pt>
                <c:pt idx="9">
                  <c:v>6.4561575380958237E-3</c:v>
                </c:pt>
                <c:pt idx="10">
                  <c:v>6.4611048910934183E-3</c:v>
                </c:pt>
                <c:pt idx="11">
                  <c:v>6.3855215935992773E-3</c:v>
                </c:pt>
                <c:pt idx="12">
                  <c:v>5.5150129403209874E-3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BD-44E4-9BEC-1DAAB7195EA2}"/>
            </c:ext>
          </c:extLst>
        </c:ser>
        <c:ser>
          <c:idx val="10"/>
          <c:order val="11"/>
          <c:tx>
            <c:v>net x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'Variable AOA Flat plate'!$M$3:$M$15</c:f>
              <c:numCache>
                <c:formatCode>General</c:formatCode>
                <c:ptCount val="13"/>
                <c:pt idx="0">
                  <c:v>-3.6123000000000005E-6</c:v>
                </c:pt>
                <c:pt idx="1">
                  <c:v>-1.61441648976305E-4</c:v>
                </c:pt>
                <c:pt idx="2">
                  <c:v>-3.9788904000833401E-4</c:v>
                </c:pt>
                <c:pt idx="3">
                  <c:v>-7.3653502076703368E-4</c:v>
                </c:pt>
                <c:pt idx="4">
                  <c:v>-1.2005083692749564E-3</c:v>
                </c:pt>
                <c:pt idx="5">
                  <c:v>-1.9704087923834704E-3</c:v>
                </c:pt>
                <c:pt idx="6">
                  <c:v>-2.9066665855928936E-3</c:v>
                </c:pt>
                <c:pt idx="7">
                  <c:v>-4.0195344711992879E-3</c:v>
                </c:pt>
                <c:pt idx="8">
                  <c:v>-5.3066051349993475E-3</c:v>
                </c:pt>
                <c:pt idx="9">
                  <c:v>-6.7650876154618979E-3</c:v>
                </c:pt>
                <c:pt idx="10">
                  <c:v>-8.3290853923562568E-3</c:v>
                </c:pt>
                <c:pt idx="11">
                  <c:v>-1.0045384870598216E-2</c:v>
                </c:pt>
                <c:pt idx="12">
                  <c:v>-1.1759932061682205E-2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FC-4CD1-8BC0-AA775A7CC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42247"/>
        <c:axId val="3527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'Variable AOA Flat plate'!$A$1</c15:sqref>
                        </c15:formulaRef>
                      </c:ext>
                    </c:extLst>
                    <c:strCache>
                      <c:ptCount val="1"/>
                      <c:pt idx="0">
                        <c:v>AOA (deg)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'Variable AOA Flat plate'!$A$3:$A$15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'Variable AOA Flat plate'!$A$3:$A$15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93C-4D4A-A81C-B2F11B510D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plate'!$B$1</c15:sqref>
                        </c15:formulaRef>
                      </c:ext>
                    </c:extLst>
                    <c:strCache>
                      <c:ptCount val="1"/>
                      <c:pt idx="0">
                        <c:v>Cross section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plate'!$B$3:$B$15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1.6000000000000003E-5</c:v>
                      </c:pt>
                      <c:pt idx="1">
                        <c:v>5.3957219311850534E-4</c:v>
                      </c:pt>
                      <c:pt idx="2">
                        <c:v>1.0629849010750289E-3</c:v>
                      </c:pt>
                      <c:pt idx="3">
                        <c:v>1.5860786872883149E-3</c:v>
                      </c:pt>
                      <c:pt idx="4">
                        <c:v>2.1086942123237588E-3</c:v>
                      </c:pt>
                      <c:pt idx="5">
                        <c:v>2.6306722824297447E-3</c:v>
                      </c:pt>
                      <c:pt idx="6">
                        <c:v>3.1518538980296038E-3</c:v>
                      </c:pt>
                      <c:pt idx="7">
                        <c:v>3.6720803021544242E-3</c:v>
                      </c:pt>
                      <c:pt idx="8">
                        <c:v>4.1911930288019636E-3</c:v>
                      </c:pt>
                      <c:pt idx="9">
                        <c:v>4.7090339512069262E-3</c:v>
                      </c:pt>
                      <c:pt idx="10">
                        <c:v>5.2254453300079103E-3</c:v>
                      </c:pt>
                      <c:pt idx="11">
                        <c:v>5.7402698612963442E-3</c:v>
                      </c:pt>
                      <c:pt idx="12">
                        <c:v>6.2533507245327805E-3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93C-4D4A-A81C-B2F11B510D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plate'!$D$1</c15:sqref>
                        </c15:formulaRef>
                      </c:ext>
                    </c:extLst>
                    <c:strCache>
                      <c:ptCount val="1"/>
                      <c:pt idx="0">
                        <c:v>Drag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plate'!$D$3:$D$15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3.6123000000000005E-6</c:v>
                      </c:pt>
                      <c:pt idx="1">
                        <c:v>1.2993977554679844E-4</c:v>
                      </c:pt>
                      <c:pt idx="2">
                        <c:v>2.7198727536919398E-4</c:v>
                      </c:pt>
                      <c:pt idx="3">
                        <c:v>4.5357686999891674E-4</c:v>
                      </c:pt>
                      <c:pt idx="4">
                        <c:v>6.982466427912353E-4</c:v>
                      </c:pt>
                      <c:pt idx="5">
                        <c:v>1.1878471857276209E-3</c:v>
                      </c:pt>
                      <c:pt idx="6">
                        <c:v>1.8975736393087228E-3</c:v>
                      </c:pt>
                      <c:pt idx="7">
                        <c:v>2.7634699323900889E-3</c:v>
                      </c:pt>
                      <c:pt idx="8">
                        <c:v>3.7849616444853335E-3</c:v>
                      </c:pt>
                      <c:pt idx="9">
                        <c:v>4.9613793080672272E-3</c:v>
                      </c:pt>
                      <c:pt idx="10">
                        <c:v>6.2919587218625249E-3</c:v>
                      </c:pt>
                      <c:pt idx="11">
                        <c:v>7.7758413074852937E-3</c:v>
                      </c:pt>
                      <c:pt idx="12">
                        <c:v>9.4120745092624025E-3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93C-4D4A-A81C-B2F11B510D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plate'!$E$1</c15:sqref>
                        </c15:formulaRef>
                      </c:ext>
                    </c:extLst>
                    <c:strCache>
                      <c:ptCount val="1"/>
                      <c:pt idx="0">
                        <c:v>Dz (down)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plate'!$E$3:$E$15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3.6123000000000005E-6</c:v>
                      </c:pt>
                      <c:pt idx="1">
                        <c:v>2.26776177521212E-6</c:v>
                      </c:pt>
                      <c:pt idx="2">
                        <c:v>9.4922190198694082E-6</c:v>
                      </c:pt>
                      <c:pt idx="3">
                        <c:v>2.3738379221074731E-5</c:v>
                      </c:pt>
                      <c:pt idx="4">
                        <c:v>4.8707223604790445E-5</c:v>
                      </c:pt>
                      <c:pt idx="5">
                        <c:v>1.0352770374280626E-4</c:v>
                      </c:pt>
                      <c:pt idx="6">
                        <c:v>1.9835045645414935E-4</c:v>
                      </c:pt>
                      <c:pt idx="7">
                        <c:v>3.3678226618024743E-4</c:v>
                      </c:pt>
                      <c:pt idx="8">
                        <c:v>5.2676484907793262E-4</c:v>
                      </c:pt>
                      <c:pt idx="9">
                        <c:v>7.7613071791916746E-4</c:v>
                      </c:pt>
                      <c:pt idx="10">
                        <c:v>1.0925871660069756E-3</c:v>
                      </c:pt>
                      <c:pt idx="11">
                        <c:v>1.4837004680887075E-3</c:v>
                      </c:pt>
                      <c:pt idx="12">
                        <c:v>1.9568803253234785E-3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93C-4D4A-A81C-B2F11B510D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plate'!$F$1</c15:sqref>
                        </c15:formulaRef>
                      </c:ext>
                    </c:extLst>
                    <c:strCache>
                      <c:ptCount val="1"/>
                      <c:pt idx="0">
                        <c:v>Dx (back)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plate'!$F$3:$F$15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3.6123000000000005E-6</c:v>
                      </c:pt>
                      <c:pt idx="1">
                        <c:v>1.2991998508960523E-4</c:v>
                      </c:pt>
                      <c:pt idx="2">
                        <c:v>2.7182158806988933E-4</c:v>
                      </c:pt>
                      <c:pt idx="3">
                        <c:v>4.5295525866245403E-4</c:v>
                      </c:pt>
                      <c:pt idx="4">
                        <c:v>6.9654574906314942E-4</c:v>
                      </c:pt>
                      <c:pt idx="5">
                        <c:v>1.1833270685650569E-3</c:v>
                      </c:pt>
                      <c:pt idx="6">
                        <c:v>1.8871785323661832E-3</c:v>
                      </c:pt>
                      <c:pt idx="7">
                        <c:v>2.7428714465702869E-3</c:v>
                      </c:pt>
                      <c:pt idx="8">
                        <c:v>3.7481266579454096E-3</c:v>
                      </c:pt>
                      <c:pt idx="9">
                        <c:v>4.9002964958479722E-3</c:v>
                      </c:pt>
                      <c:pt idx="10">
                        <c:v>6.1963697309229977E-3</c:v>
                      </c:pt>
                      <c:pt idx="11">
                        <c:v>7.63297720160279E-3</c:v>
                      </c:pt>
                      <c:pt idx="12">
                        <c:v>9.20639809916283E-3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93C-4D4A-A81C-B2F11B510D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plate'!$G$1</c15:sqref>
                        </c15:formulaRef>
                      </c:ext>
                    </c:extLst>
                    <c:strCache>
                      <c:ptCount val="1"/>
                      <c:pt idx="0">
                        <c:v>Cl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plate'!$G$3:$G$15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0.54</c:v>
                      </c:pt>
                      <c:pt idx="7">
                        <c:v>0.57999999999999996</c:v>
                      </c:pt>
                      <c:pt idx="8">
                        <c:v>0.62</c:v>
                      </c:pt>
                      <c:pt idx="9">
                        <c:v>0.66</c:v>
                      </c:pt>
                      <c:pt idx="10">
                        <c:v>0.68</c:v>
                      </c:pt>
                      <c:pt idx="11">
                        <c:v>0.7</c:v>
                      </c:pt>
                      <c:pt idx="12">
                        <c:v>0.68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93C-4D4A-A81C-B2F11B510D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plate'!$H$1</c15:sqref>
                        </c15:formulaRef>
                      </c:ext>
                    </c:extLst>
                    <c:strCache>
                      <c:ptCount val="1"/>
                      <c:pt idx="0">
                        <c:v>Lift 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plate'!$H$3:$H$15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1.8061499999999999E-3</c:v>
                      </c:pt>
                      <c:pt idx="2">
                        <c:v>3.6122999999999997E-3</c:v>
                      </c:pt>
                      <c:pt idx="3">
                        <c:v>5.4184499999999991E-3</c:v>
                      </c:pt>
                      <c:pt idx="4">
                        <c:v>7.2245999999999994E-3</c:v>
                      </c:pt>
                      <c:pt idx="5">
                        <c:v>9.0307499999999988E-3</c:v>
                      </c:pt>
                      <c:pt idx="6">
                        <c:v>9.75321E-3</c:v>
                      </c:pt>
                      <c:pt idx="7">
                        <c:v>1.0475669999999998E-2</c:v>
                      </c:pt>
                      <c:pt idx="8">
                        <c:v>1.1198129999999999E-2</c:v>
                      </c:pt>
                      <c:pt idx="9">
                        <c:v>1.1920589999999998E-2</c:v>
                      </c:pt>
                      <c:pt idx="10">
                        <c:v>1.2281819999999999E-2</c:v>
                      </c:pt>
                      <c:pt idx="11">
                        <c:v>1.2643049999999998E-2</c:v>
                      </c:pt>
                      <c:pt idx="12">
                        <c:v>1.2281819999999999E-2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93C-4D4A-A81C-B2F11B510D7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plate'!$I$1</c15:sqref>
                        </c15:formulaRef>
                      </c:ext>
                    </c:extLst>
                    <c:strCache>
                      <c:ptCount val="1"/>
                      <c:pt idx="0">
                        <c:v>Lz (up)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plate'!$I$3:$I$15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1.8058749146067159E-3</c:v>
                      </c:pt>
                      <c:pt idx="2">
                        <c:v>3.6100994844410791E-3</c:v>
                      </c:pt>
                      <c:pt idx="3">
                        <c:v>5.4110242025909201E-3</c:v>
                      </c:pt>
                      <c:pt idx="4">
                        <c:v>7.2070012375071253E-3</c:v>
                      </c:pt>
                      <c:pt idx="5">
                        <c:v>8.9963852697920298E-3</c:v>
                      </c:pt>
                      <c:pt idx="6">
                        <c:v>9.6997808951247971E-3</c:v>
                      </c:pt>
                      <c:pt idx="7">
                        <c:v>1.0397585944364445E-2</c:v>
                      </c:pt>
                      <c:pt idx="8">
                        <c:v>1.108915056861704E-2</c:v>
                      </c:pt>
                      <c:pt idx="9">
                        <c:v>1.1773827756014991E-2</c:v>
                      </c:pt>
                      <c:pt idx="10">
                        <c:v>1.2095231557100395E-2</c:v>
                      </c:pt>
                      <c:pt idx="11">
                        <c:v>1.2410761561687985E-2</c:v>
                      </c:pt>
                      <c:pt idx="12">
                        <c:v>1.2013432765644467E-2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93C-4D4A-A81C-B2F11B510D72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plate'!$J$1</c15:sqref>
                        </c15:formulaRef>
                      </c:ext>
                    </c:extLst>
                    <c:strCache>
                      <c:ptCount val="1"/>
                      <c:pt idx="0">
                        <c:v>Lx (back)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plate'!$J$3:$J$15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3.152166388669977E-5</c:v>
                      </c:pt>
                      <c:pt idx="2">
                        <c:v>1.2606745193844465E-4</c:v>
                      </c:pt>
                      <c:pt idx="3">
                        <c:v>2.835797621045797E-4</c:v>
                      </c:pt>
                      <c:pt idx="4">
                        <c:v>5.0396262021180709E-4</c:v>
                      </c:pt>
                      <c:pt idx="5">
                        <c:v>7.8708172381841365E-4</c:v>
                      </c:pt>
                      <c:pt idx="6">
                        <c:v>1.0194880532267104E-3</c:v>
                      </c:pt>
                      <c:pt idx="7">
                        <c:v>1.276663024629001E-3</c:v>
                      </c:pt>
                      <c:pt idx="8">
                        <c:v>1.5584784770539377E-3</c:v>
                      </c:pt>
                      <c:pt idx="9">
                        <c:v>1.8647911196139262E-3</c:v>
                      </c:pt>
                      <c:pt idx="10">
                        <c:v>2.1327156614332592E-3</c:v>
                      </c:pt>
                      <c:pt idx="11">
                        <c:v>2.4124076689954256E-3</c:v>
                      </c:pt>
                      <c:pt idx="12">
                        <c:v>2.5535339625193743E-3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93C-4D4A-A81C-B2F11B510D72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plate'!$K$1</c15:sqref>
                        </c15:formulaRef>
                      </c:ext>
                    </c:extLst>
                    <c:strCache>
                      <c:ptCount val="1"/>
                      <c:pt idx="0">
                        <c:v>Weight (down)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Flat plate'!$K$3:$K$15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4.5415395000000004E-3</c:v>
                      </c:pt>
                      <c:pt idx="1">
                        <c:v>4.5415395000000004E-3</c:v>
                      </c:pt>
                      <c:pt idx="2">
                        <c:v>4.5415395000000004E-3</c:v>
                      </c:pt>
                      <c:pt idx="3">
                        <c:v>4.5415395000000004E-3</c:v>
                      </c:pt>
                      <c:pt idx="4">
                        <c:v>4.5415395000000004E-3</c:v>
                      </c:pt>
                      <c:pt idx="5">
                        <c:v>4.5415395000000004E-3</c:v>
                      </c:pt>
                      <c:pt idx="6">
                        <c:v>4.5415395000000004E-3</c:v>
                      </c:pt>
                      <c:pt idx="7">
                        <c:v>4.5415395000000004E-3</c:v>
                      </c:pt>
                      <c:pt idx="8">
                        <c:v>4.5415395000000004E-3</c:v>
                      </c:pt>
                      <c:pt idx="9">
                        <c:v>4.5415395000000004E-3</c:v>
                      </c:pt>
                      <c:pt idx="10">
                        <c:v>4.5415395000000004E-3</c:v>
                      </c:pt>
                      <c:pt idx="11">
                        <c:v>4.5415395000000004E-3</c:v>
                      </c:pt>
                      <c:pt idx="12">
                        <c:v>4.5415395000000004E-3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93C-4D4A-A81C-B2F11B510D72}"/>
                  </c:ext>
                </c:extLst>
              </c15:ser>
            </c15:filteredLineSeries>
          </c:ext>
        </c:extLst>
      </c:lineChart>
      <c:catAx>
        <c:axId val="24842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AOA</a:t>
                </a:r>
                <a:r>
                  <a:rPr lang="en-US" baseline="0"/>
                  <a:t> (deg)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775"/>
        <c:crosses val="autoZero"/>
        <c:auto val="1"/>
        <c:lblAlgn val="ctr"/>
        <c:lblOffset val="100"/>
        <c:noMultiLvlLbl val="0"/>
      </c:catAx>
      <c:valAx>
        <c:axId val="352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7.2384760508895996E-3"/>
              <c:y val="0.30698306209065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2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3834762079219"/>
          <c:y val="0.89966570879159768"/>
          <c:w val="0.25678046236552715"/>
          <c:h val="8.1029211712512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</a:t>
            </a:r>
            <a:r>
              <a:rPr lang="en-US" baseline="0"/>
              <a:t> vs Drag (flat plate)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drag</c:v>
          </c:tx>
          <c:spPr>
            <a:ln w="28575" cap="rnd">
              <a:solidFill>
                <a:srgbClr val="EE5C5C"/>
              </a:solidFill>
              <a:round/>
            </a:ln>
            <a:effectLst/>
          </c:spPr>
          <c:marker>
            <c:symbol val="none"/>
          </c:marker>
          <c:cat>
            <c:numRef>
              <c:f>'Variable AOA Flat plate'!$A$3:$A$15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'Variable AOA Flat plate'!$D$3:$D$15</c:f>
              <c:numCache>
                <c:formatCode>General</c:formatCode>
                <c:ptCount val="13"/>
                <c:pt idx="0">
                  <c:v>3.6123000000000005E-6</c:v>
                </c:pt>
                <c:pt idx="1">
                  <c:v>1.2993977554679844E-4</c:v>
                </c:pt>
                <c:pt idx="2">
                  <c:v>2.7198727536919398E-4</c:v>
                </c:pt>
                <c:pt idx="3">
                  <c:v>4.5357686999891674E-4</c:v>
                </c:pt>
                <c:pt idx="4">
                  <c:v>6.982466427912353E-4</c:v>
                </c:pt>
                <c:pt idx="5">
                  <c:v>1.1878471857276209E-3</c:v>
                </c:pt>
                <c:pt idx="6">
                  <c:v>1.8975736393087228E-3</c:v>
                </c:pt>
                <c:pt idx="7">
                  <c:v>2.7634699323900889E-3</c:v>
                </c:pt>
                <c:pt idx="8">
                  <c:v>3.7849616444853335E-3</c:v>
                </c:pt>
                <c:pt idx="9">
                  <c:v>4.9613793080672272E-3</c:v>
                </c:pt>
                <c:pt idx="10">
                  <c:v>6.2919587218625249E-3</c:v>
                </c:pt>
                <c:pt idx="11">
                  <c:v>7.7758413074852937E-3</c:v>
                </c:pt>
                <c:pt idx="12">
                  <c:v>9.4120745092624025E-3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58-4CEB-8A64-0F2F2295A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0981152"/>
        <c:axId val="640996032"/>
      </c:lineChart>
      <c:lineChart>
        <c:grouping val="standard"/>
        <c:varyColors val="0"/>
        <c:ser>
          <c:idx val="0"/>
          <c:order val="0"/>
          <c:tx>
            <c:v>lift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'Variable AOA Flat plate'!$A$3:$A$15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'Variable AOA Flat plate'!$H$3:$H$15</c:f>
              <c:numCache>
                <c:formatCode>General</c:formatCode>
                <c:ptCount val="13"/>
                <c:pt idx="0">
                  <c:v>0</c:v>
                </c:pt>
                <c:pt idx="1">
                  <c:v>1.8061499999999999E-3</c:v>
                </c:pt>
                <c:pt idx="2">
                  <c:v>3.6122999999999997E-3</c:v>
                </c:pt>
                <c:pt idx="3">
                  <c:v>5.4184499999999991E-3</c:v>
                </c:pt>
                <c:pt idx="4">
                  <c:v>7.2245999999999994E-3</c:v>
                </c:pt>
                <c:pt idx="5">
                  <c:v>9.0307499999999988E-3</c:v>
                </c:pt>
                <c:pt idx="6">
                  <c:v>9.75321E-3</c:v>
                </c:pt>
                <c:pt idx="7">
                  <c:v>1.0475669999999998E-2</c:v>
                </c:pt>
                <c:pt idx="8">
                  <c:v>1.1198129999999999E-2</c:v>
                </c:pt>
                <c:pt idx="9">
                  <c:v>1.1920589999999998E-2</c:v>
                </c:pt>
                <c:pt idx="10">
                  <c:v>1.2281819999999999E-2</c:v>
                </c:pt>
                <c:pt idx="11">
                  <c:v>1.2643049999999998E-2</c:v>
                </c:pt>
                <c:pt idx="12">
                  <c:v>1.2281819999999999E-2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58-4CEB-8A64-0F2F2295A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920048"/>
        <c:axId val="539903248"/>
      </c:lineChart>
      <c:catAx>
        <c:axId val="640981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AOA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996032"/>
        <c:crosses val="autoZero"/>
        <c:auto val="1"/>
        <c:lblAlgn val="ctr"/>
        <c:lblOffset val="100"/>
        <c:noMultiLvlLbl val="0"/>
      </c:catAx>
      <c:valAx>
        <c:axId val="6409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Drag</a:t>
                </a:r>
                <a:r>
                  <a:rPr lang="en-US" baseline="0"/>
                  <a:t> Force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981152"/>
        <c:crosses val="autoZero"/>
        <c:crossBetween val="between"/>
      </c:valAx>
      <c:valAx>
        <c:axId val="5399032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</a:t>
                </a:r>
                <a:r>
                  <a:rPr lang="en-US" baseline="0"/>
                  <a:t> Force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20048"/>
        <c:crosses val="max"/>
        <c:crossBetween val="between"/>
      </c:valAx>
      <c:catAx>
        <c:axId val="539920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903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Kinematics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'Wing Flap (rigid body)'!$B$1:$B$2</c:f>
              <c:strCache>
                <c:ptCount val="2"/>
                <c:pt idx="0">
                  <c:v>position (y)</c:v>
                </c:pt>
                <c:pt idx="1">
                  <c:v>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'Wing Flap (rigid body)'!$A$3:$A$23</c:f>
              <c:strCache>
                <c:ptCount val="21"/>
                <c:pt idx="0">
                  <c:v>0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**for 10 hz shows one period of motion estimated using cos wave</c:v>
                </c:pt>
              </c:strCache>
            </c:strRef>
          </c:xVal>
          <c:yVal>
            <c:numRef>
              <c:f>'Wing Flap (rigid body)'!$B$3:$B$23</c:f>
              <c:numCache>
                <c:formatCode>General</c:formatCode>
                <c:ptCount val="21"/>
                <c:pt idx="0">
                  <c:v>0.04</c:v>
                </c:pt>
                <c:pt idx="1">
                  <c:v>3.2360679774997896E-2</c:v>
                </c:pt>
                <c:pt idx="2">
                  <c:v>2.3511410091698926E-2</c:v>
                </c:pt>
                <c:pt idx="3">
                  <c:v>1.2360679774997899E-2</c:v>
                </c:pt>
                <c:pt idx="4">
                  <c:v>2.4502969098172402E-18</c:v>
                </c:pt>
                <c:pt idx="5">
                  <c:v>-1.2360679774997902E-2</c:v>
                </c:pt>
                <c:pt idx="6">
                  <c:v>-2.3511410091698923E-2</c:v>
                </c:pt>
                <c:pt idx="7">
                  <c:v>-3.2360679774997896E-2</c:v>
                </c:pt>
                <c:pt idx="8">
                  <c:v>-3.8042260651806145E-2</c:v>
                </c:pt>
                <c:pt idx="9">
                  <c:v>-0.04</c:v>
                </c:pt>
                <c:pt idx="10">
                  <c:v>-3.8042260651806152E-2</c:v>
                </c:pt>
                <c:pt idx="11">
                  <c:v>-3.2360679774997909E-2</c:v>
                </c:pt>
                <c:pt idx="12">
                  <c:v>-2.3511410091698961E-2</c:v>
                </c:pt>
                <c:pt idx="13">
                  <c:v>-1.2360679774997939E-2</c:v>
                </c:pt>
                <c:pt idx="14">
                  <c:v>-7.3508907294517198E-18</c:v>
                </c:pt>
                <c:pt idx="15">
                  <c:v>1.236067977499789E-2</c:v>
                </c:pt>
                <c:pt idx="16">
                  <c:v>2.3511410091698916E-2</c:v>
                </c:pt>
                <c:pt idx="17">
                  <c:v>3.2360679774997909E-2</c:v>
                </c:pt>
                <c:pt idx="18">
                  <c:v>3.8042260651806152E-2</c:v>
                </c:pt>
                <c:pt idx="19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1D-480B-86FA-BA38AEBD310D}"/>
            </c:ext>
          </c:extLst>
        </c:ser>
        <c:ser>
          <c:idx val="1"/>
          <c:order val="1"/>
          <c:tx>
            <c:strRef>
              <c:f>'Wing Flap (rigid body)'!$C$1:$C$2</c:f>
              <c:strCache>
                <c:ptCount val="2"/>
                <c:pt idx="0">
                  <c:v>velocity (v)</c:v>
                </c:pt>
                <c:pt idx="1">
                  <c:v>m/s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'Wing Flap (rigid body)'!$A$3:$A$23</c:f>
              <c:strCache>
                <c:ptCount val="21"/>
                <c:pt idx="0">
                  <c:v>0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**for 10 hz shows one period of motion estimated using cos wave</c:v>
                </c:pt>
              </c:strCache>
            </c:strRef>
          </c:xVal>
          <c:yVal>
            <c:numRef>
              <c:f>'Wing Flap (rigid body)'!$C$3:$C$23</c:f>
              <c:numCache>
                <c:formatCode>General</c:formatCode>
                <c:ptCount val="21"/>
                <c:pt idx="0">
                  <c:v>0</c:v>
                </c:pt>
                <c:pt idx="1">
                  <c:v>-1.4772654643923653</c:v>
                </c:pt>
                <c:pt idx="2">
                  <c:v>-2.0332814769261041</c:v>
                </c:pt>
                <c:pt idx="3">
                  <c:v>-2.3902657317932445</c:v>
                </c:pt>
                <c:pt idx="4">
                  <c:v>-2.5132741228718345</c:v>
                </c:pt>
                <c:pt idx="5">
                  <c:v>-2.3902657317932445</c:v>
                </c:pt>
                <c:pt idx="6">
                  <c:v>-2.0332814769261041</c:v>
                </c:pt>
                <c:pt idx="7">
                  <c:v>-1.4772654643923657</c:v>
                </c:pt>
                <c:pt idx="8">
                  <c:v>-0.77664441549018681</c:v>
                </c:pt>
                <c:pt idx="9">
                  <c:v>-1.4240313102025867E-15</c:v>
                </c:pt>
                <c:pt idx="10">
                  <c:v>0.77664441549018526</c:v>
                </c:pt>
                <c:pt idx="11">
                  <c:v>1.4772654643923642</c:v>
                </c:pt>
                <c:pt idx="12">
                  <c:v>2.0332814769261023</c:v>
                </c:pt>
                <c:pt idx="13">
                  <c:v>2.3902657317932436</c:v>
                </c:pt>
                <c:pt idx="14">
                  <c:v>2.5132741228718345</c:v>
                </c:pt>
                <c:pt idx="15">
                  <c:v>2.390265731793245</c:v>
                </c:pt>
                <c:pt idx="16">
                  <c:v>2.0332814769261041</c:v>
                </c:pt>
                <c:pt idx="17">
                  <c:v>1.4772654643923639</c:v>
                </c:pt>
                <c:pt idx="18">
                  <c:v>0.77664441549018504</c:v>
                </c:pt>
                <c:pt idx="19">
                  <c:v>-1.6164090570458752E-15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1D-480B-86FA-BA38AEBD3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641735"/>
        <c:axId val="437643783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'Wing Flap (rigid body)'!$F$1:$F$2</c15:sqref>
                        </c15:formulaRef>
                      </c:ext>
                    </c:extLst>
                    <c:strCache>
                      <c:ptCount val="2"/>
                      <c:pt idx="0">
                        <c:v>torque (τ)</c:v>
                      </c:pt>
                      <c:pt idx="1">
                        <c:v>Nm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'Wing Flap (rigid body)'!$A$3:$A$23</c15:sqref>
                        </c15:formulaRef>
                      </c:ext>
                    </c:extLst>
                    <c:strCache>
                      <c:ptCount val="21"/>
                      <c:pt idx="0">
                        <c:v>0</c:v>
                      </c:pt>
                      <c:pt idx="1">
                        <c:v>0.01</c:v>
                      </c:pt>
                      <c:pt idx="2">
                        <c:v>0.015</c:v>
                      </c:pt>
                      <c:pt idx="3">
                        <c:v>0.02</c:v>
                      </c:pt>
                      <c:pt idx="4">
                        <c:v>0.025</c:v>
                      </c:pt>
                      <c:pt idx="5">
                        <c:v>0.03</c:v>
                      </c:pt>
                      <c:pt idx="6">
                        <c:v>0.035</c:v>
                      </c:pt>
                      <c:pt idx="7">
                        <c:v>0.04</c:v>
                      </c:pt>
                      <c:pt idx="8">
                        <c:v>0.045</c:v>
                      </c:pt>
                      <c:pt idx="9">
                        <c:v>0.05</c:v>
                      </c:pt>
                      <c:pt idx="10">
                        <c:v>0.055</c:v>
                      </c:pt>
                      <c:pt idx="11">
                        <c:v>0.06</c:v>
                      </c:pt>
                      <c:pt idx="12">
                        <c:v>0.065</c:v>
                      </c:pt>
                      <c:pt idx="13">
                        <c:v>0.07</c:v>
                      </c:pt>
                      <c:pt idx="14">
                        <c:v>0.075</c:v>
                      </c:pt>
                      <c:pt idx="15">
                        <c:v>0.08</c:v>
                      </c:pt>
                      <c:pt idx="16">
                        <c:v>0.085</c:v>
                      </c:pt>
                      <c:pt idx="17">
                        <c:v>0.09</c:v>
                      </c:pt>
                      <c:pt idx="18">
                        <c:v>0.095</c:v>
                      </c:pt>
                      <c:pt idx="19">
                        <c:v>0.1</c:v>
                      </c:pt>
                      <c:pt idx="20">
                        <c:v>**for 10 hz shows one period of motion estimated using cos wave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'Wing Flap (rigid body)'!$F$3:$F$23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-1.3455560666818493E-2</c:v>
                      </c:pt>
                      <c:pt idx="1">
                        <c:v>-1.0885777248299259E-2</c:v>
                      </c:pt>
                      <c:pt idx="2">
                        <c:v>-7.9089801212825859E-3</c:v>
                      </c:pt>
                      <c:pt idx="3">
                        <c:v>-4.1579969148900142E-3</c:v>
                      </c:pt>
                      <c:pt idx="4">
                        <c:v>-8.2425296804409382E-19</c:v>
                      </c:pt>
                      <c:pt idx="5">
                        <c:v>4.1579969148900159E-3</c:v>
                      </c:pt>
                      <c:pt idx="6">
                        <c:v>7.9089801212825842E-3</c:v>
                      </c:pt>
                      <c:pt idx="7">
                        <c:v>1.0885777248299259E-2</c:v>
                      </c:pt>
                      <c:pt idx="8">
                        <c:v>1.279699865258249E-2</c:v>
                      </c:pt>
                      <c:pt idx="9">
                        <c:v>1.3455560666818493E-2</c:v>
                      </c:pt>
                      <c:pt idx="10">
                        <c:v>1.2796998652582492E-2</c:v>
                      </c:pt>
                      <c:pt idx="11">
                        <c:v>1.0885777248299266E-2</c:v>
                      </c:pt>
                      <c:pt idx="12">
                        <c:v>7.908980121282598E-3</c:v>
                      </c:pt>
                      <c:pt idx="13">
                        <c:v>4.1579969148900281E-3</c:v>
                      </c:pt>
                      <c:pt idx="14">
                        <c:v>2.4727589041322815E-18</c:v>
                      </c:pt>
                      <c:pt idx="15">
                        <c:v>-4.1579969148900116E-3</c:v>
                      </c:pt>
                      <c:pt idx="16">
                        <c:v>-7.9089801212825824E-3</c:v>
                      </c:pt>
                      <c:pt idx="17">
                        <c:v>-1.0885777248299266E-2</c:v>
                      </c:pt>
                      <c:pt idx="18">
                        <c:v>-1.2796998652582492E-2</c:v>
                      </c:pt>
                      <c:pt idx="19">
                        <c:v>-1.3455560666818493E-2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441D-480B-86FA-BA38AEBD310D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2"/>
          <c:order val="2"/>
          <c:tx>
            <c:strRef>
              <c:f>'Wing Flap (rigid body)'!$D$1:$D$2</c:f>
              <c:strCache>
                <c:ptCount val="2"/>
                <c:pt idx="0">
                  <c:v>acceleration (a)</c:v>
                </c:pt>
                <c:pt idx="1">
                  <c:v>m/s^2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'Wing Flap (rigid body)'!$A$3:$A$23</c:f>
              <c:strCache>
                <c:ptCount val="21"/>
                <c:pt idx="0">
                  <c:v>0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**for 10 hz shows one period of motion estimated using cos wave</c:v>
                </c:pt>
              </c:strCache>
            </c:strRef>
          </c:xVal>
          <c:yVal>
            <c:numRef>
              <c:f>'Wing Flap (rigid body)'!$D$3:$D$23</c:f>
              <c:numCache>
                <c:formatCode>General</c:formatCode>
                <c:ptCount val="21"/>
                <c:pt idx="0">
                  <c:v>-157.91367041742973</c:v>
                </c:pt>
                <c:pt idx="1">
                  <c:v>-127.75484301182505</c:v>
                </c:pt>
                <c:pt idx="2">
                  <c:v>-92.819326606739381</c:v>
                </c:pt>
                <c:pt idx="3">
                  <c:v>-48.798007803110188</c:v>
                </c:pt>
                <c:pt idx="4">
                  <c:v>-9.6733844660431536E-15</c:v>
                </c:pt>
                <c:pt idx="5">
                  <c:v>48.798007803110202</c:v>
                </c:pt>
                <c:pt idx="6">
                  <c:v>92.819326606739367</c:v>
                </c:pt>
                <c:pt idx="7">
                  <c:v>127.75484301182503</c:v>
                </c:pt>
                <c:pt idx="8">
                  <c:v>150.18482526258177</c:v>
                </c:pt>
                <c:pt idx="9">
                  <c:v>157.91367041742973</c:v>
                </c:pt>
                <c:pt idx="10">
                  <c:v>150.1848252625818</c:v>
                </c:pt>
                <c:pt idx="11">
                  <c:v>127.7548430118251</c:v>
                </c:pt>
                <c:pt idx="12">
                  <c:v>92.819326606739523</c:v>
                </c:pt>
                <c:pt idx="13">
                  <c:v>48.798007803110345</c:v>
                </c:pt>
                <c:pt idx="14">
                  <c:v>2.9020153398129462E-14</c:v>
                </c:pt>
                <c:pt idx="15">
                  <c:v>-48.798007803110153</c:v>
                </c:pt>
                <c:pt idx="16">
                  <c:v>-92.819326606739352</c:v>
                </c:pt>
                <c:pt idx="17">
                  <c:v>-127.7548430118251</c:v>
                </c:pt>
                <c:pt idx="18">
                  <c:v>-150.1848252625818</c:v>
                </c:pt>
                <c:pt idx="19">
                  <c:v>-157.91367041742973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1D-480B-86FA-BA38AEBD3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59983"/>
        <c:axId val="61573423"/>
      </c:scatterChart>
      <c:valAx>
        <c:axId val="437641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43783"/>
        <c:crosses val="autoZero"/>
        <c:crossBetween val="midCat"/>
      </c:valAx>
      <c:valAx>
        <c:axId val="437643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41735"/>
        <c:crosses val="autoZero"/>
        <c:crossBetween val="midCat"/>
      </c:valAx>
      <c:valAx>
        <c:axId val="615734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59983"/>
        <c:crosses val="max"/>
        <c:crossBetween val="midCat"/>
      </c:valAx>
      <c:valAx>
        <c:axId val="61559983"/>
        <c:scaling>
          <c:orientation val="minMax"/>
        </c:scaling>
        <c:delete val="1"/>
        <c:axPos val="b"/>
        <c:majorTickMark val="out"/>
        <c:minorTickMark val="none"/>
        <c:tickLblPos val="nextTo"/>
        <c:crossAx val="61573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Kinematics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'Wing Flap (particle)'!$B$1:$B$2</c:f>
              <c:strCache>
                <c:ptCount val="2"/>
                <c:pt idx="0">
                  <c:v>position (y)</c:v>
                </c:pt>
                <c:pt idx="1">
                  <c:v>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'Wing Flap (particle)'!$A$3:$A$23</c:f>
              <c:strCache>
                <c:ptCount val="21"/>
                <c:pt idx="0">
                  <c:v>0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**for 10 hz shows one period of motion estimated using cos wave</c:v>
                </c:pt>
              </c:strCache>
            </c:strRef>
          </c:xVal>
          <c:yVal>
            <c:numRef>
              <c:f>'Wing Flap (particle)'!$B$3:$B$23</c:f>
              <c:numCache>
                <c:formatCode>General</c:formatCode>
                <c:ptCount val="21"/>
                <c:pt idx="0">
                  <c:v>0.04</c:v>
                </c:pt>
                <c:pt idx="1">
                  <c:v>3.2360679774997896E-2</c:v>
                </c:pt>
                <c:pt idx="2">
                  <c:v>2.3511410091698926E-2</c:v>
                </c:pt>
                <c:pt idx="3">
                  <c:v>1.2360679774997899E-2</c:v>
                </c:pt>
                <c:pt idx="4">
                  <c:v>2.4502969098172402E-18</c:v>
                </c:pt>
                <c:pt idx="5">
                  <c:v>-1.2360679774997902E-2</c:v>
                </c:pt>
                <c:pt idx="6">
                  <c:v>-2.3511410091698923E-2</c:v>
                </c:pt>
                <c:pt idx="7">
                  <c:v>-3.2360679774997896E-2</c:v>
                </c:pt>
                <c:pt idx="8">
                  <c:v>-3.8042260651806145E-2</c:v>
                </c:pt>
                <c:pt idx="9">
                  <c:v>-0.04</c:v>
                </c:pt>
                <c:pt idx="10">
                  <c:v>-3.8042260651806152E-2</c:v>
                </c:pt>
                <c:pt idx="11">
                  <c:v>-3.2360679774997909E-2</c:v>
                </c:pt>
                <c:pt idx="12">
                  <c:v>-2.3511410091698961E-2</c:v>
                </c:pt>
                <c:pt idx="13">
                  <c:v>-1.2360679774997939E-2</c:v>
                </c:pt>
                <c:pt idx="14">
                  <c:v>-7.3508907294517198E-18</c:v>
                </c:pt>
                <c:pt idx="15">
                  <c:v>1.236067977499789E-2</c:v>
                </c:pt>
                <c:pt idx="16">
                  <c:v>2.3511410091698916E-2</c:v>
                </c:pt>
                <c:pt idx="17">
                  <c:v>3.2360679774997909E-2</c:v>
                </c:pt>
                <c:pt idx="18">
                  <c:v>3.8042260651806152E-2</c:v>
                </c:pt>
                <c:pt idx="19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06-4E8E-8994-0D2224CADEB3}"/>
            </c:ext>
          </c:extLst>
        </c:ser>
        <c:ser>
          <c:idx val="1"/>
          <c:order val="1"/>
          <c:tx>
            <c:strRef>
              <c:f>'Wing Flap (particle)'!$C$1:$C$2</c:f>
              <c:strCache>
                <c:ptCount val="2"/>
                <c:pt idx="0">
                  <c:v>velocity (v)</c:v>
                </c:pt>
                <c:pt idx="1">
                  <c:v>m/s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'Wing Flap (particle)'!$A$3:$A$23</c:f>
              <c:strCache>
                <c:ptCount val="21"/>
                <c:pt idx="0">
                  <c:v>0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**for 10 hz shows one period of motion estimated using cos wave</c:v>
                </c:pt>
              </c:strCache>
            </c:strRef>
          </c:xVal>
          <c:yVal>
            <c:numRef>
              <c:f>'Wing Flap (particle)'!$C$3:$C$23</c:f>
              <c:numCache>
                <c:formatCode>General</c:formatCode>
                <c:ptCount val="21"/>
                <c:pt idx="0">
                  <c:v>0</c:v>
                </c:pt>
                <c:pt idx="1">
                  <c:v>-1.4772654643923653</c:v>
                </c:pt>
                <c:pt idx="2">
                  <c:v>-2.0332814769261041</c:v>
                </c:pt>
                <c:pt idx="3">
                  <c:v>-2.3902657317932445</c:v>
                </c:pt>
                <c:pt idx="4">
                  <c:v>-2.5132741228718345</c:v>
                </c:pt>
                <c:pt idx="5">
                  <c:v>-2.3902657317932445</c:v>
                </c:pt>
                <c:pt idx="6">
                  <c:v>-2.0332814769261041</c:v>
                </c:pt>
                <c:pt idx="7">
                  <c:v>-1.4772654643923657</c:v>
                </c:pt>
                <c:pt idx="8">
                  <c:v>-0.77664441549018681</c:v>
                </c:pt>
                <c:pt idx="9">
                  <c:v>-1.4240313102025867E-15</c:v>
                </c:pt>
                <c:pt idx="10">
                  <c:v>0.77664441549018526</c:v>
                </c:pt>
                <c:pt idx="11">
                  <c:v>1.4772654643923642</c:v>
                </c:pt>
                <c:pt idx="12">
                  <c:v>2.0332814769261023</c:v>
                </c:pt>
                <c:pt idx="13">
                  <c:v>2.3902657317932436</c:v>
                </c:pt>
                <c:pt idx="14">
                  <c:v>2.5132741228718345</c:v>
                </c:pt>
                <c:pt idx="15">
                  <c:v>2.390265731793245</c:v>
                </c:pt>
                <c:pt idx="16">
                  <c:v>2.0332814769261041</c:v>
                </c:pt>
                <c:pt idx="17">
                  <c:v>1.4772654643923639</c:v>
                </c:pt>
                <c:pt idx="18">
                  <c:v>0.77664441549018504</c:v>
                </c:pt>
                <c:pt idx="19">
                  <c:v>-1.6164090570458752E-15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06-4E8E-8994-0D2224CAD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641735"/>
        <c:axId val="437643783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'Wing Flap (particle)'!$E$1:$E$2</c15:sqref>
                        </c15:formulaRef>
                      </c:ext>
                    </c:extLst>
                    <c:strCache>
                      <c:ptCount val="2"/>
                      <c:pt idx="0">
                        <c:v>torque (τ)</c:v>
                      </c:pt>
                      <c:pt idx="1">
                        <c:v>Nm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'Wing Flap (particle)'!$A$3:$A$23</c15:sqref>
                        </c15:formulaRef>
                      </c:ext>
                    </c:extLst>
                    <c:strCache>
                      <c:ptCount val="21"/>
                      <c:pt idx="0">
                        <c:v>0</c:v>
                      </c:pt>
                      <c:pt idx="1">
                        <c:v>0.01</c:v>
                      </c:pt>
                      <c:pt idx="2">
                        <c:v>0.015</c:v>
                      </c:pt>
                      <c:pt idx="3">
                        <c:v>0.02</c:v>
                      </c:pt>
                      <c:pt idx="4">
                        <c:v>0.025</c:v>
                      </c:pt>
                      <c:pt idx="5">
                        <c:v>0.03</c:v>
                      </c:pt>
                      <c:pt idx="6">
                        <c:v>0.035</c:v>
                      </c:pt>
                      <c:pt idx="7">
                        <c:v>0.04</c:v>
                      </c:pt>
                      <c:pt idx="8">
                        <c:v>0.045</c:v>
                      </c:pt>
                      <c:pt idx="9">
                        <c:v>0.05</c:v>
                      </c:pt>
                      <c:pt idx="10">
                        <c:v>0.055</c:v>
                      </c:pt>
                      <c:pt idx="11">
                        <c:v>0.06</c:v>
                      </c:pt>
                      <c:pt idx="12">
                        <c:v>0.065</c:v>
                      </c:pt>
                      <c:pt idx="13">
                        <c:v>0.07</c:v>
                      </c:pt>
                      <c:pt idx="14">
                        <c:v>0.075</c:v>
                      </c:pt>
                      <c:pt idx="15">
                        <c:v>0.08</c:v>
                      </c:pt>
                      <c:pt idx="16">
                        <c:v>0.085</c:v>
                      </c:pt>
                      <c:pt idx="17">
                        <c:v>0.09</c:v>
                      </c:pt>
                      <c:pt idx="18">
                        <c:v>0.095</c:v>
                      </c:pt>
                      <c:pt idx="19">
                        <c:v>0.1</c:v>
                      </c:pt>
                      <c:pt idx="20">
                        <c:v>**for 10 hz shows one period of motion estimated using cos wave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'Wing Flap (particle)'!$E$3:$E$23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-0.39478417604357435</c:v>
                      </c:pt>
                      <c:pt idx="1">
                        <c:v>-0.31938710752956262</c:v>
                      </c:pt>
                      <c:pt idx="2">
                        <c:v>-0.23204831651684846</c:v>
                      </c:pt>
                      <c:pt idx="3">
                        <c:v>-0.12199501950777547</c:v>
                      </c:pt>
                      <c:pt idx="4">
                        <c:v>-2.4183461165107885E-17</c:v>
                      </c:pt>
                      <c:pt idx="5">
                        <c:v>0.12199501950777551</c:v>
                      </c:pt>
                      <c:pt idx="6">
                        <c:v>0.23204831651684843</c:v>
                      </c:pt>
                      <c:pt idx="7">
                        <c:v>0.31938710752956256</c:v>
                      </c:pt>
                      <c:pt idx="8">
                        <c:v>0.37546206315645442</c:v>
                      </c:pt>
                      <c:pt idx="9">
                        <c:v>0.39478417604357435</c:v>
                      </c:pt>
                      <c:pt idx="10">
                        <c:v>0.37546206315645447</c:v>
                      </c:pt>
                      <c:pt idx="11">
                        <c:v>0.31938710752956279</c:v>
                      </c:pt>
                      <c:pt idx="12">
                        <c:v>0.23204831651684882</c:v>
                      </c:pt>
                      <c:pt idx="13">
                        <c:v>0.12199501950777586</c:v>
                      </c:pt>
                      <c:pt idx="14">
                        <c:v>7.255038349532366E-17</c:v>
                      </c:pt>
                      <c:pt idx="15">
                        <c:v>-0.12199501950777539</c:v>
                      </c:pt>
                      <c:pt idx="16">
                        <c:v>-0.23204831651684837</c:v>
                      </c:pt>
                      <c:pt idx="17">
                        <c:v>-0.31938710752956279</c:v>
                      </c:pt>
                      <c:pt idx="18">
                        <c:v>-0.37546206315645447</c:v>
                      </c:pt>
                      <c:pt idx="19">
                        <c:v>-0.39478417604357435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F206-4E8E-8994-0D2224CADEB3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2"/>
          <c:order val="2"/>
          <c:tx>
            <c:strRef>
              <c:f>'Wing Flap (particle)'!$D$1:$D$2</c:f>
              <c:strCache>
                <c:ptCount val="2"/>
                <c:pt idx="0">
                  <c:v>acceleration (a)</c:v>
                </c:pt>
                <c:pt idx="1">
                  <c:v>m/s^2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'Wing Flap (particle)'!$A$3:$A$23</c:f>
              <c:strCache>
                <c:ptCount val="21"/>
                <c:pt idx="0">
                  <c:v>0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**for 10 hz shows one period of motion estimated using cos wave</c:v>
                </c:pt>
              </c:strCache>
            </c:strRef>
          </c:xVal>
          <c:yVal>
            <c:numRef>
              <c:f>'Wing Flap (particle)'!$D$3:$D$23</c:f>
              <c:numCache>
                <c:formatCode>General</c:formatCode>
                <c:ptCount val="21"/>
                <c:pt idx="0">
                  <c:v>-157.91367041742973</c:v>
                </c:pt>
                <c:pt idx="1">
                  <c:v>-127.75484301182505</c:v>
                </c:pt>
                <c:pt idx="2">
                  <c:v>-92.819326606739381</c:v>
                </c:pt>
                <c:pt idx="3">
                  <c:v>-48.798007803110188</c:v>
                </c:pt>
                <c:pt idx="4">
                  <c:v>-9.6733844660431536E-15</c:v>
                </c:pt>
                <c:pt idx="5">
                  <c:v>48.798007803110202</c:v>
                </c:pt>
                <c:pt idx="6">
                  <c:v>92.819326606739367</c:v>
                </c:pt>
                <c:pt idx="7">
                  <c:v>127.75484301182503</c:v>
                </c:pt>
                <c:pt idx="8">
                  <c:v>150.18482526258177</c:v>
                </c:pt>
                <c:pt idx="9">
                  <c:v>157.91367041742973</c:v>
                </c:pt>
                <c:pt idx="10">
                  <c:v>150.1848252625818</c:v>
                </c:pt>
                <c:pt idx="11">
                  <c:v>127.7548430118251</c:v>
                </c:pt>
                <c:pt idx="12">
                  <c:v>92.819326606739523</c:v>
                </c:pt>
                <c:pt idx="13">
                  <c:v>48.798007803110345</c:v>
                </c:pt>
                <c:pt idx="14">
                  <c:v>2.9020153398129462E-14</c:v>
                </c:pt>
                <c:pt idx="15">
                  <c:v>-48.798007803110153</c:v>
                </c:pt>
                <c:pt idx="16">
                  <c:v>-92.819326606739352</c:v>
                </c:pt>
                <c:pt idx="17">
                  <c:v>-127.7548430118251</c:v>
                </c:pt>
                <c:pt idx="18">
                  <c:v>-150.1848252625818</c:v>
                </c:pt>
                <c:pt idx="19">
                  <c:v>-157.91367041742973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06-4E8E-8994-0D2224CAD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59983"/>
        <c:axId val="61573423"/>
      </c:scatterChart>
      <c:valAx>
        <c:axId val="437641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43783"/>
        <c:crosses val="autoZero"/>
        <c:crossBetween val="midCat"/>
      </c:valAx>
      <c:valAx>
        <c:axId val="437643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41735"/>
        <c:crosses val="autoZero"/>
        <c:crossBetween val="midCat"/>
      </c:valAx>
      <c:valAx>
        <c:axId val="615734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59983"/>
        <c:crosses val="max"/>
        <c:crossBetween val="midCat"/>
      </c:valAx>
      <c:valAx>
        <c:axId val="61559983"/>
        <c:scaling>
          <c:orientation val="minMax"/>
        </c:scaling>
        <c:delete val="1"/>
        <c:axPos val="b"/>
        <c:majorTickMark val="out"/>
        <c:minorTickMark val="none"/>
        <c:tickLblPos val="nextTo"/>
        <c:crossAx val="61573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Forces (dihedral)</a:t>
            </a:r>
          </a:p>
        </c:rich>
      </c:tx>
      <c:layout>
        <c:manualLayout>
          <c:xMode val="edge"/>
          <c:yMode val="edge"/>
          <c:x val="0.41947875861454603"/>
          <c:y val="8.76549998715987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691789145935442E-2"/>
          <c:y val="0.10299902902310622"/>
          <c:w val="0.88978611254757967"/>
          <c:h val="0.78383854474838044"/>
        </c:manualLayout>
      </c:layout>
      <c:lineChart>
        <c:grouping val="standard"/>
        <c:varyColors val="0"/>
        <c:ser>
          <c:idx val="11"/>
          <c:order val="10"/>
          <c:tx>
            <c:v>net z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'Variable AOA Dihedral'!$N$3:$N$15</c:f>
              <c:numCache>
                <c:formatCode>General</c:formatCode>
                <c:ptCount val="13"/>
                <c:pt idx="0">
                  <c:v>-4.5415395000000004E-3</c:v>
                </c:pt>
                <c:pt idx="1">
                  <c:v>-2.7653676449002594E-3</c:v>
                </c:pt>
                <c:pt idx="2">
                  <c:v>-9.9577775759691943E-4</c:v>
                </c:pt>
                <c:pt idx="3">
                  <c:v>7.6354070722716317E-4</c:v>
                </c:pt>
                <c:pt idx="4">
                  <c:v>2.5072639710608038E-3</c:v>
                </c:pt>
                <c:pt idx="5">
                  <c:v>4.2146427590332089E-3</c:v>
                </c:pt>
                <c:pt idx="6">
                  <c:v>4.8125294715844463E-3</c:v>
                </c:pt>
                <c:pt idx="7">
                  <c:v>5.3613014844406202E-3</c:v>
                </c:pt>
                <c:pt idx="8">
                  <c:v>5.8523771052158644E-3</c:v>
                </c:pt>
                <c:pt idx="9">
                  <c:v>6.2772866388347247E-3</c:v>
                </c:pt>
                <c:pt idx="10">
                  <c:v>6.2773511459034131E-3</c:v>
                </c:pt>
                <c:pt idx="11">
                  <c:v>6.1969742386475193E-3</c:v>
                </c:pt>
                <c:pt idx="12">
                  <c:v>5.3325019025740848E-3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0F-4FAC-95EE-6CAF699F8F82}"/>
            </c:ext>
          </c:extLst>
        </c:ser>
        <c:ser>
          <c:idx val="10"/>
          <c:order val="11"/>
          <c:tx>
            <c:v>net x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'Variable AOA Dihedral'!$M$3:$M$15</c:f>
              <c:numCache>
                <c:formatCode>General</c:formatCode>
                <c:ptCount val="13"/>
                <c:pt idx="0">
                  <c:v>-3.6123000000000005E-6</c:v>
                </c:pt>
                <c:pt idx="1">
                  <c:v>-1.6096276407307207E-4</c:v>
                </c:pt>
                <c:pt idx="2">
                  <c:v>-3.9597379214136356E-4</c:v>
                </c:pt>
                <c:pt idx="3">
                  <c:v>-7.3222680698040166E-4</c:v>
                </c:pt>
                <c:pt idx="4">
                  <c:v>-1.1928520446760839E-3</c:v>
                </c:pt>
                <c:pt idx="5">
                  <c:v>-1.9584512524356439E-3</c:v>
                </c:pt>
                <c:pt idx="6">
                  <c:v>-2.8911782712871701E-3</c:v>
                </c:pt>
                <c:pt idx="7">
                  <c:v>-4.000139091208943E-3</c:v>
                </c:pt>
                <c:pt idx="8">
                  <c:v>-5.2829283450507858E-3</c:v>
                </c:pt>
                <c:pt idx="9">
                  <c:v>-6.7367572481920827E-3</c:v>
                </c:pt>
                <c:pt idx="10">
                  <c:v>-8.2966846492730298E-3</c:v>
                </c:pt>
                <c:pt idx="11">
                  <c:v>-1.0008734977455594E-2</c:v>
                </c:pt>
                <c:pt idx="12">
                  <c:v>-1.1721138143031894E-2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90-4040-B305-9C6FD435E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42247"/>
        <c:axId val="3527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'Variable AOA Dihedral'!$A$1</c15:sqref>
                        </c15:formulaRef>
                      </c:ext>
                    </c:extLst>
                    <c:strCache>
                      <c:ptCount val="1"/>
                      <c:pt idx="0">
                        <c:v>AOA (deg)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'Variable AOA Dihedral'!$A$3:$A$15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'Variable AOA Dihedral'!$A$3:$A$15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D0F-4FAC-95EE-6CAF699F8F8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Dihedral'!$B$1</c15:sqref>
                        </c15:formulaRef>
                      </c:ext>
                    </c:extLst>
                    <c:strCache>
                      <c:ptCount val="1"/>
                      <c:pt idx="0">
                        <c:v>Cross section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Dihedral'!$B$3:$B$15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1.6000000000000003E-5</c:v>
                      </c:pt>
                      <c:pt idx="1">
                        <c:v>5.3957219311850534E-4</c:v>
                      </c:pt>
                      <c:pt idx="2">
                        <c:v>1.0629849010750289E-3</c:v>
                      </c:pt>
                      <c:pt idx="3">
                        <c:v>1.5860786872883149E-3</c:v>
                      </c:pt>
                      <c:pt idx="4">
                        <c:v>2.1086942123237588E-3</c:v>
                      </c:pt>
                      <c:pt idx="5">
                        <c:v>2.6306722824297447E-3</c:v>
                      </c:pt>
                      <c:pt idx="6">
                        <c:v>3.1518538980296038E-3</c:v>
                      </c:pt>
                      <c:pt idx="7">
                        <c:v>3.6720803021544242E-3</c:v>
                      </c:pt>
                      <c:pt idx="8">
                        <c:v>4.1911930288019636E-3</c:v>
                      </c:pt>
                      <c:pt idx="9">
                        <c:v>4.7090339512069262E-3</c:v>
                      </c:pt>
                      <c:pt idx="10">
                        <c:v>5.2254453300079103E-3</c:v>
                      </c:pt>
                      <c:pt idx="11">
                        <c:v>5.7402698612963442E-3</c:v>
                      </c:pt>
                      <c:pt idx="12">
                        <c:v>6.2533507245327805E-3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D0F-4FAC-95EE-6CAF699F8F8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Dihedral'!$D$1</c15:sqref>
                        </c15:formulaRef>
                      </c:ext>
                    </c:extLst>
                    <c:strCache>
                      <c:ptCount val="1"/>
                      <c:pt idx="0">
                        <c:v>Drag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Dihedral'!$D$3:$D$15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3.6123000000000005E-6</c:v>
                      </c:pt>
                      <c:pt idx="1">
                        <c:v>1.2993977554679844E-4</c:v>
                      </c:pt>
                      <c:pt idx="2">
                        <c:v>2.7198727536919398E-4</c:v>
                      </c:pt>
                      <c:pt idx="3">
                        <c:v>4.5357686999891674E-4</c:v>
                      </c:pt>
                      <c:pt idx="4">
                        <c:v>6.982466427912353E-4</c:v>
                      </c:pt>
                      <c:pt idx="5">
                        <c:v>1.1878471857276209E-3</c:v>
                      </c:pt>
                      <c:pt idx="6">
                        <c:v>1.8975736393087228E-3</c:v>
                      </c:pt>
                      <c:pt idx="7">
                        <c:v>2.7634699323900889E-3</c:v>
                      </c:pt>
                      <c:pt idx="8">
                        <c:v>3.7849616444853335E-3</c:v>
                      </c:pt>
                      <c:pt idx="9">
                        <c:v>4.9613793080672272E-3</c:v>
                      </c:pt>
                      <c:pt idx="10">
                        <c:v>6.2919587218625249E-3</c:v>
                      </c:pt>
                      <c:pt idx="11">
                        <c:v>7.7758413074852937E-3</c:v>
                      </c:pt>
                      <c:pt idx="12">
                        <c:v>9.4120745092624025E-3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D0F-4FAC-95EE-6CAF699F8F8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Dihedral'!$E$1</c15:sqref>
                        </c15:formulaRef>
                      </c:ext>
                    </c:extLst>
                    <c:strCache>
                      <c:ptCount val="1"/>
                      <c:pt idx="0">
                        <c:v>Dz (down)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Dihedral'!$E$3:$E$15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2.26776177521212E-6</c:v>
                      </c:pt>
                      <c:pt idx="2">
                        <c:v>9.4922190198694082E-6</c:v>
                      </c:pt>
                      <c:pt idx="3">
                        <c:v>2.3738379221074731E-5</c:v>
                      </c:pt>
                      <c:pt idx="4">
                        <c:v>4.8707223604790445E-5</c:v>
                      </c:pt>
                      <c:pt idx="5">
                        <c:v>1.0352770374280626E-4</c:v>
                      </c:pt>
                      <c:pt idx="6">
                        <c:v>1.9835045645414935E-4</c:v>
                      </c:pt>
                      <c:pt idx="7">
                        <c:v>3.3678226618024743E-4</c:v>
                      </c:pt>
                      <c:pt idx="8">
                        <c:v>5.2676484907793262E-4</c:v>
                      </c:pt>
                      <c:pt idx="9">
                        <c:v>7.7613071791916746E-4</c:v>
                      </c:pt>
                      <c:pt idx="10">
                        <c:v>1.0925871660069756E-3</c:v>
                      </c:pt>
                      <c:pt idx="11">
                        <c:v>1.4837004680887075E-3</c:v>
                      </c:pt>
                      <c:pt idx="12">
                        <c:v>1.9568803253234785E-3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D0F-4FAC-95EE-6CAF699F8F8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Dihedral'!$F$1</c15:sqref>
                        </c15:formulaRef>
                      </c:ext>
                    </c:extLst>
                    <c:strCache>
                      <c:ptCount val="1"/>
                      <c:pt idx="0">
                        <c:v>Dx (back)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Dihedral'!$F$3:$F$15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3.6123000000000005E-6</c:v>
                      </c:pt>
                      <c:pt idx="1">
                        <c:v>1.2991998508960523E-4</c:v>
                      </c:pt>
                      <c:pt idx="2">
                        <c:v>2.7182158806988933E-4</c:v>
                      </c:pt>
                      <c:pt idx="3">
                        <c:v>4.5295525866245403E-4</c:v>
                      </c:pt>
                      <c:pt idx="4">
                        <c:v>6.9654574906314942E-4</c:v>
                      </c:pt>
                      <c:pt idx="5">
                        <c:v>1.1833270685650569E-3</c:v>
                      </c:pt>
                      <c:pt idx="6">
                        <c:v>1.8871785323661832E-3</c:v>
                      </c:pt>
                      <c:pt idx="7">
                        <c:v>2.7428714465702869E-3</c:v>
                      </c:pt>
                      <c:pt idx="8">
                        <c:v>3.7481266579454096E-3</c:v>
                      </c:pt>
                      <c:pt idx="9">
                        <c:v>4.9002964958479722E-3</c:v>
                      </c:pt>
                      <c:pt idx="10">
                        <c:v>6.1963697309229977E-3</c:v>
                      </c:pt>
                      <c:pt idx="11">
                        <c:v>7.63297720160279E-3</c:v>
                      </c:pt>
                      <c:pt idx="12">
                        <c:v>9.20639809916283E-3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D0F-4FAC-95EE-6CAF699F8F8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Dihedral'!$G$1</c15:sqref>
                        </c15:formulaRef>
                      </c:ext>
                    </c:extLst>
                    <c:strCache>
                      <c:ptCount val="1"/>
                      <c:pt idx="0">
                        <c:v>Cl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Dihedral'!$G$3:$G$15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0.54</c:v>
                      </c:pt>
                      <c:pt idx="7">
                        <c:v>0.57999999999999996</c:v>
                      </c:pt>
                      <c:pt idx="8">
                        <c:v>0.62</c:v>
                      </c:pt>
                      <c:pt idx="9">
                        <c:v>0.66</c:v>
                      </c:pt>
                      <c:pt idx="10">
                        <c:v>0.68</c:v>
                      </c:pt>
                      <c:pt idx="11">
                        <c:v>0.7</c:v>
                      </c:pt>
                      <c:pt idx="12">
                        <c:v>0.68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D0F-4FAC-95EE-6CAF699F8F8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Dihedral'!$H$1</c15:sqref>
                        </c15:formulaRef>
                      </c:ext>
                    </c:extLst>
                    <c:strCache>
                      <c:ptCount val="1"/>
                      <c:pt idx="0">
                        <c:v>Lift 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Dihedral'!$H$3:$H$15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1.7787105231029995E-3</c:v>
                      </c:pt>
                      <c:pt idx="2">
                        <c:v>3.5574210462059989E-3</c:v>
                      </c:pt>
                      <c:pt idx="3">
                        <c:v>5.3361315693089975E-3</c:v>
                      </c:pt>
                      <c:pt idx="4">
                        <c:v>7.1148420924119979E-3</c:v>
                      </c:pt>
                      <c:pt idx="5">
                        <c:v>8.8935526155149956E-3</c:v>
                      </c:pt>
                      <c:pt idx="6">
                        <c:v>9.6050368247561982E-3</c:v>
                      </c:pt>
                      <c:pt idx="7">
                        <c:v>1.0316521033997396E-2</c:v>
                      </c:pt>
                      <c:pt idx="8">
                        <c:v>1.1028005243238596E-2</c:v>
                      </c:pt>
                      <c:pt idx="9">
                        <c:v>1.1739489452479795E-2</c:v>
                      </c:pt>
                      <c:pt idx="10">
                        <c:v>1.2095231557100395E-2</c:v>
                      </c:pt>
                      <c:pt idx="11">
                        <c:v>1.2450973661720995E-2</c:v>
                      </c:pt>
                      <c:pt idx="12">
                        <c:v>1.2095231557100395E-2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D0F-4FAC-95EE-6CAF699F8F8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Dihedral'!$I$1</c15:sqref>
                        </c15:formulaRef>
                      </c:ext>
                    </c:extLst>
                    <c:strCache>
                      <c:ptCount val="1"/>
                      <c:pt idx="0">
                        <c:v>Lz (up)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Dihedral'!$I$3:$I$15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1.778439616874953E-3</c:v>
                      </c:pt>
                      <c:pt idx="2">
                        <c:v>3.5552539614229503E-3</c:v>
                      </c:pt>
                      <c:pt idx="3">
                        <c:v>5.328818586448238E-3</c:v>
                      </c:pt>
                      <c:pt idx="4">
                        <c:v>7.0975106946655946E-3</c:v>
                      </c:pt>
                      <c:pt idx="5">
                        <c:v>8.8597099627760155E-3</c:v>
                      </c:pt>
                      <c:pt idx="6">
                        <c:v>9.5524194280385954E-3</c:v>
                      </c:pt>
                      <c:pt idx="7">
                        <c:v>1.0239623250620868E-2</c:v>
                      </c:pt>
                      <c:pt idx="8">
                        <c:v>1.0920681454293797E-2</c:v>
                      </c:pt>
                      <c:pt idx="9">
                        <c:v>1.1594956856753892E-2</c:v>
                      </c:pt>
                      <c:pt idx="10">
                        <c:v>1.191147781191039E-2</c:v>
                      </c:pt>
                      <c:pt idx="11">
                        <c:v>1.2222214206736227E-2</c:v>
                      </c:pt>
                      <c:pt idx="12">
                        <c:v>1.1830921727897563E-2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D0F-4FAC-95EE-6CAF699F8F82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Dihedral'!$J$1</c15:sqref>
                        </c15:formulaRef>
                      </c:ext>
                    </c:extLst>
                    <c:strCache>
                      <c:ptCount val="1"/>
                      <c:pt idx="0">
                        <c:v>Lx (back)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Dihedral'!$J$3:$J$15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3.1042778983466862E-5</c:v>
                      </c:pt>
                      <c:pt idx="2">
                        <c:v>1.241522040714742E-4</c:v>
                      </c:pt>
                      <c:pt idx="3">
                        <c:v>2.7927154831794762E-4</c:v>
                      </c:pt>
                      <c:pt idx="4">
                        <c:v>4.9630629561293459E-4</c:v>
                      </c:pt>
                      <c:pt idx="5">
                        <c:v>7.7512418387058713E-4</c:v>
                      </c:pt>
                      <c:pt idx="6">
                        <c:v>1.0039997389209871E-3</c:v>
                      </c:pt>
                      <c:pt idx="7">
                        <c:v>1.2572676446386559E-3</c:v>
                      </c:pt>
                      <c:pt idx="8">
                        <c:v>1.5348016871053764E-3</c:v>
                      </c:pt>
                      <c:pt idx="9">
                        <c:v>1.8364607523441102E-3</c:v>
                      </c:pt>
                      <c:pt idx="10">
                        <c:v>2.100314918350033E-3</c:v>
                      </c:pt>
                      <c:pt idx="11">
                        <c:v>2.3757577758528039E-3</c:v>
                      </c:pt>
                      <c:pt idx="12">
                        <c:v>2.5147400438690647E-3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D0F-4FAC-95EE-6CAF699F8F82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Dihedral'!$K$1</c15:sqref>
                        </c15:formulaRef>
                      </c:ext>
                    </c:extLst>
                    <c:strCache>
                      <c:ptCount val="1"/>
                      <c:pt idx="0">
                        <c:v>Weight (down)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Dihedral'!$K$3:$K$15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4.5415395000000004E-3</c:v>
                      </c:pt>
                      <c:pt idx="1">
                        <c:v>4.5415395000000004E-3</c:v>
                      </c:pt>
                      <c:pt idx="2">
                        <c:v>4.5415395000000004E-3</c:v>
                      </c:pt>
                      <c:pt idx="3">
                        <c:v>4.5415395000000004E-3</c:v>
                      </c:pt>
                      <c:pt idx="4">
                        <c:v>4.5415395000000004E-3</c:v>
                      </c:pt>
                      <c:pt idx="5">
                        <c:v>4.5415395000000004E-3</c:v>
                      </c:pt>
                      <c:pt idx="6">
                        <c:v>4.5415395000000004E-3</c:v>
                      </c:pt>
                      <c:pt idx="7">
                        <c:v>4.5415395000000004E-3</c:v>
                      </c:pt>
                      <c:pt idx="8">
                        <c:v>4.5415395000000004E-3</c:v>
                      </c:pt>
                      <c:pt idx="9">
                        <c:v>4.5415395000000004E-3</c:v>
                      </c:pt>
                      <c:pt idx="10">
                        <c:v>4.5415395000000004E-3</c:v>
                      </c:pt>
                      <c:pt idx="11">
                        <c:v>4.5415395000000004E-3</c:v>
                      </c:pt>
                      <c:pt idx="12">
                        <c:v>4.5415395000000004E-3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D0F-4FAC-95EE-6CAF699F8F82}"/>
                  </c:ext>
                </c:extLst>
              </c15:ser>
            </c15:filteredLineSeries>
          </c:ext>
        </c:extLst>
      </c:lineChart>
      <c:catAx>
        <c:axId val="24842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AOA</a:t>
                </a:r>
                <a:r>
                  <a:rPr lang="en-US" baseline="0"/>
                  <a:t> (deg)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775"/>
        <c:crosses val="autoZero"/>
        <c:auto val="1"/>
        <c:lblAlgn val="ctr"/>
        <c:lblOffset val="100"/>
        <c:noMultiLvlLbl val="0"/>
      </c:catAx>
      <c:valAx>
        <c:axId val="352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7.7210294623125938E-2"/>
              <c:y val="0.407786590591442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2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3834762079219"/>
          <c:y val="0.89966570879159768"/>
          <c:w val="0.25678046236552715"/>
          <c:h val="8.1029211712512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</a:t>
            </a:r>
            <a:r>
              <a:rPr lang="en-US" baseline="0"/>
              <a:t> vs Drag (dihedral)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drag</c:v>
          </c:tx>
          <c:spPr>
            <a:ln w="28575" cap="rnd">
              <a:solidFill>
                <a:srgbClr val="EE5C5C"/>
              </a:solidFill>
              <a:round/>
            </a:ln>
            <a:effectLst/>
          </c:spPr>
          <c:marker>
            <c:symbol val="none"/>
          </c:marker>
          <c:cat>
            <c:numRef>
              <c:f>'Variable AOA Dihedral'!$A$3:$A$15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'Variable AOA Dihedral'!$D$3:$D$15</c:f>
              <c:numCache>
                <c:formatCode>General</c:formatCode>
                <c:ptCount val="13"/>
                <c:pt idx="0">
                  <c:v>3.6123000000000005E-6</c:v>
                </c:pt>
                <c:pt idx="1">
                  <c:v>1.2993977554679844E-4</c:v>
                </c:pt>
                <c:pt idx="2">
                  <c:v>2.7198727536919398E-4</c:v>
                </c:pt>
                <c:pt idx="3">
                  <c:v>4.5357686999891674E-4</c:v>
                </c:pt>
                <c:pt idx="4">
                  <c:v>6.982466427912353E-4</c:v>
                </c:pt>
                <c:pt idx="5">
                  <c:v>1.1878471857276209E-3</c:v>
                </c:pt>
                <c:pt idx="6">
                  <c:v>1.8975736393087228E-3</c:v>
                </c:pt>
                <c:pt idx="7">
                  <c:v>2.7634699323900889E-3</c:v>
                </c:pt>
                <c:pt idx="8">
                  <c:v>3.7849616444853335E-3</c:v>
                </c:pt>
                <c:pt idx="9">
                  <c:v>4.9613793080672272E-3</c:v>
                </c:pt>
                <c:pt idx="10">
                  <c:v>6.2919587218625249E-3</c:v>
                </c:pt>
                <c:pt idx="11">
                  <c:v>7.7758413074852937E-3</c:v>
                </c:pt>
                <c:pt idx="12">
                  <c:v>9.4120745092624025E-3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4-4556-A52D-EBD3A8423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0981152"/>
        <c:axId val="640996032"/>
      </c:lineChart>
      <c:lineChart>
        <c:grouping val="standard"/>
        <c:varyColors val="0"/>
        <c:ser>
          <c:idx val="0"/>
          <c:order val="0"/>
          <c:tx>
            <c:v>lift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'Variable AOA Dihedral'!$A$3:$A$15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'Variable AOA Dihedral'!$H$3:$H$15</c:f>
              <c:numCache>
                <c:formatCode>General</c:formatCode>
                <c:ptCount val="13"/>
                <c:pt idx="0">
                  <c:v>0</c:v>
                </c:pt>
                <c:pt idx="1">
                  <c:v>1.7787105231029995E-3</c:v>
                </c:pt>
                <c:pt idx="2">
                  <c:v>3.5574210462059989E-3</c:v>
                </c:pt>
                <c:pt idx="3">
                  <c:v>5.3361315693089975E-3</c:v>
                </c:pt>
                <c:pt idx="4">
                  <c:v>7.1148420924119979E-3</c:v>
                </c:pt>
                <c:pt idx="5">
                  <c:v>8.8935526155149956E-3</c:v>
                </c:pt>
                <c:pt idx="6">
                  <c:v>9.6050368247561982E-3</c:v>
                </c:pt>
                <c:pt idx="7">
                  <c:v>1.0316521033997396E-2</c:v>
                </c:pt>
                <c:pt idx="8">
                  <c:v>1.1028005243238596E-2</c:v>
                </c:pt>
                <c:pt idx="9">
                  <c:v>1.1739489452479795E-2</c:v>
                </c:pt>
                <c:pt idx="10">
                  <c:v>1.2095231557100395E-2</c:v>
                </c:pt>
                <c:pt idx="11">
                  <c:v>1.2450973661720995E-2</c:v>
                </c:pt>
                <c:pt idx="12">
                  <c:v>1.2095231557100395E-2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94-4556-A52D-EBD3A8423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920048"/>
        <c:axId val="539903248"/>
      </c:lineChart>
      <c:catAx>
        <c:axId val="640981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AOA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996032"/>
        <c:crosses val="autoZero"/>
        <c:auto val="1"/>
        <c:lblAlgn val="ctr"/>
        <c:lblOffset val="100"/>
        <c:noMultiLvlLbl val="0"/>
      </c:catAx>
      <c:valAx>
        <c:axId val="6409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Drag</a:t>
                </a:r>
                <a:r>
                  <a:rPr lang="en-US" baseline="0"/>
                  <a:t> Force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981152"/>
        <c:crosses val="autoZero"/>
        <c:crossBetween val="between"/>
      </c:valAx>
      <c:valAx>
        <c:axId val="5399032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</a:t>
                </a:r>
                <a:r>
                  <a:rPr lang="en-US" baseline="0"/>
                  <a:t> Force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20048"/>
        <c:crosses val="max"/>
        <c:crossBetween val="between"/>
      </c:valAx>
      <c:catAx>
        <c:axId val="539920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903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Forces (airfoil)</a:t>
            </a:r>
          </a:p>
        </c:rich>
      </c:tx>
      <c:layout>
        <c:manualLayout>
          <c:xMode val="edge"/>
          <c:yMode val="edge"/>
          <c:x val="0.41947875861454603"/>
          <c:y val="8.76549998715987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691789145935442E-2"/>
          <c:y val="0.10299902902310622"/>
          <c:w val="0.88978611254757967"/>
          <c:h val="0.78383854474838044"/>
        </c:manualLayout>
      </c:layout>
      <c:lineChart>
        <c:grouping val="standard"/>
        <c:varyColors val="0"/>
        <c:ser>
          <c:idx val="11"/>
          <c:order val="10"/>
          <c:tx>
            <c:v>net z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'Variable AOA Airfoil Frame'!$N$3:$N$15</c:f>
              <c:numCache>
                <c:formatCode>General</c:formatCode>
                <c:ptCount val="13"/>
                <c:pt idx="0">
                  <c:v>-4.5415395000000004E-3</c:v>
                </c:pt>
                <c:pt idx="1">
                  <c:v>-1.8755808960189803E-3</c:v>
                </c:pt>
                <c:pt idx="2">
                  <c:v>7.8352432058864923E-4</c:v>
                </c:pt>
                <c:pt idx="3">
                  <c:v>3.4316981655914524E-3</c:v>
                </c:pt>
                <c:pt idx="4">
                  <c:v>6.064875177230835E-3</c:v>
                </c:pt>
                <c:pt idx="5">
                  <c:v>9.5649779712797551E-3</c:v>
                </c:pt>
                <c:pt idx="6">
                  <c:v>1.1270066795681207E-2</c:v>
                </c:pt>
                <c:pt idx="7">
                  <c:v>1.2951327858131526E-2</c:v>
                </c:pt>
                <c:pt idx="8">
                  <c:v>1.4605598312264902E-2</c:v>
                </c:pt>
                <c:pt idx="9">
                  <c:v>1.6229747952384861E-2</c:v>
                </c:pt>
                <c:pt idx="10">
                  <c:v>1.782068318845843E-2</c:v>
                </c:pt>
                <c:pt idx="11">
                  <c:v>1.7332580274683082E-2</c:v>
                </c:pt>
                <c:pt idx="12">
                  <c:v>1.6902270902257141E-2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75-46A2-A58E-55ABFB617B62}"/>
            </c:ext>
          </c:extLst>
        </c:ser>
        <c:ser>
          <c:idx val="10"/>
          <c:order val="11"/>
          <c:tx>
            <c:v>net x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'Variable AOA Airfoil Frame'!$M$3:$M$15</c:f>
              <c:numCache>
                <c:formatCode>General</c:formatCode>
                <c:ptCount val="13"/>
                <c:pt idx="0">
                  <c:v>-2.4082000000000005E-6</c:v>
                </c:pt>
                <c:pt idx="1">
                  <c:v>-1.4400415729240424E-4</c:v>
                </c:pt>
                <c:pt idx="2">
                  <c:v>-4.1008137863535546E-4</c:v>
                </c:pt>
                <c:pt idx="3">
                  <c:v>-8.0034332977161953E-4</c:v>
                </c:pt>
                <c:pt idx="4">
                  <c:v>-1.3143605108347058E-3</c:v>
                </c:pt>
                <c:pt idx="5">
                  <c:v>-2.0290834065696444E-3</c:v>
                </c:pt>
                <c:pt idx="6">
                  <c:v>-2.7112810910030457E-3</c:v>
                </c:pt>
                <c:pt idx="7">
                  <c:v>-3.4842811299376272E-3</c:v>
                </c:pt>
                <c:pt idx="8">
                  <c:v>-4.3472234697590015E-3</c:v>
                </c:pt>
                <c:pt idx="9">
                  <c:v>-5.2991381480557527E-3</c:v>
                </c:pt>
                <c:pt idx="10">
                  <c:v>-6.3389465812358926E-3</c:v>
                </c:pt>
                <c:pt idx="11">
                  <c:v>-8.6526644735059645E-3</c:v>
                </c:pt>
                <c:pt idx="12">
                  <c:v>-1.0331430119835616E-2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75-46A2-A58E-55ABFB617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42247"/>
        <c:axId val="3527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'Variable AOA Airfoil Frame'!$A$1</c15:sqref>
                        </c15:formulaRef>
                      </c:ext>
                    </c:extLst>
                    <c:strCache>
                      <c:ptCount val="1"/>
                      <c:pt idx="0">
                        <c:v>AOA (deg)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'Variable AOA Airfoil Frame'!$A$3:$A$15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'Variable AOA Airfoil Frame'!$A$3:$A$15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775-46A2-A58E-55ABFB617B6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Frame'!$B$1</c15:sqref>
                        </c15:formulaRef>
                      </c:ext>
                    </c:extLst>
                    <c:strCache>
                      <c:ptCount val="1"/>
                      <c:pt idx="0">
                        <c:v>Cross section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Frame'!$B$3:$B$15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1.6000000000000003E-5</c:v>
                      </c:pt>
                      <c:pt idx="1">
                        <c:v>5.3957219311850534E-4</c:v>
                      </c:pt>
                      <c:pt idx="2">
                        <c:v>1.0629849010750289E-3</c:v>
                      </c:pt>
                      <c:pt idx="3">
                        <c:v>1.5860786872883149E-3</c:v>
                      </c:pt>
                      <c:pt idx="4">
                        <c:v>2.1086942123237588E-3</c:v>
                      </c:pt>
                      <c:pt idx="5">
                        <c:v>2.6306722824297447E-3</c:v>
                      </c:pt>
                      <c:pt idx="6">
                        <c:v>3.1518538980296038E-3</c:v>
                      </c:pt>
                      <c:pt idx="7">
                        <c:v>3.6720803021544242E-3</c:v>
                      </c:pt>
                      <c:pt idx="8">
                        <c:v>4.1911930288019636E-3</c:v>
                      </c:pt>
                      <c:pt idx="9">
                        <c:v>4.7090339512069262E-3</c:v>
                      </c:pt>
                      <c:pt idx="10">
                        <c:v>5.2254453300079103E-3</c:v>
                      </c:pt>
                      <c:pt idx="11">
                        <c:v>5.7402698612963442E-3</c:v>
                      </c:pt>
                      <c:pt idx="12">
                        <c:v>6.2533507245327805E-3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75-46A2-A58E-55ABFB617B6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Frame'!$D$1</c15:sqref>
                        </c15:formulaRef>
                      </c:ext>
                    </c:extLst>
                    <c:strCache>
                      <c:ptCount val="1"/>
                      <c:pt idx="0">
                        <c:v>Drag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Frame'!$D$3:$D$15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2.4082000000000005E-6</c:v>
                      </c:pt>
                      <c:pt idx="1">
                        <c:v>9.7454831660098839E-5</c:v>
                      </c:pt>
                      <c:pt idx="2">
                        <c:v>2.239895208922774E-4</c:v>
                      </c:pt>
                      <c:pt idx="3">
                        <c:v>3.8195946947277198E-4</c:v>
                      </c:pt>
                      <c:pt idx="4">
                        <c:v>5.7129270773828339E-4</c:v>
                      </c:pt>
                      <c:pt idx="5">
                        <c:v>7.9189812381841394E-4</c:v>
                      </c:pt>
                      <c:pt idx="6">
                        <c:v>1.0436655016197974E-3</c:v>
                      </c:pt>
                      <c:pt idx="7">
                        <c:v>1.3264655675472427E-3</c:v>
                      </c:pt>
                      <c:pt idx="8">
                        <c:v>1.6401500459436444E-3</c:v>
                      </c:pt>
                      <c:pt idx="9">
                        <c:v>1.9845517232268909E-3</c:v>
                      </c:pt>
                      <c:pt idx="10">
                        <c:v>2.3594845206984468E-3</c:v>
                      </c:pt>
                      <c:pt idx="11">
                        <c:v>4.3199118374918303E-3</c:v>
                      </c:pt>
                      <c:pt idx="12">
                        <c:v>5.6472447055574406E-3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75-46A2-A58E-55ABFB617B6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Frame'!$E$1</c15:sqref>
                        </c15:formulaRef>
                      </c:ext>
                    </c:extLst>
                    <c:strCache>
                      <c:ptCount val="1"/>
                      <c:pt idx="0">
                        <c:v>Dz (down)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Frame'!$E$3:$E$15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1.7008213314090899E-6</c:v>
                      </c:pt>
                      <c:pt idx="2">
                        <c:v>7.8171215457748079E-6</c:v>
                      </c:pt>
                      <c:pt idx="3">
                        <c:v>1.9990214080905035E-5</c:v>
                      </c:pt>
                      <c:pt idx="4">
                        <c:v>3.9851364767555816E-5</c:v>
                      </c:pt>
                      <c:pt idx="5">
                        <c:v>6.9018469161870834E-5</c:v>
                      </c:pt>
                      <c:pt idx="6">
                        <c:v>1.0909275104978213E-4</c:v>
                      </c:pt>
                      <c:pt idx="7">
                        <c:v>1.6165548776651877E-4</c:v>
                      </c:pt>
                      <c:pt idx="8">
                        <c:v>2.2826476793377079E-4</c:v>
                      </c:pt>
                      <c:pt idx="9">
                        <c:v>3.1045228716766699E-4</c:v>
                      </c:pt>
                      <c:pt idx="10">
                        <c:v>4.0972018725261584E-4</c:v>
                      </c:pt>
                      <c:pt idx="11">
                        <c:v>8.2427803782705986E-4</c:v>
                      </c:pt>
                      <c:pt idx="12">
                        <c:v>1.174128195194087E-3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75-46A2-A58E-55ABFB617B6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Frame'!$F$1</c15:sqref>
                        </c15:formulaRef>
                      </c:ext>
                    </c:extLst>
                    <c:strCache>
                      <c:ptCount val="1"/>
                      <c:pt idx="0">
                        <c:v>Dx (back)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Frame'!$F$3:$F$15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2.4082000000000005E-6</c:v>
                      </c:pt>
                      <c:pt idx="1">
                        <c:v>9.7439988817203939E-5</c:v>
                      </c:pt>
                      <c:pt idx="2">
                        <c:v>2.2385307252814415E-4</c:v>
                      </c:pt>
                      <c:pt idx="3">
                        <c:v>3.8143600729469813E-4</c:v>
                      </c:pt>
                      <c:pt idx="4">
                        <c:v>5.6990106741530396E-4</c:v>
                      </c:pt>
                      <c:pt idx="5">
                        <c:v>7.8888471237670461E-4</c:v>
                      </c:pt>
                      <c:pt idx="6">
                        <c:v>1.0379481928014006E-3</c:v>
                      </c:pt>
                      <c:pt idx="7">
                        <c:v>1.3165782943537377E-3</c:v>
                      </c:pt>
                      <c:pt idx="8">
                        <c:v>1.6241882184430108E-3</c:v>
                      </c:pt>
                      <c:pt idx="9">
                        <c:v>1.9601185983391888E-3</c:v>
                      </c:pt>
                      <c:pt idx="10">
                        <c:v>2.3236386490961239E-3</c:v>
                      </c:pt>
                      <c:pt idx="11">
                        <c:v>4.2405428897793283E-3</c:v>
                      </c:pt>
                      <c:pt idx="12">
                        <c:v>5.5238388594976975E-3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75-46A2-A58E-55ABFB617B6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Frame'!$G$1</c15:sqref>
                        </c15:formulaRef>
                      </c:ext>
                    </c:extLst>
                    <c:strCache>
                      <c:ptCount val="1"/>
                      <c:pt idx="0">
                        <c:v>Cl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Frame'!$G$3:$G$15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0.15</c:v>
                      </c:pt>
                      <c:pt idx="2">
                        <c:v>0.3</c:v>
                      </c:pt>
                      <c:pt idx="3">
                        <c:v>0.45</c:v>
                      </c:pt>
                      <c:pt idx="4">
                        <c:v>0.6</c:v>
                      </c:pt>
                      <c:pt idx="5">
                        <c:v>0.8</c:v>
                      </c:pt>
                      <c:pt idx="6">
                        <c:v>0.9</c:v>
                      </c:pt>
                      <c:pt idx="7">
                        <c:v>1</c:v>
                      </c:pt>
                      <c:pt idx="8">
                        <c:v>1.1000000000000001</c:v>
                      </c:pt>
                      <c:pt idx="9">
                        <c:v>1.2</c:v>
                      </c:pt>
                      <c:pt idx="10">
                        <c:v>1.3</c:v>
                      </c:pt>
                      <c:pt idx="11">
                        <c:v>1.3</c:v>
                      </c:pt>
                      <c:pt idx="12">
                        <c:v>1.3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75-46A2-A58E-55ABFB617B6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Frame'!$H$1</c15:sqref>
                        </c15:formulaRef>
                      </c:ext>
                    </c:extLst>
                    <c:strCache>
                      <c:ptCount val="1"/>
                      <c:pt idx="0">
                        <c:v>Lift 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Frame'!$H$3:$H$15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2.6680657846544988E-3</c:v>
                      </c:pt>
                      <c:pt idx="2">
                        <c:v>5.3361315693089975E-3</c:v>
                      </c:pt>
                      <c:pt idx="3">
                        <c:v>8.0041973539634968E-3</c:v>
                      </c:pt>
                      <c:pt idx="4">
                        <c:v>1.0672263138617995E-2</c:v>
                      </c:pt>
                      <c:pt idx="5">
                        <c:v>1.4229684184823996E-2</c:v>
                      </c:pt>
                      <c:pt idx="6">
                        <c:v>1.6008394707926994E-2</c:v>
                      </c:pt>
                      <c:pt idx="7">
                        <c:v>1.7787105231029991E-2</c:v>
                      </c:pt>
                      <c:pt idx="8">
                        <c:v>1.9565815754132996E-2</c:v>
                      </c:pt>
                      <c:pt idx="9">
                        <c:v>2.134452627723599E-2</c:v>
                      </c:pt>
                      <c:pt idx="10">
                        <c:v>2.3123236800338995E-2</c:v>
                      </c:pt>
                      <c:pt idx="11">
                        <c:v>2.3123236800338995E-2</c:v>
                      </c:pt>
                      <c:pt idx="12">
                        <c:v>2.3123236800338995E-2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775-46A2-A58E-55ABFB617B6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Frame'!$I$1</c15:sqref>
                        </c15:formulaRef>
                      </c:ext>
                    </c:extLst>
                    <c:strCache>
                      <c:ptCount val="1"/>
                      <c:pt idx="0">
                        <c:v>Lz (up)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Frame'!$I$3:$I$15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2.6676594253124291E-3</c:v>
                      </c:pt>
                      <c:pt idx="2">
                        <c:v>5.3328809421344242E-3</c:v>
                      </c:pt>
                      <c:pt idx="3">
                        <c:v>7.9932278796723578E-3</c:v>
                      </c:pt>
                      <c:pt idx="4">
                        <c:v>1.0646266041998391E-2</c:v>
                      </c:pt>
                      <c:pt idx="5">
                        <c:v>1.4175535940441627E-2</c:v>
                      </c:pt>
                      <c:pt idx="6">
                        <c:v>1.5920699046730991E-2</c:v>
                      </c:pt>
                      <c:pt idx="7">
                        <c:v>1.7654522845898045E-2</c:v>
                      </c:pt>
                      <c:pt idx="8">
                        <c:v>1.9375402580198674E-2</c:v>
                      </c:pt>
                      <c:pt idx="9">
                        <c:v>2.1081739739552529E-2</c:v>
                      </c:pt>
                      <c:pt idx="10">
                        <c:v>2.2771942875711045E-2</c:v>
                      </c:pt>
                      <c:pt idx="11">
                        <c:v>2.2698397812510141E-2</c:v>
                      </c:pt>
                      <c:pt idx="12">
                        <c:v>2.2617938597451228E-2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775-46A2-A58E-55ABFB617B62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Frame'!$J$1</c15:sqref>
                        </c15:formulaRef>
                      </c:ext>
                    </c:extLst>
                    <c:strCache>
                      <c:ptCount val="1"/>
                      <c:pt idx="0">
                        <c:v>Lx (back)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Frame'!$J$3:$J$15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4.6564168475200293E-5</c:v>
                      </c:pt>
                      <c:pt idx="2">
                        <c:v>1.8622830610721128E-4</c:v>
                      </c:pt>
                      <c:pt idx="3">
                        <c:v>4.1890732247692146E-4</c:v>
                      </c:pt>
                      <c:pt idx="4">
                        <c:v>7.4445944341940172E-4</c:v>
                      </c:pt>
                      <c:pt idx="5">
                        <c:v>1.2401986941929398E-3</c:v>
                      </c:pt>
                      <c:pt idx="6">
                        <c:v>1.6733328982016448E-3</c:v>
                      </c:pt>
                      <c:pt idx="7">
                        <c:v>2.1677028355838895E-3</c:v>
                      </c:pt>
                      <c:pt idx="8">
                        <c:v>2.723035251315991E-3</c:v>
                      </c:pt>
                      <c:pt idx="9">
                        <c:v>3.3390195497165639E-3</c:v>
                      </c:pt>
                      <c:pt idx="10">
                        <c:v>4.0153079321397691E-3</c:v>
                      </c:pt>
                      <c:pt idx="11">
                        <c:v>4.4121215837266362E-3</c:v>
                      </c:pt>
                      <c:pt idx="12">
                        <c:v>4.8075912603379187E-3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775-46A2-A58E-55ABFB617B62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Frame'!$K$1</c15:sqref>
                        </c15:formulaRef>
                      </c:ext>
                    </c:extLst>
                    <c:strCache>
                      <c:ptCount val="1"/>
                      <c:pt idx="0">
                        <c:v>Weight (down)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Frame'!$A$3:$A$15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'Variable AOA Airfoil Frame'!$K$3:$K$15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4.5415395000000004E-3</c:v>
                      </c:pt>
                      <c:pt idx="1">
                        <c:v>4.5415395000000004E-3</c:v>
                      </c:pt>
                      <c:pt idx="2">
                        <c:v>4.5415395000000004E-3</c:v>
                      </c:pt>
                      <c:pt idx="3">
                        <c:v>4.5415395000000004E-3</c:v>
                      </c:pt>
                      <c:pt idx="4">
                        <c:v>4.5415395000000004E-3</c:v>
                      </c:pt>
                      <c:pt idx="5">
                        <c:v>4.5415395000000004E-3</c:v>
                      </c:pt>
                      <c:pt idx="6">
                        <c:v>4.5415395000000004E-3</c:v>
                      </c:pt>
                      <c:pt idx="7">
                        <c:v>4.5415395000000004E-3</c:v>
                      </c:pt>
                      <c:pt idx="8">
                        <c:v>4.5415395000000004E-3</c:v>
                      </c:pt>
                      <c:pt idx="9">
                        <c:v>4.5415395000000004E-3</c:v>
                      </c:pt>
                      <c:pt idx="10">
                        <c:v>4.5415395000000004E-3</c:v>
                      </c:pt>
                      <c:pt idx="11">
                        <c:v>4.5415395000000004E-3</c:v>
                      </c:pt>
                      <c:pt idx="12">
                        <c:v>4.5415395000000004E-3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775-46A2-A58E-55ABFB617B62}"/>
                  </c:ext>
                </c:extLst>
              </c15:ser>
            </c15:filteredLineSeries>
          </c:ext>
        </c:extLst>
      </c:lineChart>
      <c:catAx>
        <c:axId val="24842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AOA</a:t>
                </a:r>
                <a:r>
                  <a:rPr lang="en-US" baseline="0"/>
                  <a:t> (deg)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775"/>
        <c:crosses val="autoZero"/>
        <c:auto val="1"/>
        <c:lblAlgn val="ctr"/>
        <c:lblOffset val="100"/>
        <c:noMultiLvlLbl val="0"/>
      </c:catAx>
      <c:valAx>
        <c:axId val="352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7.7210294623125938E-2"/>
              <c:y val="0.407786590591442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2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3834762079219"/>
          <c:y val="0.89966570879159768"/>
          <c:w val="0.25678046236552715"/>
          <c:h val="8.1029211712512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 vs Drag (airfoil)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drag</c:v>
          </c:tx>
          <c:spPr>
            <a:ln w="28575" cap="rnd">
              <a:solidFill>
                <a:srgbClr val="EE5C5C"/>
              </a:solidFill>
              <a:round/>
            </a:ln>
            <a:effectLst/>
          </c:spPr>
          <c:marker>
            <c:symbol val="none"/>
          </c:marker>
          <c:cat>
            <c:numRef>
              <c:f>'Variable AOA Airfoil Frame'!$A$3:$A$15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'Variable AOA Airfoil Frame'!$D$3:$D$15</c:f>
              <c:numCache>
                <c:formatCode>General</c:formatCode>
                <c:ptCount val="13"/>
                <c:pt idx="0">
                  <c:v>2.4082000000000005E-6</c:v>
                </c:pt>
                <c:pt idx="1">
                  <c:v>9.7454831660098839E-5</c:v>
                </c:pt>
                <c:pt idx="2">
                  <c:v>2.239895208922774E-4</c:v>
                </c:pt>
                <c:pt idx="3">
                  <c:v>3.8195946947277198E-4</c:v>
                </c:pt>
                <c:pt idx="4">
                  <c:v>5.7129270773828339E-4</c:v>
                </c:pt>
                <c:pt idx="5">
                  <c:v>7.9189812381841394E-4</c:v>
                </c:pt>
                <c:pt idx="6">
                  <c:v>1.0436655016197974E-3</c:v>
                </c:pt>
                <c:pt idx="7">
                  <c:v>1.3264655675472427E-3</c:v>
                </c:pt>
                <c:pt idx="8">
                  <c:v>1.6401500459436444E-3</c:v>
                </c:pt>
                <c:pt idx="9">
                  <c:v>1.9845517232268909E-3</c:v>
                </c:pt>
                <c:pt idx="10">
                  <c:v>2.3594845206984468E-3</c:v>
                </c:pt>
                <c:pt idx="11">
                  <c:v>4.3199118374918303E-3</c:v>
                </c:pt>
                <c:pt idx="12">
                  <c:v>5.6472447055574406E-3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9-4FBA-903D-CA615A3D5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0981152"/>
        <c:axId val="640996032"/>
      </c:lineChart>
      <c:lineChart>
        <c:grouping val="standard"/>
        <c:varyColors val="0"/>
        <c:ser>
          <c:idx val="0"/>
          <c:order val="0"/>
          <c:tx>
            <c:v>lift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'Variable AOA Airfoil Frame'!$A$3:$A$15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'Variable AOA Airfoil Frame'!$H$3:$H$15</c:f>
              <c:numCache>
                <c:formatCode>General</c:formatCode>
                <c:ptCount val="13"/>
                <c:pt idx="0">
                  <c:v>0</c:v>
                </c:pt>
                <c:pt idx="1">
                  <c:v>2.6680657846544988E-3</c:v>
                </c:pt>
                <c:pt idx="2">
                  <c:v>5.3361315693089975E-3</c:v>
                </c:pt>
                <c:pt idx="3">
                  <c:v>8.0041973539634968E-3</c:v>
                </c:pt>
                <c:pt idx="4">
                  <c:v>1.0672263138617995E-2</c:v>
                </c:pt>
                <c:pt idx="5">
                  <c:v>1.4229684184823996E-2</c:v>
                </c:pt>
                <c:pt idx="6">
                  <c:v>1.6008394707926994E-2</c:v>
                </c:pt>
                <c:pt idx="7">
                  <c:v>1.7787105231029991E-2</c:v>
                </c:pt>
                <c:pt idx="8">
                  <c:v>1.9565815754132996E-2</c:v>
                </c:pt>
                <c:pt idx="9">
                  <c:v>2.134452627723599E-2</c:v>
                </c:pt>
                <c:pt idx="10">
                  <c:v>2.3123236800338995E-2</c:v>
                </c:pt>
                <c:pt idx="11">
                  <c:v>2.3123236800338995E-2</c:v>
                </c:pt>
                <c:pt idx="12">
                  <c:v>2.3123236800338995E-2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B9-4FBA-903D-CA615A3D5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920048"/>
        <c:axId val="539903248"/>
      </c:lineChart>
      <c:catAx>
        <c:axId val="640981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AOA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996032"/>
        <c:crosses val="autoZero"/>
        <c:auto val="1"/>
        <c:lblAlgn val="ctr"/>
        <c:lblOffset val="100"/>
        <c:noMultiLvlLbl val="0"/>
      </c:catAx>
      <c:valAx>
        <c:axId val="6409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Drag</a:t>
                </a:r>
                <a:r>
                  <a:rPr lang="en-US" baseline="0"/>
                  <a:t> Force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981152"/>
        <c:crosses val="autoZero"/>
        <c:crossBetween val="between"/>
      </c:valAx>
      <c:valAx>
        <c:axId val="5399032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</a:t>
                </a:r>
                <a:r>
                  <a:rPr lang="en-US" baseline="0"/>
                  <a:t> Force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20048"/>
        <c:crosses val="max"/>
        <c:crossBetween val="between"/>
      </c:valAx>
      <c:catAx>
        <c:axId val="539920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903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ignore!$B$1:$B$2</c:f>
              <c:strCache>
                <c:ptCount val="2"/>
                <c:pt idx="0">
                  <c:v>position (θ)</c:v>
                </c:pt>
                <c:pt idx="1">
                  <c:v>rad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ignore!$A$3:$A$23</c:f>
              <c:strCache>
                <c:ptCount val="21"/>
                <c:pt idx="0">
                  <c:v>0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**for 10 hz shows one period</c:v>
                </c:pt>
              </c:strCache>
            </c:strRef>
          </c:xVal>
          <c:yVal>
            <c:numRef>
              <c:f>ignore!$B$3:$B$23</c:f>
              <c:numCache>
                <c:formatCode>General</c:formatCode>
                <c:ptCount val="21"/>
                <c:pt idx="0">
                  <c:v>0.04</c:v>
                </c:pt>
                <c:pt idx="1">
                  <c:v>3.2360679774997896E-2</c:v>
                </c:pt>
                <c:pt idx="2">
                  <c:v>2.3511410091698926E-2</c:v>
                </c:pt>
                <c:pt idx="3">
                  <c:v>1.2360679774997899E-2</c:v>
                </c:pt>
                <c:pt idx="4">
                  <c:v>2.4502969098172402E-18</c:v>
                </c:pt>
                <c:pt idx="5">
                  <c:v>-1.2360679774997902E-2</c:v>
                </c:pt>
                <c:pt idx="6">
                  <c:v>-2.3511410091698923E-2</c:v>
                </c:pt>
                <c:pt idx="7">
                  <c:v>-3.2360679774997896E-2</c:v>
                </c:pt>
                <c:pt idx="8">
                  <c:v>-3.8042260651806145E-2</c:v>
                </c:pt>
                <c:pt idx="9">
                  <c:v>-0.04</c:v>
                </c:pt>
                <c:pt idx="10">
                  <c:v>-3.8042260651806152E-2</c:v>
                </c:pt>
                <c:pt idx="11">
                  <c:v>-3.2360679774997909E-2</c:v>
                </c:pt>
                <c:pt idx="12">
                  <c:v>-2.3511410091698961E-2</c:v>
                </c:pt>
                <c:pt idx="13">
                  <c:v>-1.2360679774997939E-2</c:v>
                </c:pt>
                <c:pt idx="14">
                  <c:v>-7.3508907294517198E-18</c:v>
                </c:pt>
                <c:pt idx="15">
                  <c:v>1.236067977499789E-2</c:v>
                </c:pt>
                <c:pt idx="16">
                  <c:v>2.3511410091698916E-2</c:v>
                </c:pt>
                <c:pt idx="17">
                  <c:v>3.2360679774997909E-2</c:v>
                </c:pt>
                <c:pt idx="18">
                  <c:v>3.8042260651806152E-2</c:v>
                </c:pt>
                <c:pt idx="19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61-4E1E-9633-836743073FB6}"/>
            </c:ext>
          </c:extLst>
        </c:ser>
        <c:ser>
          <c:idx val="1"/>
          <c:order val="1"/>
          <c:tx>
            <c:strRef>
              <c:f>ignore!$C$1:$C$2</c:f>
              <c:strCache>
                <c:ptCount val="2"/>
                <c:pt idx="0">
                  <c:v>velocity (ω)</c:v>
                </c:pt>
                <c:pt idx="1">
                  <c:v>rad/s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ignore!$A$3:$A$23</c:f>
              <c:strCache>
                <c:ptCount val="21"/>
                <c:pt idx="0">
                  <c:v>0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**for 10 hz shows one period</c:v>
                </c:pt>
              </c:strCache>
            </c:strRef>
          </c:xVal>
          <c:yVal>
            <c:numRef>
              <c:f>ignore!$C$3:$C$23</c:f>
              <c:numCache>
                <c:formatCode>General</c:formatCode>
                <c:ptCount val="21"/>
                <c:pt idx="0">
                  <c:v>0</c:v>
                </c:pt>
                <c:pt idx="1">
                  <c:v>-1.4772654643923653</c:v>
                </c:pt>
                <c:pt idx="2">
                  <c:v>-2.0332814769261041</c:v>
                </c:pt>
                <c:pt idx="3">
                  <c:v>-2.3902657317932445</c:v>
                </c:pt>
                <c:pt idx="4">
                  <c:v>-2.5132741228718345</c:v>
                </c:pt>
                <c:pt idx="5">
                  <c:v>-2.3902657317932445</c:v>
                </c:pt>
                <c:pt idx="6">
                  <c:v>-2.0332814769261041</c:v>
                </c:pt>
                <c:pt idx="7">
                  <c:v>-1.4772654643923657</c:v>
                </c:pt>
                <c:pt idx="8">
                  <c:v>-0.77664441549018681</c:v>
                </c:pt>
                <c:pt idx="9">
                  <c:v>-1.4240313102025867E-15</c:v>
                </c:pt>
                <c:pt idx="10">
                  <c:v>0.77664441549018526</c:v>
                </c:pt>
                <c:pt idx="11">
                  <c:v>1.4772654643923642</c:v>
                </c:pt>
                <c:pt idx="12">
                  <c:v>2.0332814769261023</c:v>
                </c:pt>
                <c:pt idx="13">
                  <c:v>2.3902657317932436</c:v>
                </c:pt>
                <c:pt idx="14">
                  <c:v>2.5132741228718345</c:v>
                </c:pt>
                <c:pt idx="15">
                  <c:v>2.390265731793245</c:v>
                </c:pt>
                <c:pt idx="16">
                  <c:v>2.0332814769261041</c:v>
                </c:pt>
                <c:pt idx="17">
                  <c:v>1.4772654643923639</c:v>
                </c:pt>
                <c:pt idx="18">
                  <c:v>0.77664441549018504</c:v>
                </c:pt>
                <c:pt idx="19">
                  <c:v>-1.6164090570458752E-15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61-4E1E-9633-836743073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641735"/>
        <c:axId val="437643783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ignore!$E$1:$E$2</c15:sqref>
                        </c15:formulaRef>
                      </c:ext>
                    </c:extLst>
                    <c:strCache>
                      <c:ptCount val="2"/>
                      <c:pt idx="0">
                        <c:v>torque (τ)</c:v>
                      </c:pt>
                      <c:pt idx="1">
                        <c:v>Nm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ignore!$A$3:$A$23</c15:sqref>
                        </c15:formulaRef>
                      </c:ext>
                    </c:extLst>
                    <c:strCache>
                      <c:ptCount val="21"/>
                      <c:pt idx="0">
                        <c:v>0</c:v>
                      </c:pt>
                      <c:pt idx="1">
                        <c:v>0.01</c:v>
                      </c:pt>
                      <c:pt idx="2">
                        <c:v>0.015</c:v>
                      </c:pt>
                      <c:pt idx="3">
                        <c:v>0.02</c:v>
                      </c:pt>
                      <c:pt idx="4">
                        <c:v>0.025</c:v>
                      </c:pt>
                      <c:pt idx="5">
                        <c:v>0.03</c:v>
                      </c:pt>
                      <c:pt idx="6">
                        <c:v>0.035</c:v>
                      </c:pt>
                      <c:pt idx="7">
                        <c:v>0.04</c:v>
                      </c:pt>
                      <c:pt idx="8">
                        <c:v>0.045</c:v>
                      </c:pt>
                      <c:pt idx="9">
                        <c:v>0.05</c:v>
                      </c:pt>
                      <c:pt idx="10">
                        <c:v>0.055</c:v>
                      </c:pt>
                      <c:pt idx="11">
                        <c:v>0.06</c:v>
                      </c:pt>
                      <c:pt idx="12">
                        <c:v>0.065</c:v>
                      </c:pt>
                      <c:pt idx="13">
                        <c:v>0.07</c:v>
                      </c:pt>
                      <c:pt idx="14">
                        <c:v>0.075</c:v>
                      </c:pt>
                      <c:pt idx="15">
                        <c:v>0.08</c:v>
                      </c:pt>
                      <c:pt idx="16">
                        <c:v>0.085</c:v>
                      </c:pt>
                      <c:pt idx="17">
                        <c:v>0.09</c:v>
                      </c:pt>
                      <c:pt idx="18">
                        <c:v>0.095</c:v>
                      </c:pt>
                      <c:pt idx="19">
                        <c:v>0.1</c:v>
                      </c:pt>
                      <c:pt idx="20">
                        <c:v>**for 10 hz shows one period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ignore!$E$3:$E$23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-6.9745204434364808E-3</c:v>
                      </c:pt>
                      <c:pt idx="1">
                        <c:v>-5.6425055663556064E-3</c:v>
                      </c:pt>
                      <c:pt idx="2">
                        <c:v>-4.0995202584643235E-3</c:v>
                      </c:pt>
                      <c:pt idx="3">
                        <c:v>-2.1552453446373669E-3</c:v>
                      </c:pt>
                      <c:pt idx="4">
                        <c:v>-4.2724114725023935E-19</c:v>
                      </c:pt>
                      <c:pt idx="5">
                        <c:v>2.1552453446373673E-3</c:v>
                      </c:pt>
                      <c:pt idx="6">
                        <c:v>4.0995202584643226E-3</c:v>
                      </c:pt>
                      <c:pt idx="7">
                        <c:v>5.6425055663556064E-3</c:v>
                      </c:pt>
                      <c:pt idx="8">
                        <c:v>6.6331631157640287E-3</c:v>
                      </c:pt>
                      <c:pt idx="9">
                        <c:v>6.9745204434364808E-3</c:v>
                      </c:pt>
                      <c:pt idx="10">
                        <c:v>6.6331631157640304E-3</c:v>
                      </c:pt>
                      <c:pt idx="11">
                        <c:v>5.642505566355609E-3</c:v>
                      </c:pt>
                      <c:pt idx="12">
                        <c:v>4.0995202584643295E-3</c:v>
                      </c:pt>
                      <c:pt idx="13">
                        <c:v>2.1552453446373738E-3</c:v>
                      </c:pt>
                      <c:pt idx="14">
                        <c:v>1.2817234417507182E-18</c:v>
                      </c:pt>
                      <c:pt idx="15">
                        <c:v>-2.1552453446373652E-3</c:v>
                      </c:pt>
                      <c:pt idx="16">
                        <c:v>-4.0995202584643217E-3</c:v>
                      </c:pt>
                      <c:pt idx="17">
                        <c:v>-5.642505566355609E-3</c:v>
                      </c:pt>
                      <c:pt idx="18">
                        <c:v>-6.6331631157640304E-3</c:v>
                      </c:pt>
                      <c:pt idx="19">
                        <c:v>-6.9745204434364808E-3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0561-4E1E-9633-836743073FB6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2"/>
          <c:order val="2"/>
          <c:tx>
            <c:strRef>
              <c:f>ignore!$D$1:$D$2</c:f>
              <c:strCache>
                <c:ptCount val="2"/>
                <c:pt idx="0">
                  <c:v>acceleration (α)</c:v>
                </c:pt>
                <c:pt idx="1">
                  <c:v>rad/s^2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ignore!$A$3:$A$23</c:f>
              <c:strCache>
                <c:ptCount val="21"/>
                <c:pt idx="0">
                  <c:v>0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  <c:pt idx="17">
                  <c:v>0.09</c:v>
                </c:pt>
                <c:pt idx="18">
                  <c:v>0.095</c:v>
                </c:pt>
                <c:pt idx="19">
                  <c:v>0.1</c:v>
                </c:pt>
                <c:pt idx="20">
                  <c:v>**for 10 hz shows one period</c:v>
                </c:pt>
              </c:strCache>
            </c:strRef>
          </c:xVal>
          <c:yVal>
            <c:numRef>
              <c:f>ignore!$D$3:$D$23</c:f>
              <c:numCache>
                <c:formatCode>General</c:formatCode>
                <c:ptCount val="21"/>
                <c:pt idx="0">
                  <c:v>-157.91367041742973</c:v>
                </c:pt>
                <c:pt idx="1">
                  <c:v>-127.75484301182505</c:v>
                </c:pt>
                <c:pt idx="2">
                  <c:v>-92.819326606739381</c:v>
                </c:pt>
                <c:pt idx="3">
                  <c:v>-48.798007803110188</c:v>
                </c:pt>
                <c:pt idx="4">
                  <c:v>-9.6733844660431536E-15</c:v>
                </c:pt>
                <c:pt idx="5">
                  <c:v>48.798007803110202</c:v>
                </c:pt>
                <c:pt idx="6">
                  <c:v>92.819326606739367</c:v>
                </c:pt>
                <c:pt idx="7">
                  <c:v>127.75484301182503</c:v>
                </c:pt>
                <c:pt idx="8">
                  <c:v>150.18482526258177</c:v>
                </c:pt>
                <c:pt idx="9">
                  <c:v>157.91367041742973</c:v>
                </c:pt>
                <c:pt idx="10">
                  <c:v>150.1848252625818</c:v>
                </c:pt>
                <c:pt idx="11">
                  <c:v>127.7548430118251</c:v>
                </c:pt>
                <c:pt idx="12">
                  <c:v>92.819326606739523</c:v>
                </c:pt>
                <c:pt idx="13">
                  <c:v>48.798007803110345</c:v>
                </c:pt>
                <c:pt idx="14">
                  <c:v>2.9020153398129462E-14</c:v>
                </c:pt>
                <c:pt idx="15">
                  <c:v>-48.798007803110153</c:v>
                </c:pt>
                <c:pt idx="16">
                  <c:v>-92.819326606739352</c:v>
                </c:pt>
                <c:pt idx="17">
                  <c:v>-127.7548430118251</c:v>
                </c:pt>
                <c:pt idx="18">
                  <c:v>-150.1848252625818</c:v>
                </c:pt>
                <c:pt idx="19">
                  <c:v>-157.91367041742973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61-4E1E-9633-836743073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59983"/>
        <c:axId val="61573423"/>
      </c:scatterChart>
      <c:valAx>
        <c:axId val="437641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43783"/>
        <c:crosses val="autoZero"/>
        <c:crossBetween val="midCat"/>
      </c:valAx>
      <c:valAx>
        <c:axId val="437643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41735"/>
        <c:crosses val="autoZero"/>
        <c:crossBetween val="midCat"/>
      </c:valAx>
      <c:valAx>
        <c:axId val="615734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59983"/>
        <c:crosses val="max"/>
        <c:crossBetween val="midCat"/>
      </c:valAx>
      <c:valAx>
        <c:axId val="61559983"/>
        <c:scaling>
          <c:orientation val="minMax"/>
        </c:scaling>
        <c:delete val="1"/>
        <c:axPos val="b"/>
        <c:majorTickMark val="out"/>
        <c:minorTickMark val="none"/>
        <c:tickLblPos val="nextTo"/>
        <c:crossAx val="61573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8</xdr:row>
      <xdr:rowOff>76200</xdr:rowOff>
    </xdr:from>
    <xdr:to>
      <xdr:col>5</xdr:col>
      <xdr:colOff>1114425</xdr:colOff>
      <xdr:row>13</xdr:row>
      <xdr:rowOff>152400</xdr:rowOff>
    </xdr:to>
    <xdr:pic>
      <xdr:nvPicPr>
        <xdr:cNvPr id="5" name="Picture 8">
          <a:extLst>
            <a:ext uri="{FF2B5EF4-FFF2-40B4-BE49-F238E27FC236}">
              <a16:creationId xmlns:a16="http://schemas.microsoft.com/office/drawing/2014/main" id="{1BF0DBF0-95AF-0642-39A4-7D6BF1178E12}"/>
            </a:ext>
            <a:ext uri="{147F2762-F138-4A5C-976F-8EAC2B608ADB}">
              <a16:predDERef xmlns:a16="http://schemas.microsoft.com/office/drawing/2014/main" pred="{145720F1-05B9-183B-7F94-534ADF2BA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90" t="38250" r="63230" b="9930"/>
        <a:stretch/>
      </xdr:blipFill>
      <xdr:spPr>
        <a:xfrm>
          <a:off x="5829300" y="1524000"/>
          <a:ext cx="1057275" cy="1028700"/>
        </a:xfrm>
        <a:prstGeom prst="rect">
          <a:avLst/>
        </a:prstGeom>
      </xdr:spPr>
    </xdr:pic>
    <xdr:clientData/>
  </xdr:twoCellAnchor>
  <xdr:twoCellAnchor editAs="oneCell">
    <xdr:from>
      <xdr:col>5</xdr:col>
      <xdr:colOff>1314450</xdr:colOff>
      <xdr:row>9</xdr:row>
      <xdr:rowOff>76200</xdr:rowOff>
    </xdr:from>
    <xdr:to>
      <xdr:col>7</xdr:col>
      <xdr:colOff>228600</xdr:colOff>
      <xdr:row>13</xdr:row>
      <xdr:rowOff>76200</xdr:rowOff>
    </xdr:to>
    <xdr:pic>
      <xdr:nvPicPr>
        <xdr:cNvPr id="11" name="Picture 5">
          <a:extLst>
            <a:ext uri="{FF2B5EF4-FFF2-40B4-BE49-F238E27FC236}">
              <a16:creationId xmlns:a16="http://schemas.microsoft.com/office/drawing/2014/main" id="{35B8011B-0887-BF1B-F873-DB6E9216A5A9}"/>
            </a:ext>
            <a:ext uri="{147F2762-F138-4A5C-976F-8EAC2B608ADB}">
              <a16:predDERef xmlns:a16="http://schemas.microsoft.com/office/drawing/2014/main" pred="{1BF0DBF0-95AF-0642-39A4-7D6BF1178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4170" t="55033"/>
        <a:stretch/>
      </xdr:blipFill>
      <xdr:spPr>
        <a:xfrm>
          <a:off x="7086600" y="1714500"/>
          <a:ext cx="1209675" cy="762000"/>
        </a:xfrm>
        <a:prstGeom prst="rect">
          <a:avLst/>
        </a:prstGeom>
      </xdr:spPr>
    </xdr:pic>
    <xdr:clientData/>
  </xdr:twoCellAnchor>
  <xdr:twoCellAnchor editAs="oneCell">
    <xdr:from>
      <xdr:col>4</xdr:col>
      <xdr:colOff>498121</xdr:colOff>
      <xdr:row>55</xdr:row>
      <xdr:rowOff>123076</xdr:rowOff>
    </xdr:from>
    <xdr:to>
      <xdr:col>5</xdr:col>
      <xdr:colOff>1158554</xdr:colOff>
      <xdr:row>62</xdr:row>
      <xdr:rowOff>95367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E45926F-288C-86AC-705C-00D0445DEF12}"/>
            </a:ext>
            <a:ext uri="{147F2762-F138-4A5C-976F-8EAC2B608ADB}">
              <a16:predDERef xmlns:a16="http://schemas.microsoft.com/office/drawing/2014/main" pred="{35B8011B-0887-BF1B-F873-DB6E9216A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4346" y="9038476"/>
          <a:ext cx="2346358" cy="1334366"/>
        </a:xfrm>
        <a:prstGeom prst="rect">
          <a:avLst/>
        </a:prstGeom>
      </xdr:spPr>
    </xdr:pic>
    <xdr:clientData/>
  </xdr:twoCellAnchor>
  <xdr:twoCellAnchor editAs="oneCell">
    <xdr:from>
      <xdr:col>9</xdr:col>
      <xdr:colOff>910390</xdr:colOff>
      <xdr:row>57</xdr:row>
      <xdr:rowOff>66174</xdr:rowOff>
    </xdr:from>
    <xdr:to>
      <xdr:col>12</xdr:col>
      <xdr:colOff>107749</xdr:colOff>
      <xdr:row>63</xdr:row>
      <xdr:rowOff>161424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1903671-88C5-9439-3DB1-2F1A6581D62C}"/>
            </a:ext>
            <a:ext uri="{147F2762-F138-4A5C-976F-8EAC2B608ADB}">
              <a16:predDERef xmlns:a16="http://schemas.microsoft.com/office/drawing/2014/main" pred="{CE45926F-288C-86AC-705C-00D0445DE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5500" r="5333"/>
        <a:stretch/>
      </xdr:blipFill>
      <xdr:spPr>
        <a:xfrm>
          <a:off x="10368715" y="9362574"/>
          <a:ext cx="2559684" cy="1247775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9</xdr:row>
      <xdr:rowOff>19050</xdr:rowOff>
    </xdr:from>
    <xdr:to>
      <xdr:col>10</xdr:col>
      <xdr:colOff>257175</xdr:colOff>
      <xdr:row>16</xdr:row>
      <xdr:rowOff>19050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F20225C2-CFF4-25D9-1A2E-C7474D16C715}"/>
            </a:ext>
            <a:ext uri="{147F2762-F138-4A5C-976F-8EAC2B608ADB}">
              <a16:predDERef xmlns:a16="http://schemas.microsoft.com/office/drawing/2014/main" pred="{31903671-88C5-9439-3DB1-2F1A6581D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15375" y="1657350"/>
          <a:ext cx="1990725" cy="133350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15</xdr:row>
      <xdr:rowOff>95250</xdr:rowOff>
    </xdr:from>
    <xdr:to>
      <xdr:col>12</xdr:col>
      <xdr:colOff>571500</xdr:colOff>
      <xdr:row>31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C57B22-FA0A-364E-D3D2-7E21228D571C}"/>
            </a:ext>
            <a:ext uri="{147F2762-F138-4A5C-976F-8EAC2B608ADB}">
              <a16:predDERef xmlns:a16="http://schemas.microsoft.com/office/drawing/2014/main" pred="{F20225C2-CFF4-25D9-1A2E-C7474D16C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48825" y="2876550"/>
          <a:ext cx="3743325" cy="3086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570956</xdr:colOff>
      <xdr:row>15</xdr:row>
      <xdr:rowOff>112323</xdr:rowOff>
    </xdr:from>
    <xdr:to>
      <xdr:col>8</xdr:col>
      <xdr:colOff>97972</xdr:colOff>
      <xdr:row>30</xdr:row>
      <xdr:rowOff>5643</xdr:rowOff>
    </xdr:to>
    <xdr:graphicFrame macro="">
      <xdr:nvGraphicFramePr>
        <xdr:cNvPr id="23" name="Chart 1">
          <a:extLst>
            <a:ext uri="{FF2B5EF4-FFF2-40B4-BE49-F238E27FC236}">
              <a16:creationId xmlns:a16="http://schemas.microsoft.com/office/drawing/2014/main" id="{1247857D-31E0-B195-7510-027AF6855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86053</xdr:colOff>
      <xdr:row>30</xdr:row>
      <xdr:rowOff>98374</xdr:rowOff>
    </xdr:from>
    <xdr:to>
      <xdr:col>8</xdr:col>
      <xdr:colOff>43872</xdr:colOff>
      <xdr:row>45</xdr:row>
      <xdr:rowOff>67601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073A10-C760-B96D-A21C-96E955102D9B}"/>
            </a:ext>
            <a:ext uri="{147F2762-F138-4A5C-976F-8EAC2B608ADB}">
              <a16:predDERef xmlns:a16="http://schemas.microsoft.com/office/drawing/2014/main" pred="{1247857D-31E0-B195-7510-027AF6855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326375</xdr:colOff>
      <xdr:row>16</xdr:row>
      <xdr:rowOff>138400</xdr:rowOff>
    </xdr:from>
    <xdr:to>
      <xdr:col>12</xdr:col>
      <xdr:colOff>143105</xdr:colOff>
      <xdr:row>24</xdr:row>
      <xdr:rowOff>21460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BDAED29-CE2D-4164-BF7E-79D734E93BC6}"/>
            </a:ext>
            <a:ext uri="{147F2762-F138-4A5C-976F-8EAC2B608ADB}">
              <a16:predDERef xmlns:a16="http://schemas.microsoft.com/office/drawing/2014/main" pred="{D2073A10-C760-B96D-A21C-96E955102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36550" y="3176875"/>
          <a:ext cx="2388480" cy="1330860"/>
        </a:xfrm>
        <a:prstGeom prst="rect">
          <a:avLst/>
        </a:prstGeom>
      </xdr:spPr>
    </xdr:pic>
    <xdr:clientData/>
  </xdr:twoCellAnchor>
  <xdr:twoCellAnchor editAs="oneCell">
    <xdr:from>
      <xdr:col>15</xdr:col>
      <xdr:colOff>438150</xdr:colOff>
      <xdr:row>19</xdr:row>
      <xdr:rowOff>171450</xdr:rowOff>
    </xdr:from>
    <xdr:to>
      <xdr:col>20</xdr:col>
      <xdr:colOff>697392</xdr:colOff>
      <xdr:row>43</xdr:row>
      <xdr:rowOff>126464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F000FF-D317-4C8E-AED5-0EAFFAB9D8AC}"/>
            </a:ext>
            <a:ext uri="{147F2762-F138-4A5C-976F-8EAC2B608ADB}">
              <a16:predDERef xmlns:a16="http://schemas.microsoft.com/office/drawing/2014/main" pred="{0BDAED29-CE2D-4164-BF7E-79D734E93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72700" y="3752850"/>
          <a:ext cx="3964467" cy="4298414"/>
        </a:xfrm>
        <a:prstGeom prst="rect">
          <a:avLst/>
        </a:prstGeom>
      </xdr:spPr>
    </xdr:pic>
    <xdr:clientData/>
  </xdr:twoCellAnchor>
  <xdr:twoCellAnchor editAs="oneCell">
    <xdr:from>
      <xdr:col>8</xdr:col>
      <xdr:colOff>276225</xdr:colOff>
      <xdr:row>32</xdr:row>
      <xdr:rowOff>114300</xdr:rowOff>
    </xdr:from>
    <xdr:to>
      <xdr:col>15</xdr:col>
      <xdr:colOff>323850</xdr:colOff>
      <xdr:row>42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CD25157-344F-D6B5-6715-554D37F84955}"/>
            </a:ext>
            <a:ext uri="{147F2762-F138-4A5C-976F-8EAC2B608ADB}">
              <a16:predDERef xmlns:a16="http://schemas.microsoft.com/office/drawing/2014/main" pred="{3EF000FF-D317-4C8E-AED5-0EAFFAB9D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6048375"/>
          <a:ext cx="4572000" cy="1828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125730</xdr:colOff>
      <xdr:row>14</xdr:row>
      <xdr:rowOff>28575</xdr:rowOff>
    </xdr:from>
    <xdr:to>
      <xdr:col>14</xdr:col>
      <xdr:colOff>19050</xdr:colOff>
      <xdr:row>28</xdr:row>
      <xdr:rowOff>95250</xdr:rowOff>
    </xdr:to>
    <xdr:graphicFrame macro="">
      <xdr:nvGraphicFramePr>
        <xdr:cNvPr id="42" name="Chart 1">
          <a:extLst>
            <a:ext uri="{FF2B5EF4-FFF2-40B4-BE49-F238E27FC236}">
              <a16:creationId xmlns:a16="http://schemas.microsoft.com/office/drawing/2014/main" id="{64F10F96-0FE3-489E-8027-A12802472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304800</xdr:colOff>
      <xdr:row>23</xdr:row>
      <xdr:rowOff>144780</xdr:rowOff>
    </xdr:from>
    <xdr:to>
      <xdr:col>5</xdr:col>
      <xdr:colOff>487680</xdr:colOff>
      <xdr:row>42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E34864-6883-7980-45E4-1341B8B8D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4351020"/>
          <a:ext cx="4572000" cy="3436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125730</xdr:colOff>
      <xdr:row>14</xdr:row>
      <xdr:rowOff>28575</xdr:rowOff>
    </xdr:from>
    <xdr:to>
      <xdr:col>13</xdr:col>
      <xdr:colOff>19050</xdr:colOff>
      <xdr:row>28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686A4-1F44-4392-955B-121991ACF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304800</xdr:colOff>
      <xdr:row>23</xdr:row>
      <xdr:rowOff>144780</xdr:rowOff>
    </xdr:from>
    <xdr:to>
      <xdr:col>6</xdr:col>
      <xdr:colOff>211455</xdr:colOff>
      <xdr:row>41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5A25E9-B133-4C6C-B7CB-3EAC9E19E136}"/>
            </a:ext>
            <a:ext uri="{147F2762-F138-4A5C-976F-8EAC2B608ADB}">
              <a16:predDERef xmlns:a16="http://schemas.microsoft.com/office/drawing/2014/main" pred="{EEB686A4-1F44-4392-955B-121991AC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4431030"/>
          <a:ext cx="4450080" cy="340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37556</xdr:colOff>
      <xdr:row>15</xdr:row>
      <xdr:rowOff>26943</xdr:rowOff>
    </xdr:from>
    <xdr:to>
      <xdr:col>7</xdr:col>
      <xdr:colOff>164647</xdr:colOff>
      <xdr:row>29</xdr:row>
      <xdr:rowOff>101238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0A893B-AA32-4DBE-B962-3B80C201D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210910</xdr:colOff>
      <xdr:row>15</xdr:row>
      <xdr:rowOff>33076</xdr:rowOff>
    </xdr:from>
    <xdr:to>
      <xdr:col>14</xdr:col>
      <xdr:colOff>263979</xdr:colOff>
      <xdr:row>30</xdr:row>
      <xdr:rowOff>2303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4601CF-0972-48A0-903A-C914520CCAD5}"/>
            </a:ext>
            <a:ext uri="{147F2762-F138-4A5C-976F-8EAC2B608ADB}">
              <a16:predDERef xmlns:a16="http://schemas.microsoft.com/office/drawing/2014/main" pred="{3C0A893B-AA32-4DBE-B962-3B80C201D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330507</xdr:colOff>
      <xdr:row>15</xdr:row>
      <xdr:rowOff>27542</xdr:rowOff>
    </xdr:from>
    <xdr:to>
      <xdr:col>18</xdr:col>
      <xdr:colOff>523216</xdr:colOff>
      <xdr:row>22</xdr:row>
      <xdr:rowOff>37364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E8A0A0-5803-41BB-9B00-4F9871DFF299}"/>
            </a:ext>
            <a:ext uri="{147F2762-F138-4A5C-976F-8EAC2B608ADB}">
              <a16:predDERef xmlns:a16="http://schemas.microsoft.com/office/drawing/2014/main" pred="{CE45926F-288C-86AC-705C-00D0445DE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5500" r="5333"/>
        <a:stretch/>
      </xdr:blipFill>
      <xdr:spPr>
        <a:xfrm>
          <a:off x="9593856" y="2781759"/>
          <a:ext cx="2616420" cy="12951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75656</xdr:colOff>
      <xdr:row>15</xdr:row>
      <xdr:rowOff>45993</xdr:rowOff>
    </xdr:from>
    <xdr:to>
      <xdr:col>7</xdr:col>
      <xdr:colOff>202747</xdr:colOff>
      <xdr:row>29</xdr:row>
      <xdr:rowOff>120288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A9CBF4-6BFF-42DF-A32E-2452A85DB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239485</xdr:colOff>
      <xdr:row>14</xdr:row>
      <xdr:rowOff>175951</xdr:rowOff>
    </xdr:from>
    <xdr:to>
      <xdr:col>14</xdr:col>
      <xdr:colOff>292554</xdr:colOff>
      <xdr:row>29</xdr:row>
      <xdr:rowOff>145178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48581F-EC93-42C6-ADB2-5E5685AA073C}"/>
            </a:ext>
            <a:ext uri="{147F2762-F138-4A5C-976F-8EAC2B608ADB}">
              <a16:predDERef xmlns:a16="http://schemas.microsoft.com/office/drawing/2014/main" pred="{5AA9CBF4-6BFF-42DF-A32E-2452A85DB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4</xdr:col>
      <xdr:colOff>149874</xdr:colOff>
      <xdr:row>41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EA50C1-09CB-4DB7-93DE-7C7133745481}"/>
            </a:ext>
            <a:ext uri="{147F2762-F138-4A5C-976F-8EAC2B608ADB}">
              <a16:predDERef xmlns:a16="http://schemas.microsoft.com/office/drawing/2014/main" pred="{8548581F-EC93-42C6-ADB2-5E5685AA0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075" y="5581650"/>
          <a:ext cx="2359674" cy="2171700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29</xdr:row>
      <xdr:rowOff>123825</xdr:rowOff>
    </xdr:from>
    <xdr:to>
      <xdr:col>8</xdr:col>
      <xdr:colOff>230666</xdr:colOff>
      <xdr:row>41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0B0BA6-D2B3-48C6-9166-69F3DE20C75C}"/>
            </a:ext>
            <a:ext uri="{147F2762-F138-4A5C-976F-8EAC2B608ADB}">
              <a16:predDERef xmlns:a16="http://schemas.microsoft.com/office/drawing/2014/main" pred="{2AEA50C1-09CB-4DB7-93DE-7C7133745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19425" y="5514975"/>
          <a:ext cx="2421416" cy="22193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257175</xdr:colOff>
      <xdr:row>3</xdr:row>
      <xdr:rowOff>180975</xdr:rowOff>
    </xdr:from>
    <xdr:to>
      <xdr:col>18</xdr:col>
      <xdr:colOff>561975</xdr:colOff>
      <xdr:row>18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A75DC2-4288-0E4D-DDB6-5ABF6B5E9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ad.onshape.com/documents/2a11f90e2867a607c61cf4cd/w/a55fb2b5cc785497ad048c21/e/26296ba7726a97b7d51dee0d?renderMode=0&amp;uiState=66b5a50bd5f9631601493c8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32EE5-C146-4595-AFCC-0A23235C9078}">
  <dimension ref="A1:T78"/>
  <sheetViews>
    <sheetView topLeftCell="A10" zoomScale="76" workbookViewId="0">
      <selection activeCell="B19" sqref="B19"/>
    </sheetView>
  </sheetViews>
  <sheetFormatPr defaultRowHeight="14.45"/>
  <cols>
    <col min="1" max="1" width="28.42578125" customWidth="1"/>
    <col min="2" max="2" width="10.140625" customWidth="1"/>
    <col min="4" max="4" width="13.5703125" customWidth="1"/>
    <col min="5" max="5" width="25.28515625" customWidth="1"/>
    <col min="6" max="6" width="23.140625" customWidth="1"/>
    <col min="7" max="7" width="11.28515625" customWidth="1"/>
    <col min="9" max="9" width="12.140625" customWidth="1"/>
    <col min="10" max="10" width="14.85546875" bestFit="1" customWidth="1"/>
    <col min="11" max="11" width="19.5703125" customWidth="1"/>
    <col min="12" max="12" width="16" customWidth="1"/>
    <col min="13" max="13" width="10.28515625" customWidth="1"/>
    <col min="15" max="15" width="22" customWidth="1"/>
    <col min="16" max="16" width="14.85546875" customWidth="1"/>
    <col min="17" max="18" width="10" customWidth="1"/>
    <col min="20" max="20" width="11.140625" customWidth="1"/>
    <col min="21" max="21" width="15.5703125" customWidth="1"/>
    <col min="22" max="22" width="19.28515625" customWidth="1"/>
    <col min="23" max="23" width="10.42578125" bestFit="1" customWidth="1"/>
    <col min="24" max="24" width="11.42578125" customWidth="1"/>
    <col min="25" max="25" width="11.5703125" customWidth="1"/>
  </cols>
  <sheetData>
    <row r="1" spans="1:15">
      <c r="A1" s="3" t="s">
        <v>0</v>
      </c>
      <c r="B1" s="4"/>
      <c r="C1" s="12" t="s">
        <v>1</v>
      </c>
      <c r="D1" s="5" t="s">
        <v>2</v>
      </c>
      <c r="F1" s="14" t="s">
        <v>3</v>
      </c>
      <c r="G1" s="4"/>
      <c r="H1" s="12" t="s">
        <v>1</v>
      </c>
      <c r="I1" s="4"/>
      <c r="J1" s="5"/>
      <c r="L1" s="22"/>
      <c r="M1" s="19" t="s">
        <v>4</v>
      </c>
      <c r="N1" s="19"/>
      <c r="O1" s="20"/>
    </row>
    <row r="2" spans="1:15">
      <c r="A2" s="13" t="s">
        <v>5</v>
      </c>
      <c r="B2">
        <v>1.2040999999999999</v>
      </c>
      <c r="C2" t="s">
        <v>6</v>
      </c>
      <c r="D2" s="6"/>
      <c r="F2" s="13" t="s">
        <v>7</v>
      </c>
      <c r="G2" s="1">
        <f>(B16^2)/G6</f>
        <v>5.3333333333333339</v>
      </c>
      <c r="H2" t="s">
        <v>8</v>
      </c>
      <c r="I2" t="s">
        <v>9</v>
      </c>
      <c r="J2" s="6">
        <f>B16^2/G6</f>
        <v>5.3333333333333339</v>
      </c>
      <c r="L2" s="25"/>
      <c r="M2" t="s">
        <v>10</v>
      </c>
      <c r="O2" s="16"/>
    </row>
    <row r="3" spans="1:15">
      <c r="A3" s="13" t="s">
        <v>11</v>
      </c>
      <c r="B3">
        <v>85</v>
      </c>
      <c r="C3" t="s">
        <v>6</v>
      </c>
      <c r="D3" s="6"/>
      <c r="F3" s="13" t="s">
        <v>12</v>
      </c>
      <c r="G3">
        <f>B18*B16</f>
        <v>1.6000000000000003E-5</v>
      </c>
      <c r="H3" t="s">
        <v>13</v>
      </c>
      <c r="J3" s="6"/>
      <c r="L3" s="26"/>
      <c r="M3" t="s">
        <v>14</v>
      </c>
      <c r="O3" s="16"/>
    </row>
    <row r="4" spans="1:15">
      <c r="A4" s="36" t="s">
        <v>15</v>
      </c>
      <c r="B4">
        <f>D4*1000</f>
        <v>1240</v>
      </c>
      <c r="C4" t="s">
        <v>6</v>
      </c>
      <c r="D4" s="16">
        <v>1.24</v>
      </c>
      <c r="E4" t="s">
        <v>16</v>
      </c>
      <c r="F4" s="13" t="s">
        <v>17</v>
      </c>
      <c r="G4">
        <f>B16*SIN(RADIANS(B29))+G3</f>
        <v>1.5280719630123585E-2</v>
      </c>
      <c r="J4" s="6"/>
      <c r="L4" s="27"/>
      <c r="M4" t="s">
        <v>18</v>
      </c>
      <c r="O4" s="16"/>
    </row>
    <row r="5" spans="1:15">
      <c r="A5" s="13" t="s">
        <v>19</v>
      </c>
      <c r="B5" s="29">
        <v>5</v>
      </c>
      <c r="C5" t="s">
        <v>20</v>
      </c>
      <c r="D5" s="6"/>
      <c r="F5" s="13" t="s">
        <v>21</v>
      </c>
      <c r="G5">
        <f>B16*SIN(RADIANS(B30))+0.003</f>
        <v>1.6891854213354426E-2</v>
      </c>
      <c r="J5" s="6"/>
      <c r="L5" s="28"/>
      <c r="M5" t="s">
        <v>22</v>
      </c>
      <c r="O5" s="16"/>
    </row>
    <row r="6" spans="1:15">
      <c r="A6" s="13" t="s">
        <v>23</v>
      </c>
      <c r="B6">
        <v>5.0000000000000001E-3</v>
      </c>
      <c r="C6" t="s">
        <v>8</v>
      </c>
      <c r="D6" s="6"/>
      <c r="F6" s="13" t="s">
        <v>24</v>
      </c>
      <c r="G6">
        <f>(1/2)*B16*B17</f>
        <v>1.1999999999999999E-3</v>
      </c>
      <c r="H6" t="s">
        <v>13</v>
      </c>
      <c r="J6" s="6"/>
      <c r="L6" s="15"/>
      <c r="O6" s="16"/>
    </row>
    <row r="7" spans="1:15">
      <c r="A7" s="36" t="s">
        <v>25</v>
      </c>
      <c r="B7">
        <v>4.4999999999999998E-2</v>
      </c>
      <c r="C7" t="s">
        <v>8</v>
      </c>
      <c r="D7" s="6"/>
      <c r="F7" s="13" t="s">
        <v>26</v>
      </c>
      <c r="G7">
        <f>G6*B18</f>
        <v>2.3999999999999998E-7</v>
      </c>
      <c r="H7" t="s">
        <v>27</v>
      </c>
      <c r="J7" s="6"/>
      <c r="L7" s="23"/>
      <c r="M7" s="17"/>
      <c r="N7" s="17"/>
      <c r="O7" s="21"/>
    </row>
    <row r="8" spans="1:15">
      <c r="A8" s="13" t="s">
        <v>28</v>
      </c>
      <c r="B8">
        <v>0.7</v>
      </c>
      <c r="C8" t="s">
        <v>8</v>
      </c>
      <c r="D8" s="6"/>
      <c r="F8" s="39" t="s">
        <v>29</v>
      </c>
      <c r="G8" s="10">
        <f>B23*B18</f>
        <v>4.0000000000000007E-6</v>
      </c>
      <c r="H8" s="10" t="s">
        <v>27</v>
      </c>
      <c r="I8" s="10"/>
      <c r="J8" s="11"/>
    </row>
    <row r="9" spans="1:15" ht="15">
      <c r="A9" s="13" t="s">
        <v>30</v>
      </c>
      <c r="B9">
        <v>2</v>
      </c>
      <c r="C9" t="s">
        <v>8</v>
      </c>
      <c r="D9" s="16"/>
    </row>
    <row r="10" spans="1:15" ht="15">
      <c r="D10" s="16"/>
    </row>
    <row r="11" spans="1:15" ht="15">
      <c r="A11" s="56" t="s">
        <v>31</v>
      </c>
      <c r="D11" s="16"/>
    </row>
    <row r="12" spans="1:15" ht="15">
      <c r="A12" t="s">
        <v>32</v>
      </c>
      <c r="B12">
        <v>10</v>
      </c>
      <c r="C12" t="s">
        <v>33</v>
      </c>
      <c r="D12" s="16"/>
    </row>
    <row r="13" spans="1:15" ht="15">
      <c r="A13" t="s">
        <v>34</v>
      </c>
      <c r="B13">
        <v>0.04</v>
      </c>
      <c r="C13" t="s">
        <v>35</v>
      </c>
      <c r="D13" s="16"/>
    </row>
    <row r="14" spans="1:15" ht="15">
      <c r="D14" s="16"/>
    </row>
    <row r="15" spans="1:15" ht="15">
      <c r="A15" s="37" t="s">
        <v>36</v>
      </c>
      <c r="D15" s="6"/>
      <c r="F15" s="3" t="s">
        <v>37</v>
      </c>
      <c r="G15" s="4"/>
      <c r="H15" s="5"/>
    </row>
    <row r="16" spans="1:15" ht="15">
      <c r="A16" s="13" t="s">
        <v>38</v>
      </c>
      <c r="B16" s="29">
        <v>0.08</v>
      </c>
      <c r="C16" t="s">
        <v>35</v>
      </c>
      <c r="D16" s="6">
        <f>B16*39.37</f>
        <v>3.1496</v>
      </c>
      <c r="E16" t="s">
        <v>39</v>
      </c>
      <c r="F16" s="40" t="s">
        <v>40</v>
      </c>
      <c r="H16" s="6"/>
    </row>
    <row r="17" spans="1:20" ht="15">
      <c r="A17" s="13" t="s">
        <v>41</v>
      </c>
      <c r="B17" s="29">
        <v>0.03</v>
      </c>
      <c r="C17" t="s">
        <v>35</v>
      </c>
      <c r="D17" s="6">
        <f>B17*39.37</f>
        <v>1.1810999999999998</v>
      </c>
      <c r="E17" t="s">
        <v>39</v>
      </c>
      <c r="F17" s="13" t="s">
        <v>42</v>
      </c>
      <c r="G17" s="1">
        <f>(1/2)*B2*B5^2*B6*G5</f>
        <v>1.271217603643754E-3</v>
      </c>
      <c r="H17" s="6" t="s">
        <v>43</v>
      </c>
    </row>
    <row r="18" spans="1:20" ht="15">
      <c r="A18" s="13" t="s">
        <v>44</v>
      </c>
      <c r="B18" s="29">
        <v>2.0000000000000001E-4</v>
      </c>
      <c r="C18" t="s">
        <v>35</v>
      </c>
      <c r="D18" s="6">
        <f>B18*39.37</f>
        <v>7.8739999999999991E-3</v>
      </c>
      <c r="E18" t="s">
        <v>39</v>
      </c>
      <c r="F18" s="13" t="s">
        <v>45</v>
      </c>
      <c r="G18">
        <f>G17*SIN(RADIANS(B30))</f>
        <v>2.2074462029086E-4</v>
      </c>
      <c r="H18" s="6" t="s">
        <v>43</v>
      </c>
      <c r="O18" s="53" t="s">
        <v>46</v>
      </c>
    </row>
    <row r="19" spans="1:20" ht="15">
      <c r="A19" s="13" t="s">
        <v>47</v>
      </c>
      <c r="B19" s="64">
        <v>0.05</v>
      </c>
      <c r="C19" t="s">
        <v>35</v>
      </c>
      <c r="D19" s="6">
        <f>B19*39.37</f>
        <v>1.9684999999999999</v>
      </c>
      <c r="E19" t="s">
        <v>39</v>
      </c>
      <c r="F19" s="13"/>
      <c r="H19" s="6"/>
    </row>
    <row r="20" spans="1:20" ht="15">
      <c r="A20" s="13" t="s">
        <v>48</v>
      </c>
      <c r="B20" s="29">
        <f>4*B17</f>
        <v>0.12</v>
      </c>
      <c r="C20" t="s">
        <v>35</v>
      </c>
      <c r="D20" s="6">
        <f>B20*39.37</f>
        <v>4.7243999999999993</v>
      </c>
      <c r="E20" t="s">
        <v>39</v>
      </c>
      <c r="F20" s="13" t="s">
        <v>49</v>
      </c>
      <c r="G20">
        <f>G17*COS(RADIANS(B30))</f>
        <v>1.2519049518339689E-3</v>
      </c>
      <c r="H20" s="6" t="s">
        <v>43</v>
      </c>
    </row>
    <row r="21" spans="1:20" ht="15">
      <c r="A21" s="36" t="s">
        <v>50</v>
      </c>
      <c r="B21" s="29">
        <f>(1/2)*B20</f>
        <v>0.06</v>
      </c>
      <c r="C21" t="s">
        <v>35</v>
      </c>
      <c r="D21" s="16"/>
      <c r="F21" s="13"/>
      <c r="H21" s="6"/>
    </row>
    <row r="22" spans="1:20" ht="15">
      <c r="A22" s="38" t="s">
        <v>51</v>
      </c>
      <c r="B22" s="29">
        <v>10</v>
      </c>
      <c r="C22" t="s">
        <v>52</v>
      </c>
      <c r="D22" s="16"/>
      <c r="F22" s="13"/>
      <c r="H22" s="6"/>
    </row>
    <row r="23" spans="1:20" ht="15">
      <c r="A23" s="36" t="s">
        <v>53</v>
      </c>
      <c r="B23" s="29">
        <v>0.02</v>
      </c>
      <c r="C23" t="s">
        <v>35</v>
      </c>
      <c r="D23" s="16"/>
      <c r="F23" s="13" t="s">
        <v>54</v>
      </c>
      <c r="G23" s="1">
        <f>(1/2)*B8*B2*B5^2*G6</f>
        <v>1.2643049999999998E-2</v>
      </c>
      <c r="H23" s="6" t="s">
        <v>43</v>
      </c>
    </row>
    <row r="24" spans="1:20" ht="15">
      <c r="A24" s="36" t="s">
        <v>55</v>
      </c>
      <c r="B24" s="29">
        <v>1.4999999999999999E-2</v>
      </c>
      <c r="C24" t="s">
        <v>35</v>
      </c>
      <c r="D24" s="16"/>
      <c r="F24" s="13" t="s">
        <v>56</v>
      </c>
      <c r="G24">
        <f>G23*SIN(RADIANS(90-B30))</f>
        <v>1.2450973661720995E-2</v>
      </c>
      <c r="H24" s="6" t="s">
        <v>43</v>
      </c>
    </row>
    <row r="25" spans="1:20" ht="15">
      <c r="A25" s="60" t="s">
        <v>57</v>
      </c>
      <c r="B25" s="29">
        <f>3/4*B17</f>
        <v>2.2499999999999999E-2</v>
      </c>
      <c r="C25" t="s">
        <v>35</v>
      </c>
      <c r="D25" s="16"/>
      <c r="F25" s="13" t="s">
        <v>49</v>
      </c>
      <c r="G25">
        <f>G23*COS(RADIANS(90-B30))</f>
        <v>2.1954425926518843E-3</v>
      </c>
      <c r="H25" s="6" t="s">
        <v>43</v>
      </c>
    </row>
    <row r="26" spans="1:20" ht="15">
      <c r="A26" s="36" t="s">
        <v>58</v>
      </c>
      <c r="B26" s="29">
        <v>4.0000000000000001E-3</v>
      </c>
      <c r="C26" t="s">
        <v>35</v>
      </c>
      <c r="D26" s="16"/>
      <c r="F26" s="13"/>
      <c r="H26" s="6"/>
    </row>
    <row r="27" spans="1:20" ht="15">
      <c r="D27" s="16"/>
      <c r="F27" s="13"/>
      <c r="H27" s="6"/>
    </row>
    <row r="28" spans="1:20" ht="15">
      <c r="A28" s="37" t="s">
        <v>59</v>
      </c>
      <c r="B28">
        <v>0</v>
      </c>
      <c r="C28" t="s">
        <v>52</v>
      </c>
      <c r="D28" s="6"/>
      <c r="E28" t="s">
        <v>60</v>
      </c>
      <c r="F28" s="13" t="s">
        <v>61</v>
      </c>
      <c r="G28" s="1">
        <f>(G7*B3)+D34+B52</f>
        <v>4.6295E-4</v>
      </c>
      <c r="H28" s="6" t="s">
        <v>62</v>
      </c>
      <c r="I28">
        <f>G28*1000</f>
        <v>0.46295000000000003</v>
      </c>
      <c r="J28" t="s">
        <v>63</v>
      </c>
    </row>
    <row r="29" spans="1:20" ht="15">
      <c r="A29" s="13" t="s">
        <v>64</v>
      </c>
      <c r="B29">
        <v>11</v>
      </c>
      <c r="C29" t="s">
        <v>52</v>
      </c>
      <c r="D29" s="6"/>
      <c r="F29" s="13" t="s">
        <v>65</v>
      </c>
      <c r="G29" s="1">
        <f>G28*9.81</f>
        <v>4.5415395000000004E-3</v>
      </c>
      <c r="H29" s="6" t="s">
        <v>43</v>
      </c>
    </row>
    <row r="30" spans="1:20" ht="15">
      <c r="A30" s="13" t="s">
        <v>66</v>
      </c>
      <c r="B30" s="2">
        <v>10</v>
      </c>
      <c r="C30" t="s">
        <v>52</v>
      </c>
      <c r="D30" s="6"/>
      <c r="F30" s="13"/>
      <c r="H30" s="6"/>
      <c r="O30" s="63" t="s">
        <v>67</v>
      </c>
      <c r="P30" s="19"/>
      <c r="Q30" s="19"/>
      <c r="R30" s="19"/>
      <c r="S30" s="20"/>
      <c r="T30" t="s">
        <v>68</v>
      </c>
    </row>
    <row r="31" spans="1:20" ht="15">
      <c r="A31" s="13" t="s">
        <v>69</v>
      </c>
      <c r="D31" s="6"/>
      <c r="F31" s="13" t="s">
        <v>70</v>
      </c>
      <c r="G31" s="1">
        <f>-G25-G20</f>
        <v>-3.447347544485853E-3</v>
      </c>
      <c r="H31" s="16" t="s">
        <v>43</v>
      </c>
      <c r="O31" s="15" t="s">
        <v>71</v>
      </c>
      <c r="P31" s="29">
        <f>'Wing Flap (rigid body)'!G12*2</f>
        <v>5.3822242667273971E-2</v>
      </c>
      <c r="Q31" t="s">
        <v>43</v>
      </c>
      <c r="S31" s="16"/>
      <c r="T31" t="s">
        <v>72</v>
      </c>
    </row>
    <row r="32" spans="1:20" ht="15">
      <c r="A32" s="13"/>
      <c r="D32" s="6"/>
      <c r="F32" s="13" t="s">
        <v>73</v>
      </c>
      <c r="G32" s="1">
        <f>G24-G18-G29</f>
        <v>7.6886895414301337E-3</v>
      </c>
      <c r="H32" s="6" t="s">
        <v>43</v>
      </c>
      <c r="O32" s="15" t="s">
        <v>74</v>
      </c>
      <c r="P32">
        <f>(B20*1/4)</f>
        <v>0.03</v>
      </c>
      <c r="Q32" t="s">
        <v>35</v>
      </c>
      <c r="R32">
        <f>P32*39.37</f>
        <v>1.1810999999999998</v>
      </c>
      <c r="S32" s="16" t="s">
        <v>39</v>
      </c>
      <c r="T32" t="s">
        <v>75</v>
      </c>
    </row>
    <row r="33" spans="1:20" ht="15">
      <c r="A33" s="55" t="s">
        <v>76</v>
      </c>
      <c r="D33" s="16"/>
      <c r="F33" s="15"/>
      <c r="H33" s="6"/>
      <c r="O33" s="15" t="s">
        <v>77</v>
      </c>
      <c r="P33">
        <f>((1/3)*B20)+B25+B19</f>
        <v>0.11249999999999999</v>
      </c>
      <c r="Q33" t="s">
        <v>35</v>
      </c>
      <c r="R33">
        <f>P33*39.37</f>
        <v>4.4291249999999991</v>
      </c>
      <c r="S33" s="16" t="s">
        <v>39</v>
      </c>
      <c r="T33" t="s">
        <v>78</v>
      </c>
    </row>
    <row r="34" spans="1:20" ht="15">
      <c r="A34" s="13" t="s">
        <v>79</v>
      </c>
      <c r="B34">
        <v>0.44</v>
      </c>
      <c r="C34" t="s">
        <v>63</v>
      </c>
      <c r="D34" s="6">
        <f>B34/1000</f>
        <v>4.4000000000000002E-4</v>
      </c>
      <c r="E34" t="s">
        <v>62</v>
      </c>
      <c r="F34" s="8" t="s">
        <v>80</v>
      </c>
      <c r="H34" s="6"/>
      <c r="I34" s="18" t="s">
        <v>81</v>
      </c>
      <c r="J34" s="19"/>
      <c r="K34" s="20"/>
      <c r="O34" s="15" t="s">
        <v>82</v>
      </c>
      <c r="P34" s="1">
        <f>(P31*P32)/P33</f>
        <v>1.4352598044606393E-2</v>
      </c>
      <c r="Q34" t="s">
        <v>43</v>
      </c>
      <c r="S34" s="16"/>
    </row>
    <row r="35" spans="1:20" ht="15">
      <c r="A35" s="44" t="s">
        <v>83</v>
      </c>
      <c r="B35" s="19"/>
      <c r="C35" s="19"/>
      <c r="D35" s="45"/>
      <c r="E35" s="6"/>
      <c r="F35" s="13" t="s">
        <v>84</v>
      </c>
      <c r="G35">
        <f>G23*1/4*((B17)+B26)</f>
        <v>1.0746592499999999E-4</v>
      </c>
      <c r="H35" s="6" t="s">
        <v>85</v>
      </c>
      <c r="I35" s="36" t="s">
        <v>86</v>
      </c>
      <c r="J35">
        <f>G23*((1/4)*B17+(1/2)*B20+B26)</f>
        <v>9.0397807499999997E-4</v>
      </c>
      <c r="K35" s="6" t="s">
        <v>85</v>
      </c>
      <c r="L35" t="s">
        <v>87</v>
      </c>
      <c r="O35" s="15" t="s">
        <v>88</v>
      </c>
      <c r="P35">
        <f>G28</f>
        <v>4.6295E-4</v>
      </c>
      <c r="Q35" t="s">
        <v>62</v>
      </c>
      <c r="S35" s="16"/>
    </row>
    <row r="36" spans="1:20" ht="15">
      <c r="A36" s="7" t="s">
        <v>89</v>
      </c>
      <c r="E36" s="46"/>
      <c r="F36" s="13" t="s">
        <v>90</v>
      </c>
      <c r="G36">
        <f>G29*B25*COS(RADIANS(B30))</f>
        <v>1.006322244797517E-4</v>
      </c>
      <c r="H36" s="6" t="s">
        <v>85</v>
      </c>
      <c r="I36" s="36" t="s">
        <v>91</v>
      </c>
      <c r="J36">
        <f>G29*((1/4)*B17*COS(RADIANS(B29))+((1/2)*B20*COS(RADIANS(B31))))</f>
        <v>3.0592810970925987E-4</v>
      </c>
      <c r="K36" s="6" t="s">
        <v>85</v>
      </c>
      <c r="L36" t="s">
        <v>92</v>
      </c>
      <c r="N36" t="s">
        <v>93</v>
      </c>
      <c r="O36" s="15" t="s">
        <v>94</v>
      </c>
      <c r="P36">
        <f>P34/P35</f>
        <v>31.002479845785491</v>
      </c>
      <c r="Q36" t="s">
        <v>95</v>
      </c>
      <c r="S36" s="16"/>
    </row>
    <row r="37" spans="1:20" ht="15">
      <c r="A37" s="7" t="s">
        <v>96</v>
      </c>
      <c r="D37" s="6"/>
      <c r="E37" s="6"/>
      <c r="F37" s="13" t="s">
        <v>97</v>
      </c>
      <c r="G37">
        <v>0</v>
      </c>
      <c r="H37" s="6" t="s">
        <v>85</v>
      </c>
      <c r="I37" s="36" t="s">
        <v>98</v>
      </c>
      <c r="J37">
        <f>G18*((1/2)*B20+COS(RADIANS(B30)*B17))</f>
        <v>2.3398627159567479E-4</v>
      </c>
      <c r="K37" s="6" t="s">
        <v>85</v>
      </c>
      <c r="L37" t="s">
        <v>99</v>
      </c>
      <c r="O37" s="15" t="s">
        <v>100</v>
      </c>
      <c r="P37">
        <f>P36/B17</f>
        <v>1033.4159948595163</v>
      </c>
      <c r="Q37" t="s">
        <v>101</v>
      </c>
      <c r="S37" s="16"/>
    </row>
    <row r="38" spans="1:20" ht="15">
      <c r="A38" t="s">
        <v>102</v>
      </c>
      <c r="D38" s="6"/>
      <c r="E38" s="6"/>
      <c r="F38" s="36"/>
      <c r="I38" s="38"/>
      <c r="J38">
        <f>(G20*(SIN(RADIANS(B30)*B17)))</f>
        <v>6.5549290481777321E-6</v>
      </c>
      <c r="K38" s="6"/>
      <c r="L38" t="s">
        <v>103</v>
      </c>
      <c r="O38" s="15" t="s">
        <v>104</v>
      </c>
      <c r="P38">
        <f>B30*(PI()/180)</f>
        <v>0.17453292519943295</v>
      </c>
      <c r="Q38" t="s">
        <v>105</v>
      </c>
      <c r="S38" s="16"/>
    </row>
    <row r="39" spans="1:20" ht="15">
      <c r="A39" t="s">
        <v>106</v>
      </c>
      <c r="D39" s="6"/>
      <c r="E39" s="16"/>
      <c r="F39" s="13" t="s">
        <v>107</v>
      </c>
      <c r="G39" s="65">
        <f>G36-G35</f>
        <v>-6.8337005202482887E-6</v>
      </c>
      <c r="H39" s="6" t="s">
        <v>85</v>
      </c>
      <c r="I39" s="36" t="s">
        <v>108</v>
      </c>
      <c r="J39">
        <f>J36-J35+J37-J38</f>
        <v>-3.7061862274324306E-4</v>
      </c>
      <c r="K39" s="6"/>
      <c r="L39" t="s">
        <v>109</v>
      </c>
      <c r="O39" s="23" t="s">
        <v>110</v>
      </c>
      <c r="P39" s="48">
        <f>SQRT((2*P38*2*B17)/P37)</f>
        <v>4.5018572238490926E-3</v>
      </c>
      <c r="Q39" s="17" t="s">
        <v>111</v>
      </c>
      <c r="R39" s="17"/>
      <c r="S39" s="21"/>
    </row>
    <row r="40" spans="1:20" ht="15">
      <c r="A40" t="s">
        <v>112</v>
      </c>
      <c r="D40" s="16"/>
      <c r="E40" s="16"/>
      <c r="F40" s="43" t="s">
        <v>113</v>
      </c>
      <c r="G40" s="10">
        <f>'Wing Flap (rigid body)'!G12</f>
        <v>2.6911121333636986E-2</v>
      </c>
      <c r="H40" s="11" t="s">
        <v>85</v>
      </c>
      <c r="I40" s="17"/>
      <c r="J40" s="17"/>
      <c r="K40" s="11"/>
      <c r="P40" t="s">
        <v>114</v>
      </c>
    </row>
    <row r="41" spans="1:20" ht="15">
      <c r="A41" t="s">
        <v>115</v>
      </c>
      <c r="D41" s="16"/>
    </row>
    <row r="42" spans="1:20" ht="15">
      <c r="A42" s="17"/>
      <c r="B42" s="17"/>
      <c r="C42" s="17"/>
      <c r="D42" s="21"/>
    </row>
    <row r="43" spans="1:20" ht="15">
      <c r="I43" s="53" t="s">
        <v>116</v>
      </c>
    </row>
    <row r="44" spans="1:20" ht="15">
      <c r="A44" s="22"/>
      <c r="B44" s="19"/>
      <c r="C44" s="20"/>
      <c r="D44" s="19"/>
      <c r="E44" s="19"/>
      <c r="F44" s="19"/>
      <c r="G44" s="20"/>
      <c r="H44" s="19"/>
      <c r="I44" s="20"/>
      <c r="J44" s="19"/>
      <c r="K44" s="19"/>
      <c r="L44" s="4"/>
      <c r="M44" s="4"/>
      <c r="N44" s="22"/>
      <c r="O44" s="19"/>
      <c r="P44" s="19"/>
      <c r="Q44" s="20"/>
    </row>
    <row r="45" spans="1:20" ht="15">
      <c r="A45" s="41" t="s">
        <v>117</v>
      </c>
      <c r="B45" t="s">
        <v>118</v>
      </c>
      <c r="C45" s="16"/>
      <c r="D45" s="42" t="s">
        <v>119</v>
      </c>
      <c r="E45" s="30"/>
      <c r="G45" s="16"/>
      <c r="H45" s="42" t="s">
        <v>120</v>
      </c>
      <c r="I45" s="16"/>
      <c r="J45" s="42" t="s">
        <v>121</v>
      </c>
      <c r="K45" t="s">
        <v>122</v>
      </c>
      <c r="N45" s="41" t="s">
        <v>123</v>
      </c>
      <c r="O45" s="30"/>
      <c r="Q45" s="16"/>
    </row>
    <row r="46" spans="1:20" ht="15">
      <c r="A46" s="15"/>
      <c r="D46" s="15"/>
      <c r="H46" s="24" t="s">
        <v>124</v>
      </c>
      <c r="I46" s="16"/>
      <c r="J46" t="s">
        <v>125</v>
      </c>
      <c r="N46" s="15"/>
      <c r="Q46" s="16"/>
    </row>
    <row r="47" spans="1:20" ht="15">
      <c r="A47" s="38" t="s">
        <v>126</v>
      </c>
      <c r="B47">
        <f>(1/2)*B2*B5^2*B6*G8</f>
        <v>3.0102500000000006E-7</v>
      </c>
      <c r="C47" s="16" t="s">
        <v>43</v>
      </c>
      <c r="D47" t="s">
        <v>127</v>
      </c>
      <c r="E47" s="36" t="s">
        <v>128</v>
      </c>
      <c r="F47" s="1">
        <f>'Variable AOA Flat plate'!$M$14</f>
        <v>-1.0045384870598216E-2</v>
      </c>
      <c r="G47" s="16" t="s">
        <v>43</v>
      </c>
      <c r="H47" t="s">
        <v>129</v>
      </c>
      <c r="I47" s="16"/>
      <c r="J47" s="36" t="s">
        <v>130</v>
      </c>
      <c r="K47" s="1">
        <f>G23*SIN(RADIANS(90-B22))</f>
        <v>1.2450973661720995E-2</v>
      </c>
      <c r="L47" t="s">
        <v>43</v>
      </c>
      <c r="N47" s="38" t="s">
        <v>126</v>
      </c>
      <c r="O47" s="1">
        <f>(1/2)*B2*B5^2*B7*G5</f>
        <v>1.1440958432793786E-2</v>
      </c>
      <c r="P47" t="s">
        <v>43</v>
      </c>
      <c r="Q47" s="16"/>
    </row>
    <row r="48" spans="1:20" ht="15">
      <c r="A48" s="38" t="s">
        <v>45</v>
      </c>
      <c r="B48">
        <f>B47*SIN(B30)</f>
        <v>-1.6376395490547256E-7</v>
      </c>
      <c r="C48" s="16" t="s">
        <v>43</v>
      </c>
      <c r="E48" s="36" t="s">
        <v>131</v>
      </c>
      <c r="F48" s="49">
        <f>'Variable AOA Flat plate'!$N$14</f>
        <v>6.3855215935992773E-3</v>
      </c>
      <c r="G48" s="16" t="s">
        <v>43</v>
      </c>
      <c r="I48" s="16"/>
      <c r="J48" s="36" t="s">
        <v>56</v>
      </c>
      <c r="K48">
        <f>K47*SIN(RADIANS(90-B30))</f>
        <v>1.2261815394613636E-2</v>
      </c>
      <c r="L48" t="s">
        <v>43</v>
      </c>
      <c r="N48" s="38" t="s">
        <v>130</v>
      </c>
      <c r="O48" s="1">
        <f>(1/2)*B9*B2*B5^2*G6</f>
        <v>3.6122999999999995E-2</v>
      </c>
      <c r="P48" t="s">
        <v>43</v>
      </c>
      <c r="Q48" s="16"/>
    </row>
    <row r="49" spans="1:17" ht="15">
      <c r="A49" s="38" t="s">
        <v>49</v>
      </c>
      <c r="B49">
        <f>B47*COS(B30)</f>
        <v>-2.5258150704023916E-7</v>
      </c>
      <c r="C49" s="16" t="s">
        <v>43</v>
      </c>
      <c r="E49" s="36"/>
      <c r="G49" s="16"/>
      <c r="I49" s="16"/>
      <c r="J49" s="36" t="s">
        <v>49</v>
      </c>
      <c r="K49">
        <f>K47*COS(RADIANS(90-B30))</f>
        <v>2.1620888865367983E-3</v>
      </c>
      <c r="L49" t="s">
        <v>43</v>
      </c>
      <c r="N49" s="38"/>
      <c r="Q49" s="16"/>
    </row>
    <row r="50" spans="1:17" ht="15">
      <c r="A50" s="38"/>
      <c r="C50" s="16"/>
      <c r="D50" t="s">
        <v>132</v>
      </c>
      <c r="E50" s="36" t="s">
        <v>133</v>
      </c>
      <c r="F50" s="1">
        <f>'Variable AOA Flat plate'!$M$3</f>
        <v>-3.6123000000000005E-6</v>
      </c>
      <c r="G50" s="16" t="s">
        <v>43</v>
      </c>
      <c r="I50" s="16"/>
      <c r="N50" s="38" t="s">
        <v>26</v>
      </c>
      <c r="O50">
        <f>(3*(B18^2*B17))+(4*(0.5*B16*B18^2))</f>
        <v>1E-8</v>
      </c>
      <c r="P50" t="s">
        <v>27</v>
      </c>
      <c r="Q50" s="16" t="s">
        <v>134</v>
      </c>
    </row>
    <row r="51" spans="1:17" ht="15">
      <c r="A51" s="38" t="s">
        <v>26</v>
      </c>
      <c r="B51">
        <f>B23*B24*B18*1/2</f>
        <v>2.9999999999999997E-8</v>
      </c>
      <c r="C51" s="16" t="s">
        <v>27</v>
      </c>
      <c r="E51" s="36" t="s">
        <v>135</v>
      </c>
      <c r="F51" s="1">
        <f>'Variable AOA Flat plate'!$N$3</f>
        <v>-4.5451518000000002E-3</v>
      </c>
      <c r="G51" s="16" t="s">
        <v>43</v>
      </c>
      <c r="I51" s="16"/>
      <c r="N51" s="38" t="s">
        <v>136</v>
      </c>
      <c r="O51">
        <f>O50*B4</f>
        <v>1.24E-5</v>
      </c>
      <c r="P51" t="s">
        <v>62</v>
      </c>
      <c r="Q51" s="16"/>
    </row>
    <row r="52" spans="1:17" ht="15">
      <c r="A52" s="38" t="s">
        <v>136</v>
      </c>
      <c r="B52">
        <f>B51*B3</f>
        <v>2.5499999999999997E-6</v>
      </c>
      <c r="C52" s="16" t="s">
        <v>62</v>
      </c>
      <c r="G52" s="16"/>
      <c r="I52" s="16"/>
      <c r="J52" t="s">
        <v>127</v>
      </c>
      <c r="K52" s="36" t="s">
        <v>128</v>
      </c>
      <c r="L52" s="1">
        <f>'Variable AOA Dihedral'!M14</f>
        <v>-1.0008734977455594E-2</v>
      </c>
      <c r="M52" t="s">
        <v>43</v>
      </c>
      <c r="N52" s="15" t="s">
        <v>137</v>
      </c>
      <c r="O52">
        <f>G29</f>
        <v>4.5415395000000004E-3</v>
      </c>
      <c r="P52" t="s">
        <v>43</v>
      </c>
      <c r="Q52" s="16"/>
    </row>
    <row r="53" spans="1:17" ht="15">
      <c r="A53" s="38" t="s">
        <v>137</v>
      </c>
      <c r="B53">
        <f>B52*9.81</f>
        <v>2.5015499999999998E-5</v>
      </c>
      <c r="C53" s="16" t="s">
        <v>43</v>
      </c>
      <c r="D53" t="s">
        <v>138</v>
      </c>
      <c r="G53" s="16"/>
      <c r="I53" s="16"/>
      <c r="K53" s="36" t="s">
        <v>131</v>
      </c>
      <c r="L53" s="49">
        <f>'Variable AOA Dihedral'!N14</f>
        <v>6.1969742386475193E-3</v>
      </c>
      <c r="M53" t="s">
        <v>43</v>
      </c>
      <c r="N53" s="15"/>
      <c r="Q53" s="16"/>
    </row>
    <row r="54" spans="1:17" ht="15">
      <c r="A54" s="38"/>
      <c r="C54" s="16"/>
      <c r="D54" t="s">
        <v>139</v>
      </c>
      <c r="G54" s="16"/>
      <c r="J54" s="15"/>
      <c r="K54" s="36"/>
      <c r="N54" s="15" t="s">
        <v>127</v>
      </c>
      <c r="O54" s="36" t="s">
        <v>128</v>
      </c>
      <c r="P54" s="1">
        <f>'Variable AOA Airfoil Frame'!M14</f>
        <v>-8.6526644735059645E-3</v>
      </c>
      <c r="Q54" s="16" t="s">
        <v>43</v>
      </c>
    </row>
    <row r="55" spans="1:17" ht="15">
      <c r="A55" s="38" t="s">
        <v>140</v>
      </c>
      <c r="C55" s="16"/>
      <c r="G55" s="16"/>
      <c r="I55" s="16"/>
      <c r="J55" t="s">
        <v>132</v>
      </c>
      <c r="K55" s="36" t="s">
        <v>133</v>
      </c>
      <c r="L55" s="1">
        <f>'Variable AOA Dihedral'!M3</f>
        <v>-3.6123000000000005E-6</v>
      </c>
      <c r="M55" t="s">
        <v>43</v>
      </c>
      <c r="N55" s="15"/>
      <c r="O55" s="36" t="s">
        <v>141</v>
      </c>
      <c r="P55" s="66">
        <f>'Variable AOA Airfoil Frame'!N13</f>
        <v>1.782068318845843E-2</v>
      </c>
      <c r="Q55" s="16" t="s">
        <v>43</v>
      </c>
    </row>
    <row r="56" spans="1:17" ht="15">
      <c r="A56" s="38" t="s">
        <v>142</v>
      </c>
      <c r="B56" s="1">
        <f>B48-B53</f>
        <v>-2.517926395490547E-5</v>
      </c>
      <c r="C56" s="16" t="s">
        <v>43</v>
      </c>
      <c r="G56" s="16"/>
      <c r="I56" s="16"/>
      <c r="K56" s="36" t="s">
        <v>135</v>
      </c>
      <c r="L56" s="1">
        <f>'Variable AOA Dihedral'!N3</f>
        <v>-4.5415395000000004E-3</v>
      </c>
      <c r="M56" t="s">
        <v>43</v>
      </c>
      <c r="N56" s="15"/>
      <c r="O56" s="36"/>
      <c r="Q56" s="16"/>
    </row>
    <row r="57" spans="1:17" ht="15">
      <c r="A57" s="38" t="s">
        <v>49</v>
      </c>
      <c r="B57" s="1">
        <f>B49</f>
        <v>-2.5258150704023916E-7</v>
      </c>
      <c r="C57" s="16" t="s">
        <v>43</v>
      </c>
      <c r="G57" s="16"/>
      <c r="I57" s="16"/>
      <c r="N57" s="15" t="s">
        <v>132</v>
      </c>
      <c r="O57" s="36" t="s">
        <v>133</v>
      </c>
      <c r="P57" s="1">
        <f>'Variable AOA Airfoil Frame'!M3</f>
        <v>-2.4082000000000005E-6</v>
      </c>
      <c r="Q57" s="16" t="s">
        <v>43</v>
      </c>
    </row>
    <row r="58" spans="1:17" ht="15">
      <c r="A58" s="23"/>
      <c r="B58" s="17"/>
      <c r="C58" s="21"/>
      <c r="D58" s="17"/>
      <c r="E58" s="17"/>
      <c r="F58" s="17"/>
      <c r="G58" s="21"/>
      <c r="H58" s="17"/>
      <c r="I58" s="21"/>
      <c r="J58" s="17"/>
      <c r="K58" s="17"/>
      <c r="L58" s="17"/>
      <c r="M58" s="17"/>
      <c r="N58" s="23"/>
      <c r="O58" s="47" t="s">
        <v>135</v>
      </c>
      <c r="P58" s="48">
        <f>'Variable AOA Airfoil Frame'!N3</f>
        <v>-4.5415395000000004E-3</v>
      </c>
      <c r="Q58" s="21" t="s">
        <v>43</v>
      </c>
    </row>
    <row r="59" spans="1:17" ht="15"/>
    <row r="60" spans="1:17" ht="15"/>
    <row r="61" spans="1:17" ht="15"/>
    <row r="62" spans="1:17" ht="15"/>
    <row r="63" spans="1:17" ht="15"/>
    <row r="64" spans="1:17" ht="15"/>
    <row r="65" spans="4:11" ht="15"/>
    <row r="66" spans="4:11" ht="15">
      <c r="D66" t="s">
        <v>143</v>
      </c>
      <c r="E66" t="s">
        <v>144</v>
      </c>
      <c r="J66" t="s">
        <v>145</v>
      </c>
    </row>
    <row r="67" spans="4:11" ht="15">
      <c r="E67" t="s">
        <v>146</v>
      </c>
      <c r="J67" t="s">
        <v>143</v>
      </c>
      <c r="K67" t="s">
        <v>147</v>
      </c>
    </row>
    <row r="68" spans="4:11" ht="15"/>
    <row r="69" spans="4:11" ht="15">
      <c r="D69" t="s">
        <v>148</v>
      </c>
      <c r="E69" t="s">
        <v>149</v>
      </c>
      <c r="J69" t="s">
        <v>148</v>
      </c>
      <c r="K69" t="s">
        <v>150</v>
      </c>
    </row>
    <row r="70" spans="4:11" ht="15">
      <c r="K70" t="s">
        <v>151</v>
      </c>
    </row>
    <row r="71" spans="4:11" ht="15"/>
    <row r="72" spans="4:11" ht="15">
      <c r="D72" t="s">
        <v>152</v>
      </c>
      <c r="F72" s="54" t="s">
        <v>153</v>
      </c>
    </row>
    <row r="73" spans="4:11" ht="15"/>
    <row r="74" spans="4:11" ht="15"/>
    <row r="75" spans="4:11" ht="15"/>
    <row r="76" spans="4:11" ht="15"/>
    <row r="77" spans="4:11" ht="15"/>
    <row r="78" spans="4:11" ht="15"/>
  </sheetData>
  <hyperlinks>
    <hyperlink ref="F72" r:id="rId1" xr:uid="{2D88722B-A280-4E3E-9607-3F320789DC6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EDFE-2BEC-4816-B775-49E5C9D7E10B}">
  <dimension ref="A1:X15"/>
  <sheetViews>
    <sheetView tabSelected="1" topLeftCell="A19" zoomScale="83" zoomScaleNormal="66" workbookViewId="0">
      <selection activeCell="P21" sqref="P21"/>
    </sheetView>
  </sheetViews>
  <sheetFormatPr defaultRowHeight="14.45"/>
  <cols>
    <col min="1" max="1" width="9" bestFit="1" customWidth="1"/>
    <col min="2" max="2" width="12.140625" customWidth="1"/>
    <col min="3" max="3" width="9" bestFit="1" customWidth="1"/>
    <col min="4" max="4" width="12" bestFit="1" customWidth="1"/>
    <col min="5" max="10" width="9" bestFit="1" customWidth="1"/>
    <col min="12" max="12" width="11.42578125" customWidth="1"/>
    <col min="13" max="13" width="11" customWidth="1"/>
    <col min="16" max="16" width="17.7109375" customWidth="1"/>
    <col min="17" max="17" width="9.42578125" customWidth="1"/>
    <col min="18" max="18" width="10.140625" customWidth="1"/>
    <col min="21" max="21" width="16.42578125" customWidth="1"/>
    <col min="22" max="22" width="9.42578125" customWidth="1"/>
    <col min="23" max="23" width="9.5703125" customWidth="1"/>
  </cols>
  <sheetData>
    <row r="1" spans="1:24" ht="15">
      <c r="A1" s="31" t="s">
        <v>154</v>
      </c>
      <c r="B1" s="31" t="s">
        <v>155</v>
      </c>
      <c r="C1" s="31" t="s">
        <v>156</v>
      </c>
      <c r="D1" s="32" t="s">
        <v>97</v>
      </c>
      <c r="E1" s="31" t="s">
        <v>157</v>
      </c>
      <c r="F1" s="31" t="s">
        <v>158</v>
      </c>
      <c r="G1" s="31" t="s">
        <v>159</v>
      </c>
      <c r="H1" s="33" t="s">
        <v>160</v>
      </c>
      <c r="I1" s="31" t="s">
        <v>161</v>
      </c>
      <c r="J1" s="31" t="s">
        <v>162</v>
      </c>
      <c r="K1" s="31" t="s">
        <v>163</v>
      </c>
      <c r="L1" s="31"/>
      <c r="M1" s="34" t="s">
        <v>164</v>
      </c>
      <c r="N1" s="35" t="s">
        <v>165</v>
      </c>
      <c r="P1" s="61" t="s">
        <v>166</v>
      </c>
      <c r="Q1" s="31" t="s">
        <v>160</v>
      </c>
      <c r="R1" s="53" t="s">
        <v>167</v>
      </c>
      <c r="S1" s="53" t="s">
        <v>168</v>
      </c>
      <c r="U1" s="62" t="s">
        <v>169</v>
      </c>
      <c r="V1" s="31" t="s">
        <v>160</v>
      </c>
      <c r="W1" s="53" t="s">
        <v>167</v>
      </c>
      <c r="X1" s="53" t="s">
        <v>108</v>
      </c>
    </row>
    <row r="2" spans="1:24" ht="15"/>
    <row r="3" spans="1:24" ht="15">
      <c r="A3">
        <v>0</v>
      </c>
      <c r="B3">
        <f>'MAIN PAGE'!$B$17*SIN(RADIANS(A3))+'MAIN PAGE'!$G$3</f>
        <v>1.6000000000000003E-5</v>
      </c>
      <c r="C3" s="50">
        <v>1.4999999999999999E-2</v>
      </c>
      <c r="D3">
        <f>(1/2)*'MAIN PAGE'!$B$2*'MAIN PAGE'!$B$5^2*B3*C3</f>
        <v>3.6123000000000005E-6</v>
      </c>
      <c r="E3">
        <f>D3</f>
        <v>3.6123000000000005E-6</v>
      </c>
      <c r="F3">
        <f>D3*COS(RADIANS(A3))</f>
        <v>3.6123000000000005E-6</v>
      </c>
      <c r="G3" s="50">
        <v>0</v>
      </c>
      <c r="H3">
        <f>(1/2)*'MAIN PAGE'!$B$2*'MAIN PAGE'!$B$5^2*'MAIN PAGE'!$G$6*G3</f>
        <v>0</v>
      </c>
      <c r="I3">
        <f>H3*SIN(RADIANS(90-A3))</f>
        <v>0</v>
      </c>
      <c r="J3">
        <f>H3*COS(RADIANS(90-A3))</f>
        <v>0</v>
      </c>
      <c r="K3" s="50">
        <f>'MAIN PAGE'!$G$29</f>
        <v>4.5415395000000004E-3</v>
      </c>
      <c r="M3">
        <f>-(F3+J3)</f>
        <v>-3.6123000000000005E-6</v>
      </c>
      <c r="N3">
        <f>I3-E3-K3</f>
        <v>-4.5451518000000002E-3</v>
      </c>
      <c r="Q3">
        <f>('MAIN PAGE'!$B$26+'MAIN PAGE'!$B$25)*$H$3</f>
        <v>0</v>
      </c>
      <c r="R3">
        <f>('MAIN PAGE'!$B$25)*$E$3</f>
        <v>8.1276750000000013E-8</v>
      </c>
      <c r="S3">
        <f>-$Q$3+$R$3</f>
        <v>8.1276750000000013E-8</v>
      </c>
      <c r="V3">
        <f>('MAIN PAGE'!$B$25+'MAIN PAGE'!$B$24+'MAIN PAGE'!$B$21)*$H3</f>
        <v>0</v>
      </c>
      <c r="W3">
        <f>('MAIN PAGE'!$B$25+'MAIN PAGE'!$B$20)*$E3</f>
        <v>5.1475275000000005E-7</v>
      </c>
      <c r="X3">
        <f>-$V3+$W3</f>
        <v>5.1475275000000005E-7</v>
      </c>
    </row>
    <row r="4" spans="1:24" ht="15">
      <c r="A4">
        <v>1</v>
      </c>
      <c r="B4">
        <f>'MAIN PAGE'!$B$17*SIN(RADIANS(A4))+'MAIN PAGE'!$G$3</f>
        <v>5.3957219311850534E-4</v>
      </c>
      <c r="C4" s="51">
        <v>1.6E-2</v>
      </c>
      <c r="D4">
        <f>(1/2)*'MAIN PAGE'!$B$2*'MAIN PAGE'!$B$5^2*B4*C4</f>
        <v>1.2993977554679844E-4</v>
      </c>
      <c r="E4">
        <f>D4*SIN(RADIANS(A4))</f>
        <v>2.26776177521212E-6</v>
      </c>
      <c r="F4">
        <f>D4*COS(RADIANS(A4))</f>
        <v>1.2991998508960523E-4</v>
      </c>
      <c r="G4" s="51">
        <v>0.1</v>
      </c>
      <c r="H4">
        <f>(1/2)*'MAIN PAGE'!$B$2*'MAIN PAGE'!$B$5^2*'MAIN PAGE'!$G$6*G4</f>
        <v>1.8061499999999999E-3</v>
      </c>
      <c r="I4">
        <f>H4*SIN(RADIANS(90-A4))</f>
        <v>1.8058749146067159E-3</v>
      </c>
      <c r="J4">
        <f>H4*COS(RADIANS(90-A4))</f>
        <v>3.152166388669977E-5</v>
      </c>
      <c r="K4" s="51">
        <f>'MAIN PAGE'!$G$29</f>
        <v>4.5415395000000004E-3</v>
      </c>
      <c r="M4">
        <f>-(F4+J4)</f>
        <v>-1.61441648976305E-4</v>
      </c>
      <c r="N4">
        <f>I4-E4-K4</f>
        <v>-2.7379323471684964E-3</v>
      </c>
      <c r="Q4">
        <f>('MAIN PAGE'!$B$26+'MAIN PAGE'!$B$25)*H4</f>
        <v>4.7862974999999997E-5</v>
      </c>
      <c r="R4">
        <f>('MAIN PAGE'!$B$25)*E4</f>
        <v>5.1024639942272699E-8</v>
      </c>
      <c r="S4">
        <f t="shared" ref="S4:S15" si="0">-Q4+R4</f>
        <v>-4.7811950360057726E-5</v>
      </c>
      <c r="V4">
        <f>('MAIN PAGE'!$B$25+'MAIN PAGE'!$B$24+'MAIN PAGE'!$B$21)*$H4</f>
        <v>1.7609962500000001E-4</v>
      </c>
      <c r="W4">
        <f>('MAIN PAGE'!$B$25+'MAIN PAGE'!$B$20)*$E4</f>
        <v>3.2315605296772706E-7</v>
      </c>
      <c r="X4">
        <f t="shared" ref="X4:X15" si="1">-$V4+$W4</f>
        <v>-1.7577646894703227E-4</v>
      </c>
    </row>
    <row r="5" spans="1:24" ht="15">
      <c r="A5">
        <v>2</v>
      </c>
      <c r="B5">
        <f>'MAIN PAGE'!$B$17*SIN(RADIANS(A5))+'MAIN PAGE'!$G$3</f>
        <v>1.0629849010750289E-3</v>
      </c>
      <c r="C5" s="51">
        <v>1.7000000000000001E-2</v>
      </c>
      <c r="D5">
        <f>(1/2)*'MAIN PAGE'!$B$2*'MAIN PAGE'!$B$5^2*B5*C5</f>
        <v>2.7198727536919398E-4</v>
      </c>
      <c r="E5">
        <f>D5*SIN(RADIANS(A5))</f>
        <v>9.4922190198694082E-6</v>
      </c>
      <c r="F5">
        <f>D5*COS(RADIANS(A5))</f>
        <v>2.7182158806988933E-4</v>
      </c>
      <c r="G5" s="51">
        <v>0.2</v>
      </c>
      <c r="H5">
        <f>(1/2)*'MAIN PAGE'!$B$2*'MAIN PAGE'!$B$5^2*'MAIN PAGE'!$G$6*G5</f>
        <v>3.6122999999999997E-3</v>
      </c>
      <c r="I5">
        <f>H5*SIN(RADIANS(90-A5))</f>
        <v>3.6100994844410791E-3</v>
      </c>
      <c r="J5">
        <f>H5*COS(RADIANS(90-A5))</f>
        <v>1.2606745193844465E-4</v>
      </c>
      <c r="K5" s="51">
        <f>'MAIN PAGE'!$G$29</f>
        <v>4.5415395000000004E-3</v>
      </c>
      <c r="M5">
        <f>-(F5+J5)</f>
        <v>-3.9788904000833401E-4</v>
      </c>
      <c r="N5">
        <f>I5-E5-K5</f>
        <v>-9.4093223457879065E-4</v>
      </c>
      <c r="Q5">
        <f>('MAIN PAGE'!$B$26+'MAIN PAGE'!$B$25)*H5</f>
        <v>9.5725949999999994E-5</v>
      </c>
      <c r="R5">
        <f>('MAIN PAGE'!$B$25)*E5</f>
        <v>2.1357492794706167E-7</v>
      </c>
      <c r="S5">
        <f t="shared" si="0"/>
        <v>-9.5512375072052928E-5</v>
      </c>
      <c r="V5">
        <f>('MAIN PAGE'!$B$25+'MAIN PAGE'!$B$24+'MAIN PAGE'!$B$21)*$H5</f>
        <v>3.5219925000000001E-4</v>
      </c>
      <c r="W5">
        <f>('MAIN PAGE'!$B$25+'MAIN PAGE'!$B$20)*$E5</f>
        <v>1.3526412103313906E-6</v>
      </c>
      <c r="X5">
        <f t="shared" si="1"/>
        <v>-3.5084660878966861E-4</v>
      </c>
    </row>
    <row r="6" spans="1:24" ht="15">
      <c r="A6">
        <v>3</v>
      </c>
      <c r="B6">
        <f>'MAIN PAGE'!$B$17*SIN(RADIANS(A6))+'MAIN PAGE'!$G$3</f>
        <v>1.5860786872883149E-3</v>
      </c>
      <c r="C6" s="51">
        <v>1.9E-2</v>
      </c>
      <c r="D6">
        <f>(1/2)*'MAIN PAGE'!$B$2*'MAIN PAGE'!$B$5^2*B6*C6</f>
        <v>4.5357686999891674E-4</v>
      </c>
      <c r="E6">
        <f>D6*SIN(RADIANS(A6))</f>
        <v>2.3738379221074731E-5</v>
      </c>
      <c r="F6">
        <f>D6*COS(RADIANS(A6))</f>
        <v>4.5295525866245403E-4</v>
      </c>
      <c r="G6" s="51">
        <v>0.3</v>
      </c>
      <c r="H6">
        <f>(1/2)*'MAIN PAGE'!$B$2*'MAIN PAGE'!$B$5^2*'MAIN PAGE'!$G$6*G6</f>
        <v>5.4184499999999991E-3</v>
      </c>
      <c r="I6">
        <f>H6*SIN(RADIANS(90-A6))</f>
        <v>5.4110242025909201E-3</v>
      </c>
      <c r="J6">
        <f>H6*COS(RADIANS(90-A6))</f>
        <v>2.835797621045797E-4</v>
      </c>
      <c r="K6" s="51">
        <f>'MAIN PAGE'!$G$29</f>
        <v>4.5415395000000004E-3</v>
      </c>
      <c r="M6">
        <f>-(F6+J6)</f>
        <v>-7.3653502076703368E-4</v>
      </c>
      <c r="N6">
        <f>I6-E6-K6</f>
        <v>8.4574632336984531E-4</v>
      </c>
      <c r="Q6">
        <f>('MAIN PAGE'!$B$26+'MAIN PAGE'!$B$25)*H6</f>
        <v>1.4358892499999998E-4</v>
      </c>
      <c r="R6">
        <f>('MAIN PAGE'!$B$25)*E6</f>
        <v>5.3411353247418139E-7</v>
      </c>
      <c r="S6">
        <f t="shared" si="0"/>
        <v>-1.4305481146752581E-4</v>
      </c>
      <c r="V6">
        <f>('MAIN PAGE'!$B$25+'MAIN PAGE'!$B$24+'MAIN PAGE'!$B$21)*$H6</f>
        <v>5.2829887499999994E-4</v>
      </c>
      <c r="W6">
        <f>('MAIN PAGE'!$B$25+'MAIN PAGE'!$B$20)*$E6</f>
        <v>3.3827190390031488E-6</v>
      </c>
      <c r="X6">
        <f t="shared" si="1"/>
        <v>-5.2491615596099678E-4</v>
      </c>
    </row>
    <row r="7" spans="1:24" ht="15">
      <c r="A7">
        <v>4</v>
      </c>
      <c r="B7">
        <f>'MAIN PAGE'!$B$17*SIN(RADIANS(A7))+'MAIN PAGE'!$G$3</f>
        <v>2.1086942123237588E-3</v>
      </c>
      <c r="C7" s="51">
        <v>2.1999999999999999E-2</v>
      </c>
      <c r="D7">
        <f>(1/2)*'MAIN PAGE'!$B$2*'MAIN PAGE'!$B$5^2*B7*C7</f>
        <v>6.982466427912353E-4</v>
      </c>
      <c r="E7">
        <f>D7*SIN(RADIANS(A7))</f>
        <v>4.8707223604790445E-5</v>
      </c>
      <c r="F7">
        <f>D7*COS(RADIANS(A7))</f>
        <v>6.9654574906314942E-4</v>
      </c>
      <c r="G7" s="51">
        <v>0.4</v>
      </c>
      <c r="H7">
        <f>(1/2)*'MAIN PAGE'!$B$2*'MAIN PAGE'!$B$5^2*'MAIN PAGE'!$G$6*G7</f>
        <v>7.2245999999999994E-3</v>
      </c>
      <c r="I7">
        <f>H7*SIN(RADIANS(90-A7))</f>
        <v>7.2070012375071253E-3</v>
      </c>
      <c r="J7">
        <f>H7*COS(RADIANS(90-A7))</f>
        <v>5.0396262021180709E-4</v>
      </c>
      <c r="K7" s="51">
        <f>'MAIN PAGE'!$G$29</f>
        <v>4.5415395000000004E-3</v>
      </c>
      <c r="M7">
        <f>-(F7+J7)</f>
        <v>-1.2005083692749564E-3</v>
      </c>
      <c r="N7">
        <f>I7-E7-K7</f>
        <v>2.6167545139023345E-3</v>
      </c>
      <c r="Q7">
        <f>('MAIN PAGE'!$B$26+'MAIN PAGE'!$B$25)*H7</f>
        <v>1.9145189999999999E-4</v>
      </c>
      <c r="R7">
        <f>('MAIN PAGE'!$B$25)*E7</f>
        <v>1.0959125311077849E-6</v>
      </c>
      <c r="S7">
        <f t="shared" si="0"/>
        <v>-1.9035598746889221E-4</v>
      </c>
      <c r="V7">
        <f>('MAIN PAGE'!$B$25+'MAIN PAGE'!$B$24+'MAIN PAGE'!$B$21)*$H7</f>
        <v>7.0439850000000002E-4</v>
      </c>
      <c r="W7">
        <f>('MAIN PAGE'!$B$25+'MAIN PAGE'!$B$20)*$E7</f>
        <v>6.9407793636826377E-6</v>
      </c>
      <c r="X7">
        <f t="shared" si="1"/>
        <v>-6.974577206363174E-4</v>
      </c>
    </row>
    <row r="8" spans="1:24" ht="15">
      <c r="A8">
        <v>5</v>
      </c>
      <c r="B8">
        <f>'MAIN PAGE'!$B$17*SIN(RADIANS(A8))+'MAIN PAGE'!$G$3</f>
        <v>2.6306722824297447E-3</v>
      </c>
      <c r="C8" s="51">
        <v>0.03</v>
      </c>
      <c r="D8">
        <f>(1/2)*'MAIN PAGE'!$B$2*'MAIN PAGE'!$B$5^2*B8*C8</f>
        <v>1.1878471857276209E-3</v>
      </c>
      <c r="E8">
        <f>D8*SIN(RADIANS(A8))</f>
        <v>1.0352770374280626E-4</v>
      </c>
      <c r="F8">
        <f>D8*COS(RADIANS(A8))</f>
        <v>1.1833270685650569E-3</v>
      </c>
      <c r="G8" s="51">
        <v>0.5</v>
      </c>
      <c r="H8">
        <f>(1/2)*'MAIN PAGE'!$B$2*'MAIN PAGE'!$B$5^2*'MAIN PAGE'!$G$6*G8</f>
        <v>9.0307499999999988E-3</v>
      </c>
      <c r="I8">
        <f>H8*SIN(RADIANS(90-A8))</f>
        <v>8.9963852697920298E-3</v>
      </c>
      <c r="J8">
        <f>H8*COS(RADIANS(90-A8))</f>
        <v>7.8708172381841365E-4</v>
      </c>
      <c r="K8" s="51">
        <f>'MAIN PAGE'!$G$29</f>
        <v>4.5415395000000004E-3</v>
      </c>
      <c r="M8">
        <f>-(F8+J8)</f>
        <v>-1.9704087923834704E-3</v>
      </c>
      <c r="N8">
        <f>I8-E8-K8</f>
        <v>4.3513180660492232E-3</v>
      </c>
      <c r="Q8">
        <f>('MAIN PAGE'!$B$26+'MAIN PAGE'!$B$25)*H8</f>
        <v>2.3931487499999997E-4</v>
      </c>
      <c r="R8">
        <f>('MAIN PAGE'!$B$25)*E8</f>
        <v>2.3293733342131407E-6</v>
      </c>
      <c r="S8">
        <f t="shared" si="0"/>
        <v>-2.3698550166578681E-4</v>
      </c>
      <c r="V8">
        <f>('MAIN PAGE'!$B$25+'MAIN PAGE'!$B$24+'MAIN PAGE'!$B$21)*$H8</f>
        <v>8.8049812499999989E-4</v>
      </c>
      <c r="W8">
        <f>('MAIN PAGE'!$B$25+'MAIN PAGE'!$B$20)*$E8</f>
        <v>1.475269778334989E-5</v>
      </c>
      <c r="X8">
        <f t="shared" si="1"/>
        <v>-8.6574542721664998E-4</v>
      </c>
    </row>
    <row r="9" spans="1:24" ht="15">
      <c r="A9">
        <v>6</v>
      </c>
      <c r="B9">
        <f>'MAIN PAGE'!$B$17*SIN(RADIANS(A9))+'MAIN PAGE'!$G$3</f>
        <v>3.1518538980296038E-3</v>
      </c>
      <c r="C9" s="51">
        <v>0.04</v>
      </c>
      <c r="D9">
        <f>(1/2)*'MAIN PAGE'!$B$2*'MAIN PAGE'!$B$5^2*B9*C9</f>
        <v>1.8975736393087228E-3</v>
      </c>
      <c r="E9">
        <f>D9*SIN(RADIANS(A9))</f>
        <v>1.9835045645414935E-4</v>
      </c>
      <c r="F9">
        <f>D9*COS(RADIANS(A9))</f>
        <v>1.8871785323661832E-3</v>
      </c>
      <c r="G9" s="51">
        <v>0.54</v>
      </c>
      <c r="H9">
        <f>(1/2)*'MAIN PAGE'!$B$2*'MAIN PAGE'!$B$5^2*'MAIN PAGE'!$G$6*G9</f>
        <v>9.75321E-3</v>
      </c>
      <c r="I9">
        <f>H9*SIN(RADIANS(90-A9))</f>
        <v>9.6997808951247971E-3</v>
      </c>
      <c r="J9">
        <f>H9*COS(RADIANS(90-A9))</f>
        <v>1.0194880532267104E-3</v>
      </c>
      <c r="K9" s="51">
        <f>'MAIN PAGE'!$G$29</f>
        <v>4.5415395000000004E-3</v>
      </c>
      <c r="M9">
        <f>-(F9+J9)</f>
        <v>-2.9066665855928936E-3</v>
      </c>
      <c r="N9">
        <f>I9-E9-K9</f>
        <v>4.9598909386706479E-3</v>
      </c>
      <c r="Q9">
        <f>('MAIN PAGE'!$B$26+'MAIN PAGE'!$B$25)*H9</f>
        <v>2.5846006499999997E-4</v>
      </c>
      <c r="R9">
        <f>('MAIN PAGE'!$B$25)*E9</f>
        <v>4.4628852702183602E-6</v>
      </c>
      <c r="S9">
        <f t="shared" si="0"/>
        <v>-2.5399717972978162E-4</v>
      </c>
      <c r="V9">
        <f>('MAIN PAGE'!$B$25+'MAIN PAGE'!$B$24+'MAIN PAGE'!$B$21)*$H9</f>
        <v>9.5093797500000001E-4</v>
      </c>
      <c r="W9">
        <f>('MAIN PAGE'!$B$25+'MAIN PAGE'!$B$20)*$E9</f>
        <v>2.8264940044716279E-5</v>
      </c>
      <c r="X9">
        <f t="shared" si="1"/>
        <v>-9.2267303495528372E-4</v>
      </c>
    </row>
    <row r="10" spans="1:24" ht="15">
      <c r="A10">
        <v>7</v>
      </c>
      <c r="B10">
        <f>'MAIN PAGE'!$B$17*SIN(RADIANS(A10))+'MAIN PAGE'!$G$3</f>
        <v>3.6720803021544242E-3</v>
      </c>
      <c r="C10" s="51">
        <v>0.05</v>
      </c>
      <c r="D10">
        <f>(1/2)*'MAIN PAGE'!$B$2*'MAIN PAGE'!$B$5^2*B10*C10</f>
        <v>2.7634699323900889E-3</v>
      </c>
      <c r="E10">
        <f>D10*SIN(RADIANS(A10))</f>
        <v>3.3678226618024743E-4</v>
      </c>
      <c r="F10">
        <f>D10*COS(RADIANS(A10))</f>
        <v>2.7428714465702869E-3</v>
      </c>
      <c r="G10" s="51">
        <v>0.57999999999999996</v>
      </c>
      <c r="H10">
        <f>(1/2)*'MAIN PAGE'!$B$2*'MAIN PAGE'!$B$5^2*'MAIN PAGE'!$G$6*G10</f>
        <v>1.0475669999999998E-2</v>
      </c>
      <c r="I10">
        <f>H10*SIN(RADIANS(90-A10))</f>
        <v>1.0397585944364445E-2</v>
      </c>
      <c r="J10">
        <f>H10*COS(RADIANS(90-A10))</f>
        <v>1.276663024629001E-3</v>
      </c>
      <c r="K10" s="51">
        <f>'MAIN PAGE'!$G$29</f>
        <v>4.5415395000000004E-3</v>
      </c>
      <c r="M10">
        <f>-(F10+J10)</f>
        <v>-4.0195344711992879E-3</v>
      </c>
      <c r="N10">
        <f>I10-E10-K10</f>
        <v>5.5192641781841977E-3</v>
      </c>
      <c r="Q10">
        <f>('MAIN PAGE'!$B$26+'MAIN PAGE'!$B$25)*H10</f>
        <v>2.7760525499999995E-4</v>
      </c>
      <c r="R10">
        <f>('MAIN PAGE'!$B$25)*E10</f>
        <v>7.5776009890555672E-6</v>
      </c>
      <c r="S10">
        <f t="shared" si="0"/>
        <v>-2.7002765401094441E-4</v>
      </c>
      <c r="V10">
        <f>('MAIN PAGE'!$B$25+'MAIN PAGE'!$B$24+'MAIN PAGE'!$B$21)*$H10</f>
        <v>1.0213778249999999E-3</v>
      </c>
      <c r="W10">
        <f>('MAIN PAGE'!$B$25+'MAIN PAGE'!$B$20)*$E10</f>
        <v>4.7991472930685257E-5</v>
      </c>
      <c r="X10">
        <f t="shared" si="1"/>
        <v>-9.733863520693147E-4</v>
      </c>
    </row>
    <row r="11" spans="1:24" ht="15">
      <c r="A11">
        <v>8</v>
      </c>
      <c r="B11">
        <f>'MAIN PAGE'!$B$17*SIN(RADIANS(A11))+'MAIN PAGE'!$G$3</f>
        <v>4.1911930288019636E-3</v>
      </c>
      <c r="C11" s="51">
        <v>0.06</v>
      </c>
      <c r="D11">
        <f>(1/2)*'MAIN PAGE'!$B$2*'MAIN PAGE'!$B$5^2*B11*C11</f>
        <v>3.7849616444853335E-3</v>
      </c>
      <c r="E11">
        <f>D11*SIN(RADIANS(A11))</f>
        <v>5.2676484907793262E-4</v>
      </c>
      <c r="F11">
        <f>D11*COS(RADIANS(A11))</f>
        <v>3.7481266579454096E-3</v>
      </c>
      <c r="G11" s="51">
        <v>0.62</v>
      </c>
      <c r="H11">
        <f>(1/2)*'MAIN PAGE'!$B$2*'MAIN PAGE'!$B$5^2*'MAIN PAGE'!$G$6*G11</f>
        <v>1.1198129999999999E-2</v>
      </c>
      <c r="I11">
        <f>H11*SIN(RADIANS(90-A11))</f>
        <v>1.108915056861704E-2</v>
      </c>
      <c r="J11">
        <f>H11*COS(RADIANS(90-A11))</f>
        <v>1.5584784770539377E-3</v>
      </c>
      <c r="K11" s="51">
        <f>'MAIN PAGE'!$G$29</f>
        <v>4.5415395000000004E-3</v>
      </c>
      <c r="M11">
        <f>-(F11+J11)</f>
        <v>-5.3066051349993475E-3</v>
      </c>
      <c r="N11">
        <f>I11-E11-K11</f>
        <v>6.0208462195391072E-3</v>
      </c>
      <c r="Q11">
        <f>('MAIN PAGE'!$B$26+'MAIN PAGE'!$B$25)*H11</f>
        <v>2.9675044499999999E-4</v>
      </c>
      <c r="R11">
        <f>('MAIN PAGE'!$B$25)*E11</f>
        <v>1.1852209104253484E-5</v>
      </c>
      <c r="S11">
        <f t="shared" si="0"/>
        <v>-2.8489823589574652E-4</v>
      </c>
      <c r="V11">
        <f>('MAIN PAGE'!$B$25+'MAIN PAGE'!$B$24+'MAIN PAGE'!$B$21)*$H11</f>
        <v>1.0918176749999998E-3</v>
      </c>
      <c r="W11">
        <f>('MAIN PAGE'!$B$25+'MAIN PAGE'!$B$20)*$E11</f>
        <v>7.5063990993605396E-5</v>
      </c>
      <c r="X11">
        <f t="shared" si="1"/>
        <v>-1.0167536840063945E-3</v>
      </c>
    </row>
    <row r="12" spans="1:24" ht="15">
      <c r="A12">
        <v>9</v>
      </c>
      <c r="B12">
        <f>'MAIN PAGE'!$B$17*SIN(RADIANS(A12))+'MAIN PAGE'!$G$3</f>
        <v>4.7090339512069262E-3</v>
      </c>
      <c r="C12" s="51">
        <v>7.0000000000000007E-2</v>
      </c>
      <c r="D12">
        <f>(1/2)*'MAIN PAGE'!$B$2*'MAIN PAGE'!$B$5^2*B12*C12</f>
        <v>4.9613793080672272E-3</v>
      </c>
      <c r="E12">
        <f>D12*SIN(RADIANS(A12))</f>
        <v>7.7613071791916746E-4</v>
      </c>
      <c r="F12">
        <f>D12*COS(RADIANS(A12))</f>
        <v>4.9002964958479722E-3</v>
      </c>
      <c r="G12" s="51">
        <v>0.66</v>
      </c>
      <c r="H12">
        <f>(1/2)*'MAIN PAGE'!$B$2*'MAIN PAGE'!$B$5^2*'MAIN PAGE'!$G$6*G12</f>
        <v>1.1920589999999998E-2</v>
      </c>
      <c r="I12">
        <f>H12*SIN(RADIANS(90-A12))</f>
        <v>1.1773827756014991E-2</v>
      </c>
      <c r="J12">
        <f>H12*COS(RADIANS(90-A12))</f>
        <v>1.8647911196139262E-3</v>
      </c>
      <c r="K12" s="51">
        <f>'MAIN PAGE'!$G$29</f>
        <v>4.5415395000000004E-3</v>
      </c>
      <c r="M12">
        <f>-(F12+J12)</f>
        <v>-6.7650876154618979E-3</v>
      </c>
      <c r="N12">
        <f>I12-E12-K12</f>
        <v>6.4561575380958237E-3</v>
      </c>
      <c r="Q12">
        <f>('MAIN PAGE'!$B$26+'MAIN PAGE'!$B$25)*H12</f>
        <v>3.1589563499999997E-4</v>
      </c>
      <c r="R12">
        <f>('MAIN PAGE'!$B$25)*E12</f>
        <v>1.7462941153181267E-5</v>
      </c>
      <c r="S12">
        <f t="shared" si="0"/>
        <v>-2.9843269384681871E-4</v>
      </c>
      <c r="V12">
        <f>('MAIN PAGE'!$B$25+'MAIN PAGE'!$B$24+'MAIN PAGE'!$B$21)*$H12</f>
        <v>1.1622575249999999E-3</v>
      </c>
      <c r="W12">
        <f>('MAIN PAGE'!$B$25+'MAIN PAGE'!$B$20)*$E12</f>
        <v>1.1059862730348135E-4</v>
      </c>
      <c r="X12">
        <f t="shared" si="1"/>
        <v>-1.0516588976965187E-3</v>
      </c>
    </row>
    <row r="13" spans="1:24" ht="15">
      <c r="A13">
        <v>10</v>
      </c>
      <c r="B13">
        <f>'MAIN PAGE'!$B$17*SIN(RADIANS(A13))+'MAIN PAGE'!$G$3</f>
        <v>5.2254453300079103E-3</v>
      </c>
      <c r="C13" s="51">
        <v>0.08</v>
      </c>
      <c r="D13">
        <f>(1/2)*'MAIN PAGE'!$B$2*'MAIN PAGE'!$B$5^2*B13*C13</f>
        <v>6.2919587218625249E-3</v>
      </c>
      <c r="E13">
        <f>D13*SIN(RADIANS(A13))</f>
        <v>1.0925871660069756E-3</v>
      </c>
      <c r="F13">
        <f>D13*COS(RADIANS(A13))</f>
        <v>6.1963697309229977E-3</v>
      </c>
      <c r="G13" s="51">
        <v>0.68</v>
      </c>
      <c r="H13">
        <f>(1/2)*'MAIN PAGE'!$B$2*'MAIN PAGE'!$B$5^2*'MAIN PAGE'!$G$6*G13</f>
        <v>1.2281819999999999E-2</v>
      </c>
      <c r="I13">
        <f>H13*SIN(RADIANS(90-A13))</f>
        <v>1.2095231557100395E-2</v>
      </c>
      <c r="J13">
        <f>H13*COS(RADIANS(90-A13))</f>
        <v>2.1327156614332592E-3</v>
      </c>
      <c r="K13" s="51">
        <f>'MAIN PAGE'!$G$29</f>
        <v>4.5415395000000004E-3</v>
      </c>
      <c r="M13">
        <f>-(F13+J13)</f>
        <v>-8.3290853923562568E-3</v>
      </c>
      <c r="N13">
        <f>I13-E13-K13</f>
        <v>6.4611048910934183E-3</v>
      </c>
      <c r="Q13">
        <f>('MAIN PAGE'!$B$26+'MAIN PAGE'!$B$25)*H13</f>
        <v>3.2546822999999998E-4</v>
      </c>
      <c r="R13">
        <f>('MAIN PAGE'!$B$25)*E13</f>
        <v>2.4583211235156952E-5</v>
      </c>
      <c r="S13">
        <f t="shared" si="0"/>
        <v>-3.0088501876484301E-4</v>
      </c>
      <c r="V13">
        <f>('MAIN PAGE'!$B$25+'MAIN PAGE'!$B$24+'MAIN PAGE'!$B$21)*$H13</f>
        <v>1.1974774499999999E-3</v>
      </c>
      <c r="W13">
        <f>('MAIN PAGE'!$B$25+'MAIN PAGE'!$B$20)*$E13</f>
        <v>1.5569367115599402E-4</v>
      </c>
      <c r="X13">
        <f t="shared" si="1"/>
        <v>-1.0417837788440059E-3</v>
      </c>
    </row>
    <row r="14" spans="1:24" ht="15">
      <c r="A14">
        <v>11</v>
      </c>
      <c r="B14">
        <f>'MAIN PAGE'!$B$17*SIN(RADIANS(A14))+'MAIN PAGE'!$G$3</f>
        <v>5.7402698612963442E-3</v>
      </c>
      <c r="C14" s="51">
        <v>0.09</v>
      </c>
      <c r="D14">
        <f>(1/2)*'MAIN PAGE'!$B$2*'MAIN PAGE'!$B$5^2*B14*C14</f>
        <v>7.7758413074852937E-3</v>
      </c>
      <c r="E14">
        <f>D14*SIN(RADIANS(A14))</f>
        <v>1.4837004680887075E-3</v>
      </c>
      <c r="F14">
        <f>D14*COS(RADIANS(A14))</f>
        <v>7.63297720160279E-3</v>
      </c>
      <c r="G14" s="51">
        <v>0.7</v>
      </c>
      <c r="H14">
        <f>(1/2)*'MAIN PAGE'!$B$2*'MAIN PAGE'!$B$5^2*'MAIN PAGE'!$G$6*G14</f>
        <v>1.2643049999999998E-2</v>
      </c>
      <c r="I14">
        <f>H14*SIN(RADIANS(90-A14))</f>
        <v>1.2410761561687985E-2</v>
      </c>
      <c r="J14">
        <f>H14*COS(RADIANS(90-A14))</f>
        <v>2.4124076689954256E-3</v>
      </c>
      <c r="K14" s="51">
        <f>'MAIN PAGE'!$G$29</f>
        <v>4.5415395000000004E-3</v>
      </c>
      <c r="M14">
        <f>-(F14+J14)</f>
        <v>-1.0045384870598216E-2</v>
      </c>
      <c r="N14">
        <f>I14-E14-K14</f>
        <v>6.3855215935992773E-3</v>
      </c>
      <c r="Q14">
        <f>('MAIN PAGE'!$B$26+'MAIN PAGE'!$B$25)*H14</f>
        <v>3.3504082499999995E-4</v>
      </c>
      <c r="R14">
        <f>('MAIN PAGE'!$B$25)*E14</f>
        <v>3.3383260531995915E-5</v>
      </c>
      <c r="S14">
        <f t="shared" si="0"/>
        <v>-3.0165756446800401E-4</v>
      </c>
      <c r="V14">
        <f>('MAIN PAGE'!$B$25+'MAIN PAGE'!$B$24+'MAIN PAGE'!$B$21)*$H14</f>
        <v>1.2326973749999998E-3</v>
      </c>
      <c r="W14">
        <f>('MAIN PAGE'!$B$25+'MAIN PAGE'!$B$20)*$E14</f>
        <v>2.1142731670264079E-4</v>
      </c>
      <c r="X14">
        <f t="shared" si="1"/>
        <v>-1.021270058297359E-3</v>
      </c>
    </row>
    <row r="15" spans="1:24" ht="15">
      <c r="A15">
        <v>12</v>
      </c>
      <c r="B15">
        <f>'MAIN PAGE'!$B$17*SIN(RADIANS(A15))+'MAIN PAGE'!$G$3</f>
        <v>6.2533507245327805E-3</v>
      </c>
      <c r="C15" s="52">
        <v>0.1</v>
      </c>
      <c r="D15">
        <f>(1/2)*'MAIN PAGE'!$B$2*'MAIN PAGE'!$B$5^2*B15*C15</f>
        <v>9.4120745092624025E-3</v>
      </c>
      <c r="E15">
        <f>D15*SIN(RADIANS(A15))</f>
        <v>1.9568803253234785E-3</v>
      </c>
      <c r="F15">
        <f>D15*COS(RADIANS(A15))</f>
        <v>9.20639809916283E-3</v>
      </c>
      <c r="G15" s="52">
        <v>0.68</v>
      </c>
      <c r="H15">
        <f>(1/2)*'MAIN PAGE'!$B$2*'MAIN PAGE'!$B$5^2*'MAIN PAGE'!$G$6*G15</f>
        <v>1.2281819999999999E-2</v>
      </c>
      <c r="I15">
        <f>H15*SIN(RADIANS(90-A15))</f>
        <v>1.2013432765644467E-2</v>
      </c>
      <c r="J15">
        <f>H15*COS(RADIANS(90-A15))</f>
        <v>2.5535339625193743E-3</v>
      </c>
      <c r="K15" s="52">
        <f>'MAIN PAGE'!$G$29</f>
        <v>4.5415395000000004E-3</v>
      </c>
      <c r="M15">
        <f>-(F15+J15)</f>
        <v>-1.1759932061682205E-2</v>
      </c>
      <c r="N15">
        <f>I15-E15-K15</f>
        <v>5.5150129403209874E-3</v>
      </c>
      <c r="Q15">
        <f>('MAIN PAGE'!$B$26+'MAIN PAGE'!$B$25)*H15</f>
        <v>3.2546822999999998E-4</v>
      </c>
      <c r="R15">
        <f>('MAIN PAGE'!$B$25)*E15</f>
        <v>4.4029807319778264E-5</v>
      </c>
      <c r="S15">
        <f t="shared" si="0"/>
        <v>-2.8143842268022173E-4</v>
      </c>
      <c r="V15">
        <f>('MAIN PAGE'!$B$25+'MAIN PAGE'!$B$24+'MAIN PAGE'!$B$21)*$H15</f>
        <v>1.1974774499999999E-3</v>
      </c>
      <c r="W15">
        <f>('MAIN PAGE'!$B$25+'MAIN PAGE'!$B$20)*$E15</f>
        <v>2.7885544635859565E-4</v>
      </c>
      <c r="X15">
        <f t="shared" si="1"/>
        <v>-9.1862200364140425E-4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0634-CD90-4EAF-8FC1-1901C759D408}">
  <dimension ref="A1:M23"/>
  <sheetViews>
    <sheetView topLeftCell="A22" workbookViewId="0">
      <selection activeCell="H5" sqref="H5"/>
    </sheetView>
  </sheetViews>
  <sheetFormatPr defaultRowHeight="14.45"/>
  <cols>
    <col min="1" max="1" width="12.5703125" customWidth="1"/>
    <col min="2" max="2" width="11.28515625" customWidth="1"/>
    <col min="3" max="3" width="11" customWidth="1"/>
    <col min="4" max="5" width="14.5703125" customWidth="1"/>
    <col min="6" max="6" width="9.5703125" customWidth="1"/>
    <col min="8" max="8" width="14.85546875" customWidth="1"/>
    <col min="9" max="9" width="14.28515625" customWidth="1"/>
    <col min="10" max="10" width="11.28515625" customWidth="1"/>
  </cols>
  <sheetData>
    <row r="1" spans="1:13" ht="15">
      <c r="A1" s="3" t="s">
        <v>170</v>
      </c>
      <c r="B1" s="57" t="s">
        <v>171</v>
      </c>
      <c r="C1" s="57" t="s">
        <v>19</v>
      </c>
      <c r="D1" s="58" t="s">
        <v>172</v>
      </c>
      <c r="E1" s="58" t="s">
        <v>173</v>
      </c>
      <c r="F1" s="59" t="s">
        <v>174</v>
      </c>
      <c r="G1" t="s">
        <v>175</v>
      </c>
      <c r="I1" s="14" t="s">
        <v>176</v>
      </c>
      <c r="J1" s="4"/>
      <c r="K1" s="5" t="s">
        <v>177</v>
      </c>
    </row>
    <row r="2" spans="1:13" ht="15">
      <c r="A2" s="7" t="s">
        <v>178</v>
      </c>
      <c r="B2" t="s">
        <v>35</v>
      </c>
      <c r="C2" t="s">
        <v>20</v>
      </c>
      <c r="D2" t="s">
        <v>95</v>
      </c>
      <c r="E2" t="s">
        <v>101</v>
      </c>
      <c r="F2" s="6" t="s">
        <v>85</v>
      </c>
      <c r="I2" s="7" t="s">
        <v>179</v>
      </c>
      <c r="K2" s="6"/>
    </row>
    <row r="3" spans="1:13" ht="15">
      <c r="A3" s="7">
        <v>0</v>
      </c>
      <c r="B3">
        <f>'MAIN PAGE'!$B$13*COS(2*PI()*'MAIN PAGE'!$B$12*A3)</f>
        <v>0.04</v>
      </c>
      <c r="C3">
        <f>-'MAIN PAGE'!$B$13*(2*PI()*'MAIN PAGE'!$B$12)*SIN(2*PI()*'MAIN PAGE'!$B$12*'Wing Flap (rigid body)'!A3)</f>
        <v>0</v>
      </c>
      <c r="D3">
        <f>-'MAIN PAGE'!$B$13*((2*PI()*'MAIN PAGE'!$B$12)^2)*COS(2*PI()*'MAIN PAGE'!$B$12*'Wing Flap (rigid body)'!A3)</f>
        <v>-157.91367041742973</v>
      </c>
      <c r="E3">
        <f>D3/$J$5</f>
        <v>-1579.1367041742972</v>
      </c>
      <c r="F3" s="6">
        <f>E3*$J$13</f>
        <v>-1.3455560666818493E-2</v>
      </c>
      <c r="G3">
        <f>F3*2</f>
        <v>-2.6911121333636986E-2</v>
      </c>
      <c r="I3" s="7"/>
      <c r="K3" s="6"/>
    </row>
    <row r="4" spans="1:13" ht="15">
      <c r="A4" s="7">
        <v>0.01</v>
      </c>
      <c r="B4">
        <f>'MAIN PAGE'!$B$13*COS(2*PI()*'MAIN PAGE'!$B$12*A4)</f>
        <v>3.2360679774997896E-2</v>
      </c>
      <c r="C4">
        <f>-'MAIN PAGE'!$B$13*(2*PI()*'MAIN PAGE'!$B$12)*SIN(2*PI()*'MAIN PAGE'!$B$12*'Wing Flap (rigid body)'!A4)</f>
        <v>-1.4772654643923653</v>
      </c>
      <c r="D4">
        <f>-'MAIN PAGE'!$B$13*(2*PI()*'MAIN PAGE'!$B$12)^2*COS(2*PI()*'MAIN PAGE'!$B$12*'Wing Flap (rigid body)'!A4)</f>
        <v>-127.75484301182505</v>
      </c>
      <c r="E4">
        <f>D4/$J$5</f>
        <v>-1277.5484301182503</v>
      </c>
      <c r="F4" s="6">
        <f>E4*$J$13</f>
        <v>-1.0885777248299259E-2</v>
      </c>
      <c r="G4">
        <f t="shared" ref="G4:G22" si="0">F4*2</f>
        <v>-2.1771554496598518E-2</v>
      </c>
      <c r="I4" s="7" t="s">
        <v>180</v>
      </c>
      <c r="J4" s="29">
        <v>0.03</v>
      </c>
      <c r="K4" s="6" t="s">
        <v>35</v>
      </c>
      <c r="L4">
        <f>J4*39.37</f>
        <v>1.1810999999999998</v>
      </c>
      <c r="M4" t="s">
        <v>39</v>
      </c>
    </row>
    <row r="5" spans="1:13" ht="15">
      <c r="A5" s="7">
        <f>A4+0.005</f>
        <v>1.4999999999999999E-2</v>
      </c>
      <c r="B5">
        <f>'MAIN PAGE'!$B$13*COS(2*PI()*'MAIN PAGE'!$B$12*A5)</f>
        <v>2.3511410091698926E-2</v>
      </c>
      <c r="C5">
        <f>-'MAIN PAGE'!$B$13*(2*PI()*'MAIN PAGE'!$B$12)*SIN(2*PI()*'MAIN PAGE'!$B$12*'Wing Flap (rigid body)'!A5)</f>
        <v>-2.0332814769261041</v>
      </c>
      <c r="D5">
        <f>-'MAIN PAGE'!$B$13*(2*PI()*'MAIN PAGE'!$B$12)^2*COS(2*PI()*'MAIN PAGE'!$B$12*'Wing Flap (rigid body)'!A5)</f>
        <v>-92.819326606739381</v>
      </c>
      <c r="E5">
        <f>D5/$J$5</f>
        <v>-928.19326606739378</v>
      </c>
      <c r="F5" s="6">
        <f>E5*$J$13</f>
        <v>-7.9089801212825859E-3</v>
      </c>
      <c r="G5">
        <f t="shared" si="0"/>
        <v>-1.5817960242565172E-2</v>
      </c>
      <c r="I5" s="7" t="s">
        <v>181</v>
      </c>
      <c r="J5" s="29">
        <v>0.1</v>
      </c>
      <c r="K5" s="6" t="s">
        <v>35</v>
      </c>
      <c r="L5">
        <f>J5*39.37</f>
        <v>3.9369999999999998</v>
      </c>
      <c r="M5" t="s">
        <v>39</v>
      </c>
    </row>
    <row r="6" spans="1:13" ht="15">
      <c r="A6" s="7">
        <f t="shared" ref="A6:A22" si="1">A5+0.005</f>
        <v>0.02</v>
      </c>
      <c r="B6">
        <f>'MAIN PAGE'!$B$13*COS(2*PI()*'MAIN PAGE'!$B$12*A6)</f>
        <v>1.2360679774997899E-2</v>
      </c>
      <c r="C6">
        <f>-'MAIN PAGE'!$B$13*(2*PI()*'MAIN PAGE'!$B$12)*SIN(2*PI()*'MAIN PAGE'!$B$12*'Wing Flap (rigid body)'!A6)</f>
        <v>-2.3902657317932445</v>
      </c>
      <c r="D6">
        <f>-'MAIN PAGE'!$B$13*(2*PI()*'MAIN PAGE'!$B$12)^2*COS(2*PI()*'MAIN PAGE'!$B$12*'Wing Flap (rigid body)'!A6)</f>
        <v>-48.798007803110188</v>
      </c>
      <c r="E6">
        <f>D6/$J$5</f>
        <v>-487.98007803110187</v>
      </c>
      <c r="F6" s="6">
        <f>E6*$J$13</f>
        <v>-4.1579969148900142E-3</v>
      </c>
      <c r="G6">
        <f t="shared" si="0"/>
        <v>-8.3159938297800284E-3</v>
      </c>
      <c r="I6" s="7" t="s">
        <v>182</v>
      </c>
      <c r="J6">
        <f>J5*J4</f>
        <v>3.0000000000000001E-3</v>
      </c>
      <c r="K6" s="6" t="s">
        <v>35</v>
      </c>
    </row>
    <row r="7" spans="1:13" ht="15">
      <c r="A7" s="7">
        <f t="shared" si="1"/>
        <v>2.5000000000000001E-2</v>
      </c>
      <c r="B7">
        <f>'MAIN PAGE'!$B$13*COS(2*PI()*'MAIN PAGE'!$B$12*A7)</f>
        <v>2.4502969098172402E-18</v>
      </c>
      <c r="C7">
        <f>-'MAIN PAGE'!$B$13*(2*PI()*'MAIN PAGE'!$B$12)*SIN(2*PI()*'MAIN PAGE'!$B$12*'Wing Flap (rigid body)'!A7)</f>
        <v>-2.5132741228718345</v>
      </c>
      <c r="D7">
        <f>-'MAIN PAGE'!$B$13*(2*PI()*'MAIN PAGE'!$B$12)^2*COS(2*PI()*'MAIN PAGE'!$B$12*'Wing Flap (rigid body)'!A7)</f>
        <v>-9.6733844660431536E-15</v>
      </c>
      <c r="E7">
        <f>D7/$J$5</f>
        <v>-9.6733844660431533E-14</v>
      </c>
      <c r="F7" s="6">
        <f>E7*$J$13</f>
        <v>-8.2425296804409382E-19</v>
      </c>
      <c r="G7">
        <f t="shared" si="0"/>
        <v>-1.6485059360881876E-18</v>
      </c>
      <c r="I7" s="7" t="s">
        <v>183</v>
      </c>
      <c r="J7" s="29">
        <v>1E-3</v>
      </c>
      <c r="K7" s="6" t="s">
        <v>35</v>
      </c>
    </row>
    <row r="8" spans="1:13" ht="15">
      <c r="A8" s="7">
        <f t="shared" si="1"/>
        <v>3.0000000000000002E-2</v>
      </c>
      <c r="B8">
        <f>'MAIN PAGE'!$B$13*COS(2*PI()*'MAIN PAGE'!$B$12*A8)</f>
        <v>-1.2360679774997902E-2</v>
      </c>
      <c r="C8">
        <f>-'MAIN PAGE'!$B$13*(2*PI()*'MAIN PAGE'!$B$12)*SIN(2*PI()*'MAIN PAGE'!$B$12*'Wing Flap (rigid body)'!A8)</f>
        <v>-2.3902657317932445</v>
      </c>
      <c r="D8">
        <f>-'MAIN PAGE'!$B$13*(2*PI()*'MAIN PAGE'!$B$12)^2*COS(2*PI()*'MAIN PAGE'!$B$12*'Wing Flap (rigid body)'!A8)</f>
        <v>48.798007803110202</v>
      </c>
      <c r="E8">
        <f>D8/$J$5</f>
        <v>487.98007803110198</v>
      </c>
      <c r="F8" s="6">
        <f>E8*$J$13</f>
        <v>4.1579969148900159E-3</v>
      </c>
      <c r="G8">
        <f t="shared" si="0"/>
        <v>8.3159938297800318E-3</v>
      </c>
      <c r="I8" s="7" t="s">
        <v>184</v>
      </c>
      <c r="J8">
        <f>J6*J7</f>
        <v>3.0000000000000001E-6</v>
      </c>
      <c r="K8" s="6" t="s">
        <v>13</v>
      </c>
    </row>
    <row r="9" spans="1:13" ht="15">
      <c r="A9" s="7">
        <f t="shared" si="1"/>
        <v>3.5000000000000003E-2</v>
      </c>
      <c r="B9">
        <f>'MAIN PAGE'!$B$13*COS(2*PI()*'MAIN PAGE'!$B$12*A9)</f>
        <v>-2.3511410091698923E-2</v>
      </c>
      <c r="C9">
        <f>-'MAIN PAGE'!$B$13*(2*PI()*'MAIN PAGE'!$B$12)*SIN(2*PI()*'MAIN PAGE'!$B$12*'Wing Flap (rigid body)'!A9)</f>
        <v>-2.0332814769261041</v>
      </c>
      <c r="D9">
        <f>-'MAIN PAGE'!$B$13*(2*PI()*'MAIN PAGE'!$B$12)^2*COS(2*PI()*'MAIN PAGE'!$B$12*'Wing Flap (rigid body)'!A9)</f>
        <v>92.819326606739367</v>
      </c>
      <c r="E9">
        <f>D9/$J$5</f>
        <v>928.19326606739367</v>
      </c>
      <c r="F9" s="6">
        <f>E9*$J$13</f>
        <v>7.9089801212825842E-3</v>
      </c>
      <c r="G9">
        <f t="shared" si="0"/>
        <v>1.5817960242565168E-2</v>
      </c>
      <c r="I9" s="7" t="s">
        <v>185</v>
      </c>
      <c r="J9" s="29"/>
      <c r="K9" s="6"/>
    </row>
    <row r="10" spans="1:13" ht="15">
      <c r="A10" s="7">
        <f t="shared" si="1"/>
        <v>0.04</v>
      </c>
      <c r="B10">
        <f>'MAIN PAGE'!$B$13*COS(2*PI()*'MAIN PAGE'!$B$12*A10)</f>
        <v>-3.2360679774997896E-2</v>
      </c>
      <c r="C10">
        <f>-'MAIN PAGE'!$B$13*(2*PI()*'MAIN PAGE'!$B$12)*SIN(2*PI()*'MAIN PAGE'!$B$12*'Wing Flap (rigid body)'!A10)</f>
        <v>-1.4772654643923657</v>
      </c>
      <c r="D10">
        <f>-'MAIN PAGE'!$B$13*(2*PI()*'MAIN PAGE'!$B$12)^2*COS(2*PI()*'MAIN PAGE'!$B$12*'Wing Flap (rigid body)'!A10)</f>
        <v>127.75484301182503</v>
      </c>
      <c r="E10">
        <f>D10/$J$5</f>
        <v>1277.5484301182503</v>
      </c>
      <c r="F10" s="6">
        <f>E10*$J$13</f>
        <v>1.0885777248299259E-2</v>
      </c>
      <c r="G10">
        <f t="shared" si="0"/>
        <v>2.1771554496598518E-2</v>
      </c>
      <c r="I10" s="7" t="s">
        <v>186</v>
      </c>
      <c r="J10" s="29">
        <v>2.5000000000000001E-3</v>
      </c>
      <c r="K10" s="6" t="s">
        <v>62</v>
      </c>
      <c r="L10">
        <f>J10*1000</f>
        <v>2.5</v>
      </c>
      <c r="M10" t="s">
        <v>63</v>
      </c>
    </row>
    <row r="11" spans="1:13" ht="15">
      <c r="A11" s="7">
        <f t="shared" si="1"/>
        <v>4.4999999999999998E-2</v>
      </c>
      <c r="B11">
        <f>'MAIN PAGE'!$B$13*COS(2*PI()*'MAIN PAGE'!$B$12*A11)</f>
        <v>-3.8042260651806145E-2</v>
      </c>
      <c r="C11">
        <f>-'MAIN PAGE'!$B$13*(2*PI()*'MAIN PAGE'!$B$12)*SIN(2*PI()*'MAIN PAGE'!$B$12*'Wing Flap (rigid body)'!A11)</f>
        <v>-0.77664441549018681</v>
      </c>
      <c r="D11">
        <f>-'MAIN PAGE'!$B$13*(2*PI()*'MAIN PAGE'!$B$12)^2*COS(2*PI()*'MAIN PAGE'!$B$12*'Wing Flap (rigid body)'!A11)</f>
        <v>150.18482526258177</v>
      </c>
      <c r="E11">
        <f>D11/$J$5</f>
        <v>1501.8482526258176</v>
      </c>
      <c r="F11" s="6">
        <f>E11*$J$13</f>
        <v>1.279699865258249E-2</v>
      </c>
      <c r="G11">
        <f t="shared" si="0"/>
        <v>2.559399730516498E-2</v>
      </c>
      <c r="I11" s="7"/>
      <c r="K11" s="6"/>
    </row>
    <row r="12" spans="1:13" ht="15">
      <c r="A12" s="7">
        <f t="shared" si="1"/>
        <v>4.9999999999999996E-2</v>
      </c>
      <c r="B12">
        <f>'MAIN PAGE'!$B$13*COS(2*PI()*'MAIN PAGE'!$B$12*A12)</f>
        <v>-0.04</v>
      </c>
      <c r="C12">
        <f>-'MAIN PAGE'!$B$13*(2*PI()*'MAIN PAGE'!$B$12)*SIN(2*PI()*'MAIN PAGE'!$B$12*'Wing Flap (rigid body)'!A12)</f>
        <v>-1.4240313102025867E-15</v>
      </c>
      <c r="D12">
        <f>-'MAIN PAGE'!$B$13*(2*PI()*'MAIN PAGE'!$B$12)^2*COS(2*PI()*'MAIN PAGE'!$B$12*'Wing Flap (rigid body)'!A12)</f>
        <v>157.91367041742973</v>
      </c>
      <c r="E12">
        <f>D12/$J$5</f>
        <v>1579.1367041742972</v>
      </c>
      <c r="F12" s="6">
        <f>E12*$J$13</f>
        <v>1.3455560666818493E-2</v>
      </c>
      <c r="G12">
        <f t="shared" si="0"/>
        <v>2.6911121333636986E-2</v>
      </c>
      <c r="I12" s="7" t="s">
        <v>187</v>
      </c>
      <c r="J12">
        <f>(1/12)*J10*(J4^2+J5^2)</f>
        <v>2.2708333333333333E-6</v>
      </c>
      <c r="K12" s="6"/>
    </row>
    <row r="13" spans="1:13" ht="15">
      <c r="A13" s="7">
        <f t="shared" si="1"/>
        <v>5.4999999999999993E-2</v>
      </c>
      <c r="B13">
        <f>'MAIN PAGE'!$B$13*COS(2*PI()*'MAIN PAGE'!$B$12*A13)</f>
        <v>-3.8042260651806152E-2</v>
      </c>
      <c r="C13">
        <f>-'MAIN PAGE'!$B$13*(2*PI()*'MAIN PAGE'!$B$12)*SIN(2*PI()*'MAIN PAGE'!$B$12*'Wing Flap (rigid body)'!A13)</f>
        <v>0.77664441549018526</v>
      </c>
      <c r="D13">
        <f>-'MAIN PAGE'!$B$13*(2*PI()*'MAIN PAGE'!$B$12)^2*COS(2*PI()*'MAIN PAGE'!$B$12*'Wing Flap (rigid body)'!A13)</f>
        <v>150.1848252625818</v>
      </c>
      <c r="E13">
        <f>D13/$J$5</f>
        <v>1501.8482526258178</v>
      </c>
      <c r="F13" s="6">
        <f>E13*$J$13</f>
        <v>1.2796998652582492E-2</v>
      </c>
      <c r="G13">
        <f t="shared" si="0"/>
        <v>2.5593997305164984E-2</v>
      </c>
      <c r="I13" s="9" t="s">
        <v>188</v>
      </c>
      <c r="J13" s="10">
        <f>J12+(J10*((1/2)*J5)^2)</f>
        <v>8.5208333333333349E-6</v>
      </c>
      <c r="K13" s="11" t="s">
        <v>189</v>
      </c>
      <c r="L13" t="s">
        <v>190</v>
      </c>
      <c r="M13">
        <f>(1/3)*J10*J5^2</f>
        <v>8.3333333333333337E-6</v>
      </c>
    </row>
    <row r="14" spans="1:13">
      <c r="A14" s="7">
        <f t="shared" si="1"/>
        <v>5.9999999999999991E-2</v>
      </c>
      <c r="B14">
        <f>'MAIN PAGE'!$B$13*COS(2*PI()*'MAIN PAGE'!$B$12*A14)</f>
        <v>-3.2360679774997909E-2</v>
      </c>
      <c r="C14">
        <f>-'MAIN PAGE'!$B$13*(2*PI()*'MAIN PAGE'!$B$12)*SIN(2*PI()*'MAIN PAGE'!$B$12*'Wing Flap (rigid body)'!A14)</f>
        <v>1.4772654643923642</v>
      </c>
      <c r="D14">
        <f>-'MAIN PAGE'!$B$13*(2*PI()*'MAIN PAGE'!$B$12)^2*COS(2*PI()*'MAIN PAGE'!$B$12*'Wing Flap (rigid body)'!A14)</f>
        <v>127.7548430118251</v>
      </c>
      <c r="E14">
        <f>D14/$J$5</f>
        <v>1277.548430118251</v>
      </c>
      <c r="F14" s="6">
        <f>E14*$J$13</f>
        <v>1.0885777248299266E-2</v>
      </c>
      <c r="G14">
        <f t="shared" si="0"/>
        <v>2.1771554496598532E-2</v>
      </c>
    </row>
    <row r="15" spans="1:13">
      <c r="A15" s="7">
        <f t="shared" si="1"/>
        <v>6.4999999999999988E-2</v>
      </c>
      <c r="B15">
        <f>'MAIN PAGE'!$B$13*COS(2*PI()*'MAIN PAGE'!$B$12*A15)</f>
        <v>-2.3511410091698961E-2</v>
      </c>
      <c r="C15">
        <f>-'MAIN PAGE'!$B$13*(2*PI()*'MAIN PAGE'!$B$12)*SIN(2*PI()*'MAIN PAGE'!$B$12*'Wing Flap (rigid body)'!A15)</f>
        <v>2.0332814769261023</v>
      </c>
      <c r="D15">
        <f>-'MAIN PAGE'!$B$13*(2*PI()*'MAIN PAGE'!$B$12)^2*COS(2*PI()*'MAIN PAGE'!$B$12*'Wing Flap (rigid body)'!A15)</f>
        <v>92.819326606739523</v>
      </c>
      <c r="E15">
        <f>D15/$J$5</f>
        <v>928.19326606739514</v>
      </c>
      <c r="F15" s="6">
        <f>E15*$J$13</f>
        <v>7.908980121282598E-3</v>
      </c>
      <c r="G15">
        <f t="shared" si="0"/>
        <v>1.5817960242565196E-2</v>
      </c>
    </row>
    <row r="16" spans="1:13">
      <c r="A16" s="7">
        <f>A15+0.005</f>
        <v>6.9999999999999993E-2</v>
      </c>
      <c r="B16">
        <f>'MAIN PAGE'!$B$13*COS(2*PI()*'MAIN PAGE'!$B$12*A16)</f>
        <v>-1.2360679774997939E-2</v>
      </c>
      <c r="C16">
        <f>-'MAIN PAGE'!$B$13*(2*PI()*'MAIN PAGE'!$B$12)*SIN(2*PI()*'MAIN PAGE'!$B$12*'Wing Flap (rigid body)'!A16)</f>
        <v>2.3902657317932436</v>
      </c>
      <c r="D16">
        <f>-'MAIN PAGE'!$B$13*(2*PI()*'MAIN PAGE'!$B$12)^2*COS(2*PI()*'MAIN PAGE'!$B$12*'Wing Flap (rigid body)'!A16)</f>
        <v>48.798007803110345</v>
      </c>
      <c r="E16">
        <f>D16/$J$5</f>
        <v>487.9800780311034</v>
      </c>
      <c r="F16" s="6">
        <f>E16*$J$13</f>
        <v>4.1579969148900281E-3</v>
      </c>
      <c r="G16">
        <f t="shared" si="0"/>
        <v>8.3159938297800561E-3</v>
      </c>
    </row>
    <row r="17" spans="1:7">
      <c r="A17" s="7">
        <f t="shared" si="1"/>
        <v>7.4999999999999997E-2</v>
      </c>
      <c r="B17">
        <f>'MAIN PAGE'!$B$13*COS(2*PI()*'MAIN PAGE'!$B$12*A17)</f>
        <v>-7.3508907294517198E-18</v>
      </c>
      <c r="C17">
        <f>-'MAIN PAGE'!$B$13*(2*PI()*'MAIN PAGE'!$B$12)*SIN(2*PI()*'MAIN PAGE'!$B$12*'Wing Flap (rigid body)'!A17)</f>
        <v>2.5132741228718345</v>
      </c>
      <c r="D17">
        <f>-'MAIN PAGE'!$B$13*(2*PI()*'MAIN PAGE'!$B$12)^2*COS(2*PI()*'MAIN PAGE'!$B$12*'Wing Flap (rigid body)'!A17)</f>
        <v>2.9020153398129462E-14</v>
      </c>
      <c r="E17">
        <f>D17/$J$5</f>
        <v>2.9020153398129459E-13</v>
      </c>
      <c r="F17" s="6">
        <f>E17*$J$13</f>
        <v>2.4727589041322815E-18</v>
      </c>
      <c r="G17">
        <f t="shared" si="0"/>
        <v>4.9455178082645629E-18</v>
      </c>
    </row>
    <row r="18" spans="1:7">
      <c r="A18" s="7">
        <f t="shared" si="1"/>
        <v>0.08</v>
      </c>
      <c r="B18">
        <f>'MAIN PAGE'!$B$13*COS(2*PI()*'MAIN PAGE'!$B$12*A18)</f>
        <v>1.236067977499789E-2</v>
      </c>
      <c r="C18">
        <f>-'MAIN PAGE'!$B$13*(2*PI()*'MAIN PAGE'!$B$12)*SIN(2*PI()*'MAIN PAGE'!$B$12*'Wing Flap (rigid body)'!A18)</f>
        <v>2.390265731793245</v>
      </c>
      <c r="D18">
        <f>-'MAIN PAGE'!$B$13*(2*PI()*'MAIN PAGE'!$B$12)^2*COS(2*PI()*'MAIN PAGE'!$B$12*'Wing Flap (rigid body)'!A18)</f>
        <v>-48.798007803110153</v>
      </c>
      <c r="E18">
        <f>D18/$J$5</f>
        <v>-487.98007803110153</v>
      </c>
      <c r="F18" s="6">
        <f>E18*$J$13</f>
        <v>-4.1579969148900116E-3</v>
      </c>
      <c r="G18">
        <f t="shared" si="0"/>
        <v>-8.3159938297800232E-3</v>
      </c>
    </row>
    <row r="19" spans="1:7">
      <c r="A19" s="7">
        <f t="shared" si="1"/>
        <v>8.5000000000000006E-2</v>
      </c>
      <c r="B19">
        <f>'MAIN PAGE'!$B$13*COS(2*PI()*'MAIN PAGE'!$B$12*A19)</f>
        <v>2.3511410091698916E-2</v>
      </c>
      <c r="C19">
        <f>-'MAIN PAGE'!$B$13*(2*PI()*'MAIN PAGE'!$B$12)*SIN(2*PI()*'MAIN PAGE'!$B$12*'Wing Flap (rigid body)'!A19)</f>
        <v>2.0332814769261041</v>
      </c>
      <c r="D19">
        <f>-'MAIN PAGE'!$B$13*(2*PI()*'MAIN PAGE'!$B$12)^2*COS(2*PI()*'MAIN PAGE'!$B$12*'Wing Flap (rigid body)'!A19)</f>
        <v>-92.819326606739352</v>
      </c>
      <c r="E19">
        <f>D19/$J$5</f>
        <v>-928.19326606739344</v>
      </c>
      <c r="F19" s="6">
        <f>E19*$J$13</f>
        <v>-7.9089801212825824E-3</v>
      </c>
      <c r="G19">
        <f t="shared" si="0"/>
        <v>-1.5817960242565165E-2</v>
      </c>
    </row>
    <row r="20" spans="1:7">
      <c r="A20" s="7">
        <f t="shared" si="1"/>
        <v>9.0000000000000011E-2</v>
      </c>
      <c r="B20">
        <f>'MAIN PAGE'!$B$13*COS(2*PI()*'MAIN PAGE'!$B$12*A20)</f>
        <v>3.2360679774997909E-2</v>
      </c>
      <c r="C20">
        <f>-'MAIN PAGE'!$B$13*(2*PI()*'MAIN PAGE'!$B$12)*SIN(2*PI()*'MAIN PAGE'!$B$12*'Wing Flap (rigid body)'!A20)</f>
        <v>1.4772654643923639</v>
      </c>
      <c r="D20">
        <f>-'MAIN PAGE'!$B$13*(2*PI()*'MAIN PAGE'!$B$12)^2*COS(2*PI()*'MAIN PAGE'!$B$12*'Wing Flap (rigid body)'!A20)</f>
        <v>-127.7548430118251</v>
      </c>
      <c r="E20">
        <f>D20/$J$5</f>
        <v>-1277.548430118251</v>
      </c>
      <c r="F20" s="6">
        <f>E20*$J$13</f>
        <v>-1.0885777248299266E-2</v>
      </c>
      <c r="G20">
        <f t="shared" si="0"/>
        <v>-2.1771554496598532E-2</v>
      </c>
    </row>
    <row r="21" spans="1:7">
      <c r="A21" s="7">
        <f>A20+0.005</f>
        <v>9.5000000000000015E-2</v>
      </c>
      <c r="B21">
        <f>'MAIN PAGE'!$B$13*COS(2*PI()*'MAIN PAGE'!$B$12*A21)</f>
        <v>3.8042260651806152E-2</v>
      </c>
      <c r="C21">
        <f>-'MAIN PAGE'!$B$13*(2*PI()*'MAIN PAGE'!$B$12)*SIN(2*PI()*'MAIN PAGE'!$B$12*'Wing Flap (rigid body)'!A21)</f>
        <v>0.77664441549018504</v>
      </c>
      <c r="D21">
        <f>-'MAIN PAGE'!$B$13*(2*PI()*'MAIN PAGE'!$B$12)^2*COS(2*PI()*'MAIN PAGE'!$B$12*'Wing Flap (rigid body)'!A21)</f>
        <v>-150.1848252625818</v>
      </c>
      <c r="E21">
        <f>D21/$J$5</f>
        <v>-1501.8482526258178</v>
      </c>
      <c r="F21" s="6">
        <f>E21*$J$13</f>
        <v>-1.2796998652582492E-2</v>
      </c>
      <c r="G21">
        <f t="shared" si="0"/>
        <v>-2.5593997305164984E-2</v>
      </c>
    </row>
    <row r="22" spans="1:7">
      <c r="A22" s="7">
        <f t="shared" si="1"/>
        <v>0.10000000000000002</v>
      </c>
      <c r="B22">
        <f>'MAIN PAGE'!$B$13*COS(2*PI()*'MAIN PAGE'!$B$12*A22)</f>
        <v>0.04</v>
      </c>
      <c r="C22">
        <f>-'MAIN PAGE'!$B$13*(2*PI()*'MAIN PAGE'!$B$12)*SIN(2*PI()*'MAIN PAGE'!$B$12*'Wing Flap (rigid body)'!A22)</f>
        <v>-1.6164090570458752E-15</v>
      </c>
      <c r="D22">
        <f>-'MAIN PAGE'!$B$13*(2*PI()*'MAIN PAGE'!$B$12)^2*COS(2*PI()*'MAIN PAGE'!$B$12*'Wing Flap (rigid body)'!A22)</f>
        <v>-157.91367041742973</v>
      </c>
      <c r="E22">
        <f>D22/$J$5</f>
        <v>-1579.1367041742972</v>
      </c>
      <c r="F22" s="6">
        <f>E22*$J$13</f>
        <v>-1.3455560666818493E-2</v>
      </c>
      <c r="G22">
        <f t="shared" si="0"/>
        <v>-2.6911121333636986E-2</v>
      </c>
    </row>
    <row r="23" spans="1:7">
      <c r="A23" s="9" t="s">
        <v>191</v>
      </c>
      <c r="B23" s="10"/>
      <c r="C23" s="10"/>
      <c r="D23" s="10"/>
      <c r="E23" s="10"/>
      <c r="F23" s="1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CE24-B5B8-45E8-92EC-94D7F6CC0E7E}">
  <dimension ref="A1:L23"/>
  <sheetViews>
    <sheetView topLeftCell="A8" workbookViewId="0">
      <selection activeCell="E3" sqref="E3"/>
    </sheetView>
  </sheetViews>
  <sheetFormatPr defaultRowHeight="15"/>
  <cols>
    <col min="1" max="1" width="12.5703125" customWidth="1"/>
    <col min="2" max="2" width="11.28515625" customWidth="1"/>
    <col min="3" max="3" width="11" customWidth="1"/>
    <col min="4" max="4" width="14.5703125" customWidth="1"/>
    <col min="5" max="5" width="9.5703125" customWidth="1"/>
    <col min="7" max="7" width="14.85546875" customWidth="1"/>
    <col min="8" max="8" width="14.28515625" customWidth="1"/>
    <col min="9" max="9" width="11.28515625" customWidth="1"/>
  </cols>
  <sheetData>
    <row r="1" spans="1:12">
      <c r="A1" s="3" t="s">
        <v>170</v>
      </c>
      <c r="B1" s="57" t="s">
        <v>171</v>
      </c>
      <c r="C1" s="57" t="s">
        <v>19</v>
      </c>
      <c r="D1" s="58" t="s">
        <v>172</v>
      </c>
      <c r="E1" s="59" t="s">
        <v>174</v>
      </c>
      <c r="F1" t="s">
        <v>192</v>
      </c>
      <c r="H1" s="14" t="s">
        <v>176</v>
      </c>
      <c r="I1" s="4"/>
      <c r="J1" s="5" t="s">
        <v>177</v>
      </c>
    </row>
    <row r="2" spans="1:12">
      <c r="A2" s="7" t="s">
        <v>178</v>
      </c>
      <c r="B2" t="s">
        <v>35</v>
      </c>
      <c r="C2" t="s">
        <v>20</v>
      </c>
      <c r="D2" t="s">
        <v>95</v>
      </c>
      <c r="E2" s="6" t="s">
        <v>85</v>
      </c>
      <c r="H2" s="7" t="s">
        <v>179</v>
      </c>
      <c r="J2" s="6"/>
    </row>
    <row r="3" spans="1:12">
      <c r="A3" s="7">
        <v>0</v>
      </c>
      <c r="B3">
        <f>'MAIN PAGE'!$B$13*COS(2*PI()*'MAIN PAGE'!$B$12*A3)</f>
        <v>0.04</v>
      </c>
      <c r="C3">
        <f>-'MAIN PAGE'!$B$13*(2*PI()*'MAIN PAGE'!$B$12)*SIN(2*PI()*'MAIN PAGE'!$B$12*'Wing Flap (particle)'!A3)</f>
        <v>0</v>
      </c>
      <c r="D3">
        <f>-'MAIN PAGE'!$B$13*((2*PI()*'MAIN PAGE'!$B$12)^2)*COS(2*PI()*'MAIN PAGE'!$B$12*'Wing Flap (particle)'!A3)</f>
        <v>-157.91367041742973</v>
      </c>
      <c r="E3" s="6">
        <f>D3*$I$10</f>
        <v>-0.39478417604357435</v>
      </c>
      <c r="F3">
        <f>E3*2</f>
        <v>-0.78956835208714871</v>
      </c>
      <c r="H3" s="7"/>
      <c r="J3" s="6"/>
    </row>
    <row r="4" spans="1:12">
      <c r="A4" s="7">
        <v>0.01</v>
      </c>
      <c r="B4">
        <f>'MAIN PAGE'!$B$13*COS(2*PI()*'MAIN PAGE'!$B$12*A4)</f>
        <v>3.2360679774997896E-2</v>
      </c>
      <c r="C4">
        <f>-'MAIN PAGE'!$B$13*(2*PI()*'MAIN PAGE'!$B$12)*SIN(2*PI()*'MAIN PAGE'!$B$12*'Wing Flap (particle)'!A4)</f>
        <v>-1.4772654643923653</v>
      </c>
      <c r="D4">
        <f>-'MAIN PAGE'!$B$13*(2*PI()*'MAIN PAGE'!$B$12)^2*COS(2*PI()*'MAIN PAGE'!$B$12*'Wing Flap (particle)'!A4)</f>
        <v>-127.75484301182505</v>
      </c>
      <c r="E4" s="6">
        <f t="shared" ref="E4:E22" si="0">D4*$I$10</f>
        <v>-0.31938710752956262</v>
      </c>
      <c r="F4">
        <f t="shared" ref="F4:F22" si="1">E4*2</f>
        <v>-0.63877421505912524</v>
      </c>
      <c r="H4" s="7" t="s">
        <v>180</v>
      </c>
      <c r="I4" s="29">
        <v>0.03</v>
      </c>
      <c r="J4" s="6" t="s">
        <v>35</v>
      </c>
      <c r="K4">
        <f>I4*39.37</f>
        <v>1.1810999999999998</v>
      </c>
      <c r="L4" t="s">
        <v>39</v>
      </c>
    </row>
    <row r="5" spans="1:12">
      <c r="A5" s="7">
        <f>A4+0.005</f>
        <v>1.4999999999999999E-2</v>
      </c>
      <c r="B5">
        <f>'MAIN PAGE'!$B$13*COS(2*PI()*'MAIN PAGE'!$B$12*A5)</f>
        <v>2.3511410091698926E-2</v>
      </c>
      <c r="C5">
        <f>-'MAIN PAGE'!$B$13*(2*PI()*'MAIN PAGE'!$B$12)*SIN(2*PI()*'MAIN PAGE'!$B$12*'Wing Flap (particle)'!A5)</f>
        <v>-2.0332814769261041</v>
      </c>
      <c r="D5">
        <f>-'MAIN PAGE'!$B$13*(2*PI()*'MAIN PAGE'!$B$12)^2*COS(2*PI()*'MAIN PAGE'!$B$12*'Wing Flap (particle)'!A5)</f>
        <v>-92.819326606739381</v>
      </c>
      <c r="E5" s="6">
        <f t="shared" si="0"/>
        <v>-0.23204831651684846</v>
      </c>
      <c r="F5">
        <f t="shared" si="1"/>
        <v>-0.46409663303369691</v>
      </c>
      <c r="H5" s="7" t="s">
        <v>181</v>
      </c>
      <c r="I5" s="29">
        <v>0.1</v>
      </c>
      <c r="J5" s="6" t="s">
        <v>35</v>
      </c>
      <c r="K5">
        <f>I5*39.37</f>
        <v>3.9369999999999998</v>
      </c>
      <c r="L5" t="s">
        <v>39</v>
      </c>
    </row>
    <row r="6" spans="1:12">
      <c r="A6" s="7">
        <f t="shared" ref="A6:A22" si="2">A5+0.005</f>
        <v>0.02</v>
      </c>
      <c r="B6">
        <f>'MAIN PAGE'!$B$13*COS(2*PI()*'MAIN PAGE'!$B$12*A6)</f>
        <v>1.2360679774997899E-2</v>
      </c>
      <c r="C6">
        <f>-'MAIN PAGE'!$B$13*(2*PI()*'MAIN PAGE'!$B$12)*SIN(2*PI()*'MAIN PAGE'!$B$12*'Wing Flap (particle)'!A6)</f>
        <v>-2.3902657317932445</v>
      </c>
      <c r="D6">
        <f>-'MAIN PAGE'!$B$13*(2*PI()*'MAIN PAGE'!$B$12)^2*COS(2*PI()*'MAIN PAGE'!$B$12*'Wing Flap (particle)'!A6)</f>
        <v>-48.798007803110188</v>
      </c>
      <c r="E6" s="6">
        <f t="shared" si="0"/>
        <v>-0.12199501950777547</v>
      </c>
      <c r="F6">
        <f t="shared" si="1"/>
        <v>-0.24399003901555094</v>
      </c>
      <c r="H6" s="7" t="s">
        <v>182</v>
      </c>
      <c r="I6">
        <f>I5*I4</f>
        <v>3.0000000000000001E-3</v>
      </c>
      <c r="J6" s="6" t="s">
        <v>35</v>
      </c>
    </row>
    <row r="7" spans="1:12">
      <c r="A7" s="7">
        <f t="shared" si="2"/>
        <v>2.5000000000000001E-2</v>
      </c>
      <c r="B7">
        <f>'MAIN PAGE'!$B$13*COS(2*PI()*'MAIN PAGE'!$B$12*A7)</f>
        <v>2.4502969098172402E-18</v>
      </c>
      <c r="C7">
        <f>-'MAIN PAGE'!$B$13*(2*PI()*'MAIN PAGE'!$B$12)*SIN(2*PI()*'MAIN PAGE'!$B$12*'Wing Flap (particle)'!A7)</f>
        <v>-2.5132741228718345</v>
      </c>
      <c r="D7">
        <f>-'MAIN PAGE'!$B$13*(2*PI()*'MAIN PAGE'!$B$12)^2*COS(2*PI()*'MAIN PAGE'!$B$12*'Wing Flap (particle)'!A7)</f>
        <v>-9.6733844660431536E-15</v>
      </c>
      <c r="E7" s="6">
        <f t="shared" si="0"/>
        <v>-2.4183461165107885E-17</v>
      </c>
      <c r="F7">
        <f t="shared" si="1"/>
        <v>-4.8366922330215769E-17</v>
      </c>
      <c r="H7" s="7" t="s">
        <v>183</v>
      </c>
      <c r="I7" s="29">
        <v>1E-3</v>
      </c>
      <c r="J7" s="6" t="s">
        <v>35</v>
      </c>
    </row>
    <row r="8" spans="1:12">
      <c r="A8" s="7">
        <f t="shared" si="2"/>
        <v>3.0000000000000002E-2</v>
      </c>
      <c r="B8">
        <f>'MAIN PAGE'!$B$13*COS(2*PI()*'MAIN PAGE'!$B$12*A8)</f>
        <v>-1.2360679774997902E-2</v>
      </c>
      <c r="C8">
        <f>-'MAIN PAGE'!$B$13*(2*PI()*'MAIN PAGE'!$B$12)*SIN(2*PI()*'MAIN PAGE'!$B$12*'Wing Flap (particle)'!A8)</f>
        <v>-2.3902657317932445</v>
      </c>
      <c r="D8">
        <f>-'MAIN PAGE'!$B$13*(2*PI()*'MAIN PAGE'!$B$12)^2*COS(2*PI()*'MAIN PAGE'!$B$12*'Wing Flap (particle)'!A8)</f>
        <v>48.798007803110202</v>
      </c>
      <c r="E8" s="6">
        <f t="shared" si="0"/>
        <v>0.12199501950777551</v>
      </c>
      <c r="F8">
        <f t="shared" si="1"/>
        <v>0.24399003901555102</v>
      </c>
      <c r="H8" s="7" t="s">
        <v>184</v>
      </c>
      <c r="I8">
        <f>I6*I7</f>
        <v>3.0000000000000001E-6</v>
      </c>
      <c r="J8" s="6" t="s">
        <v>13</v>
      </c>
    </row>
    <row r="9" spans="1:12">
      <c r="A9" s="7">
        <f t="shared" si="2"/>
        <v>3.5000000000000003E-2</v>
      </c>
      <c r="B9">
        <f>'MAIN PAGE'!$B$13*COS(2*PI()*'MAIN PAGE'!$B$12*A9)</f>
        <v>-2.3511410091698923E-2</v>
      </c>
      <c r="C9">
        <f>-'MAIN PAGE'!$B$13*(2*PI()*'MAIN PAGE'!$B$12)*SIN(2*PI()*'MAIN PAGE'!$B$12*'Wing Flap (particle)'!A9)</f>
        <v>-2.0332814769261041</v>
      </c>
      <c r="D9">
        <f>-'MAIN PAGE'!$B$13*(2*PI()*'MAIN PAGE'!$B$12)^2*COS(2*PI()*'MAIN PAGE'!$B$12*'Wing Flap (particle)'!A9)</f>
        <v>92.819326606739367</v>
      </c>
      <c r="E9" s="6">
        <f t="shared" si="0"/>
        <v>0.23204831651684843</v>
      </c>
      <c r="F9">
        <f t="shared" si="1"/>
        <v>0.46409663303369686</v>
      </c>
      <c r="H9" s="7" t="s">
        <v>185</v>
      </c>
      <c r="I9" s="29"/>
      <c r="J9" s="6"/>
    </row>
    <row r="10" spans="1:12">
      <c r="A10" s="7">
        <f t="shared" si="2"/>
        <v>0.04</v>
      </c>
      <c r="B10">
        <f>'MAIN PAGE'!$B$13*COS(2*PI()*'MAIN PAGE'!$B$12*A10)</f>
        <v>-3.2360679774997896E-2</v>
      </c>
      <c r="C10">
        <f>-'MAIN PAGE'!$B$13*(2*PI()*'MAIN PAGE'!$B$12)*SIN(2*PI()*'MAIN PAGE'!$B$12*'Wing Flap (particle)'!A10)</f>
        <v>-1.4772654643923657</v>
      </c>
      <c r="D10">
        <f>-'MAIN PAGE'!$B$13*(2*PI()*'MAIN PAGE'!$B$12)^2*COS(2*PI()*'MAIN PAGE'!$B$12*'Wing Flap (particle)'!A10)</f>
        <v>127.75484301182503</v>
      </c>
      <c r="E10" s="6">
        <f t="shared" si="0"/>
        <v>0.31938710752956256</v>
      </c>
      <c r="F10">
        <f t="shared" si="1"/>
        <v>0.63877421505912513</v>
      </c>
      <c r="H10" s="7" t="s">
        <v>186</v>
      </c>
      <c r="I10" s="29">
        <v>2.5000000000000001E-3</v>
      </c>
      <c r="J10" s="6" t="s">
        <v>62</v>
      </c>
      <c r="K10">
        <f>I10*1000</f>
        <v>2.5</v>
      </c>
      <c r="L10" t="s">
        <v>63</v>
      </c>
    </row>
    <row r="11" spans="1:12">
      <c r="A11" s="7">
        <f t="shared" si="2"/>
        <v>4.4999999999999998E-2</v>
      </c>
      <c r="B11">
        <f>'MAIN PAGE'!$B$13*COS(2*PI()*'MAIN PAGE'!$B$12*A11)</f>
        <v>-3.8042260651806145E-2</v>
      </c>
      <c r="C11">
        <f>-'MAIN PAGE'!$B$13*(2*PI()*'MAIN PAGE'!$B$12)*SIN(2*PI()*'MAIN PAGE'!$B$12*'Wing Flap (particle)'!A11)</f>
        <v>-0.77664441549018681</v>
      </c>
      <c r="D11">
        <f>-'MAIN PAGE'!$B$13*(2*PI()*'MAIN PAGE'!$B$12)^2*COS(2*PI()*'MAIN PAGE'!$B$12*'Wing Flap (particle)'!A11)</f>
        <v>150.18482526258177</v>
      </c>
      <c r="E11" s="6">
        <f t="shared" si="0"/>
        <v>0.37546206315645442</v>
      </c>
      <c r="F11">
        <f t="shared" si="1"/>
        <v>0.75092412631290884</v>
      </c>
      <c r="H11" s="7"/>
      <c r="J11" s="6"/>
    </row>
    <row r="12" spans="1:12">
      <c r="A12" s="7">
        <f t="shared" si="2"/>
        <v>4.9999999999999996E-2</v>
      </c>
      <c r="B12">
        <f>'MAIN PAGE'!$B$13*COS(2*PI()*'MAIN PAGE'!$B$12*A12)</f>
        <v>-0.04</v>
      </c>
      <c r="C12">
        <f>-'MAIN PAGE'!$B$13*(2*PI()*'MAIN PAGE'!$B$12)*SIN(2*PI()*'MAIN PAGE'!$B$12*'Wing Flap (particle)'!A12)</f>
        <v>-1.4240313102025867E-15</v>
      </c>
      <c r="D12">
        <f>-'MAIN PAGE'!$B$13*(2*PI()*'MAIN PAGE'!$B$12)^2*COS(2*PI()*'MAIN PAGE'!$B$12*'Wing Flap (particle)'!A12)</f>
        <v>157.91367041742973</v>
      </c>
      <c r="E12" s="6">
        <f t="shared" si="0"/>
        <v>0.39478417604357435</v>
      </c>
      <c r="F12">
        <f t="shared" si="1"/>
        <v>0.78956835208714871</v>
      </c>
      <c r="H12" s="7" t="s">
        <v>187</v>
      </c>
      <c r="I12">
        <f>(1/12)*I10*(I4^2+I5^2)</f>
        <v>2.2708333333333333E-6</v>
      </c>
      <c r="J12" s="6"/>
    </row>
    <row r="13" spans="1:12">
      <c r="A13" s="7">
        <f t="shared" si="2"/>
        <v>5.4999999999999993E-2</v>
      </c>
      <c r="B13">
        <f>'MAIN PAGE'!$B$13*COS(2*PI()*'MAIN PAGE'!$B$12*A13)</f>
        <v>-3.8042260651806152E-2</v>
      </c>
      <c r="C13">
        <f>-'MAIN PAGE'!$B$13*(2*PI()*'MAIN PAGE'!$B$12)*SIN(2*PI()*'MAIN PAGE'!$B$12*'Wing Flap (particle)'!A13)</f>
        <v>0.77664441549018526</v>
      </c>
      <c r="D13">
        <f>-'MAIN PAGE'!$B$13*(2*PI()*'MAIN PAGE'!$B$12)^2*COS(2*PI()*'MAIN PAGE'!$B$12*'Wing Flap (particle)'!A13)</f>
        <v>150.1848252625818</v>
      </c>
      <c r="E13" s="6">
        <f t="shared" si="0"/>
        <v>0.37546206315645447</v>
      </c>
      <c r="F13">
        <f t="shared" si="1"/>
        <v>0.75092412631290895</v>
      </c>
      <c r="H13" s="9" t="s">
        <v>188</v>
      </c>
      <c r="I13" s="10">
        <f>I12+(I10*((1/2)*I5)^2)</f>
        <v>8.5208333333333349E-6</v>
      </c>
      <c r="J13" s="11" t="s">
        <v>189</v>
      </c>
      <c r="K13" t="s">
        <v>190</v>
      </c>
      <c r="L13">
        <f>(1/3)*I10*I5^2</f>
        <v>8.3333333333333337E-6</v>
      </c>
    </row>
    <row r="14" spans="1:12">
      <c r="A14" s="7">
        <f t="shared" si="2"/>
        <v>5.9999999999999991E-2</v>
      </c>
      <c r="B14">
        <f>'MAIN PAGE'!$B$13*COS(2*PI()*'MAIN PAGE'!$B$12*A14)</f>
        <v>-3.2360679774997909E-2</v>
      </c>
      <c r="C14">
        <f>-'MAIN PAGE'!$B$13*(2*PI()*'MAIN PAGE'!$B$12)*SIN(2*PI()*'MAIN PAGE'!$B$12*'Wing Flap (particle)'!A14)</f>
        <v>1.4772654643923642</v>
      </c>
      <c r="D14">
        <f>-'MAIN PAGE'!$B$13*(2*PI()*'MAIN PAGE'!$B$12)^2*COS(2*PI()*'MAIN PAGE'!$B$12*'Wing Flap (particle)'!A14)</f>
        <v>127.7548430118251</v>
      </c>
      <c r="E14" s="6">
        <f t="shared" si="0"/>
        <v>0.31938710752956279</v>
      </c>
      <c r="F14">
        <f t="shared" si="1"/>
        <v>0.63877421505912557</v>
      </c>
    </row>
    <row r="15" spans="1:12">
      <c r="A15" s="7">
        <f t="shared" si="2"/>
        <v>6.4999999999999988E-2</v>
      </c>
      <c r="B15">
        <f>'MAIN PAGE'!$B$13*COS(2*PI()*'MAIN PAGE'!$B$12*A15)</f>
        <v>-2.3511410091698961E-2</v>
      </c>
      <c r="C15">
        <f>-'MAIN PAGE'!$B$13*(2*PI()*'MAIN PAGE'!$B$12)*SIN(2*PI()*'MAIN PAGE'!$B$12*'Wing Flap (particle)'!A15)</f>
        <v>2.0332814769261023</v>
      </c>
      <c r="D15">
        <f>-'MAIN PAGE'!$B$13*(2*PI()*'MAIN PAGE'!$B$12)^2*COS(2*PI()*'MAIN PAGE'!$B$12*'Wing Flap (particle)'!A15)</f>
        <v>92.819326606739523</v>
      </c>
      <c r="E15" s="6">
        <f t="shared" si="0"/>
        <v>0.23204831651684882</v>
      </c>
      <c r="F15">
        <f t="shared" si="1"/>
        <v>0.46409663303369764</v>
      </c>
    </row>
    <row r="16" spans="1:12">
      <c r="A16" s="7">
        <f>A15+0.005</f>
        <v>6.9999999999999993E-2</v>
      </c>
      <c r="B16">
        <f>'MAIN PAGE'!$B$13*COS(2*PI()*'MAIN PAGE'!$B$12*A16)</f>
        <v>-1.2360679774997939E-2</v>
      </c>
      <c r="C16">
        <f>-'MAIN PAGE'!$B$13*(2*PI()*'MAIN PAGE'!$B$12)*SIN(2*PI()*'MAIN PAGE'!$B$12*'Wing Flap (particle)'!A16)</f>
        <v>2.3902657317932436</v>
      </c>
      <c r="D16">
        <f>-'MAIN PAGE'!$B$13*(2*PI()*'MAIN PAGE'!$B$12)^2*COS(2*PI()*'MAIN PAGE'!$B$12*'Wing Flap (particle)'!A16)</f>
        <v>48.798007803110345</v>
      </c>
      <c r="E16" s="6">
        <f t="shared" si="0"/>
        <v>0.12199501950777586</v>
      </c>
      <c r="F16">
        <f t="shared" si="1"/>
        <v>0.24399003901555172</v>
      </c>
    </row>
    <row r="17" spans="1:6">
      <c r="A17" s="7">
        <f t="shared" si="2"/>
        <v>7.4999999999999997E-2</v>
      </c>
      <c r="B17">
        <f>'MAIN PAGE'!$B$13*COS(2*PI()*'MAIN PAGE'!$B$12*A17)</f>
        <v>-7.3508907294517198E-18</v>
      </c>
      <c r="C17">
        <f>-'MAIN PAGE'!$B$13*(2*PI()*'MAIN PAGE'!$B$12)*SIN(2*PI()*'MAIN PAGE'!$B$12*'Wing Flap (particle)'!A17)</f>
        <v>2.5132741228718345</v>
      </c>
      <c r="D17">
        <f>-'MAIN PAGE'!$B$13*(2*PI()*'MAIN PAGE'!$B$12)^2*COS(2*PI()*'MAIN PAGE'!$B$12*'Wing Flap (particle)'!A17)</f>
        <v>2.9020153398129462E-14</v>
      </c>
      <c r="E17" s="6">
        <f t="shared" si="0"/>
        <v>7.255038349532366E-17</v>
      </c>
      <c r="F17">
        <f t="shared" si="1"/>
        <v>1.4510076699064732E-16</v>
      </c>
    </row>
    <row r="18" spans="1:6">
      <c r="A18" s="7">
        <f t="shared" si="2"/>
        <v>0.08</v>
      </c>
      <c r="B18">
        <f>'MAIN PAGE'!$B$13*COS(2*PI()*'MAIN PAGE'!$B$12*A18)</f>
        <v>1.236067977499789E-2</v>
      </c>
      <c r="C18">
        <f>-'MAIN PAGE'!$B$13*(2*PI()*'MAIN PAGE'!$B$12)*SIN(2*PI()*'MAIN PAGE'!$B$12*'Wing Flap (particle)'!A18)</f>
        <v>2.390265731793245</v>
      </c>
      <c r="D18">
        <f>-'MAIN PAGE'!$B$13*(2*PI()*'MAIN PAGE'!$B$12)^2*COS(2*PI()*'MAIN PAGE'!$B$12*'Wing Flap (particle)'!A18)</f>
        <v>-48.798007803110153</v>
      </c>
      <c r="E18" s="6">
        <f t="shared" si="0"/>
        <v>-0.12199501950777539</v>
      </c>
      <c r="F18">
        <f t="shared" si="1"/>
        <v>-0.24399003901555077</v>
      </c>
    </row>
    <row r="19" spans="1:6">
      <c r="A19" s="7">
        <f t="shared" si="2"/>
        <v>8.5000000000000006E-2</v>
      </c>
      <c r="B19">
        <f>'MAIN PAGE'!$B$13*COS(2*PI()*'MAIN PAGE'!$B$12*A19)</f>
        <v>2.3511410091698916E-2</v>
      </c>
      <c r="C19">
        <f>-'MAIN PAGE'!$B$13*(2*PI()*'MAIN PAGE'!$B$12)*SIN(2*PI()*'MAIN PAGE'!$B$12*'Wing Flap (particle)'!A19)</f>
        <v>2.0332814769261041</v>
      </c>
      <c r="D19">
        <f>-'MAIN PAGE'!$B$13*(2*PI()*'MAIN PAGE'!$B$12)^2*COS(2*PI()*'MAIN PAGE'!$B$12*'Wing Flap (particle)'!A19)</f>
        <v>-92.819326606739352</v>
      </c>
      <c r="E19" s="6">
        <f t="shared" si="0"/>
        <v>-0.23204831651684837</v>
      </c>
      <c r="F19">
        <f t="shared" si="1"/>
        <v>-0.46409663303369675</v>
      </c>
    </row>
    <row r="20" spans="1:6">
      <c r="A20" s="7">
        <f t="shared" si="2"/>
        <v>9.0000000000000011E-2</v>
      </c>
      <c r="B20">
        <f>'MAIN PAGE'!$B$13*COS(2*PI()*'MAIN PAGE'!$B$12*A20)</f>
        <v>3.2360679774997909E-2</v>
      </c>
      <c r="C20">
        <f>-'MAIN PAGE'!$B$13*(2*PI()*'MAIN PAGE'!$B$12)*SIN(2*PI()*'MAIN PAGE'!$B$12*'Wing Flap (particle)'!A20)</f>
        <v>1.4772654643923639</v>
      </c>
      <c r="D20">
        <f>-'MAIN PAGE'!$B$13*(2*PI()*'MAIN PAGE'!$B$12)^2*COS(2*PI()*'MAIN PAGE'!$B$12*'Wing Flap (particle)'!A20)</f>
        <v>-127.7548430118251</v>
      </c>
      <c r="E20" s="6">
        <f t="shared" si="0"/>
        <v>-0.31938710752956279</v>
      </c>
      <c r="F20">
        <f t="shared" si="1"/>
        <v>-0.63877421505912557</v>
      </c>
    </row>
    <row r="21" spans="1:6">
      <c r="A21" s="7">
        <f>A20+0.005</f>
        <v>9.5000000000000015E-2</v>
      </c>
      <c r="B21">
        <f>'MAIN PAGE'!$B$13*COS(2*PI()*'MAIN PAGE'!$B$12*A21)</f>
        <v>3.8042260651806152E-2</v>
      </c>
      <c r="C21">
        <f>-'MAIN PAGE'!$B$13*(2*PI()*'MAIN PAGE'!$B$12)*SIN(2*PI()*'MAIN PAGE'!$B$12*'Wing Flap (particle)'!A21)</f>
        <v>0.77664441549018504</v>
      </c>
      <c r="D21">
        <f>-'MAIN PAGE'!$B$13*(2*PI()*'MAIN PAGE'!$B$12)^2*COS(2*PI()*'MAIN PAGE'!$B$12*'Wing Flap (particle)'!A21)</f>
        <v>-150.1848252625818</v>
      </c>
      <c r="E21" s="6">
        <f t="shared" si="0"/>
        <v>-0.37546206315645447</v>
      </c>
      <c r="F21">
        <f t="shared" si="1"/>
        <v>-0.75092412631290895</v>
      </c>
    </row>
    <row r="22" spans="1:6">
      <c r="A22" s="7">
        <f t="shared" si="2"/>
        <v>0.10000000000000002</v>
      </c>
      <c r="B22">
        <f>'MAIN PAGE'!$B$13*COS(2*PI()*'MAIN PAGE'!$B$12*A22)</f>
        <v>0.04</v>
      </c>
      <c r="C22">
        <f>-'MAIN PAGE'!$B$13*(2*PI()*'MAIN PAGE'!$B$12)*SIN(2*PI()*'MAIN PAGE'!$B$12*'Wing Flap (particle)'!A22)</f>
        <v>-1.6164090570458752E-15</v>
      </c>
      <c r="D22">
        <f>-'MAIN PAGE'!$B$13*(2*PI()*'MAIN PAGE'!$B$12)^2*COS(2*PI()*'MAIN PAGE'!$B$12*'Wing Flap (particle)'!A22)</f>
        <v>-157.91367041742973</v>
      </c>
      <c r="E22" s="6">
        <f t="shared" si="0"/>
        <v>-0.39478417604357435</v>
      </c>
      <c r="F22">
        <f t="shared" si="1"/>
        <v>-0.78956835208714871</v>
      </c>
    </row>
    <row r="23" spans="1:6">
      <c r="A23" s="9" t="s">
        <v>191</v>
      </c>
      <c r="B23" s="10"/>
      <c r="C23" s="10"/>
      <c r="D23" s="10"/>
      <c r="E23" s="1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016E-1738-4DD9-9F6F-6C959B615EA7}">
  <dimension ref="A1:Q15"/>
  <sheetViews>
    <sheetView topLeftCell="A7" zoomScale="83" zoomScaleNormal="66" workbookViewId="0">
      <selection activeCell="O5" sqref="O5"/>
    </sheetView>
  </sheetViews>
  <sheetFormatPr defaultRowHeight="14.45"/>
  <cols>
    <col min="1" max="1" width="9" bestFit="1" customWidth="1"/>
    <col min="2" max="2" width="12.140625" customWidth="1"/>
    <col min="3" max="3" width="9" bestFit="1" customWidth="1"/>
    <col min="4" max="4" width="12" bestFit="1" customWidth="1"/>
    <col min="5" max="10" width="9" bestFit="1" customWidth="1"/>
    <col min="12" max="12" width="11.42578125" customWidth="1"/>
    <col min="13" max="13" width="10.140625" customWidth="1"/>
  </cols>
  <sheetData>
    <row r="1" spans="1:17">
      <c r="A1" s="31" t="s">
        <v>154</v>
      </c>
      <c r="B1" s="31" t="s">
        <v>155</v>
      </c>
      <c r="C1" s="31" t="s">
        <v>156</v>
      </c>
      <c r="D1" s="32" t="s">
        <v>97</v>
      </c>
      <c r="E1" s="31" t="s">
        <v>157</v>
      </c>
      <c r="F1" s="31" t="s">
        <v>158</v>
      </c>
      <c r="G1" s="31" t="s">
        <v>159</v>
      </c>
      <c r="H1" s="33" t="s">
        <v>160</v>
      </c>
      <c r="I1" s="31" t="s">
        <v>161</v>
      </c>
      <c r="J1" s="31" t="s">
        <v>162</v>
      </c>
      <c r="K1" s="31" t="s">
        <v>163</v>
      </c>
      <c r="L1" s="31"/>
      <c r="M1" s="34" t="s">
        <v>164</v>
      </c>
      <c r="N1" s="35" t="s">
        <v>165</v>
      </c>
      <c r="O1" t="s">
        <v>193</v>
      </c>
      <c r="P1" t="s">
        <v>194</v>
      </c>
      <c r="Q1" t="s">
        <v>107</v>
      </c>
    </row>
    <row r="3" spans="1:17">
      <c r="A3">
        <v>0</v>
      </c>
      <c r="B3">
        <f>'MAIN PAGE'!$B$17*SIN(RADIANS(A3))+'MAIN PAGE'!$G$3</f>
        <v>1.6000000000000003E-5</v>
      </c>
      <c r="C3" s="50">
        <v>1.4999999999999999E-2</v>
      </c>
      <c r="D3">
        <f>(1/2)*'MAIN PAGE'!$B$2*'MAIN PAGE'!$B$5^2*B3*C3</f>
        <v>3.6123000000000005E-6</v>
      </c>
      <c r="E3">
        <f t="shared" ref="E3:E15" si="0">D3*SIN(RADIANS(A3))</f>
        <v>0</v>
      </c>
      <c r="F3">
        <f t="shared" ref="F3:F15" si="1">D3*COS(RADIANS(A3))</f>
        <v>3.6123000000000005E-6</v>
      </c>
      <c r="G3" s="50">
        <v>0</v>
      </c>
      <c r="H3">
        <f>(1/2)*'MAIN PAGE'!$B$2*'MAIN PAGE'!$B$5^2*'MAIN PAGE'!$G$6*G3*SIN(RADIANS(90-'MAIN PAGE'!$B$22))</f>
        <v>0</v>
      </c>
      <c r="I3">
        <f t="shared" ref="I3:I15" si="2">H3*SIN(RADIANS(90-A3))</f>
        <v>0</v>
      </c>
      <c r="J3">
        <f t="shared" ref="J3:J15" si="3">H3*COS(RADIANS(90-A3))</f>
        <v>0</v>
      </c>
      <c r="K3" s="50">
        <f>'MAIN PAGE'!$G$29</f>
        <v>4.5415395000000004E-3</v>
      </c>
      <c r="M3">
        <f>-(F3+J3)</f>
        <v>-3.6123000000000005E-6</v>
      </c>
      <c r="N3">
        <f t="shared" ref="N3:N15" si="4">I3-E3-K3</f>
        <v>-4.5415395000000004E-3</v>
      </c>
    </row>
    <row r="4" spans="1:17">
      <c r="A4">
        <v>1</v>
      </c>
      <c r="B4">
        <f>'MAIN PAGE'!$B$17*SIN(RADIANS(A4))+'MAIN PAGE'!$G$3</f>
        <v>5.3957219311850534E-4</v>
      </c>
      <c r="C4" s="51">
        <v>1.6E-2</v>
      </c>
      <c r="D4">
        <f>(1/2)*'MAIN PAGE'!$B$2*'MAIN PAGE'!$B$5^2*B4*C4</f>
        <v>1.2993977554679844E-4</v>
      </c>
      <c r="E4">
        <f t="shared" si="0"/>
        <v>2.26776177521212E-6</v>
      </c>
      <c r="F4">
        <f t="shared" si="1"/>
        <v>1.2991998508960523E-4</v>
      </c>
      <c r="G4" s="51">
        <v>0.1</v>
      </c>
      <c r="H4">
        <f>(1/2)*'MAIN PAGE'!$B$2*'MAIN PAGE'!$B$5^2*'MAIN PAGE'!$G$6*G4*SIN(RADIANS(90-'MAIN PAGE'!$B$22))</f>
        <v>1.7787105231029995E-3</v>
      </c>
      <c r="I4">
        <f t="shared" si="2"/>
        <v>1.778439616874953E-3</v>
      </c>
      <c r="J4">
        <f t="shared" si="3"/>
        <v>3.1042778983466862E-5</v>
      </c>
      <c r="K4" s="51">
        <f>'MAIN PAGE'!$G$29</f>
        <v>4.5415395000000004E-3</v>
      </c>
      <c r="M4">
        <f t="shared" ref="M4:M15" si="5">-(F4+J4)</f>
        <v>-1.6096276407307207E-4</v>
      </c>
      <c r="N4">
        <f t="shared" si="4"/>
        <v>-2.7653676449002594E-3</v>
      </c>
    </row>
    <row r="5" spans="1:17">
      <c r="A5">
        <v>2</v>
      </c>
      <c r="B5">
        <f>'MAIN PAGE'!$B$17*SIN(RADIANS(A5))+'MAIN PAGE'!$G$3</f>
        <v>1.0629849010750289E-3</v>
      </c>
      <c r="C5" s="51">
        <v>1.7000000000000001E-2</v>
      </c>
      <c r="D5">
        <f>(1/2)*'MAIN PAGE'!$B$2*'MAIN PAGE'!$B$5^2*B5*C5</f>
        <v>2.7198727536919398E-4</v>
      </c>
      <c r="E5">
        <f t="shared" si="0"/>
        <v>9.4922190198694082E-6</v>
      </c>
      <c r="F5">
        <f t="shared" si="1"/>
        <v>2.7182158806988933E-4</v>
      </c>
      <c r="G5" s="51">
        <v>0.2</v>
      </c>
      <c r="H5">
        <f>(1/2)*'MAIN PAGE'!$B$2*'MAIN PAGE'!$B$5^2*'MAIN PAGE'!$G$6*G5*SIN(RADIANS(90-'MAIN PAGE'!$B$22))</f>
        <v>3.5574210462059989E-3</v>
      </c>
      <c r="I5">
        <f t="shared" si="2"/>
        <v>3.5552539614229503E-3</v>
      </c>
      <c r="J5">
        <f t="shared" si="3"/>
        <v>1.241522040714742E-4</v>
      </c>
      <c r="K5" s="51">
        <f>'MAIN PAGE'!$G$29</f>
        <v>4.5415395000000004E-3</v>
      </c>
      <c r="M5">
        <f t="shared" si="5"/>
        <v>-3.9597379214136356E-4</v>
      </c>
      <c r="N5">
        <f t="shared" si="4"/>
        <v>-9.9577775759691943E-4</v>
      </c>
    </row>
    <row r="6" spans="1:17">
      <c r="A6">
        <v>3</v>
      </c>
      <c r="B6">
        <f>'MAIN PAGE'!$B$17*SIN(RADIANS(A6))+'MAIN PAGE'!$G$3</f>
        <v>1.5860786872883149E-3</v>
      </c>
      <c r="C6" s="51">
        <v>1.9E-2</v>
      </c>
      <c r="D6">
        <f>(1/2)*'MAIN PAGE'!$B$2*'MAIN PAGE'!$B$5^2*B6*C6</f>
        <v>4.5357686999891674E-4</v>
      </c>
      <c r="E6">
        <f t="shared" si="0"/>
        <v>2.3738379221074731E-5</v>
      </c>
      <c r="F6">
        <f t="shared" si="1"/>
        <v>4.5295525866245403E-4</v>
      </c>
      <c r="G6" s="51">
        <v>0.3</v>
      </c>
      <c r="H6">
        <f>(1/2)*'MAIN PAGE'!$B$2*'MAIN PAGE'!$B$5^2*'MAIN PAGE'!$G$6*G6*SIN(RADIANS(90-'MAIN PAGE'!$B$22))</f>
        <v>5.3361315693089975E-3</v>
      </c>
      <c r="I6">
        <f t="shared" si="2"/>
        <v>5.328818586448238E-3</v>
      </c>
      <c r="J6">
        <f t="shared" si="3"/>
        <v>2.7927154831794762E-4</v>
      </c>
      <c r="K6" s="51">
        <f>'MAIN PAGE'!$G$29</f>
        <v>4.5415395000000004E-3</v>
      </c>
      <c r="M6">
        <f t="shared" si="5"/>
        <v>-7.3222680698040166E-4</v>
      </c>
      <c r="N6">
        <f t="shared" si="4"/>
        <v>7.6354070722716317E-4</v>
      </c>
    </row>
    <row r="7" spans="1:17">
      <c r="A7">
        <v>4</v>
      </c>
      <c r="B7">
        <f>'MAIN PAGE'!$B$17*SIN(RADIANS(A7))+'MAIN PAGE'!$G$3</f>
        <v>2.1086942123237588E-3</v>
      </c>
      <c r="C7" s="51">
        <v>2.1999999999999999E-2</v>
      </c>
      <c r="D7">
        <f>(1/2)*'MAIN PAGE'!$B$2*'MAIN PAGE'!$B$5^2*B7*C7</f>
        <v>6.982466427912353E-4</v>
      </c>
      <c r="E7">
        <f t="shared" si="0"/>
        <v>4.8707223604790445E-5</v>
      </c>
      <c r="F7">
        <f t="shared" si="1"/>
        <v>6.9654574906314942E-4</v>
      </c>
      <c r="G7" s="51">
        <v>0.4</v>
      </c>
      <c r="H7">
        <f>(1/2)*'MAIN PAGE'!$B$2*'MAIN PAGE'!$B$5^2*'MAIN PAGE'!$G$6*G7*SIN(RADIANS(90-'MAIN PAGE'!$B$22))</f>
        <v>7.1148420924119979E-3</v>
      </c>
      <c r="I7">
        <f t="shared" si="2"/>
        <v>7.0975106946655946E-3</v>
      </c>
      <c r="J7">
        <f t="shared" si="3"/>
        <v>4.9630629561293459E-4</v>
      </c>
      <c r="K7" s="51">
        <f>'MAIN PAGE'!$G$29</f>
        <v>4.5415395000000004E-3</v>
      </c>
      <c r="M7">
        <f t="shared" si="5"/>
        <v>-1.1928520446760839E-3</v>
      </c>
      <c r="N7">
        <f t="shared" si="4"/>
        <v>2.5072639710608038E-3</v>
      </c>
    </row>
    <row r="8" spans="1:17">
      <c r="A8">
        <v>5</v>
      </c>
      <c r="B8">
        <f>'MAIN PAGE'!$B$17*SIN(RADIANS(A8))+'MAIN PAGE'!$G$3</f>
        <v>2.6306722824297447E-3</v>
      </c>
      <c r="C8" s="51">
        <v>0.03</v>
      </c>
      <c r="D8">
        <f>(1/2)*'MAIN PAGE'!$B$2*'MAIN PAGE'!$B$5^2*B8*C8</f>
        <v>1.1878471857276209E-3</v>
      </c>
      <c r="E8">
        <f t="shared" si="0"/>
        <v>1.0352770374280626E-4</v>
      </c>
      <c r="F8">
        <f t="shared" si="1"/>
        <v>1.1833270685650569E-3</v>
      </c>
      <c r="G8" s="51">
        <v>0.5</v>
      </c>
      <c r="H8">
        <f>(1/2)*'MAIN PAGE'!$B$2*'MAIN PAGE'!$B$5^2*'MAIN PAGE'!$G$6*G8*SIN(RADIANS(90-'MAIN PAGE'!$B$22))</f>
        <v>8.8935526155149956E-3</v>
      </c>
      <c r="I8">
        <f t="shared" si="2"/>
        <v>8.8597099627760155E-3</v>
      </c>
      <c r="J8">
        <f t="shared" si="3"/>
        <v>7.7512418387058713E-4</v>
      </c>
      <c r="K8" s="51">
        <f>'MAIN PAGE'!$G$29</f>
        <v>4.5415395000000004E-3</v>
      </c>
      <c r="M8">
        <f t="shared" si="5"/>
        <v>-1.9584512524356439E-3</v>
      </c>
      <c r="N8">
        <f t="shared" si="4"/>
        <v>4.2146427590332089E-3</v>
      </c>
    </row>
    <row r="9" spans="1:17">
      <c r="A9">
        <v>6</v>
      </c>
      <c r="B9">
        <f>'MAIN PAGE'!$B$17*SIN(RADIANS(A9))+'MAIN PAGE'!$G$3</f>
        <v>3.1518538980296038E-3</v>
      </c>
      <c r="C9" s="51">
        <v>0.04</v>
      </c>
      <c r="D9">
        <f>(1/2)*'MAIN PAGE'!$B$2*'MAIN PAGE'!$B$5^2*B9*C9</f>
        <v>1.8975736393087228E-3</v>
      </c>
      <c r="E9">
        <f t="shared" si="0"/>
        <v>1.9835045645414935E-4</v>
      </c>
      <c r="F9">
        <f t="shared" si="1"/>
        <v>1.8871785323661832E-3</v>
      </c>
      <c r="G9" s="51">
        <v>0.54</v>
      </c>
      <c r="H9">
        <f>(1/2)*'MAIN PAGE'!$B$2*'MAIN PAGE'!$B$5^2*'MAIN PAGE'!$G$6*G9*SIN(RADIANS(90-'MAIN PAGE'!$B$22))</f>
        <v>9.6050368247561982E-3</v>
      </c>
      <c r="I9">
        <f t="shared" si="2"/>
        <v>9.5524194280385954E-3</v>
      </c>
      <c r="J9">
        <f t="shared" si="3"/>
        <v>1.0039997389209871E-3</v>
      </c>
      <c r="K9" s="51">
        <f>'MAIN PAGE'!$G$29</f>
        <v>4.5415395000000004E-3</v>
      </c>
      <c r="M9">
        <f t="shared" si="5"/>
        <v>-2.8911782712871701E-3</v>
      </c>
      <c r="N9">
        <f t="shared" si="4"/>
        <v>4.8125294715844463E-3</v>
      </c>
    </row>
    <row r="10" spans="1:17">
      <c r="A10">
        <v>7</v>
      </c>
      <c r="B10">
        <f>'MAIN PAGE'!$B$17*SIN(RADIANS(A10))+'MAIN PAGE'!$G$3</f>
        <v>3.6720803021544242E-3</v>
      </c>
      <c r="C10" s="51">
        <v>0.05</v>
      </c>
      <c r="D10">
        <f>(1/2)*'MAIN PAGE'!$B$2*'MAIN PAGE'!$B$5^2*B10*C10</f>
        <v>2.7634699323900889E-3</v>
      </c>
      <c r="E10">
        <f t="shared" si="0"/>
        <v>3.3678226618024743E-4</v>
      </c>
      <c r="F10">
        <f t="shared" si="1"/>
        <v>2.7428714465702869E-3</v>
      </c>
      <c r="G10" s="51">
        <v>0.57999999999999996</v>
      </c>
      <c r="H10">
        <f>(1/2)*'MAIN PAGE'!$B$2*'MAIN PAGE'!$B$5^2*'MAIN PAGE'!$G$6*G10*SIN(RADIANS(90-'MAIN PAGE'!$B$22))</f>
        <v>1.0316521033997396E-2</v>
      </c>
      <c r="I10">
        <f t="shared" si="2"/>
        <v>1.0239623250620868E-2</v>
      </c>
      <c r="J10">
        <f t="shared" si="3"/>
        <v>1.2572676446386559E-3</v>
      </c>
      <c r="K10" s="51">
        <f>'MAIN PAGE'!$G$29</f>
        <v>4.5415395000000004E-3</v>
      </c>
      <c r="M10">
        <f t="shared" si="5"/>
        <v>-4.000139091208943E-3</v>
      </c>
      <c r="N10">
        <f t="shared" si="4"/>
        <v>5.3613014844406202E-3</v>
      </c>
    </row>
    <row r="11" spans="1:17">
      <c r="A11">
        <v>8</v>
      </c>
      <c r="B11">
        <f>'MAIN PAGE'!$B$17*SIN(RADIANS(A11))+'MAIN PAGE'!$G$3</f>
        <v>4.1911930288019636E-3</v>
      </c>
      <c r="C11" s="51">
        <v>0.06</v>
      </c>
      <c r="D11">
        <f>(1/2)*'MAIN PAGE'!$B$2*'MAIN PAGE'!$B$5^2*B11*C11</f>
        <v>3.7849616444853335E-3</v>
      </c>
      <c r="E11">
        <f t="shared" si="0"/>
        <v>5.2676484907793262E-4</v>
      </c>
      <c r="F11">
        <f t="shared" si="1"/>
        <v>3.7481266579454096E-3</v>
      </c>
      <c r="G11" s="51">
        <v>0.62</v>
      </c>
      <c r="H11">
        <f>(1/2)*'MAIN PAGE'!$B$2*'MAIN PAGE'!$B$5^2*'MAIN PAGE'!$G$6*G11*SIN(RADIANS(90-'MAIN PAGE'!$B$22))</f>
        <v>1.1028005243238596E-2</v>
      </c>
      <c r="I11">
        <f t="shared" si="2"/>
        <v>1.0920681454293797E-2</v>
      </c>
      <c r="J11">
        <f t="shared" si="3"/>
        <v>1.5348016871053764E-3</v>
      </c>
      <c r="K11" s="51">
        <f>'MAIN PAGE'!$G$29</f>
        <v>4.5415395000000004E-3</v>
      </c>
      <c r="M11">
        <f t="shared" si="5"/>
        <v>-5.2829283450507858E-3</v>
      </c>
      <c r="N11">
        <f t="shared" si="4"/>
        <v>5.8523771052158644E-3</v>
      </c>
    </row>
    <row r="12" spans="1:17">
      <c r="A12">
        <v>9</v>
      </c>
      <c r="B12">
        <f>'MAIN PAGE'!$B$17*SIN(RADIANS(A12))+'MAIN PAGE'!$G$3</f>
        <v>4.7090339512069262E-3</v>
      </c>
      <c r="C12" s="51">
        <v>7.0000000000000007E-2</v>
      </c>
      <c r="D12">
        <f>(1/2)*'MAIN PAGE'!$B$2*'MAIN PAGE'!$B$5^2*B12*C12</f>
        <v>4.9613793080672272E-3</v>
      </c>
      <c r="E12">
        <f t="shared" si="0"/>
        <v>7.7613071791916746E-4</v>
      </c>
      <c r="F12">
        <f t="shared" si="1"/>
        <v>4.9002964958479722E-3</v>
      </c>
      <c r="G12" s="51">
        <v>0.66</v>
      </c>
      <c r="H12">
        <f>(1/2)*'MAIN PAGE'!$B$2*'MAIN PAGE'!$B$5^2*'MAIN PAGE'!$G$6*G12*SIN(RADIANS(90-'MAIN PAGE'!$B$22))</f>
        <v>1.1739489452479795E-2</v>
      </c>
      <c r="I12">
        <f t="shared" si="2"/>
        <v>1.1594956856753892E-2</v>
      </c>
      <c r="J12">
        <f t="shared" si="3"/>
        <v>1.8364607523441102E-3</v>
      </c>
      <c r="K12" s="51">
        <f>'MAIN PAGE'!$G$29</f>
        <v>4.5415395000000004E-3</v>
      </c>
      <c r="M12">
        <f t="shared" si="5"/>
        <v>-6.7367572481920827E-3</v>
      </c>
      <c r="N12">
        <f t="shared" si="4"/>
        <v>6.2772866388347247E-3</v>
      </c>
    </row>
    <row r="13" spans="1:17">
      <c r="A13">
        <v>10</v>
      </c>
      <c r="B13">
        <f>'MAIN PAGE'!$B$17*SIN(RADIANS(A13))+'MAIN PAGE'!$G$3</f>
        <v>5.2254453300079103E-3</v>
      </c>
      <c r="C13" s="51">
        <v>0.08</v>
      </c>
      <c r="D13">
        <f>(1/2)*'MAIN PAGE'!$B$2*'MAIN PAGE'!$B$5^2*B13*C13</f>
        <v>6.2919587218625249E-3</v>
      </c>
      <c r="E13">
        <f t="shared" si="0"/>
        <v>1.0925871660069756E-3</v>
      </c>
      <c r="F13">
        <f t="shared" si="1"/>
        <v>6.1963697309229977E-3</v>
      </c>
      <c r="G13" s="51">
        <v>0.68</v>
      </c>
      <c r="H13">
        <f>(1/2)*'MAIN PAGE'!$B$2*'MAIN PAGE'!$B$5^2*'MAIN PAGE'!$G$6*G13*SIN(RADIANS(90-'MAIN PAGE'!$B$22))</f>
        <v>1.2095231557100395E-2</v>
      </c>
      <c r="I13">
        <f t="shared" si="2"/>
        <v>1.191147781191039E-2</v>
      </c>
      <c r="J13">
        <f t="shared" si="3"/>
        <v>2.100314918350033E-3</v>
      </c>
      <c r="K13" s="51">
        <f>'MAIN PAGE'!$G$29</f>
        <v>4.5415395000000004E-3</v>
      </c>
      <c r="M13">
        <f t="shared" si="5"/>
        <v>-8.2966846492730298E-3</v>
      </c>
      <c r="N13">
        <f t="shared" si="4"/>
        <v>6.2773511459034131E-3</v>
      </c>
    </row>
    <row r="14" spans="1:17">
      <c r="A14">
        <v>11</v>
      </c>
      <c r="B14">
        <f>'MAIN PAGE'!$B$17*SIN(RADIANS(A14))+'MAIN PAGE'!$G$3</f>
        <v>5.7402698612963442E-3</v>
      </c>
      <c r="C14" s="51">
        <v>0.09</v>
      </c>
      <c r="D14">
        <f>(1/2)*'MAIN PAGE'!$B$2*'MAIN PAGE'!$B$5^2*B14*C14</f>
        <v>7.7758413074852937E-3</v>
      </c>
      <c r="E14">
        <f t="shared" si="0"/>
        <v>1.4837004680887075E-3</v>
      </c>
      <c r="F14">
        <f t="shared" si="1"/>
        <v>7.63297720160279E-3</v>
      </c>
      <c r="G14" s="51">
        <v>0.7</v>
      </c>
      <c r="H14">
        <f>(1/2)*'MAIN PAGE'!$B$2*'MAIN PAGE'!$B$5^2*'MAIN PAGE'!$G$6*G14*SIN(RADIANS(90-'MAIN PAGE'!$B$22))</f>
        <v>1.2450973661720995E-2</v>
      </c>
      <c r="I14">
        <f t="shared" si="2"/>
        <v>1.2222214206736227E-2</v>
      </c>
      <c r="J14">
        <f t="shared" si="3"/>
        <v>2.3757577758528039E-3</v>
      </c>
      <c r="K14" s="51">
        <f>'MAIN PAGE'!$G$29</f>
        <v>4.5415395000000004E-3</v>
      </c>
      <c r="M14">
        <f t="shared" si="5"/>
        <v>-1.0008734977455594E-2</v>
      </c>
      <c r="N14">
        <f t="shared" si="4"/>
        <v>6.1969742386475193E-3</v>
      </c>
    </row>
    <row r="15" spans="1:17">
      <c r="A15">
        <v>12</v>
      </c>
      <c r="B15">
        <f>'MAIN PAGE'!$B$17*SIN(RADIANS(A15))+'MAIN PAGE'!$G$3</f>
        <v>6.2533507245327805E-3</v>
      </c>
      <c r="C15" s="52">
        <v>0.1</v>
      </c>
      <c r="D15">
        <f>(1/2)*'MAIN PAGE'!$B$2*'MAIN PAGE'!$B$5^2*B15*C15</f>
        <v>9.4120745092624025E-3</v>
      </c>
      <c r="E15">
        <f t="shared" si="0"/>
        <v>1.9568803253234785E-3</v>
      </c>
      <c r="F15">
        <f t="shared" si="1"/>
        <v>9.20639809916283E-3</v>
      </c>
      <c r="G15" s="52">
        <v>0.68</v>
      </c>
      <c r="H15">
        <f>(1/2)*'MAIN PAGE'!$B$2*'MAIN PAGE'!$B$5^2*'MAIN PAGE'!$G$6*G15*SIN(RADIANS(90-'MAIN PAGE'!$B$22))</f>
        <v>1.2095231557100395E-2</v>
      </c>
      <c r="I15">
        <f t="shared" si="2"/>
        <v>1.1830921727897563E-2</v>
      </c>
      <c r="J15">
        <f t="shared" si="3"/>
        <v>2.5147400438690647E-3</v>
      </c>
      <c r="K15" s="52">
        <f>'MAIN PAGE'!$G$29</f>
        <v>4.5415395000000004E-3</v>
      </c>
      <c r="M15">
        <f t="shared" si="5"/>
        <v>-1.1721138143031894E-2</v>
      </c>
      <c r="N15">
        <f t="shared" si="4"/>
        <v>5.3325019025740848E-3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EDC2-5DAB-49D4-A88A-4C1DF4D3CDC3}">
  <dimension ref="A1:Q32"/>
  <sheetViews>
    <sheetView topLeftCell="A7" zoomScale="83" zoomScaleNormal="66" workbookViewId="0">
      <selection activeCell="K3" sqref="K3"/>
    </sheetView>
  </sheetViews>
  <sheetFormatPr defaultRowHeight="14.45"/>
  <cols>
    <col min="1" max="1" width="9" bestFit="1" customWidth="1"/>
    <col min="2" max="2" width="12.140625" customWidth="1"/>
    <col min="3" max="3" width="9" bestFit="1" customWidth="1"/>
    <col min="4" max="4" width="12" bestFit="1" customWidth="1"/>
    <col min="5" max="10" width="9" bestFit="1" customWidth="1"/>
    <col min="12" max="12" width="11.42578125" customWidth="1"/>
    <col min="13" max="13" width="10.140625" customWidth="1"/>
  </cols>
  <sheetData>
    <row r="1" spans="1:17">
      <c r="A1" s="31" t="s">
        <v>154</v>
      </c>
      <c r="B1" s="31" t="s">
        <v>155</v>
      </c>
      <c r="C1" s="31" t="s">
        <v>156</v>
      </c>
      <c r="D1" s="32" t="s">
        <v>97</v>
      </c>
      <c r="E1" s="31" t="s">
        <v>157</v>
      </c>
      <c r="F1" s="31" t="s">
        <v>158</v>
      </c>
      <c r="G1" s="31" t="s">
        <v>159</v>
      </c>
      <c r="H1" s="33" t="s">
        <v>160</v>
      </c>
      <c r="I1" s="31" t="s">
        <v>161</v>
      </c>
      <c r="J1" s="31" t="s">
        <v>162</v>
      </c>
      <c r="K1" s="31" t="s">
        <v>163</v>
      </c>
      <c r="L1" s="31"/>
      <c r="M1" s="34" t="s">
        <v>164</v>
      </c>
      <c r="N1" s="35" t="s">
        <v>165</v>
      </c>
      <c r="O1" t="s">
        <v>193</v>
      </c>
      <c r="P1" t="s">
        <v>194</v>
      </c>
      <c r="Q1" t="s">
        <v>107</v>
      </c>
    </row>
    <row r="3" spans="1:17">
      <c r="A3">
        <v>0</v>
      </c>
      <c r="B3">
        <f>'MAIN PAGE'!$B$17*SIN(RADIANS(A3))+'MAIN PAGE'!$G$3</f>
        <v>1.6000000000000003E-5</v>
      </c>
      <c r="C3" s="50">
        <v>0.01</v>
      </c>
      <c r="D3">
        <f>(1/2)*'MAIN PAGE'!$B$2*'MAIN PAGE'!$B$5^2*B3*C3</f>
        <v>2.4082000000000005E-6</v>
      </c>
      <c r="E3">
        <f t="shared" ref="E3:E15" si="0">D3*SIN(RADIANS(A3))</f>
        <v>0</v>
      </c>
      <c r="F3">
        <f t="shared" ref="F3:F15" si="1">D3*COS(RADIANS(A3))</f>
        <v>2.4082000000000005E-6</v>
      </c>
      <c r="G3" s="50">
        <v>0</v>
      </c>
      <c r="H3">
        <f>(1/2)*'MAIN PAGE'!$B$2*'MAIN PAGE'!$B$5^2*'MAIN PAGE'!$G$6*G3*SIN(RADIANS(90-'MAIN PAGE'!$B$22))</f>
        <v>0</v>
      </c>
      <c r="I3">
        <f t="shared" ref="I3:I15" si="2">H3*SIN(RADIANS(90-A3))</f>
        <v>0</v>
      </c>
      <c r="J3">
        <f t="shared" ref="J3:J15" si="3">H3*COS(RADIANS(90-A3))</f>
        <v>0</v>
      </c>
      <c r="K3" s="50">
        <f>'MAIN PAGE'!O52</f>
        <v>4.5415395000000004E-3</v>
      </c>
      <c r="M3">
        <f>-(F3+J3)</f>
        <v>-2.4082000000000005E-6</v>
      </c>
      <c r="N3">
        <f t="shared" ref="N3:N15" si="4">I3-E3-K3</f>
        <v>-4.5415395000000004E-3</v>
      </c>
    </row>
    <row r="4" spans="1:17">
      <c r="A4">
        <v>1</v>
      </c>
      <c r="B4">
        <f>'MAIN PAGE'!$B$17*SIN(RADIANS(A4))+'MAIN PAGE'!$G$3</f>
        <v>5.3957219311850534E-4</v>
      </c>
      <c r="C4" s="51">
        <v>1.2E-2</v>
      </c>
      <c r="D4">
        <f>(1/2)*'MAIN PAGE'!$B$2*'MAIN PAGE'!$B$5^2*B4*C4</f>
        <v>9.7454831660098839E-5</v>
      </c>
      <c r="E4">
        <f t="shared" si="0"/>
        <v>1.7008213314090899E-6</v>
      </c>
      <c r="F4">
        <f t="shared" si="1"/>
        <v>9.7439988817203939E-5</v>
      </c>
      <c r="G4" s="51">
        <v>0.15</v>
      </c>
      <c r="H4">
        <f>(1/2)*'MAIN PAGE'!$B$2*'MAIN PAGE'!$B$5^2*'MAIN PAGE'!$G$6*G4*SIN(RADIANS(90-'MAIN PAGE'!$B$22))</f>
        <v>2.6680657846544988E-3</v>
      </c>
      <c r="I4">
        <f t="shared" si="2"/>
        <v>2.6676594253124291E-3</v>
      </c>
      <c r="J4">
        <f t="shared" si="3"/>
        <v>4.6564168475200293E-5</v>
      </c>
      <c r="K4" s="51">
        <f>K3</f>
        <v>4.5415395000000004E-3</v>
      </c>
      <c r="M4">
        <f t="shared" ref="M4:M15" si="5">-(F4+J4)</f>
        <v>-1.4400415729240424E-4</v>
      </c>
      <c r="N4">
        <f t="shared" si="4"/>
        <v>-1.8755808960189803E-3</v>
      </c>
    </row>
    <row r="5" spans="1:17">
      <c r="A5">
        <v>2</v>
      </c>
      <c r="B5">
        <f>'MAIN PAGE'!$B$17*SIN(RADIANS(A5))+'MAIN PAGE'!$G$3</f>
        <v>1.0629849010750289E-3</v>
      </c>
      <c r="C5" s="51">
        <v>1.4E-2</v>
      </c>
      <c r="D5">
        <f>(1/2)*'MAIN PAGE'!$B$2*'MAIN PAGE'!$B$5^2*B5*C5</f>
        <v>2.239895208922774E-4</v>
      </c>
      <c r="E5">
        <f t="shared" si="0"/>
        <v>7.8171215457748079E-6</v>
      </c>
      <c r="F5">
        <f t="shared" si="1"/>
        <v>2.2385307252814415E-4</v>
      </c>
      <c r="G5" s="51">
        <v>0.3</v>
      </c>
      <c r="H5">
        <f>(1/2)*'MAIN PAGE'!$B$2*'MAIN PAGE'!$B$5^2*'MAIN PAGE'!$G$6*G5*SIN(RADIANS(90-'MAIN PAGE'!$B$22))</f>
        <v>5.3361315693089975E-3</v>
      </c>
      <c r="I5">
        <f t="shared" si="2"/>
        <v>5.3328809421344242E-3</v>
      </c>
      <c r="J5">
        <f t="shared" si="3"/>
        <v>1.8622830610721128E-4</v>
      </c>
      <c r="K5" s="51">
        <f>K3</f>
        <v>4.5415395000000004E-3</v>
      </c>
      <c r="M5">
        <f t="shared" si="5"/>
        <v>-4.1008137863535546E-4</v>
      </c>
      <c r="N5">
        <f t="shared" si="4"/>
        <v>7.8352432058864923E-4</v>
      </c>
    </row>
    <row r="6" spans="1:17">
      <c r="A6">
        <v>3</v>
      </c>
      <c r="B6">
        <f>'MAIN PAGE'!$B$17*SIN(RADIANS(A6))+'MAIN PAGE'!$G$3</f>
        <v>1.5860786872883149E-3</v>
      </c>
      <c r="C6" s="51">
        <v>1.6E-2</v>
      </c>
      <c r="D6">
        <f>(1/2)*'MAIN PAGE'!$B$2*'MAIN PAGE'!$B$5^2*B6*C6</f>
        <v>3.8195946947277198E-4</v>
      </c>
      <c r="E6">
        <f t="shared" si="0"/>
        <v>1.9990214080905035E-5</v>
      </c>
      <c r="F6">
        <f t="shared" si="1"/>
        <v>3.8143600729469813E-4</v>
      </c>
      <c r="G6" s="51">
        <v>0.45</v>
      </c>
      <c r="H6">
        <f>(1/2)*'MAIN PAGE'!$B$2*'MAIN PAGE'!$B$5^2*'MAIN PAGE'!$G$6*G6*SIN(RADIANS(90-'MAIN PAGE'!$B$22))</f>
        <v>8.0041973539634968E-3</v>
      </c>
      <c r="I6">
        <f t="shared" si="2"/>
        <v>7.9932278796723578E-3</v>
      </c>
      <c r="J6">
        <f t="shared" si="3"/>
        <v>4.1890732247692146E-4</v>
      </c>
      <c r="K6" s="51">
        <f>K3</f>
        <v>4.5415395000000004E-3</v>
      </c>
      <c r="M6">
        <f t="shared" si="5"/>
        <v>-8.0034332977161953E-4</v>
      </c>
      <c r="N6">
        <f t="shared" si="4"/>
        <v>3.4316981655914524E-3</v>
      </c>
    </row>
    <row r="7" spans="1:17">
      <c r="A7">
        <v>4</v>
      </c>
      <c r="B7">
        <f>'MAIN PAGE'!$B$17*SIN(RADIANS(A7))+'MAIN PAGE'!$G$3</f>
        <v>2.1086942123237588E-3</v>
      </c>
      <c r="C7" s="51">
        <v>1.7999999999999999E-2</v>
      </c>
      <c r="D7">
        <f>(1/2)*'MAIN PAGE'!$B$2*'MAIN PAGE'!$B$5^2*B7*C7</f>
        <v>5.7129270773828339E-4</v>
      </c>
      <c r="E7">
        <f t="shared" si="0"/>
        <v>3.9851364767555816E-5</v>
      </c>
      <c r="F7">
        <f t="shared" si="1"/>
        <v>5.6990106741530396E-4</v>
      </c>
      <c r="G7" s="51">
        <v>0.6</v>
      </c>
      <c r="H7">
        <f>(1/2)*'MAIN PAGE'!$B$2*'MAIN PAGE'!$B$5^2*'MAIN PAGE'!$G$6*G7*SIN(RADIANS(90-'MAIN PAGE'!$B$22))</f>
        <v>1.0672263138617995E-2</v>
      </c>
      <c r="I7">
        <f t="shared" si="2"/>
        <v>1.0646266041998391E-2</v>
      </c>
      <c r="J7">
        <f t="shared" si="3"/>
        <v>7.4445944341940172E-4</v>
      </c>
      <c r="K7" s="51">
        <f>K3</f>
        <v>4.5415395000000004E-3</v>
      </c>
      <c r="M7">
        <f t="shared" si="5"/>
        <v>-1.3143605108347058E-3</v>
      </c>
      <c r="N7">
        <f t="shared" si="4"/>
        <v>6.064875177230835E-3</v>
      </c>
    </row>
    <row r="8" spans="1:17">
      <c r="A8">
        <v>5</v>
      </c>
      <c r="B8">
        <f>'MAIN PAGE'!$B$17*SIN(RADIANS(A8))+'MAIN PAGE'!$G$3</f>
        <v>2.6306722824297447E-3</v>
      </c>
      <c r="C8" s="51">
        <v>0.02</v>
      </c>
      <c r="D8">
        <f>(1/2)*'MAIN PAGE'!$B$2*'MAIN PAGE'!$B$5^2*B8*C8</f>
        <v>7.9189812381841394E-4</v>
      </c>
      <c r="E8">
        <f t="shared" si="0"/>
        <v>6.9018469161870834E-5</v>
      </c>
      <c r="F8">
        <f t="shared" si="1"/>
        <v>7.8888471237670461E-4</v>
      </c>
      <c r="G8" s="51">
        <v>0.8</v>
      </c>
      <c r="H8">
        <f>(1/2)*'MAIN PAGE'!$B$2*'MAIN PAGE'!$B$5^2*'MAIN PAGE'!$G$6*G8*SIN(RADIANS(90-'MAIN PAGE'!$B$22))</f>
        <v>1.4229684184823996E-2</v>
      </c>
      <c r="I8">
        <f t="shared" si="2"/>
        <v>1.4175535940441627E-2</v>
      </c>
      <c r="J8">
        <f t="shared" si="3"/>
        <v>1.2401986941929398E-3</v>
      </c>
      <c r="K8" s="51">
        <f>K3</f>
        <v>4.5415395000000004E-3</v>
      </c>
      <c r="M8">
        <f t="shared" si="5"/>
        <v>-2.0290834065696444E-3</v>
      </c>
      <c r="N8">
        <f t="shared" si="4"/>
        <v>9.5649779712797551E-3</v>
      </c>
    </row>
    <row r="9" spans="1:17">
      <c r="A9">
        <v>6</v>
      </c>
      <c r="B9">
        <f>'MAIN PAGE'!$B$17*SIN(RADIANS(A9))+'MAIN PAGE'!$G$3</f>
        <v>3.1518538980296038E-3</v>
      </c>
      <c r="C9" s="51">
        <v>2.1999999999999999E-2</v>
      </c>
      <c r="D9">
        <f>(1/2)*'MAIN PAGE'!$B$2*'MAIN PAGE'!$B$5^2*B9*C9</f>
        <v>1.0436655016197974E-3</v>
      </c>
      <c r="E9">
        <f t="shared" si="0"/>
        <v>1.0909275104978213E-4</v>
      </c>
      <c r="F9">
        <f t="shared" si="1"/>
        <v>1.0379481928014006E-3</v>
      </c>
      <c r="G9" s="51">
        <v>0.9</v>
      </c>
      <c r="H9">
        <f>(1/2)*'MAIN PAGE'!$B$2*'MAIN PAGE'!$B$5^2*'MAIN PAGE'!$G$6*G9*SIN(RADIANS(90-'MAIN PAGE'!$B$22))</f>
        <v>1.6008394707926994E-2</v>
      </c>
      <c r="I9">
        <f t="shared" si="2"/>
        <v>1.5920699046730991E-2</v>
      </c>
      <c r="J9">
        <f t="shared" si="3"/>
        <v>1.6733328982016448E-3</v>
      </c>
      <c r="K9" s="51">
        <f>K3</f>
        <v>4.5415395000000004E-3</v>
      </c>
      <c r="M9">
        <f t="shared" si="5"/>
        <v>-2.7112810910030457E-3</v>
      </c>
      <c r="N9">
        <f t="shared" si="4"/>
        <v>1.1270066795681207E-2</v>
      </c>
    </row>
    <row r="10" spans="1:17">
      <c r="A10">
        <v>7</v>
      </c>
      <c r="B10">
        <f>'MAIN PAGE'!$B$17*SIN(RADIANS(A10))+'MAIN PAGE'!$G$3</f>
        <v>3.6720803021544242E-3</v>
      </c>
      <c r="C10" s="51">
        <v>2.4E-2</v>
      </c>
      <c r="D10">
        <f>(1/2)*'MAIN PAGE'!$B$2*'MAIN PAGE'!$B$5^2*B10*C10</f>
        <v>1.3264655675472427E-3</v>
      </c>
      <c r="E10">
        <f t="shared" si="0"/>
        <v>1.6165548776651877E-4</v>
      </c>
      <c r="F10">
        <f t="shared" si="1"/>
        <v>1.3165782943537377E-3</v>
      </c>
      <c r="G10" s="51">
        <v>1</v>
      </c>
      <c r="H10">
        <f>(1/2)*'MAIN PAGE'!$B$2*'MAIN PAGE'!$B$5^2*'MAIN PAGE'!$G$6*G10*SIN(RADIANS(90-'MAIN PAGE'!$B$22))</f>
        <v>1.7787105231029991E-2</v>
      </c>
      <c r="I10">
        <f t="shared" si="2"/>
        <v>1.7654522845898045E-2</v>
      </c>
      <c r="J10">
        <f t="shared" si="3"/>
        <v>2.1677028355838895E-3</v>
      </c>
      <c r="K10" s="51">
        <f>K3</f>
        <v>4.5415395000000004E-3</v>
      </c>
      <c r="M10">
        <f t="shared" si="5"/>
        <v>-3.4842811299376272E-3</v>
      </c>
      <c r="N10">
        <f t="shared" si="4"/>
        <v>1.2951327858131526E-2</v>
      </c>
    </row>
    <row r="11" spans="1:17">
      <c r="A11">
        <v>8</v>
      </c>
      <c r="B11">
        <f>'MAIN PAGE'!$B$17*SIN(RADIANS(A11))+'MAIN PAGE'!$G$3</f>
        <v>4.1911930288019636E-3</v>
      </c>
      <c r="C11" s="51">
        <v>2.5999999999999999E-2</v>
      </c>
      <c r="D11">
        <f>(1/2)*'MAIN PAGE'!$B$2*'MAIN PAGE'!$B$5^2*B11*C11</f>
        <v>1.6401500459436444E-3</v>
      </c>
      <c r="E11">
        <f t="shared" si="0"/>
        <v>2.2826476793377079E-4</v>
      </c>
      <c r="F11">
        <f t="shared" si="1"/>
        <v>1.6241882184430108E-3</v>
      </c>
      <c r="G11" s="51">
        <v>1.1000000000000001</v>
      </c>
      <c r="H11">
        <f>(1/2)*'MAIN PAGE'!$B$2*'MAIN PAGE'!$B$5^2*'MAIN PAGE'!$G$6*G11*SIN(RADIANS(90-'MAIN PAGE'!$B$22))</f>
        <v>1.9565815754132996E-2</v>
      </c>
      <c r="I11">
        <f t="shared" si="2"/>
        <v>1.9375402580198674E-2</v>
      </c>
      <c r="J11">
        <f t="shared" si="3"/>
        <v>2.723035251315991E-3</v>
      </c>
      <c r="K11" s="51">
        <f>K3</f>
        <v>4.5415395000000004E-3</v>
      </c>
      <c r="M11">
        <f t="shared" si="5"/>
        <v>-4.3472234697590015E-3</v>
      </c>
      <c r="N11">
        <f t="shared" si="4"/>
        <v>1.4605598312264902E-2</v>
      </c>
    </row>
    <row r="12" spans="1:17">
      <c r="A12">
        <v>9</v>
      </c>
      <c r="B12">
        <f>'MAIN PAGE'!$B$17*SIN(RADIANS(A12))+'MAIN PAGE'!$G$3</f>
        <v>4.7090339512069262E-3</v>
      </c>
      <c r="C12" s="51">
        <v>2.8000000000000001E-2</v>
      </c>
      <c r="D12">
        <f>(1/2)*'MAIN PAGE'!$B$2*'MAIN PAGE'!$B$5^2*B12*C12</f>
        <v>1.9845517232268909E-3</v>
      </c>
      <c r="E12">
        <f t="shared" si="0"/>
        <v>3.1045228716766699E-4</v>
      </c>
      <c r="F12">
        <f t="shared" si="1"/>
        <v>1.9601185983391888E-3</v>
      </c>
      <c r="G12" s="51">
        <v>1.2</v>
      </c>
      <c r="H12">
        <f>(1/2)*'MAIN PAGE'!$B$2*'MAIN PAGE'!$B$5^2*'MAIN PAGE'!$G$6*G12*SIN(RADIANS(90-'MAIN PAGE'!$B$22))</f>
        <v>2.134452627723599E-2</v>
      </c>
      <c r="I12">
        <f t="shared" si="2"/>
        <v>2.1081739739552529E-2</v>
      </c>
      <c r="J12">
        <f t="shared" si="3"/>
        <v>3.3390195497165639E-3</v>
      </c>
      <c r="K12" s="51">
        <f>K3</f>
        <v>4.5415395000000004E-3</v>
      </c>
      <c r="M12">
        <f t="shared" si="5"/>
        <v>-5.2991381480557527E-3</v>
      </c>
      <c r="N12">
        <f t="shared" si="4"/>
        <v>1.6229747952384861E-2</v>
      </c>
    </row>
    <row r="13" spans="1:17">
      <c r="A13">
        <v>10</v>
      </c>
      <c r="B13">
        <f>'MAIN PAGE'!$B$17*SIN(RADIANS(A13))+'MAIN PAGE'!$G$3</f>
        <v>5.2254453300079103E-3</v>
      </c>
      <c r="C13" s="51">
        <v>0.03</v>
      </c>
      <c r="D13">
        <f>(1/2)*'MAIN PAGE'!$B$2*'MAIN PAGE'!$B$5^2*B13*C13</f>
        <v>2.3594845206984468E-3</v>
      </c>
      <c r="E13">
        <f t="shared" si="0"/>
        <v>4.0972018725261584E-4</v>
      </c>
      <c r="F13">
        <f t="shared" si="1"/>
        <v>2.3236386490961239E-3</v>
      </c>
      <c r="G13" s="51">
        <v>1.3</v>
      </c>
      <c r="H13">
        <f>(1/2)*'MAIN PAGE'!$B$2*'MAIN PAGE'!$B$5^2*'MAIN PAGE'!$G$6*G13*SIN(RADIANS(90-'MAIN PAGE'!$B$22))</f>
        <v>2.3123236800338995E-2</v>
      </c>
      <c r="I13">
        <f t="shared" si="2"/>
        <v>2.2771942875711045E-2</v>
      </c>
      <c r="J13">
        <f t="shared" si="3"/>
        <v>4.0153079321397691E-3</v>
      </c>
      <c r="K13" s="51">
        <f>K3</f>
        <v>4.5415395000000004E-3</v>
      </c>
      <c r="M13">
        <f t="shared" si="5"/>
        <v>-6.3389465812358926E-3</v>
      </c>
      <c r="N13">
        <f t="shared" si="4"/>
        <v>1.782068318845843E-2</v>
      </c>
    </row>
    <row r="14" spans="1:17">
      <c r="A14">
        <v>11</v>
      </c>
      <c r="B14">
        <f>'MAIN PAGE'!$B$17*SIN(RADIANS(A14))+'MAIN PAGE'!$G$3</f>
        <v>5.7402698612963442E-3</v>
      </c>
      <c r="C14" s="51">
        <v>0.05</v>
      </c>
      <c r="D14">
        <f>(1/2)*'MAIN PAGE'!$B$2*'MAIN PAGE'!$B$5^2*B14*C14</f>
        <v>4.3199118374918303E-3</v>
      </c>
      <c r="E14">
        <f t="shared" si="0"/>
        <v>8.2427803782705986E-4</v>
      </c>
      <c r="F14">
        <f t="shared" si="1"/>
        <v>4.2405428897793283E-3</v>
      </c>
      <c r="G14" s="51">
        <v>1.3</v>
      </c>
      <c r="H14">
        <f>(1/2)*'MAIN PAGE'!$B$2*'MAIN PAGE'!$B$5^2*'MAIN PAGE'!$G$6*G14*SIN(RADIANS(90-'MAIN PAGE'!$B$22))</f>
        <v>2.3123236800338995E-2</v>
      </c>
      <c r="I14">
        <f t="shared" si="2"/>
        <v>2.2698397812510141E-2</v>
      </c>
      <c r="J14">
        <f t="shared" si="3"/>
        <v>4.4121215837266362E-3</v>
      </c>
      <c r="K14" s="51">
        <f>K3</f>
        <v>4.5415395000000004E-3</v>
      </c>
      <c r="M14">
        <f t="shared" si="5"/>
        <v>-8.6526644735059645E-3</v>
      </c>
      <c r="N14">
        <f t="shared" si="4"/>
        <v>1.7332580274683082E-2</v>
      </c>
    </row>
    <row r="15" spans="1:17">
      <c r="A15">
        <v>12</v>
      </c>
      <c r="B15">
        <f>'MAIN PAGE'!$B$17*SIN(RADIANS(A15))+'MAIN PAGE'!$G$3</f>
        <v>6.2533507245327805E-3</v>
      </c>
      <c r="C15" s="52">
        <v>0.06</v>
      </c>
      <c r="D15">
        <f>(1/2)*'MAIN PAGE'!$B$2*'MAIN PAGE'!$B$5^2*B15*C15</f>
        <v>5.6472447055574406E-3</v>
      </c>
      <c r="E15">
        <f t="shared" si="0"/>
        <v>1.174128195194087E-3</v>
      </c>
      <c r="F15">
        <f t="shared" si="1"/>
        <v>5.5238388594976975E-3</v>
      </c>
      <c r="G15" s="52">
        <v>1.3</v>
      </c>
      <c r="H15">
        <f>(1/2)*'MAIN PAGE'!$B$2*'MAIN PAGE'!$B$5^2*'MAIN PAGE'!$G$6*G15*SIN(RADIANS(90-'MAIN PAGE'!$B$22))</f>
        <v>2.3123236800338995E-2</v>
      </c>
      <c r="I15">
        <f t="shared" si="2"/>
        <v>2.2617938597451228E-2</v>
      </c>
      <c r="J15">
        <f t="shared" si="3"/>
        <v>4.8075912603379187E-3</v>
      </c>
      <c r="K15" s="52">
        <f>K3</f>
        <v>4.5415395000000004E-3</v>
      </c>
      <c r="M15">
        <f t="shared" si="5"/>
        <v>-1.0331430119835616E-2</v>
      </c>
      <c r="N15">
        <f t="shared" si="4"/>
        <v>1.6902270902257141E-2</v>
      </c>
    </row>
    <row r="32" spans="10:10">
      <c r="J32" t="s">
        <v>195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C2D0-2660-4EF8-8AED-9CA28A35B02A}">
  <dimension ref="A1:K23"/>
  <sheetViews>
    <sheetView workbookViewId="0">
      <selection activeCell="K14" sqref="K14"/>
    </sheetView>
  </sheetViews>
  <sheetFormatPr defaultRowHeight="14.45"/>
  <cols>
    <col min="1" max="1" width="12.5703125" customWidth="1"/>
    <col min="2" max="2" width="11.28515625" customWidth="1"/>
    <col min="3" max="3" width="11" customWidth="1"/>
    <col min="4" max="4" width="14.5703125" customWidth="1"/>
    <col min="5" max="5" width="9.5703125" customWidth="1"/>
    <col min="7" max="7" width="14.85546875" customWidth="1"/>
  </cols>
  <sheetData>
    <row r="1" spans="1:11">
      <c r="A1" s="3" t="s">
        <v>170</v>
      </c>
      <c r="B1" s="57" t="s">
        <v>196</v>
      </c>
      <c r="C1" s="57" t="s">
        <v>197</v>
      </c>
      <c r="D1" s="58" t="s">
        <v>198</v>
      </c>
      <c r="E1" s="59" t="s">
        <v>174</v>
      </c>
      <c r="G1" s="14" t="s">
        <v>176</v>
      </c>
      <c r="H1" s="4"/>
      <c r="I1" s="5"/>
    </row>
    <row r="2" spans="1:11">
      <c r="A2" s="7" t="s">
        <v>178</v>
      </c>
      <c r="B2" t="s">
        <v>105</v>
      </c>
      <c r="C2" t="s">
        <v>199</v>
      </c>
      <c r="D2" t="s">
        <v>101</v>
      </c>
      <c r="E2" s="6" t="s">
        <v>85</v>
      </c>
      <c r="G2" s="7" t="s">
        <v>179</v>
      </c>
      <c r="I2" s="6"/>
    </row>
    <row r="3" spans="1:11">
      <c r="A3" s="7">
        <v>0</v>
      </c>
      <c r="B3">
        <f>'MAIN PAGE'!$B$13*COS(2*PI()*'MAIN PAGE'!$B$12*A3)</f>
        <v>0.04</v>
      </c>
      <c r="C3">
        <f>-'MAIN PAGE'!$B$13*(2*PI()*'MAIN PAGE'!$B$12)*SIN(2*PI()*'MAIN PAGE'!$B$12*ignore!A3)</f>
        <v>0</v>
      </c>
      <c r="D3">
        <f>-'MAIN PAGE'!$B$13*((2*PI()*'MAIN PAGE'!$B$12)^2)*COS(2*PI()*'MAIN PAGE'!$B$12*ignore!A3)</f>
        <v>-157.91367041742973</v>
      </c>
      <c r="E3" s="6">
        <f t="shared" ref="E3:E22" si="0">D3*$H$13</f>
        <v>-6.9745204434364808E-3</v>
      </c>
      <c r="G3" s="7"/>
      <c r="I3" s="6"/>
    </row>
    <row r="4" spans="1:11">
      <c r="A4" s="7">
        <v>0.01</v>
      </c>
      <c r="B4">
        <f>'MAIN PAGE'!$B$13*COS(2*PI()*'MAIN PAGE'!$B$12*A4)</f>
        <v>3.2360679774997896E-2</v>
      </c>
      <c r="C4">
        <f>-'MAIN PAGE'!$B$13*(2*PI()*'MAIN PAGE'!$B$12)*SIN(2*PI()*'MAIN PAGE'!$B$12*ignore!A4)</f>
        <v>-1.4772654643923653</v>
      </c>
      <c r="D4">
        <f>-'MAIN PAGE'!$B$13*(2*PI()*'MAIN PAGE'!$B$12)^2*COS(2*PI()*'MAIN PAGE'!$B$12*ignore!A4)</f>
        <v>-127.75484301182505</v>
      </c>
      <c r="E4" s="6">
        <f t="shared" si="0"/>
        <v>-5.6425055663556064E-3</v>
      </c>
      <c r="G4" s="7" t="s">
        <v>180</v>
      </c>
      <c r="H4" s="29">
        <v>0.06</v>
      </c>
      <c r="I4" s="6" t="s">
        <v>35</v>
      </c>
    </row>
    <row r="5" spans="1:11">
      <c r="A5" s="7">
        <f>A4+0.005</f>
        <v>1.4999999999999999E-2</v>
      </c>
      <c r="B5">
        <f>'MAIN PAGE'!$B$13*COS(2*PI()*'MAIN PAGE'!$B$12*A5)</f>
        <v>2.3511410091698926E-2</v>
      </c>
      <c r="C5">
        <f>-'MAIN PAGE'!$B$13*(2*PI()*'MAIN PAGE'!$B$12)*SIN(2*PI()*'MAIN PAGE'!$B$12*ignore!A5)</f>
        <v>-2.0332814769261041</v>
      </c>
      <c r="D5">
        <f>-'MAIN PAGE'!$B$13*(2*PI()*'MAIN PAGE'!$B$12)^2*COS(2*PI()*'MAIN PAGE'!$B$12*ignore!A5)</f>
        <v>-92.819326606739381</v>
      </c>
      <c r="E5" s="6">
        <f t="shared" si="0"/>
        <v>-4.0995202584643235E-3</v>
      </c>
      <c r="G5" s="7" t="s">
        <v>181</v>
      </c>
      <c r="H5" s="29">
        <v>0.16</v>
      </c>
      <c r="I5" s="6" t="s">
        <v>35</v>
      </c>
    </row>
    <row r="6" spans="1:11">
      <c r="A6" s="7">
        <f t="shared" ref="A6:A22" si="1">A5+0.005</f>
        <v>0.02</v>
      </c>
      <c r="B6">
        <f>'MAIN PAGE'!$B$13*COS(2*PI()*'MAIN PAGE'!$B$12*A6)</f>
        <v>1.2360679774997899E-2</v>
      </c>
      <c r="C6">
        <f>-'MAIN PAGE'!$B$13*(2*PI()*'MAIN PAGE'!$B$12)*SIN(2*PI()*'MAIN PAGE'!$B$12*ignore!A6)</f>
        <v>-2.3902657317932445</v>
      </c>
      <c r="D6">
        <f>-'MAIN PAGE'!$B$13*(2*PI()*'MAIN PAGE'!$B$12)^2*COS(2*PI()*'MAIN PAGE'!$B$12*ignore!A6)</f>
        <v>-48.798007803110188</v>
      </c>
      <c r="E6" s="6">
        <f t="shared" si="0"/>
        <v>-2.1552453446373669E-3</v>
      </c>
      <c r="G6" s="7" t="s">
        <v>182</v>
      </c>
      <c r="H6">
        <f>H5*H4</f>
        <v>9.5999999999999992E-3</v>
      </c>
      <c r="I6" s="6" t="s">
        <v>35</v>
      </c>
    </row>
    <row r="7" spans="1:11">
      <c r="A7" s="7">
        <f t="shared" si="1"/>
        <v>2.5000000000000001E-2</v>
      </c>
      <c r="B7">
        <f>'MAIN PAGE'!$B$13*COS(2*PI()*'MAIN PAGE'!$B$12*A7)</f>
        <v>2.4502969098172402E-18</v>
      </c>
      <c r="C7">
        <f>-'MAIN PAGE'!$B$13*(2*PI()*'MAIN PAGE'!$B$12)*SIN(2*PI()*'MAIN PAGE'!$B$12*ignore!A7)</f>
        <v>-2.5132741228718345</v>
      </c>
      <c r="D7">
        <f>-'MAIN PAGE'!$B$13*(2*PI()*'MAIN PAGE'!$B$12)^2*COS(2*PI()*'MAIN PAGE'!$B$12*ignore!A7)</f>
        <v>-9.6733844660431536E-15</v>
      </c>
      <c r="E7" s="6">
        <f t="shared" si="0"/>
        <v>-4.2724114725023935E-19</v>
      </c>
      <c r="G7" s="7" t="s">
        <v>183</v>
      </c>
      <c r="H7" s="29">
        <v>1E-3</v>
      </c>
      <c r="I7" s="6" t="s">
        <v>35</v>
      </c>
    </row>
    <row r="8" spans="1:11">
      <c r="A8" s="7">
        <f t="shared" si="1"/>
        <v>3.0000000000000002E-2</v>
      </c>
      <c r="B8">
        <f>'MAIN PAGE'!$B$13*COS(2*PI()*'MAIN PAGE'!$B$12*A8)</f>
        <v>-1.2360679774997902E-2</v>
      </c>
      <c r="C8">
        <f>-'MAIN PAGE'!$B$13*(2*PI()*'MAIN PAGE'!$B$12)*SIN(2*PI()*'MAIN PAGE'!$B$12*ignore!A8)</f>
        <v>-2.3902657317932445</v>
      </c>
      <c r="D8">
        <f>-'MAIN PAGE'!$B$13*(2*PI()*'MAIN PAGE'!$B$12)^2*COS(2*PI()*'MAIN PAGE'!$B$12*ignore!A8)</f>
        <v>48.798007803110202</v>
      </c>
      <c r="E8" s="6">
        <f t="shared" si="0"/>
        <v>2.1552453446373673E-3</v>
      </c>
      <c r="G8" s="7" t="s">
        <v>184</v>
      </c>
      <c r="H8">
        <f>H6*H7</f>
        <v>9.5999999999999996E-6</v>
      </c>
      <c r="I8" s="6" t="s">
        <v>13</v>
      </c>
    </row>
    <row r="9" spans="1:11">
      <c r="A9" s="7">
        <f t="shared" si="1"/>
        <v>3.5000000000000003E-2</v>
      </c>
      <c r="B9">
        <f>'MAIN PAGE'!$B$13*COS(2*PI()*'MAIN PAGE'!$B$12*A9)</f>
        <v>-2.3511410091698923E-2</v>
      </c>
      <c r="C9">
        <f>-'MAIN PAGE'!$B$13*(2*PI()*'MAIN PAGE'!$B$12)*SIN(2*PI()*'MAIN PAGE'!$B$12*ignore!A9)</f>
        <v>-2.0332814769261041</v>
      </c>
      <c r="D9">
        <f>-'MAIN PAGE'!$B$13*(2*PI()*'MAIN PAGE'!$B$12)^2*COS(2*PI()*'MAIN PAGE'!$B$12*ignore!A9)</f>
        <v>92.819326606739367</v>
      </c>
      <c r="E9" s="6">
        <f t="shared" si="0"/>
        <v>4.0995202584643226E-3</v>
      </c>
      <c r="G9" s="7" t="s">
        <v>185</v>
      </c>
      <c r="H9" s="29"/>
      <c r="I9" s="6"/>
    </row>
    <row r="10" spans="1:11">
      <c r="A10" s="7">
        <f t="shared" si="1"/>
        <v>0.04</v>
      </c>
      <c r="B10">
        <f>'MAIN PAGE'!$B$13*COS(2*PI()*'MAIN PAGE'!$B$12*A10)</f>
        <v>-3.2360679774997896E-2</v>
      </c>
      <c r="C10">
        <f>-'MAIN PAGE'!$B$13*(2*PI()*'MAIN PAGE'!$B$12)*SIN(2*PI()*'MAIN PAGE'!$B$12*ignore!A10)</f>
        <v>-1.4772654643923657</v>
      </c>
      <c r="D10">
        <f>-'MAIN PAGE'!$B$13*(2*PI()*'MAIN PAGE'!$B$12)^2*COS(2*PI()*'MAIN PAGE'!$B$12*ignore!A10)</f>
        <v>127.75484301182503</v>
      </c>
      <c r="E10" s="6">
        <f t="shared" si="0"/>
        <v>5.6425055663556064E-3</v>
      </c>
      <c r="G10" s="7" t="s">
        <v>186</v>
      </c>
      <c r="H10" s="29">
        <v>5.0000000000000001E-3</v>
      </c>
      <c r="I10" s="6" t="s">
        <v>62</v>
      </c>
    </row>
    <row r="11" spans="1:11">
      <c r="A11" s="7">
        <f t="shared" si="1"/>
        <v>4.4999999999999998E-2</v>
      </c>
      <c r="B11">
        <f>'MAIN PAGE'!$B$13*COS(2*PI()*'MAIN PAGE'!$B$12*A11)</f>
        <v>-3.8042260651806145E-2</v>
      </c>
      <c r="C11">
        <f>-'MAIN PAGE'!$B$13*(2*PI()*'MAIN PAGE'!$B$12)*SIN(2*PI()*'MAIN PAGE'!$B$12*ignore!A11)</f>
        <v>-0.77664441549018681</v>
      </c>
      <c r="D11">
        <f>-'MAIN PAGE'!$B$13*(2*PI()*'MAIN PAGE'!$B$12)^2*COS(2*PI()*'MAIN PAGE'!$B$12*ignore!A11)</f>
        <v>150.18482526258177</v>
      </c>
      <c r="E11" s="6">
        <f t="shared" si="0"/>
        <v>6.6331631157640287E-3</v>
      </c>
      <c r="G11" s="7"/>
      <c r="I11" s="6"/>
    </row>
    <row r="12" spans="1:11">
      <c r="A12" s="7">
        <f t="shared" si="1"/>
        <v>4.9999999999999996E-2</v>
      </c>
      <c r="B12">
        <f>'MAIN PAGE'!$B$13*COS(2*PI()*'MAIN PAGE'!$B$12*A12)</f>
        <v>-0.04</v>
      </c>
      <c r="C12">
        <f>-'MAIN PAGE'!$B$13*(2*PI()*'MAIN PAGE'!$B$12)*SIN(2*PI()*'MAIN PAGE'!$B$12*ignore!A12)</f>
        <v>-1.4240313102025867E-15</v>
      </c>
      <c r="D12">
        <f>-'MAIN PAGE'!$B$13*(2*PI()*'MAIN PAGE'!$B$12)^2*COS(2*PI()*'MAIN PAGE'!$B$12*ignore!A12)</f>
        <v>157.91367041742973</v>
      </c>
      <c r="E12" s="6">
        <f t="shared" si="0"/>
        <v>6.9745204434364808E-3</v>
      </c>
      <c r="G12" s="7" t="s">
        <v>187</v>
      </c>
      <c r="H12">
        <f>(1/12)*H10*(H4^2+H5^2)</f>
        <v>1.2166666666666667E-5</v>
      </c>
      <c r="I12" s="6"/>
    </row>
    <row r="13" spans="1:11">
      <c r="A13" s="7">
        <f t="shared" si="1"/>
        <v>5.4999999999999993E-2</v>
      </c>
      <c r="B13">
        <f>'MAIN PAGE'!$B$13*COS(2*PI()*'MAIN PAGE'!$B$12*A13)</f>
        <v>-3.8042260651806152E-2</v>
      </c>
      <c r="C13">
        <f>-'MAIN PAGE'!$B$13*(2*PI()*'MAIN PAGE'!$B$12)*SIN(2*PI()*'MAIN PAGE'!$B$12*ignore!A13)</f>
        <v>0.77664441549018526</v>
      </c>
      <c r="D13">
        <f>-'MAIN PAGE'!$B$13*(2*PI()*'MAIN PAGE'!$B$12)^2*COS(2*PI()*'MAIN PAGE'!$B$12*ignore!A13)</f>
        <v>150.1848252625818</v>
      </c>
      <c r="E13" s="6">
        <f t="shared" si="0"/>
        <v>6.6331631157640304E-3</v>
      </c>
      <c r="G13" s="9" t="s">
        <v>188</v>
      </c>
      <c r="H13" s="10">
        <f>H12+(H10*((1/2)*H5)^2)</f>
        <v>4.4166666666666672E-5</v>
      </c>
      <c r="I13" s="11" t="s">
        <v>189</v>
      </c>
      <c r="J13" t="s">
        <v>190</v>
      </c>
      <c r="K13">
        <f>(1/3)*H10*H5^2</f>
        <v>4.2666666666666669E-5</v>
      </c>
    </row>
    <row r="14" spans="1:11">
      <c r="A14" s="7">
        <f t="shared" si="1"/>
        <v>5.9999999999999991E-2</v>
      </c>
      <c r="B14">
        <f>'MAIN PAGE'!$B$13*COS(2*PI()*'MAIN PAGE'!$B$12*A14)</f>
        <v>-3.2360679774997909E-2</v>
      </c>
      <c r="C14">
        <f>-'MAIN PAGE'!$B$13*(2*PI()*'MAIN PAGE'!$B$12)*SIN(2*PI()*'MAIN PAGE'!$B$12*ignore!A14)</f>
        <v>1.4772654643923642</v>
      </c>
      <c r="D14">
        <f>-'MAIN PAGE'!$B$13*(2*PI()*'MAIN PAGE'!$B$12)^2*COS(2*PI()*'MAIN PAGE'!$B$12*ignore!A14)</f>
        <v>127.7548430118251</v>
      </c>
      <c r="E14" s="6">
        <f t="shared" si="0"/>
        <v>5.642505566355609E-3</v>
      </c>
    </row>
    <row r="15" spans="1:11">
      <c r="A15" s="7">
        <f t="shared" si="1"/>
        <v>6.4999999999999988E-2</v>
      </c>
      <c r="B15">
        <f>'MAIN PAGE'!$B$13*COS(2*PI()*'MAIN PAGE'!$B$12*A15)</f>
        <v>-2.3511410091698961E-2</v>
      </c>
      <c r="C15">
        <f>-'MAIN PAGE'!$B$13*(2*PI()*'MAIN PAGE'!$B$12)*SIN(2*PI()*'MAIN PAGE'!$B$12*ignore!A15)</f>
        <v>2.0332814769261023</v>
      </c>
      <c r="D15">
        <f>-'MAIN PAGE'!$B$13*(2*PI()*'MAIN PAGE'!$B$12)^2*COS(2*PI()*'MAIN PAGE'!$B$12*ignore!A15)</f>
        <v>92.819326606739523</v>
      </c>
      <c r="E15" s="6">
        <f t="shared" si="0"/>
        <v>4.0995202584643295E-3</v>
      </c>
    </row>
    <row r="16" spans="1:11">
      <c r="A16" s="7">
        <f>A15+0.005</f>
        <v>6.9999999999999993E-2</v>
      </c>
      <c r="B16">
        <f>'MAIN PAGE'!$B$13*COS(2*PI()*'MAIN PAGE'!$B$12*A16)</f>
        <v>-1.2360679774997939E-2</v>
      </c>
      <c r="C16">
        <f>-'MAIN PAGE'!$B$13*(2*PI()*'MAIN PAGE'!$B$12)*SIN(2*PI()*'MAIN PAGE'!$B$12*ignore!A16)</f>
        <v>2.3902657317932436</v>
      </c>
      <c r="D16">
        <f>-'MAIN PAGE'!$B$13*(2*PI()*'MAIN PAGE'!$B$12)^2*COS(2*PI()*'MAIN PAGE'!$B$12*ignore!A16)</f>
        <v>48.798007803110345</v>
      </c>
      <c r="E16" s="6">
        <f t="shared" si="0"/>
        <v>2.1552453446373738E-3</v>
      </c>
    </row>
    <row r="17" spans="1:5">
      <c r="A17" s="7">
        <f t="shared" si="1"/>
        <v>7.4999999999999997E-2</v>
      </c>
      <c r="B17">
        <f>'MAIN PAGE'!$B$13*COS(2*PI()*'MAIN PAGE'!$B$12*A17)</f>
        <v>-7.3508907294517198E-18</v>
      </c>
      <c r="C17">
        <f>-'MAIN PAGE'!$B$13*(2*PI()*'MAIN PAGE'!$B$12)*SIN(2*PI()*'MAIN PAGE'!$B$12*ignore!A17)</f>
        <v>2.5132741228718345</v>
      </c>
      <c r="D17">
        <f>-'MAIN PAGE'!$B$13*(2*PI()*'MAIN PAGE'!$B$12)^2*COS(2*PI()*'MAIN PAGE'!$B$12*ignore!A17)</f>
        <v>2.9020153398129462E-14</v>
      </c>
      <c r="E17" s="6">
        <f t="shared" si="0"/>
        <v>1.2817234417507182E-18</v>
      </c>
    </row>
    <row r="18" spans="1:5">
      <c r="A18" s="7">
        <f t="shared" si="1"/>
        <v>0.08</v>
      </c>
      <c r="B18">
        <f>'MAIN PAGE'!$B$13*COS(2*PI()*'MAIN PAGE'!$B$12*A18)</f>
        <v>1.236067977499789E-2</v>
      </c>
      <c r="C18">
        <f>-'MAIN PAGE'!$B$13*(2*PI()*'MAIN PAGE'!$B$12)*SIN(2*PI()*'MAIN PAGE'!$B$12*ignore!A18)</f>
        <v>2.390265731793245</v>
      </c>
      <c r="D18">
        <f>-'MAIN PAGE'!$B$13*(2*PI()*'MAIN PAGE'!$B$12)^2*COS(2*PI()*'MAIN PAGE'!$B$12*ignore!A18)</f>
        <v>-48.798007803110153</v>
      </c>
      <c r="E18" s="6">
        <f t="shared" si="0"/>
        <v>-2.1552453446373652E-3</v>
      </c>
    </row>
    <row r="19" spans="1:5">
      <c r="A19" s="7">
        <f t="shared" si="1"/>
        <v>8.5000000000000006E-2</v>
      </c>
      <c r="B19">
        <f>'MAIN PAGE'!$B$13*COS(2*PI()*'MAIN PAGE'!$B$12*A19)</f>
        <v>2.3511410091698916E-2</v>
      </c>
      <c r="C19">
        <f>-'MAIN PAGE'!$B$13*(2*PI()*'MAIN PAGE'!$B$12)*SIN(2*PI()*'MAIN PAGE'!$B$12*ignore!A19)</f>
        <v>2.0332814769261041</v>
      </c>
      <c r="D19">
        <f>-'MAIN PAGE'!$B$13*(2*PI()*'MAIN PAGE'!$B$12)^2*COS(2*PI()*'MAIN PAGE'!$B$12*ignore!A19)</f>
        <v>-92.819326606739352</v>
      </c>
      <c r="E19" s="6">
        <f t="shared" si="0"/>
        <v>-4.0995202584643217E-3</v>
      </c>
    </row>
    <row r="20" spans="1:5">
      <c r="A20" s="7">
        <f t="shared" si="1"/>
        <v>9.0000000000000011E-2</v>
      </c>
      <c r="B20">
        <f>'MAIN PAGE'!$B$13*COS(2*PI()*'MAIN PAGE'!$B$12*A20)</f>
        <v>3.2360679774997909E-2</v>
      </c>
      <c r="C20">
        <f>-'MAIN PAGE'!$B$13*(2*PI()*'MAIN PAGE'!$B$12)*SIN(2*PI()*'MAIN PAGE'!$B$12*ignore!A20)</f>
        <v>1.4772654643923639</v>
      </c>
      <c r="D20">
        <f>-'MAIN PAGE'!$B$13*(2*PI()*'MAIN PAGE'!$B$12)^2*COS(2*PI()*'MAIN PAGE'!$B$12*ignore!A20)</f>
        <v>-127.7548430118251</v>
      </c>
      <c r="E20" s="6">
        <f t="shared" si="0"/>
        <v>-5.642505566355609E-3</v>
      </c>
    </row>
    <row r="21" spans="1:5">
      <c r="A21" s="7">
        <f>A20+0.005</f>
        <v>9.5000000000000015E-2</v>
      </c>
      <c r="B21">
        <f>'MAIN PAGE'!$B$13*COS(2*PI()*'MAIN PAGE'!$B$12*A21)</f>
        <v>3.8042260651806152E-2</v>
      </c>
      <c r="C21">
        <f>-'MAIN PAGE'!$B$13*(2*PI()*'MAIN PAGE'!$B$12)*SIN(2*PI()*'MAIN PAGE'!$B$12*ignore!A21)</f>
        <v>0.77664441549018504</v>
      </c>
      <c r="D21">
        <f>-'MAIN PAGE'!$B$13*(2*PI()*'MAIN PAGE'!$B$12)^2*COS(2*PI()*'MAIN PAGE'!$B$12*ignore!A21)</f>
        <v>-150.1848252625818</v>
      </c>
      <c r="E21" s="6">
        <f t="shared" si="0"/>
        <v>-6.6331631157640304E-3</v>
      </c>
    </row>
    <row r="22" spans="1:5">
      <c r="A22" s="7">
        <f t="shared" si="1"/>
        <v>0.10000000000000002</v>
      </c>
      <c r="B22">
        <f>'MAIN PAGE'!$B$13*COS(2*PI()*'MAIN PAGE'!$B$12*A22)</f>
        <v>0.04</v>
      </c>
      <c r="C22">
        <f>-'MAIN PAGE'!$B$13*(2*PI()*'MAIN PAGE'!$B$12)*SIN(2*PI()*'MAIN PAGE'!$B$12*ignore!A22)</f>
        <v>-1.6164090570458752E-15</v>
      </c>
      <c r="D22">
        <f>-'MAIN PAGE'!$B$13*(2*PI()*'MAIN PAGE'!$B$12)^2*COS(2*PI()*'MAIN PAGE'!$B$12*ignore!A22)</f>
        <v>-157.91367041742973</v>
      </c>
      <c r="E22" s="6">
        <f t="shared" si="0"/>
        <v>-6.9745204434364808E-3</v>
      </c>
    </row>
    <row r="23" spans="1:5">
      <c r="A23" s="9" t="s">
        <v>200</v>
      </c>
      <c r="B23" s="10"/>
      <c r="C23" s="10"/>
      <c r="D23" s="10"/>
      <c r="E23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2024-07-25T04:44:13Z</dcterms:created>
  <dcterms:modified xsi:type="dcterms:W3CDTF">2025-10-17T22:52:10Z</dcterms:modified>
  <cp:category/>
  <cp:contentStatus/>
</cp:coreProperties>
</file>