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.sharepoint.com/sites/doi-Lower-Mississippi-River-FWCO-Staff-/Shared Documents/Invasive Carp/Frame_and_Process_Docs/_LMRARW_DecisonModel/3. SPMM/"/>
    </mc:Choice>
  </mc:AlternateContent>
  <xr:revisionPtr revIDLastSave="189" documentId="8_{94D6964E-44A1-45EE-A88F-0AC63145985F}" xr6:coauthVersionLast="47" xr6:coauthVersionMax="47" xr10:uidLastSave="{F3487380-0B4D-4B51-BCA9-8965075AFCC7}"/>
  <bookViews>
    <workbookView xWindow="-405" yWindow="-16470" windowWidth="29040" windowHeight="15720" xr2:uid="{B79638F6-8108-46FE-B4DB-7FDB73CA0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M3" i="1"/>
  <c r="C3" i="1" s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B19" i="1"/>
  <c r="B15" i="1"/>
  <c r="B1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C2" i="1" l="1"/>
  <c r="D3" i="1"/>
  <c r="E3" i="1" s="1"/>
  <c r="D2" i="1"/>
  <c r="J10" i="1"/>
  <c r="L10" i="1" s="1"/>
  <c r="J13" i="1"/>
  <c r="L13" i="1" s="1"/>
  <c r="J12" i="1"/>
  <c r="J9" i="1"/>
  <c r="L9" i="1" s="1"/>
  <c r="J4" i="1"/>
  <c r="L4" i="1" s="1"/>
  <c r="J21" i="1"/>
  <c r="L21" i="1" s="1"/>
  <c r="J6" i="1"/>
  <c r="L6" i="1" s="1"/>
  <c r="J5" i="1"/>
  <c r="L5" i="1" s="1"/>
  <c r="J7" i="1"/>
  <c r="L7" i="1" s="1"/>
  <c r="J18" i="1"/>
  <c r="L18" i="1" s="1"/>
  <c r="J23" i="1"/>
  <c r="L23" i="1" s="1"/>
  <c r="E2" i="1"/>
  <c r="J2" i="1" s="1"/>
  <c r="L2" i="1" s="1"/>
  <c r="J15" i="1"/>
  <c r="L15" i="1" s="1"/>
  <c r="J8" i="1"/>
  <c r="L8" i="1" s="1"/>
  <c r="J14" i="1"/>
  <c r="L14" i="1" s="1"/>
  <c r="J11" i="1"/>
  <c r="L11" i="1" s="1"/>
  <c r="J16" i="1"/>
  <c r="L16" i="1" s="1"/>
  <c r="J24" i="1"/>
  <c r="L24" i="1" s="1"/>
  <c r="J22" i="1"/>
  <c r="L22" i="1" s="1"/>
  <c r="J20" i="1"/>
  <c r="L20" i="1" s="1"/>
  <c r="J19" i="1"/>
  <c r="L19" i="1" s="1"/>
  <c r="J17" i="1"/>
  <c r="L17" i="1" s="1"/>
  <c r="J3" i="1"/>
  <c r="L3" i="1" s="1"/>
  <c r="L12" i="1"/>
  <c r="R20" i="1" l="1"/>
  <c r="S20" i="1" s="1"/>
  <c r="T20" i="1" s="1"/>
  <c r="R23" i="1"/>
  <c r="R18" i="1"/>
  <c r="R15" i="1"/>
  <c r="R7" i="1"/>
  <c r="R5" i="1"/>
  <c r="R6" i="1"/>
  <c r="R12" i="1"/>
  <c r="R2" i="1"/>
  <c r="R17" i="1"/>
  <c r="R8" i="1"/>
  <c r="R3" i="1"/>
  <c r="R19" i="1"/>
  <c r="R21" i="1"/>
  <c r="R4" i="1"/>
  <c r="R9" i="1"/>
  <c r="R24" i="1"/>
  <c r="R16" i="1"/>
  <c r="R13" i="1"/>
  <c r="R10" i="1"/>
  <c r="R11" i="1"/>
  <c r="R14" i="1"/>
  <c r="R22" i="1"/>
  <c r="P22" i="1"/>
  <c r="Q22" i="1"/>
  <c r="P8" i="1"/>
  <c r="Q8" i="1"/>
  <c r="P15" i="1"/>
  <c r="Q15" i="1"/>
  <c r="P2" i="1"/>
  <c r="Q2" i="1"/>
  <c r="P23" i="1"/>
  <c r="Q23" i="1" s="1"/>
  <c r="P12" i="1"/>
  <c r="Q12" i="1" s="1"/>
  <c r="P18" i="1"/>
  <c r="Q18" i="1" s="1"/>
  <c r="P7" i="1"/>
  <c r="Q7" i="1"/>
  <c r="P17" i="1"/>
  <c r="Q17" i="1"/>
  <c r="P5" i="1"/>
  <c r="Q5" i="1" s="1"/>
  <c r="P19" i="1"/>
  <c r="Q19" i="1"/>
  <c r="P6" i="1"/>
  <c r="Q6" i="1"/>
  <c r="P21" i="1"/>
  <c r="Q21" i="1"/>
  <c r="P3" i="1"/>
  <c r="Q3" i="1"/>
  <c r="P4" i="1"/>
  <c r="Q4" i="1" s="1"/>
  <c r="P9" i="1"/>
  <c r="Q9" i="1" s="1"/>
  <c r="P20" i="1"/>
  <c r="Q20" i="1" s="1"/>
  <c r="P24" i="1"/>
  <c r="Q24" i="1" s="1"/>
  <c r="P16" i="1"/>
  <c r="Q16" i="1" s="1"/>
  <c r="P13" i="1"/>
  <c r="Q13" i="1" s="1"/>
  <c r="P11" i="1"/>
  <c r="Q11" i="1" s="1"/>
  <c r="P10" i="1"/>
  <c r="Q10" i="1" s="1"/>
  <c r="P14" i="1"/>
  <c r="Q14" i="1"/>
  <c r="S3" i="1" l="1"/>
  <c r="T3" i="1"/>
  <c r="S6" i="1"/>
  <c r="T6" i="1" s="1"/>
  <c r="S23" i="1"/>
  <c r="T23" i="1"/>
  <c r="S9" i="1"/>
  <c r="T9" i="1"/>
  <c r="S8" i="1"/>
  <c r="T8" i="1"/>
  <c r="S2" i="1"/>
  <c r="T2" i="1" s="1"/>
  <c r="S12" i="1"/>
  <c r="T12" i="1" s="1"/>
  <c r="S22" i="1"/>
  <c r="T22" i="1"/>
  <c r="S14" i="1"/>
  <c r="T14" i="1" s="1"/>
  <c r="S5" i="1"/>
  <c r="T5" i="1" s="1"/>
  <c r="S21" i="1"/>
  <c r="T21" i="1"/>
  <c r="S17" i="1"/>
  <c r="T17" i="1" s="1"/>
  <c r="S10" i="1"/>
  <c r="T10" i="1"/>
  <c r="S16" i="1"/>
  <c r="T16" i="1" s="1"/>
  <c r="S24" i="1"/>
  <c r="T24" i="1" s="1"/>
  <c r="S4" i="1"/>
  <c r="T4" i="1" s="1"/>
  <c r="S19" i="1"/>
  <c r="T19" i="1" s="1"/>
  <c r="S11" i="1"/>
  <c r="T11" i="1" s="1"/>
  <c r="S7" i="1"/>
  <c r="T7" i="1"/>
  <c r="S15" i="1"/>
  <c r="T15" i="1" s="1"/>
  <c r="S13" i="1"/>
  <c r="T13" i="1" s="1"/>
  <c r="S18" i="1"/>
  <c r="T18" i="1" s="1"/>
</calcChain>
</file>

<file path=xl/sharedStrings.xml><?xml version="1.0" encoding="utf-8"?>
<sst xmlns="http://schemas.openxmlformats.org/spreadsheetml/2006/main" count="45" uniqueCount="45">
  <si>
    <t>MS River (N to Memphis)</t>
  </si>
  <si>
    <t>MS River (S to Vicksburg)</t>
  </si>
  <si>
    <t>Montgomery Point L&amp;D (White R.)</t>
  </si>
  <si>
    <t>Norrell L&amp;D 1</t>
  </si>
  <si>
    <t>Joe Hardin L&amp;D 3</t>
  </si>
  <si>
    <t>Emmett Sanders L&amp;D 4</t>
  </si>
  <si>
    <t>David D. Terry L&amp;D 6</t>
  </si>
  <si>
    <t>Murray L&amp;D 7</t>
  </si>
  <si>
    <t>Nimrod Dam</t>
  </si>
  <si>
    <t>Toad Suck Ferry L&amp;D 8</t>
  </si>
  <si>
    <t>Arthur V. Ormond L&amp;D 9</t>
  </si>
  <si>
    <t>Blue Mtn. Dam</t>
  </si>
  <si>
    <t>Dardanelle L&amp;D 10</t>
  </si>
  <si>
    <t>Ozark-Jeta Taylor L&amp;D 12</t>
  </si>
  <si>
    <t>James W. Trimble L&amp;D 13</t>
  </si>
  <si>
    <t>Wister Dam</t>
  </si>
  <si>
    <t>W. D. Mayo L&amp;D 14</t>
  </si>
  <si>
    <t>Robert S. Kerr L&amp;D 15</t>
  </si>
  <si>
    <t>Eufaula</t>
  </si>
  <si>
    <t>Tenkiller Ferry</t>
  </si>
  <si>
    <t>Webbers Falls L&amp;D 16</t>
  </si>
  <si>
    <t>Unit</t>
  </si>
  <si>
    <t>RM</t>
  </si>
  <si>
    <t>Vol (yd3)</t>
  </si>
  <si>
    <t>K</t>
  </si>
  <si>
    <t>Proportion K</t>
  </si>
  <si>
    <t>Area (ac)</t>
  </si>
  <si>
    <t>Vol (ac-ft)</t>
  </si>
  <si>
    <t>Avg. Carp lbs</t>
  </si>
  <si>
    <t>Init Biomass</t>
  </si>
  <si>
    <t>Wilbur D. Mills L&amp;D 2</t>
  </si>
  <si>
    <t>Col. Charles D. Maynard L&amp;D 5</t>
  </si>
  <si>
    <t>Realistic Carp/yd3</t>
  </si>
  <si>
    <t>Potential Carp/yd3</t>
  </si>
  <si>
    <t>Realistic Proportion</t>
  </si>
  <si>
    <t>L</t>
  </si>
  <si>
    <t>W</t>
  </si>
  <si>
    <t>D</t>
  </si>
  <si>
    <t>599; 711</t>
  </si>
  <si>
    <t>436; 599</t>
  </si>
  <si>
    <t>Stage-1</t>
  </si>
  <si>
    <t>Stage-2</t>
  </si>
  <si>
    <t>Rel. S-1</t>
  </si>
  <si>
    <t>Rel. S-2</t>
  </si>
  <si>
    <t>Rel.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</si>
</sst>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164" fontId="2" fillId="0" borderId="0" xfId="1" applyNumberFormat="1" applyFont="1" applyFill="1"/>
    <xf numFmtId="0" fontId="0" fillId="0" borderId="0" xfId="0" applyFill="1"/>
    <xf numFmtId="164" fontId="0" fillId="0" borderId="0" xfId="1" applyNumberFormat="1" applyFont="1" applyFill="1"/>
    <xf numFmtId="2" fontId="0" fillId="0" borderId="0" xfId="0" applyNumberFormat="1" applyFill="1"/>
    <xf numFmtId="2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1DE2-0D42-41DC-99B0-AEB5B020B819}">
  <dimension ref="A1:T24"/>
  <sheetViews>
    <sheetView tabSelected="1" zoomScaleNormal="100" workbookViewId="0">
      <selection activeCell="J1" sqref="J1:J24"/>
    </sheetView>
  </sheetViews>
  <sheetFormatPr defaultRowHeight="14.4" x14ac:dyDescent="0.55000000000000004"/>
  <cols>
    <col min="1" max="1" width="27.9453125" style="3" bestFit="1" customWidth="1"/>
    <col min="2" max="2" width="7.578125" style="3" bestFit="1" customWidth="1"/>
    <col min="3" max="3" width="10.9453125" style="4" bestFit="1" customWidth="1"/>
    <col min="4" max="4" width="13.5234375" style="4" bestFit="1" customWidth="1"/>
    <col min="5" max="5" width="17.1015625" style="4" bestFit="1" customWidth="1"/>
    <col min="6" max="6" width="15.83984375" style="3" bestFit="1" customWidth="1"/>
    <col min="7" max="8" width="15.62890625" style="3" bestFit="1" customWidth="1"/>
    <col min="9" max="9" width="11.1015625" style="3" bestFit="1" customWidth="1"/>
    <col min="10" max="10" width="19.62890625" style="4" bestFit="1" customWidth="1"/>
    <col min="11" max="11" width="8.89453125" style="3" bestFit="1" customWidth="1"/>
    <col min="12" max="12" width="18.1015625" style="4" bestFit="1" customWidth="1"/>
    <col min="13" max="13" width="9.20703125" style="3" bestFit="1" customWidth="1"/>
    <col min="14" max="15" width="8.89453125" style="3" bestFit="1" customWidth="1"/>
    <col min="16" max="17" width="17.1015625" style="3" bestFit="1" customWidth="1"/>
    <col min="18" max="18" width="17.05078125" style="3" customWidth="1"/>
    <col min="19" max="20" width="8.89453125" style="3" bestFit="1" customWidth="1"/>
    <col min="21" max="16384" width="8.83984375" style="3"/>
  </cols>
  <sheetData>
    <row r="1" spans="1:20" s="1" customFormat="1" x14ac:dyDescent="0.55000000000000004">
      <c r="A1" s="1" t="s">
        <v>21</v>
      </c>
      <c r="B1" s="1" t="s">
        <v>22</v>
      </c>
      <c r="C1" s="2" t="s">
        <v>26</v>
      </c>
      <c r="D1" s="2" t="s">
        <v>27</v>
      </c>
      <c r="E1" s="2" t="s">
        <v>23</v>
      </c>
      <c r="F1" s="1" t="s">
        <v>33</v>
      </c>
      <c r="G1" s="1" t="s">
        <v>34</v>
      </c>
      <c r="H1" s="1" t="s">
        <v>32</v>
      </c>
      <c r="I1" s="1" t="s">
        <v>28</v>
      </c>
      <c r="J1" s="2" t="s">
        <v>24</v>
      </c>
      <c r="K1" s="1" t="s">
        <v>25</v>
      </c>
      <c r="L1" s="2" t="s">
        <v>29</v>
      </c>
      <c r="M1" s="1" t="s">
        <v>35</v>
      </c>
      <c r="N1" s="1" t="s">
        <v>36</v>
      </c>
      <c r="O1" s="1" t="s">
        <v>37</v>
      </c>
      <c r="P1" s="1" t="s">
        <v>40</v>
      </c>
      <c r="Q1" s="1" t="s">
        <v>41</v>
      </c>
      <c r="R1" s="1" t="s">
        <v>44</v>
      </c>
      <c r="S1" s="1" t="s">
        <v>42</v>
      </c>
      <c r="T1" s="1" t="s">
        <v>43</v>
      </c>
    </row>
    <row r="2" spans="1:20" x14ac:dyDescent="0.55000000000000004">
      <c r="A2" s="3" t="s">
        <v>0</v>
      </c>
      <c r="B2" s="3" t="s">
        <v>38</v>
      </c>
      <c r="C2" s="6">
        <f>M2*N2/43560</f>
        <v>43008</v>
      </c>
      <c r="D2" s="6">
        <f>((M2*N2*O2)/3)/1613</f>
        <v>7743039.8016119031</v>
      </c>
      <c r="E2" s="6">
        <f t="shared" ref="E2:E3" si="0">D2*1613</f>
        <v>12489523200</v>
      </c>
      <c r="F2" s="5">
        <v>12</v>
      </c>
      <c r="G2" s="5">
        <v>0.34</v>
      </c>
      <c r="H2" s="5">
        <f>F2*G2</f>
        <v>4.08</v>
      </c>
      <c r="I2" s="5">
        <v>10</v>
      </c>
      <c r="J2" s="6">
        <f>E2*H2*I2</f>
        <v>509572546560</v>
      </c>
      <c r="K2" s="5">
        <v>0.75</v>
      </c>
      <c r="L2" s="6">
        <f t="shared" ref="L2:L3" si="1">J2*K2</f>
        <v>382179409920</v>
      </c>
      <c r="M2" s="5">
        <f>(711-599)*5280</f>
        <v>591360</v>
      </c>
      <c r="N2" s="5">
        <f>0.6*5280</f>
        <v>3168</v>
      </c>
      <c r="O2" s="5">
        <v>20</v>
      </c>
      <c r="P2" s="5">
        <f>L2*0.4</f>
        <v>152871763968</v>
      </c>
      <c r="Q2" s="5">
        <f>L2-P2</f>
        <v>229307645952</v>
      </c>
      <c r="R2" s="5">
        <f>L2/SUM($L$2:$L$24)</f>
        <v>0.25373979590304591</v>
      </c>
      <c r="S2" s="5">
        <f>R2*0.4</f>
        <v>0.10149591836121837</v>
      </c>
      <c r="T2" s="5">
        <f>R2-S2</f>
        <v>0.15224387754182755</v>
      </c>
    </row>
    <row r="3" spans="1:20" x14ac:dyDescent="0.55000000000000004">
      <c r="A3" s="3" t="s">
        <v>1</v>
      </c>
      <c r="B3" s="3" t="s">
        <v>39</v>
      </c>
      <c r="C3" s="6">
        <f>M3*N3/43560</f>
        <v>83456</v>
      </c>
      <c r="D3" s="6">
        <f>((M3*N3*O3)/3)/1613</f>
        <v>22537776.565406077</v>
      </c>
      <c r="E3" s="6">
        <f t="shared" si="0"/>
        <v>36353433600</v>
      </c>
      <c r="F3" s="5">
        <v>12</v>
      </c>
      <c r="G3" s="5">
        <v>0.34</v>
      </c>
      <c r="H3" s="5">
        <f t="shared" ref="H3:H24" si="2">F3*G3</f>
        <v>4.08</v>
      </c>
      <c r="I3" s="5">
        <v>10</v>
      </c>
      <c r="J3" s="6">
        <f t="shared" ref="J3:J24" si="3">E3*H3*I3</f>
        <v>1483220090880</v>
      </c>
      <c r="K3" s="5">
        <v>0.75</v>
      </c>
      <c r="L3" s="6">
        <f t="shared" si="1"/>
        <v>1112415068160</v>
      </c>
      <c r="M3" s="5">
        <f>(599-436)*5280</f>
        <v>860640</v>
      </c>
      <c r="N3" s="5">
        <f>0.8*5280</f>
        <v>4224</v>
      </c>
      <c r="O3" s="5">
        <v>30</v>
      </c>
      <c r="P3" s="5">
        <f t="shared" ref="P3:P24" si="4">L3*0.4</f>
        <v>444966027264</v>
      </c>
      <c r="Q3" s="5">
        <f t="shared" ref="Q3:Q24" si="5">L3-P3</f>
        <v>667449040896</v>
      </c>
      <c r="R3" s="5">
        <f>L3/SUM($L$2:$L$24)</f>
        <v>0.73856404878922288</v>
      </c>
      <c r="S3" s="5">
        <f t="shared" ref="S3:S24" si="6">R3*0.4</f>
        <v>0.29542561951568919</v>
      </c>
      <c r="T3" s="5">
        <f t="shared" ref="T3:T24" si="7">R3-S3</f>
        <v>0.4431384292735337</v>
      </c>
    </row>
    <row r="4" spans="1:20" x14ac:dyDescent="0.55000000000000004">
      <c r="A4" s="3" t="s">
        <v>2</v>
      </c>
      <c r="B4" s="3">
        <v>0.5</v>
      </c>
      <c r="C4" s="6">
        <v>613</v>
      </c>
      <c r="D4" s="6">
        <v>10595</v>
      </c>
      <c r="E4" s="6">
        <f>D4*1613</f>
        <v>17089735</v>
      </c>
      <c r="F4" s="5">
        <v>12</v>
      </c>
      <c r="G4" s="5">
        <v>0.34</v>
      </c>
      <c r="H4" s="5">
        <f t="shared" si="2"/>
        <v>4.08</v>
      </c>
      <c r="I4" s="5">
        <v>10</v>
      </c>
      <c r="J4" s="6">
        <f t="shared" si="3"/>
        <v>697261188</v>
      </c>
      <c r="K4" s="5">
        <v>0.7</v>
      </c>
      <c r="L4" s="6">
        <f>J4*K4</f>
        <v>488082831.59999996</v>
      </c>
      <c r="M4" s="5"/>
      <c r="N4" s="5"/>
      <c r="O4" s="5"/>
      <c r="P4" s="5">
        <f t="shared" si="4"/>
        <v>195233132.63999999</v>
      </c>
      <c r="Q4" s="5">
        <f t="shared" si="5"/>
        <v>292849698.95999998</v>
      </c>
      <c r="R4" s="5">
        <f>L4/SUM($L$2:$L$24)</f>
        <v>3.240520940149258E-4</v>
      </c>
      <c r="S4" s="5">
        <f t="shared" si="6"/>
        <v>1.2962083760597034E-4</v>
      </c>
      <c r="T4" s="5">
        <f t="shared" si="7"/>
        <v>1.9443125640895546E-4</v>
      </c>
    </row>
    <row r="5" spans="1:20" x14ac:dyDescent="0.55000000000000004">
      <c r="A5" s="3" t="s">
        <v>3</v>
      </c>
      <c r="B5" s="3">
        <v>10.3</v>
      </c>
      <c r="C5" s="6">
        <v>0</v>
      </c>
      <c r="D5" s="6">
        <v>1510</v>
      </c>
      <c r="E5" s="6">
        <f t="shared" ref="E5:E24" si="8">D5*1613</f>
        <v>2435630</v>
      </c>
      <c r="F5" s="5">
        <v>12</v>
      </c>
      <c r="G5" s="5">
        <v>0.34</v>
      </c>
      <c r="H5" s="5">
        <f t="shared" si="2"/>
        <v>4.08</v>
      </c>
      <c r="I5" s="5">
        <v>10</v>
      </c>
      <c r="J5" s="6">
        <f t="shared" si="3"/>
        <v>99373704</v>
      </c>
      <c r="K5" s="5">
        <v>0.6</v>
      </c>
      <c r="L5" s="6">
        <f t="shared" ref="L5:L24" si="9">J5*K5</f>
        <v>59624222.399999999</v>
      </c>
      <c r="M5" s="5"/>
      <c r="N5" s="5"/>
      <c r="O5" s="5"/>
      <c r="P5" s="5">
        <f t="shared" si="4"/>
        <v>23849688.960000001</v>
      </c>
      <c r="Q5" s="5">
        <f t="shared" si="5"/>
        <v>35774533.439999998</v>
      </c>
      <c r="R5" s="5">
        <f>L5/SUM($L$2:$L$24)</f>
        <v>3.9586219534486994E-5</v>
      </c>
      <c r="S5" s="5">
        <f t="shared" si="6"/>
        <v>1.5834487813794798E-5</v>
      </c>
      <c r="T5" s="5">
        <f t="shared" si="7"/>
        <v>2.3751731720692196E-5</v>
      </c>
    </row>
    <row r="6" spans="1:20" x14ac:dyDescent="0.55000000000000004">
      <c r="A6" s="3" t="s">
        <v>30</v>
      </c>
      <c r="B6" s="3">
        <v>16</v>
      </c>
      <c r="C6" s="6">
        <v>10600</v>
      </c>
      <c r="D6" s="6">
        <v>133200</v>
      </c>
      <c r="E6" s="6">
        <f t="shared" si="8"/>
        <v>214851600</v>
      </c>
      <c r="F6" s="5">
        <v>12</v>
      </c>
      <c r="G6" s="5">
        <v>0.34</v>
      </c>
      <c r="H6" s="5">
        <f t="shared" si="2"/>
        <v>4.08</v>
      </c>
      <c r="I6" s="5">
        <v>10</v>
      </c>
      <c r="J6" s="6">
        <f t="shared" si="3"/>
        <v>8765945280</v>
      </c>
      <c r="K6" s="5">
        <v>0.55000000000000004</v>
      </c>
      <c r="L6" s="6">
        <f t="shared" si="9"/>
        <v>4821269904</v>
      </c>
      <c r="M6" s="5"/>
      <c r="N6" s="5"/>
      <c r="O6" s="5"/>
      <c r="P6" s="5">
        <f t="shared" si="4"/>
        <v>1928507961.6000001</v>
      </c>
      <c r="Q6" s="5">
        <f t="shared" si="5"/>
        <v>2892761942.3999996</v>
      </c>
      <c r="R6" s="5">
        <f>L6/SUM($L$2:$L$24)</f>
        <v>3.200978414013816E-3</v>
      </c>
      <c r="S6" s="5">
        <f t="shared" si="6"/>
        <v>1.2803913656055264E-3</v>
      </c>
      <c r="T6" s="5">
        <f t="shared" si="7"/>
        <v>1.9205870484082896E-3</v>
      </c>
    </row>
    <row r="7" spans="1:20" x14ac:dyDescent="0.55000000000000004">
      <c r="A7" s="3" t="s">
        <v>4</v>
      </c>
      <c r="B7" s="3">
        <v>50.2</v>
      </c>
      <c r="C7" s="6">
        <v>3670</v>
      </c>
      <c r="D7" s="6">
        <v>50400</v>
      </c>
      <c r="E7" s="6">
        <f t="shared" si="8"/>
        <v>81295200</v>
      </c>
      <c r="F7" s="5">
        <v>12</v>
      </c>
      <c r="G7" s="5">
        <v>0.34</v>
      </c>
      <c r="H7" s="5">
        <f t="shared" si="2"/>
        <v>4.08</v>
      </c>
      <c r="I7" s="5">
        <v>10</v>
      </c>
      <c r="J7" s="6">
        <f t="shared" si="3"/>
        <v>3316844160</v>
      </c>
      <c r="K7" s="5">
        <v>0.5</v>
      </c>
      <c r="L7" s="6">
        <f t="shared" si="9"/>
        <v>1658422080</v>
      </c>
      <c r="M7" s="5"/>
      <c r="N7" s="5"/>
      <c r="O7" s="5"/>
      <c r="P7" s="5">
        <f t="shared" si="4"/>
        <v>663368832</v>
      </c>
      <c r="Q7" s="5">
        <f t="shared" si="5"/>
        <v>995053248</v>
      </c>
      <c r="R7" s="5">
        <f>L7/SUM($L$2:$L$24)</f>
        <v>1.1010736559261282E-3</v>
      </c>
      <c r="S7" s="5">
        <f t="shared" si="6"/>
        <v>4.4042946237045133E-4</v>
      </c>
      <c r="T7" s="5">
        <f t="shared" si="7"/>
        <v>6.6064419355567686E-4</v>
      </c>
    </row>
    <row r="8" spans="1:20" x14ac:dyDescent="0.55000000000000004">
      <c r="A8" s="3" t="s">
        <v>5</v>
      </c>
      <c r="B8" s="3">
        <v>66</v>
      </c>
      <c r="C8" s="6">
        <v>5680</v>
      </c>
      <c r="D8" s="6">
        <v>77000</v>
      </c>
      <c r="E8" s="6">
        <f t="shared" si="8"/>
        <v>124201000</v>
      </c>
      <c r="F8" s="5">
        <v>12</v>
      </c>
      <c r="G8" s="5">
        <v>0.34</v>
      </c>
      <c r="H8" s="5">
        <f t="shared" si="2"/>
        <v>4.08</v>
      </c>
      <c r="I8" s="5">
        <v>10</v>
      </c>
      <c r="J8" s="6">
        <f t="shared" si="3"/>
        <v>5067400800</v>
      </c>
      <c r="K8" s="5">
        <v>0.4</v>
      </c>
      <c r="L8" s="6">
        <f t="shared" si="9"/>
        <v>2026960320</v>
      </c>
      <c r="M8" s="5"/>
      <c r="N8" s="5"/>
      <c r="O8" s="5"/>
      <c r="P8" s="5">
        <f t="shared" si="4"/>
        <v>810784128</v>
      </c>
      <c r="Q8" s="5">
        <f t="shared" si="5"/>
        <v>1216176192</v>
      </c>
      <c r="R8" s="5">
        <f>L8/SUM($L$2:$L$24)</f>
        <v>1.3457566905763791E-3</v>
      </c>
      <c r="S8" s="5">
        <f t="shared" si="6"/>
        <v>5.3830267623055164E-4</v>
      </c>
      <c r="T8" s="5">
        <f t="shared" si="7"/>
        <v>8.0745401434582746E-4</v>
      </c>
    </row>
    <row r="9" spans="1:20" x14ac:dyDescent="0.55000000000000004">
      <c r="A9" s="3" t="s">
        <v>31</v>
      </c>
      <c r="B9" s="3">
        <v>86.3</v>
      </c>
      <c r="C9" s="6">
        <v>6680</v>
      </c>
      <c r="D9" s="6">
        <v>68500</v>
      </c>
      <c r="E9" s="6">
        <f t="shared" si="8"/>
        <v>110490500</v>
      </c>
      <c r="F9" s="5">
        <v>12</v>
      </c>
      <c r="G9" s="5">
        <v>0.34</v>
      </c>
      <c r="H9" s="5">
        <f t="shared" si="2"/>
        <v>4.08</v>
      </c>
      <c r="I9" s="5">
        <v>10</v>
      </c>
      <c r="J9" s="6">
        <f t="shared" si="3"/>
        <v>4508012400</v>
      </c>
      <c r="K9" s="5">
        <v>0.35</v>
      </c>
      <c r="L9" s="6">
        <f t="shared" si="9"/>
        <v>1577804340</v>
      </c>
      <c r="M9" s="5"/>
      <c r="N9" s="5"/>
      <c r="O9" s="5"/>
      <c r="P9" s="5">
        <f t="shared" si="4"/>
        <v>631121736</v>
      </c>
      <c r="Q9" s="5">
        <f t="shared" si="5"/>
        <v>946682604</v>
      </c>
      <c r="R9" s="5">
        <f>L9/SUM($L$2:$L$24)</f>
        <v>1.047549242096386E-3</v>
      </c>
      <c r="S9" s="5">
        <f t="shared" si="6"/>
        <v>4.1901969683855438E-4</v>
      </c>
      <c r="T9" s="5">
        <f t="shared" si="7"/>
        <v>6.2852954525783157E-4</v>
      </c>
    </row>
    <row r="10" spans="1:20" x14ac:dyDescent="0.55000000000000004">
      <c r="A10" s="3" t="s">
        <v>6</v>
      </c>
      <c r="B10" s="3">
        <v>108.1</v>
      </c>
      <c r="C10" s="6">
        <v>4710</v>
      </c>
      <c r="D10" s="6">
        <v>59600</v>
      </c>
      <c r="E10" s="6">
        <f t="shared" si="8"/>
        <v>96134800</v>
      </c>
      <c r="F10" s="5">
        <v>12</v>
      </c>
      <c r="G10" s="5">
        <v>0.34</v>
      </c>
      <c r="H10" s="5">
        <f t="shared" si="2"/>
        <v>4.08</v>
      </c>
      <c r="I10" s="5">
        <v>10</v>
      </c>
      <c r="J10" s="6">
        <f t="shared" si="3"/>
        <v>3922299840</v>
      </c>
      <c r="K10" s="5">
        <v>0.15</v>
      </c>
      <c r="L10" s="6">
        <f t="shared" si="9"/>
        <v>588344976</v>
      </c>
      <c r="M10" s="5"/>
      <c r="N10" s="5"/>
      <c r="O10" s="5"/>
      <c r="P10" s="5">
        <f t="shared" si="4"/>
        <v>235337990.40000001</v>
      </c>
      <c r="Q10" s="5">
        <f t="shared" si="5"/>
        <v>353006985.60000002</v>
      </c>
      <c r="R10" s="5">
        <f>L10/SUM($L$2:$L$24)</f>
        <v>3.9061898745950741E-4</v>
      </c>
      <c r="S10" s="5">
        <f t="shared" si="6"/>
        <v>1.5624759498380299E-4</v>
      </c>
      <c r="T10" s="5">
        <f t="shared" si="7"/>
        <v>2.3437139247570443E-4</v>
      </c>
    </row>
    <row r="11" spans="1:20" x14ac:dyDescent="0.55000000000000004">
      <c r="A11" s="3" t="s">
        <v>7</v>
      </c>
      <c r="B11" s="3">
        <v>125.4</v>
      </c>
      <c r="C11" s="6">
        <v>9700</v>
      </c>
      <c r="D11" s="6">
        <v>108500</v>
      </c>
      <c r="E11" s="6">
        <f t="shared" si="8"/>
        <v>175010500</v>
      </c>
      <c r="F11" s="5">
        <v>12</v>
      </c>
      <c r="G11" s="5">
        <v>0.34</v>
      </c>
      <c r="H11" s="5">
        <f t="shared" si="2"/>
        <v>4.08</v>
      </c>
      <c r="I11" s="5">
        <v>10</v>
      </c>
      <c r="J11" s="6">
        <f t="shared" si="3"/>
        <v>7140428400</v>
      </c>
      <c r="K11" s="5">
        <v>0.01</v>
      </c>
      <c r="L11" s="6">
        <f t="shared" si="9"/>
        <v>71404284</v>
      </c>
      <c r="M11" s="5"/>
      <c r="N11" s="5"/>
      <c r="O11" s="5"/>
      <c r="P11" s="5">
        <f t="shared" si="4"/>
        <v>28561713.600000001</v>
      </c>
      <c r="Q11" s="5">
        <f t="shared" si="5"/>
        <v>42842570.399999999</v>
      </c>
      <c r="R11" s="5">
        <f>L11/SUM($L$2:$L$24)</f>
        <v>4.7407337963486083E-5</v>
      </c>
      <c r="S11" s="5">
        <f t="shared" si="6"/>
        <v>1.8962935185394435E-5</v>
      </c>
      <c r="T11" s="5">
        <f t="shared" si="7"/>
        <v>2.8444402778091649E-5</v>
      </c>
    </row>
    <row r="12" spans="1:20" x14ac:dyDescent="0.55000000000000004">
      <c r="A12" s="3" t="s">
        <v>8</v>
      </c>
      <c r="B12" s="3">
        <f>155-9+65</f>
        <v>211</v>
      </c>
      <c r="C12" s="6">
        <v>3550</v>
      </c>
      <c r="D12" s="6">
        <v>33600</v>
      </c>
      <c r="E12" s="6">
        <f t="shared" si="8"/>
        <v>54196800</v>
      </c>
      <c r="F12" s="5">
        <v>12</v>
      </c>
      <c r="G12" s="5">
        <v>0.34</v>
      </c>
      <c r="H12" s="5">
        <f t="shared" si="2"/>
        <v>4.08</v>
      </c>
      <c r="I12" s="5">
        <v>10</v>
      </c>
      <c r="J12" s="6">
        <f t="shared" si="3"/>
        <v>2211229440</v>
      </c>
      <c r="K12" s="5">
        <v>0</v>
      </c>
      <c r="L12" s="6">
        <f t="shared" si="9"/>
        <v>0</v>
      </c>
      <c r="M12" s="5"/>
      <c r="N12" s="5"/>
      <c r="O12" s="5"/>
      <c r="P12" s="5">
        <f t="shared" si="4"/>
        <v>0</v>
      </c>
      <c r="Q12" s="5">
        <f t="shared" si="5"/>
        <v>0</v>
      </c>
      <c r="R12" s="5">
        <f>L12/SUM($L$2:$L$24)</f>
        <v>0</v>
      </c>
      <c r="S12" s="5">
        <f t="shared" si="6"/>
        <v>0</v>
      </c>
      <c r="T12" s="5">
        <f t="shared" si="7"/>
        <v>0</v>
      </c>
    </row>
    <row r="13" spans="1:20" x14ac:dyDescent="0.55000000000000004">
      <c r="A13" s="3" t="s">
        <v>9</v>
      </c>
      <c r="B13" s="3">
        <v>155.9</v>
      </c>
      <c r="C13" s="6">
        <v>4130</v>
      </c>
      <c r="D13" s="6">
        <v>37300</v>
      </c>
      <c r="E13" s="6">
        <f t="shared" si="8"/>
        <v>60164900</v>
      </c>
      <c r="F13" s="5">
        <v>12</v>
      </c>
      <c r="G13" s="5">
        <v>0.34</v>
      </c>
      <c r="H13" s="5">
        <f t="shared" si="2"/>
        <v>4.08</v>
      </c>
      <c r="I13" s="5">
        <v>10</v>
      </c>
      <c r="J13" s="6">
        <f t="shared" si="3"/>
        <v>2454727920</v>
      </c>
      <c r="K13" s="5">
        <v>7.4999999999999997E-2</v>
      </c>
      <c r="L13" s="6">
        <f t="shared" si="9"/>
        <v>184104594</v>
      </c>
      <c r="M13" s="5"/>
      <c r="N13" s="5"/>
      <c r="O13" s="5"/>
      <c r="P13" s="5">
        <f t="shared" si="4"/>
        <v>73641837.600000009</v>
      </c>
      <c r="Q13" s="5">
        <f t="shared" si="5"/>
        <v>110462756.39999999</v>
      </c>
      <c r="R13" s="5">
        <f>L13/SUM($L$2:$L$24)</f>
        <v>1.2223228382751366E-4</v>
      </c>
      <c r="S13" s="5">
        <f t="shared" si="6"/>
        <v>4.8892913531005466E-5</v>
      </c>
      <c r="T13" s="5">
        <f t="shared" si="7"/>
        <v>7.3339370296508202E-5</v>
      </c>
    </row>
    <row r="14" spans="1:20" x14ac:dyDescent="0.55000000000000004">
      <c r="A14" s="3" t="s">
        <v>10</v>
      </c>
      <c r="B14" s="3">
        <v>176.9</v>
      </c>
      <c r="C14" s="6">
        <v>5660</v>
      </c>
      <c r="D14" s="6">
        <v>70400</v>
      </c>
      <c r="E14" s="6">
        <f t="shared" si="8"/>
        <v>113555200</v>
      </c>
      <c r="F14" s="5">
        <v>12</v>
      </c>
      <c r="G14" s="5">
        <v>0.34</v>
      </c>
      <c r="H14" s="5">
        <f t="shared" si="2"/>
        <v>4.08</v>
      </c>
      <c r="I14" s="5">
        <v>10</v>
      </c>
      <c r="J14" s="6">
        <f t="shared" si="3"/>
        <v>4633052160</v>
      </c>
      <c r="K14" s="5">
        <v>2.5000000000000001E-2</v>
      </c>
      <c r="L14" s="6">
        <f t="shared" si="9"/>
        <v>115826304</v>
      </c>
      <c r="M14" s="5"/>
      <c r="N14" s="5"/>
      <c r="O14" s="5"/>
      <c r="P14" s="5">
        <f t="shared" si="4"/>
        <v>46330521.600000001</v>
      </c>
      <c r="Q14" s="5">
        <f t="shared" si="5"/>
        <v>69495782.400000006</v>
      </c>
      <c r="R14" s="5">
        <f>L14/SUM($L$2:$L$24)</f>
        <v>7.6900382318650234E-5</v>
      </c>
      <c r="S14" s="5">
        <f t="shared" si="6"/>
        <v>3.0760152927460094E-5</v>
      </c>
      <c r="T14" s="5">
        <f t="shared" si="7"/>
        <v>4.6140229391190141E-5</v>
      </c>
    </row>
    <row r="15" spans="1:20" x14ac:dyDescent="0.55000000000000004">
      <c r="A15" s="3" t="s">
        <v>11</v>
      </c>
      <c r="B15" s="3">
        <f>B14+80</f>
        <v>256.89999999999998</v>
      </c>
      <c r="C15" s="6">
        <v>2910</v>
      </c>
      <c r="D15" s="6">
        <v>258000</v>
      </c>
      <c r="E15" s="6">
        <f t="shared" si="8"/>
        <v>416154000</v>
      </c>
      <c r="F15" s="5">
        <v>12</v>
      </c>
      <c r="G15" s="5">
        <v>0.34</v>
      </c>
      <c r="H15" s="5">
        <f t="shared" si="2"/>
        <v>4.08</v>
      </c>
      <c r="I15" s="5">
        <v>10</v>
      </c>
      <c r="J15" s="6">
        <f t="shared" si="3"/>
        <v>16979083200</v>
      </c>
      <c r="K15" s="5">
        <v>0</v>
      </c>
      <c r="L15" s="6">
        <f t="shared" si="9"/>
        <v>0</v>
      </c>
      <c r="M15" s="5"/>
      <c r="N15" s="5"/>
      <c r="O15" s="5"/>
      <c r="P15" s="5">
        <f t="shared" si="4"/>
        <v>0</v>
      </c>
      <c r="Q15" s="5">
        <f t="shared" si="5"/>
        <v>0</v>
      </c>
      <c r="R15" s="5">
        <f>L15/SUM($L$2:$L$24)</f>
        <v>0</v>
      </c>
      <c r="S15" s="5">
        <f t="shared" si="6"/>
        <v>0</v>
      </c>
      <c r="T15" s="5">
        <f t="shared" si="7"/>
        <v>0</v>
      </c>
    </row>
    <row r="16" spans="1:20" x14ac:dyDescent="0.55000000000000004">
      <c r="A16" s="3" t="s">
        <v>12</v>
      </c>
      <c r="B16" s="3">
        <v>205.5</v>
      </c>
      <c r="C16" s="6">
        <v>34300</v>
      </c>
      <c r="D16" s="6">
        <v>486200</v>
      </c>
      <c r="E16" s="6">
        <f t="shared" si="8"/>
        <v>784240600</v>
      </c>
      <c r="F16" s="5">
        <v>12</v>
      </c>
      <c r="G16" s="5">
        <v>0.34</v>
      </c>
      <c r="H16" s="5">
        <f t="shared" si="2"/>
        <v>4.08</v>
      </c>
      <c r="I16" s="5">
        <v>10</v>
      </c>
      <c r="J16" s="6">
        <f t="shared" si="3"/>
        <v>31997016480</v>
      </c>
      <c r="K16" s="5">
        <v>0</v>
      </c>
      <c r="L16" s="6">
        <f t="shared" si="9"/>
        <v>0</v>
      </c>
      <c r="M16" s="5"/>
      <c r="N16" s="5"/>
      <c r="O16" s="5"/>
      <c r="P16" s="5">
        <f t="shared" si="4"/>
        <v>0</v>
      </c>
      <c r="Q16" s="5">
        <f t="shared" si="5"/>
        <v>0</v>
      </c>
      <c r="R16" s="5">
        <f>L16/SUM($L$2:$L$24)</f>
        <v>0</v>
      </c>
      <c r="S16" s="5">
        <f t="shared" si="6"/>
        <v>0</v>
      </c>
      <c r="T16" s="5">
        <f t="shared" si="7"/>
        <v>0</v>
      </c>
    </row>
    <row r="17" spans="1:20" x14ac:dyDescent="0.55000000000000004">
      <c r="A17" s="3" t="s">
        <v>13</v>
      </c>
      <c r="B17" s="3">
        <v>256.8</v>
      </c>
      <c r="C17" s="6">
        <v>10600</v>
      </c>
      <c r="D17" s="6">
        <v>148400</v>
      </c>
      <c r="E17" s="6">
        <f t="shared" si="8"/>
        <v>239369200</v>
      </c>
      <c r="F17" s="5">
        <v>12</v>
      </c>
      <c r="G17" s="5">
        <v>0.34</v>
      </c>
      <c r="H17" s="5">
        <f t="shared" si="2"/>
        <v>4.08</v>
      </c>
      <c r="I17" s="5">
        <v>10</v>
      </c>
      <c r="J17" s="6">
        <f t="shared" si="3"/>
        <v>9766263360</v>
      </c>
      <c r="K17" s="5">
        <v>0</v>
      </c>
      <c r="L17" s="6">
        <f t="shared" si="9"/>
        <v>0</v>
      </c>
      <c r="M17" s="5"/>
      <c r="N17" s="5"/>
      <c r="O17" s="5"/>
      <c r="P17" s="5">
        <f t="shared" si="4"/>
        <v>0</v>
      </c>
      <c r="Q17" s="5">
        <f t="shared" si="5"/>
        <v>0</v>
      </c>
      <c r="R17" s="5">
        <f>L17/SUM($L$2:$L$24)</f>
        <v>0</v>
      </c>
      <c r="S17" s="5">
        <f t="shared" si="6"/>
        <v>0</v>
      </c>
      <c r="T17" s="5">
        <f t="shared" si="7"/>
        <v>0</v>
      </c>
    </row>
    <row r="18" spans="1:20" x14ac:dyDescent="0.55000000000000004">
      <c r="A18" s="3" t="s">
        <v>14</v>
      </c>
      <c r="B18" s="3">
        <v>292.8</v>
      </c>
      <c r="C18" s="6">
        <v>6820</v>
      </c>
      <c r="D18" s="6">
        <v>49100</v>
      </c>
      <c r="E18" s="6">
        <f t="shared" si="8"/>
        <v>79198300</v>
      </c>
      <c r="F18" s="5">
        <v>12</v>
      </c>
      <c r="G18" s="5">
        <v>0.34</v>
      </c>
      <c r="H18" s="5">
        <f t="shared" si="2"/>
        <v>4.08</v>
      </c>
      <c r="I18" s="5">
        <v>10</v>
      </c>
      <c r="J18" s="6">
        <f t="shared" si="3"/>
        <v>3231290640</v>
      </c>
      <c r="K18" s="5">
        <v>0</v>
      </c>
      <c r="L18" s="6">
        <f t="shared" si="9"/>
        <v>0</v>
      </c>
      <c r="M18" s="5"/>
      <c r="N18" s="5"/>
      <c r="O18" s="5"/>
      <c r="P18" s="5">
        <f t="shared" si="4"/>
        <v>0</v>
      </c>
      <c r="Q18" s="5">
        <f t="shared" si="5"/>
        <v>0</v>
      </c>
      <c r="R18" s="5">
        <f>L18/SUM($L$2:$L$24)</f>
        <v>0</v>
      </c>
      <c r="S18" s="5">
        <f t="shared" si="6"/>
        <v>0</v>
      </c>
      <c r="T18" s="5">
        <f t="shared" si="7"/>
        <v>0</v>
      </c>
    </row>
    <row r="19" spans="1:20" x14ac:dyDescent="0.55000000000000004">
      <c r="A19" s="3" t="s">
        <v>15</v>
      </c>
      <c r="B19" s="3">
        <f>B18+100</f>
        <v>392.8</v>
      </c>
      <c r="C19" s="6">
        <v>6745</v>
      </c>
      <c r="D19" s="6">
        <v>427481</v>
      </c>
      <c r="E19" s="6">
        <f t="shared" si="8"/>
        <v>689526853</v>
      </c>
      <c r="F19" s="5">
        <v>12</v>
      </c>
      <c r="G19" s="5">
        <v>0.34</v>
      </c>
      <c r="H19" s="5">
        <f t="shared" si="2"/>
        <v>4.08</v>
      </c>
      <c r="I19" s="5">
        <v>10</v>
      </c>
      <c r="J19" s="6">
        <f t="shared" si="3"/>
        <v>28132695602.400002</v>
      </c>
      <c r="K19" s="5">
        <v>0</v>
      </c>
      <c r="L19" s="6">
        <f t="shared" si="9"/>
        <v>0</v>
      </c>
      <c r="M19" s="5"/>
      <c r="N19" s="5"/>
      <c r="O19" s="5"/>
      <c r="P19" s="5">
        <f t="shared" si="4"/>
        <v>0</v>
      </c>
      <c r="Q19" s="5">
        <f t="shared" si="5"/>
        <v>0</v>
      </c>
      <c r="R19" s="5">
        <f>L19/SUM($L$2:$L$24)</f>
        <v>0</v>
      </c>
      <c r="S19" s="5">
        <f t="shared" si="6"/>
        <v>0</v>
      </c>
      <c r="T19" s="5">
        <f t="shared" si="7"/>
        <v>0</v>
      </c>
    </row>
    <row r="20" spans="1:20" x14ac:dyDescent="0.55000000000000004">
      <c r="A20" s="3" t="s">
        <v>16</v>
      </c>
      <c r="B20" s="3">
        <v>319.60000000000002</v>
      </c>
      <c r="C20" s="6">
        <v>1595</v>
      </c>
      <c r="D20" s="6">
        <v>15800</v>
      </c>
      <c r="E20" s="6">
        <f t="shared" si="8"/>
        <v>25485400</v>
      </c>
      <c r="F20" s="5">
        <v>12</v>
      </c>
      <c r="G20" s="5">
        <v>0.34</v>
      </c>
      <c r="H20" s="5">
        <f t="shared" si="2"/>
        <v>4.08</v>
      </c>
      <c r="I20" s="5">
        <v>10</v>
      </c>
      <c r="J20" s="6">
        <f t="shared" si="3"/>
        <v>1039804320</v>
      </c>
      <c r="K20" s="5">
        <v>0</v>
      </c>
      <c r="L20" s="6">
        <f t="shared" si="9"/>
        <v>0</v>
      </c>
      <c r="M20" s="5"/>
      <c r="N20" s="5"/>
      <c r="O20" s="5"/>
      <c r="P20" s="5">
        <f t="shared" si="4"/>
        <v>0</v>
      </c>
      <c r="Q20" s="5">
        <f t="shared" si="5"/>
        <v>0</v>
      </c>
      <c r="R20" s="5">
        <f>L20/SUM($L$2:$L$24)</f>
        <v>0</v>
      </c>
      <c r="S20" s="5">
        <f t="shared" si="6"/>
        <v>0</v>
      </c>
      <c r="T20" s="5">
        <f t="shared" si="7"/>
        <v>0</v>
      </c>
    </row>
    <row r="21" spans="1:20" x14ac:dyDescent="0.55000000000000004">
      <c r="A21" s="3" t="s">
        <v>17</v>
      </c>
      <c r="B21" s="3">
        <v>336.2</v>
      </c>
      <c r="C21" s="6">
        <v>32800</v>
      </c>
      <c r="D21" s="6">
        <v>525700</v>
      </c>
      <c r="E21" s="6">
        <f t="shared" si="8"/>
        <v>847954100</v>
      </c>
      <c r="F21" s="5">
        <v>12</v>
      </c>
      <c r="G21" s="5">
        <v>0.34</v>
      </c>
      <c r="H21" s="5">
        <f t="shared" si="2"/>
        <v>4.08</v>
      </c>
      <c r="I21" s="5">
        <v>10</v>
      </c>
      <c r="J21" s="6">
        <f t="shared" si="3"/>
        <v>34596527280</v>
      </c>
      <c r="K21" s="5">
        <v>0</v>
      </c>
      <c r="L21" s="6">
        <f t="shared" si="9"/>
        <v>0</v>
      </c>
      <c r="M21" s="5"/>
      <c r="N21" s="5"/>
      <c r="O21" s="5"/>
      <c r="P21" s="5">
        <f t="shared" si="4"/>
        <v>0</v>
      </c>
      <c r="Q21" s="5">
        <f t="shared" si="5"/>
        <v>0</v>
      </c>
      <c r="R21" s="5">
        <f>L21/SUM($L$2:$L$24)</f>
        <v>0</v>
      </c>
      <c r="S21" s="5">
        <f t="shared" si="6"/>
        <v>0</v>
      </c>
      <c r="T21" s="5">
        <f t="shared" si="7"/>
        <v>0</v>
      </c>
    </row>
    <row r="22" spans="1:20" x14ac:dyDescent="0.55000000000000004">
      <c r="A22" s="3" t="s">
        <v>18</v>
      </c>
      <c r="C22" s="6">
        <v>143000</v>
      </c>
      <c r="D22" s="6">
        <v>38254000</v>
      </c>
      <c r="E22" s="6">
        <f t="shared" si="8"/>
        <v>61703702000</v>
      </c>
      <c r="F22" s="5">
        <v>12</v>
      </c>
      <c r="G22" s="5">
        <v>0.34</v>
      </c>
      <c r="H22" s="5">
        <f t="shared" si="2"/>
        <v>4.08</v>
      </c>
      <c r="I22" s="5">
        <v>10</v>
      </c>
      <c r="J22" s="6">
        <f t="shared" si="3"/>
        <v>2517511041600</v>
      </c>
      <c r="K22" s="5">
        <v>0</v>
      </c>
      <c r="L22" s="6">
        <f t="shared" si="9"/>
        <v>0</v>
      </c>
      <c r="M22" s="5"/>
      <c r="N22" s="5"/>
      <c r="O22" s="5"/>
      <c r="P22" s="5">
        <f t="shared" si="4"/>
        <v>0</v>
      </c>
      <c r="Q22" s="5">
        <f t="shared" si="5"/>
        <v>0</v>
      </c>
      <c r="R22" s="5">
        <f>L22/SUM($L$2:$L$24)</f>
        <v>0</v>
      </c>
      <c r="S22" s="5">
        <f t="shared" si="6"/>
        <v>0</v>
      </c>
      <c r="T22" s="5">
        <f t="shared" si="7"/>
        <v>0</v>
      </c>
    </row>
    <row r="23" spans="1:20" x14ac:dyDescent="0.55000000000000004">
      <c r="A23" s="3" t="s">
        <v>19</v>
      </c>
      <c r="C23" s="6">
        <v>12900</v>
      </c>
      <c r="D23" s="6">
        <v>123800</v>
      </c>
      <c r="E23" s="6">
        <f t="shared" si="8"/>
        <v>199689400</v>
      </c>
      <c r="F23" s="5">
        <v>12</v>
      </c>
      <c r="G23" s="5">
        <v>0.34</v>
      </c>
      <c r="H23" s="5">
        <f t="shared" si="2"/>
        <v>4.08</v>
      </c>
      <c r="I23" s="5">
        <v>10</v>
      </c>
      <c r="J23" s="6">
        <f t="shared" si="3"/>
        <v>8147327520</v>
      </c>
      <c r="K23" s="5">
        <v>0</v>
      </c>
      <c r="L23" s="6">
        <f t="shared" si="9"/>
        <v>0</v>
      </c>
      <c r="M23" s="5"/>
      <c r="N23" s="5"/>
      <c r="O23" s="5"/>
      <c r="P23" s="5">
        <f t="shared" si="4"/>
        <v>0</v>
      </c>
      <c r="Q23" s="5">
        <f t="shared" si="5"/>
        <v>0</v>
      </c>
      <c r="R23" s="5">
        <f>L23/SUM($L$2:$L$24)</f>
        <v>0</v>
      </c>
      <c r="S23" s="5">
        <f t="shared" si="6"/>
        <v>0</v>
      </c>
      <c r="T23" s="5">
        <f t="shared" si="7"/>
        <v>0</v>
      </c>
    </row>
    <row r="24" spans="1:20" x14ac:dyDescent="0.55000000000000004">
      <c r="A24" s="3" t="s">
        <v>20</v>
      </c>
      <c r="B24" s="3">
        <v>366.7</v>
      </c>
      <c r="C24" s="6">
        <v>11640</v>
      </c>
      <c r="D24" s="6">
        <v>170100</v>
      </c>
      <c r="E24" s="6">
        <f t="shared" si="8"/>
        <v>274371300</v>
      </c>
      <c r="F24" s="5">
        <v>12</v>
      </c>
      <c r="G24" s="5">
        <v>0.34</v>
      </c>
      <c r="H24" s="5">
        <f t="shared" si="2"/>
        <v>4.08</v>
      </c>
      <c r="I24" s="5">
        <v>10</v>
      </c>
      <c r="J24" s="6">
        <f t="shared" si="3"/>
        <v>11194349040</v>
      </c>
      <c r="K24" s="5">
        <v>0</v>
      </c>
      <c r="L24" s="6">
        <f t="shared" si="9"/>
        <v>0</v>
      </c>
      <c r="M24" s="5"/>
      <c r="N24" s="5"/>
      <c r="O24" s="5"/>
      <c r="P24" s="5">
        <f t="shared" si="4"/>
        <v>0</v>
      </c>
      <c r="Q24" s="5">
        <f t="shared" si="5"/>
        <v>0</v>
      </c>
      <c r="R24" s="5">
        <f>L24/SUM($L$2:$L$24)</f>
        <v>0</v>
      </c>
      <c r="S24" s="5">
        <f t="shared" si="6"/>
        <v>0</v>
      </c>
      <c r="T24" s="5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86d6ec5-3513-4163-b61b-3336b8196cc2">
      <UserInfo>
        <DisplayName/>
        <AccountId xsi:nil="true"/>
        <AccountType/>
      </UserInfo>
    </SharedWithUsers>
    <lcf76f155ced4ddcb4097134ff3c332f xmlns="ac7faf10-95cf-4b08-aa35-4e5ec9649a6d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9057CFD2BEC41ADBD840847EFB873" ma:contentTypeVersion="16" ma:contentTypeDescription="Create a new document." ma:contentTypeScope="" ma:versionID="648ae21122da69ae7dfdbeaff919bffe">
  <xsd:schema xmlns:xsd="http://www.w3.org/2001/XMLSchema" xmlns:xs="http://www.w3.org/2001/XMLSchema" xmlns:p="http://schemas.microsoft.com/office/2006/metadata/properties" xmlns:ns2="ac7faf10-95cf-4b08-aa35-4e5ec9649a6d" xmlns:ns3="586d6ec5-3513-4163-b61b-3336b8196cc2" xmlns:ns4="31062a0d-ede8-4112-b4bb-00a9c1bc8e16" targetNamespace="http://schemas.microsoft.com/office/2006/metadata/properties" ma:root="true" ma:fieldsID="a8b932efa105142e2a7486fe9cd6c3e5" ns2:_="" ns3:_="" ns4:_="">
    <xsd:import namespace="ac7faf10-95cf-4b08-aa35-4e5ec9649a6d"/>
    <xsd:import namespace="586d6ec5-3513-4163-b61b-3336b8196cc2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faf10-95cf-4b08-aa35-4e5ec9649a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d6ec5-3513-4163-b61b-3336b8196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f6b6205-5358-4dbc-af6b-c3426130b23b}" ma:internalName="TaxCatchAll" ma:showField="CatchAllData" ma:web="586d6ec5-3513-4163-b61b-3336b8196c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69DC54-EEDC-4544-BDC0-D9DB56F83F47}">
  <ds:schemaRefs>
    <ds:schemaRef ds:uri="http://schemas.microsoft.com/office/2006/metadata/properties"/>
    <ds:schemaRef ds:uri="http://schemas.microsoft.com/office/infopath/2007/PartnerControls"/>
    <ds:schemaRef ds:uri="586d6ec5-3513-4163-b61b-3336b8196cc2"/>
    <ds:schemaRef ds:uri="ac7faf10-95cf-4b08-aa35-4e5ec9649a6d"/>
    <ds:schemaRef ds:uri="31062a0d-ede8-4112-b4bb-00a9c1bc8e16"/>
  </ds:schemaRefs>
</ds:datastoreItem>
</file>

<file path=customXml/itemProps2.xml><?xml version="1.0" encoding="utf-8"?>
<ds:datastoreItem xmlns:ds="http://schemas.openxmlformats.org/officeDocument/2006/customXml" ds:itemID="{018326DE-84B4-46C2-9FD6-C468E4DAE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13C71F-47C6-4C80-B194-EF0F0069C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faf10-95cf-4b08-aa35-4e5ec9649a6d"/>
    <ds:schemaRef ds:uri="586d6ec5-3513-4163-b61b-3336b8196cc2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93b5ba-4b18-4d7b-9341-f32f400a5494}" enabled="0" method="" siteId="{0693b5ba-4b18-4d7b-9341-f32f400a549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Aldridge, Caleb A</dc:creator>
  <cp:lastModifiedBy>Aldridge, Caleb A</cp:lastModifiedBy>
  <dcterms:created xsi:type="dcterms:W3CDTF">2025-07-25T18:26:18Z</dcterms:created>
  <dcterms:modified xsi:type="dcterms:W3CDTF">2025-07-30T17:12:23Z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0x0101007CC9057CFD2BEC41ADBD840847EFB873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