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ha\OneDrive\Escritorio\"/>
    </mc:Choice>
  </mc:AlternateContent>
  <xr:revisionPtr revIDLastSave="0" documentId="13_ncr:1_{A39574D0-FFED-4E38-9B10-7C15D9AFF87D}" xr6:coauthVersionLast="47" xr6:coauthVersionMax="47" xr10:uidLastSave="{00000000-0000-0000-0000-000000000000}"/>
  <bookViews>
    <workbookView xWindow="-3825" yWindow="-16320" windowWidth="29040" windowHeight="15840" tabRatio="840" xr2:uid="{D98E96C7-5A4C-4500-9C92-ABFFD31E74C3}"/>
  </bookViews>
  <sheets>
    <sheet name="GRUPOS" sheetId="1" r:id="rId1"/>
    <sheet name="Primera Fase" sheetId="2" r:id="rId2"/>
    <sheet name="Segunda Fase" sheetId="3" r:id="rId3"/>
    <sheet name="Quiniela CASA" sheetId="4" r:id="rId4"/>
    <sheet name="Quiniela ABU" sheetId="6" r:id="rId5"/>
  </sheets>
  <definedNames>
    <definedName name="_xlnm._FilterDatabase" localSheetId="1" hidden="1">'Primera Fase'!$E$6:$M$78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4" i="4" l="1"/>
  <c r="F15" i="4"/>
  <c r="F16" i="4"/>
  <c r="F17" i="4"/>
  <c r="F18" i="4"/>
  <c r="F19" i="4"/>
  <c r="F20" i="4"/>
  <c r="F21" i="4"/>
  <c r="F22" i="4"/>
  <c r="F23" i="4"/>
  <c r="F24" i="4"/>
  <c r="J24" i="4" s="1"/>
  <c r="F25" i="4"/>
  <c r="F26" i="4"/>
  <c r="F27" i="4"/>
  <c r="F28" i="4"/>
  <c r="F29" i="4"/>
  <c r="F30" i="4"/>
  <c r="M19" i="4"/>
  <c r="M20" i="4"/>
  <c r="P16" i="4"/>
  <c r="F31" i="4"/>
  <c r="F32" i="4"/>
  <c r="F33" i="4"/>
  <c r="F3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14" i="4"/>
  <c r="S14" i="4" s="1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35" i="4"/>
  <c r="F36" i="4"/>
  <c r="F37" i="4"/>
  <c r="Q20" i="3" a="1"/>
  <c r="Q20" i="3" s="1"/>
  <c r="G23" i="3" a="1"/>
  <c r="G23" i="3" s="1"/>
  <c r="J15" i="4"/>
  <c r="P23" i="4"/>
  <c r="Y15" i="6"/>
  <c r="Y16" i="6"/>
  <c r="Y17" i="6"/>
  <c r="Y14" i="6"/>
  <c r="V15" i="6"/>
  <c r="V16" i="6"/>
  <c r="V39" i="6" s="1"/>
  <c r="V17" i="6"/>
  <c r="V14" i="6"/>
  <c r="S15" i="6"/>
  <c r="S16" i="6"/>
  <c r="S17" i="6"/>
  <c r="S14" i="6"/>
  <c r="P15" i="6"/>
  <c r="P39" i="6" s="1"/>
  <c r="P16" i="6"/>
  <c r="P17" i="6"/>
  <c r="P14" i="6"/>
  <c r="M15" i="6"/>
  <c r="M16" i="6"/>
  <c r="M17" i="6"/>
  <c r="M14" i="6"/>
  <c r="J15" i="6"/>
  <c r="J16" i="6"/>
  <c r="J17" i="6"/>
  <c r="J14" i="6"/>
  <c r="J39" i="6" s="1"/>
  <c r="L7" i="2"/>
  <c r="M7" i="2" s="1" a="1"/>
  <c r="M7" i="2" s="1"/>
  <c r="G7" i="2"/>
  <c r="F7" i="2" s="1" a="1"/>
  <c r="F7" i="2" s="1"/>
  <c r="L8" i="2"/>
  <c r="M8" i="2" s="1" a="1"/>
  <c r="M8" i="2" s="1"/>
  <c r="L9" i="2"/>
  <c r="M9" i="2" s="1" a="1"/>
  <c r="M9" i="2" s="1"/>
  <c r="L10" i="2"/>
  <c r="M10" i="2" s="1" a="1"/>
  <c r="M10" i="2" s="1"/>
  <c r="L11" i="2"/>
  <c r="M11" i="2" s="1" a="1"/>
  <c r="M11" i="2" s="1"/>
  <c r="L12" i="2"/>
  <c r="M12" i="2" s="1" a="1"/>
  <c r="M12" i="2" s="1"/>
  <c r="L13" i="2"/>
  <c r="M13" i="2" s="1" a="1"/>
  <c r="M13" i="2" s="1"/>
  <c r="L14" i="2"/>
  <c r="M14" i="2" s="1" a="1"/>
  <c r="M14" i="2" s="1"/>
  <c r="L15" i="2"/>
  <c r="M15" i="2" s="1" a="1"/>
  <c r="M15" i="2" s="1"/>
  <c r="L16" i="2"/>
  <c r="M16" i="2" s="1" a="1"/>
  <c r="M16" i="2" s="1"/>
  <c r="L17" i="2"/>
  <c r="M17" i="2" s="1" a="1"/>
  <c r="M17" i="2" s="1"/>
  <c r="L18" i="2"/>
  <c r="M18" i="2" s="1" a="1"/>
  <c r="M18" i="2" s="1"/>
  <c r="L19" i="2"/>
  <c r="M19" i="2" s="1" a="1"/>
  <c r="M19" i="2" s="1"/>
  <c r="L20" i="2"/>
  <c r="M20" i="2" s="1" a="1"/>
  <c r="M20" i="2" s="1"/>
  <c r="L21" i="2"/>
  <c r="M21" i="2" s="1" a="1"/>
  <c r="M21" i="2" s="1"/>
  <c r="L22" i="2"/>
  <c r="M22" i="2" s="1" a="1"/>
  <c r="M22" i="2" s="1"/>
  <c r="L23" i="2"/>
  <c r="M23" i="2" s="1" a="1"/>
  <c r="M23" i="2" s="1"/>
  <c r="L24" i="2"/>
  <c r="M24" i="2" s="1" a="1"/>
  <c r="M24" i="2" s="1"/>
  <c r="L25" i="2"/>
  <c r="M25" i="2" s="1" a="1"/>
  <c r="M25" i="2" s="1"/>
  <c r="L26" i="2"/>
  <c r="M26" i="2" s="1" a="1"/>
  <c r="M26" i="2" s="1"/>
  <c r="L27" i="2"/>
  <c r="M27" i="2" s="1" a="1"/>
  <c r="M27" i="2" s="1"/>
  <c r="L28" i="2"/>
  <c r="M28" i="2" s="1" a="1"/>
  <c r="M28" i="2" s="1"/>
  <c r="L29" i="2"/>
  <c r="M29" i="2" s="1" a="1"/>
  <c r="M29" i="2" s="1"/>
  <c r="L30" i="2"/>
  <c r="M30" i="2" s="1" a="1"/>
  <c r="M30" i="2" s="1"/>
  <c r="L31" i="2"/>
  <c r="M31" i="2" s="1" a="1"/>
  <c r="M31" i="2" s="1"/>
  <c r="L32" i="2"/>
  <c r="M32" i="2" s="1" a="1"/>
  <c r="M32" i="2" s="1"/>
  <c r="L33" i="2"/>
  <c r="M33" i="2" s="1" a="1"/>
  <c r="M33" i="2" s="1"/>
  <c r="L34" i="2"/>
  <c r="M34" i="2" s="1" a="1"/>
  <c r="M34" i="2" s="1"/>
  <c r="L35" i="2"/>
  <c r="M35" i="2" s="1" a="1"/>
  <c r="M35" i="2" s="1"/>
  <c r="L36" i="2"/>
  <c r="M36" i="2" s="1" a="1"/>
  <c r="M36" i="2" s="1"/>
  <c r="L37" i="2"/>
  <c r="M37" i="2" s="1" a="1"/>
  <c r="M37" i="2" s="1"/>
  <c r="L38" i="2"/>
  <c r="M38" i="2" s="1" a="1"/>
  <c r="M38" i="2" s="1"/>
  <c r="L39" i="2"/>
  <c r="M39" i="2" s="1" a="1"/>
  <c r="M39" i="2" s="1"/>
  <c r="L40" i="2"/>
  <c r="M40" i="2" s="1" a="1"/>
  <c r="M40" i="2" s="1"/>
  <c r="L41" i="2"/>
  <c r="M41" i="2" s="1" a="1"/>
  <c r="M41" i="2" s="1"/>
  <c r="L42" i="2"/>
  <c r="M42" i="2" s="1" a="1"/>
  <c r="M42" i="2" s="1"/>
  <c r="L43" i="2"/>
  <c r="M43" i="2" s="1" a="1"/>
  <c r="M43" i="2" s="1"/>
  <c r="L44" i="2"/>
  <c r="M44" i="2" s="1" a="1"/>
  <c r="M44" i="2" s="1"/>
  <c r="L45" i="2"/>
  <c r="M45" i="2" s="1" a="1"/>
  <c r="M45" i="2" s="1"/>
  <c r="L46" i="2"/>
  <c r="M46" i="2" s="1" a="1"/>
  <c r="M46" i="2" s="1"/>
  <c r="L47" i="2"/>
  <c r="M47" i="2" s="1" a="1"/>
  <c r="M47" i="2" s="1"/>
  <c r="L48" i="2"/>
  <c r="M48" i="2" s="1" a="1"/>
  <c r="M48" i="2" s="1"/>
  <c r="L49" i="2"/>
  <c r="M49" i="2" s="1" a="1"/>
  <c r="M49" i="2" s="1"/>
  <c r="L50" i="2"/>
  <c r="M50" i="2" s="1" a="1"/>
  <c r="M50" i="2" s="1"/>
  <c r="L51" i="2"/>
  <c r="M51" i="2" s="1" a="1"/>
  <c r="M51" i="2" s="1"/>
  <c r="L52" i="2"/>
  <c r="M52" i="2" s="1" a="1"/>
  <c r="M52" i="2" s="1"/>
  <c r="L53" i="2"/>
  <c r="M53" i="2" s="1" a="1"/>
  <c r="M53" i="2" s="1"/>
  <c r="L54" i="2"/>
  <c r="M54" i="2" s="1" a="1"/>
  <c r="M54" i="2" s="1"/>
  <c r="L55" i="2"/>
  <c r="M55" i="2" s="1" a="1"/>
  <c r="M55" i="2" s="1"/>
  <c r="L56" i="2"/>
  <c r="M56" i="2" s="1" a="1"/>
  <c r="M56" i="2" s="1"/>
  <c r="L57" i="2"/>
  <c r="M57" i="2" s="1" a="1"/>
  <c r="M57" i="2" s="1"/>
  <c r="L58" i="2"/>
  <c r="M58" i="2" s="1" a="1"/>
  <c r="M58" i="2" s="1"/>
  <c r="L59" i="2"/>
  <c r="M59" i="2" s="1" a="1"/>
  <c r="M59" i="2" s="1"/>
  <c r="L60" i="2"/>
  <c r="M60" i="2" s="1" a="1"/>
  <c r="M60" i="2" s="1"/>
  <c r="L61" i="2"/>
  <c r="M61" i="2" s="1" a="1"/>
  <c r="M61" i="2" s="1"/>
  <c r="L62" i="2"/>
  <c r="M62" i="2" s="1" a="1"/>
  <c r="M62" i="2" s="1"/>
  <c r="L63" i="2"/>
  <c r="M63" i="2" s="1" a="1"/>
  <c r="M63" i="2" s="1"/>
  <c r="L64" i="2"/>
  <c r="M64" i="2" s="1" a="1"/>
  <c r="M64" i="2" s="1"/>
  <c r="L65" i="2"/>
  <c r="M65" i="2" s="1" a="1"/>
  <c r="M65" i="2" s="1"/>
  <c r="L66" i="2"/>
  <c r="M66" i="2" s="1" a="1"/>
  <c r="M66" i="2" s="1"/>
  <c r="L67" i="2"/>
  <c r="M67" i="2" s="1" a="1"/>
  <c r="M67" i="2" s="1"/>
  <c r="L68" i="2"/>
  <c r="M68" i="2" s="1" a="1"/>
  <c r="M68" i="2" s="1"/>
  <c r="L69" i="2"/>
  <c r="M69" i="2" s="1" a="1"/>
  <c r="M69" i="2" s="1"/>
  <c r="L70" i="2"/>
  <c r="M70" i="2" s="1" a="1"/>
  <c r="M70" i="2" s="1"/>
  <c r="L71" i="2"/>
  <c r="M71" i="2" s="1" a="1"/>
  <c r="M71" i="2" s="1"/>
  <c r="L72" i="2"/>
  <c r="M72" i="2" s="1" a="1"/>
  <c r="M72" i="2" s="1"/>
  <c r="L73" i="2"/>
  <c r="M73" i="2" s="1" a="1"/>
  <c r="M73" i="2" s="1"/>
  <c r="L74" i="2"/>
  <c r="M74" i="2" s="1" a="1"/>
  <c r="M74" i="2" s="1"/>
  <c r="L75" i="2"/>
  <c r="M75" i="2" s="1" a="1"/>
  <c r="M75" i="2" s="1"/>
  <c r="L76" i="2"/>
  <c r="M76" i="2" s="1" a="1"/>
  <c r="M76" i="2" s="1"/>
  <c r="L77" i="2"/>
  <c r="M77" i="2" s="1" a="1"/>
  <c r="M77" i="2" s="1"/>
  <c r="L78" i="2"/>
  <c r="M78" i="2" s="1" a="1"/>
  <c r="M78" i="2" s="1"/>
  <c r="G8" i="2"/>
  <c r="F8" i="2" s="1" a="1"/>
  <c r="F8" i="2" s="1"/>
  <c r="G9" i="2"/>
  <c r="F9" i="2" s="1" a="1"/>
  <c r="F9" i="2" s="1"/>
  <c r="G10" i="2"/>
  <c r="F10" i="2" s="1" a="1"/>
  <c r="F10" i="2" s="1"/>
  <c r="G11" i="2"/>
  <c r="F11" i="2" s="1" a="1"/>
  <c r="F11" i="2" s="1"/>
  <c r="G12" i="2"/>
  <c r="F12" i="2" s="1" a="1"/>
  <c r="F12" i="2" s="1"/>
  <c r="G13" i="2"/>
  <c r="F13" i="2" s="1" a="1"/>
  <c r="F13" i="2" s="1"/>
  <c r="G14" i="2"/>
  <c r="F14" i="2" s="1" a="1"/>
  <c r="F14" i="2" s="1"/>
  <c r="G15" i="2"/>
  <c r="F15" i="2" s="1" a="1"/>
  <c r="F15" i="2" s="1"/>
  <c r="G16" i="2"/>
  <c r="F16" i="2" s="1" a="1"/>
  <c r="F16" i="2" s="1"/>
  <c r="G17" i="2"/>
  <c r="F17" i="2" s="1" a="1"/>
  <c r="F17" i="2" s="1"/>
  <c r="G18" i="2"/>
  <c r="F18" i="2" s="1" a="1"/>
  <c r="F18" i="2" s="1"/>
  <c r="G19" i="2"/>
  <c r="F19" i="2" s="1" a="1"/>
  <c r="F19" i="2" s="1"/>
  <c r="G20" i="2"/>
  <c r="F20" i="2" s="1" a="1"/>
  <c r="F20" i="2" s="1"/>
  <c r="G21" i="2"/>
  <c r="F21" i="2" s="1" a="1"/>
  <c r="F21" i="2" s="1"/>
  <c r="G22" i="2"/>
  <c r="F22" i="2" s="1" a="1"/>
  <c r="F22" i="2" s="1"/>
  <c r="G23" i="2"/>
  <c r="F23" i="2" s="1" a="1"/>
  <c r="F23" i="2" s="1"/>
  <c r="G24" i="2"/>
  <c r="F24" i="2" s="1" a="1"/>
  <c r="F24" i="2" s="1"/>
  <c r="G25" i="2"/>
  <c r="F25" i="2" s="1" a="1"/>
  <c r="F25" i="2" s="1"/>
  <c r="G26" i="2"/>
  <c r="F26" i="2" s="1" a="1"/>
  <c r="F26" i="2" s="1"/>
  <c r="G27" i="2"/>
  <c r="F27" i="2" s="1" a="1"/>
  <c r="F27" i="2" s="1"/>
  <c r="G28" i="2"/>
  <c r="F28" i="2" s="1" a="1"/>
  <c r="F28" i="2" s="1"/>
  <c r="G29" i="2"/>
  <c r="F29" i="2" s="1" a="1"/>
  <c r="F29" i="2" s="1"/>
  <c r="G30" i="2"/>
  <c r="F30" i="2" s="1" a="1"/>
  <c r="F30" i="2" s="1"/>
  <c r="G31" i="2"/>
  <c r="F31" i="2" s="1" a="1"/>
  <c r="F31" i="2" s="1"/>
  <c r="G32" i="2"/>
  <c r="F32" i="2" s="1" a="1"/>
  <c r="F32" i="2" s="1"/>
  <c r="G33" i="2"/>
  <c r="F33" i="2" s="1" a="1"/>
  <c r="F33" i="2" s="1"/>
  <c r="G34" i="2"/>
  <c r="F34" i="2" s="1" a="1"/>
  <c r="F34" i="2" s="1"/>
  <c r="G35" i="2"/>
  <c r="F35" i="2" s="1" a="1"/>
  <c r="F35" i="2" s="1"/>
  <c r="G36" i="2"/>
  <c r="F36" i="2" s="1" a="1"/>
  <c r="F36" i="2" s="1"/>
  <c r="G37" i="2"/>
  <c r="F37" i="2" s="1" a="1"/>
  <c r="F37" i="2" s="1"/>
  <c r="G38" i="2"/>
  <c r="F38" i="2" s="1" a="1"/>
  <c r="F38" i="2" s="1"/>
  <c r="G39" i="2"/>
  <c r="F39" i="2" s="1" a="1"/>
  <c r="F39" i="2" s="1"/>
  <c r="G40" i="2"/>
  <c r="F40" i="2" s="1" a="1"/>
  <c r="F40" i="2" s="1"/>
  <c r="G41" i="2"/>
  <c r="F41" i="2" s="1" a="1"/>
  <c r="F41" i="2" s="1"/>
  <c r="G42" i="2"/>
  <c r="F42" i="2" s="1" a="1"/>
  <c r="F42" i="2" s="1"/>
  <c r="G43" i="2"/>
  <c r="F43" i="2" s="1" a="1"/>
  <c r="F43" i="2" s="1"/>
  <c r="G44" i="2"/>
  <c r="F44" i="2" s="1" a="1"/>
  <c r="F44" i="2" s="1"/>
  <c r="G45" i="2"/>
  <c r="F45" i="2" s="1" a="1"/>
  <c r="F45" i="2" s="1"/>
  <c r="G46" i="2"/>
  <c r="F46" i="2" s="1" a="1"/>
  <c r="F46" i="2" s="1"/>
  <c r="G47" i="2"/>
  <c r="F47" i="2" s="1" a="1"/>
  <c r="F47" i="2" s="1"/>
  <c r="G48" i="2"/>
  <c r="F48" i="2" s="1" a="1"/>
  <c r="F48" i="2" s="1"/>
  <c r="G49" i="2"/>
  <c r="F49" i="2" s="1" a="1"/>
  <c r="F49" i="2" s="1"/>
  <c r="G50" i="2"/>
  <c r="F50" i="2" s="1" a="1"/>
  <c r="F50" i="2" s="1"/>
  <c r="G51" i="2"/>
  <c r="F51" i="2" s="1" a="1"/>
  <c r="F51" i="2" s="1"/>
  <c r="G52" i="2"/>
  <c r="F52" i="2" s="1" a="1"/>
  <c r="F52" i="2" s="1"/>
  <c r="G53" i="2"/>
  <c r="F53" i="2" s="1" a="1"/>
  <c r="F53" i="2" s="1"/>
  <c r="G54" i="2"/>
  <c r="F54" i="2" s="1" a="1"/>
  <c r="F54" i="2" s="1"/>
  <c r="G55" i="2"/>
  <c r="F55" i="2" s="1" a="1"/>
  <c r="F55" i="2" s="1"/>
  <c r="G56" i="2"/>
  <c r="F56" i="2" s="1" a="1"/>
  <c r="F56" i="2" s="1"/>
  <c r="G57" i="2"/>
  <c r="F57" i="2" s="1" a="1"/>
  <c r="F57" i="2" s="1"/>
  <c r="G58" i="2"/>
  <c r="F58" i="2" s="1" a="1"/>
  <c r="F58" i="2" s="1"/>
  <c r="G59" i="2"/>
  <c r="F59" i="2" s="1" a="1"/>
  <c r="F59" i="2" s="1"/>
  <c r="G60" i="2"/>
  <c r="F60" i="2" s="1" a="1"/>
  <c r="F60" i="2" s="1"/>
  <c r="G61" i="2"/>
  <c r="F61" i="2" s="1" a="1"/>
  <c r="F61" i="2" s="1"/>
  <c r="G62" i="2"/>
  <c r="F62" i="2" s="1" a="1"/>
  <c r="F62" i="2" s="1"/>
  <c r="G63" i="2"/>
  <c r="F63" i="2" s="1" a="1"/>
  <c r="F63" i="2" s="1"/>
  <c r="G64" i="2"/>
  <c r="F64" i="2" s="1" a="1"/>
  <c r="F64" i="2" s="1"/>
  <c r="G65" i="2"/>
  <c r="F65" i="2" s="1" a="1"/>
  <c r="F65" i="2" s="1"/>
  <c r="G66" i="2"/>
  <c r="F66" i="2" s="1" a="1"/>
  <c r="F66" i="2" s="1"/>
  <c r="G67" i="2"/>
  <c r="F67" i="2" s="1" a="1"/>
  <c r="F67" i="2" s="1"/>
  <c r="G68" i="2"/>
  <c r="F68" i="2" s="1" a="1"/>
  <c r="F68" i="2" s="1"/>
  <c r="G69" i="2"/>
  <c r="F69" i="2" s="1" a="1"/>
  <c r="F69" i="2" s="1"/>
  <c r="G70" i="2"/>
  <c r="F70" i="2" s="1" a="1"/>
  <c r="F70" i="2" s="1"/>
  <c r="G71" i="2"/>
  <c r="F71" i="2" s="1" a="1"/>
  <c r="F71" i="2" s="1"/>
  <c r="G72" i="2"/>
  <c r="F72" i="2" s="1" a="1"/>
  <c r="F72" i="2" s="1"/>
  <c r="G73" i="2"/>
  <c r="F73" i="2" s="1" a="1"/>
  <c r="F73" i="2" s="1"/>
  <c r="G74" i="2"/>
  <c r="F74" i="2" s="1" a="1"/>
  <c r="F74" i="2" s="1"/>
  <c r="G75" i="2"/>
  <c r="F75" i="2" s="1" a="1"/>
  <c r="F75" i="2" s="1"/>
  <c r="G76" i="2"/>
  <c r="F76" i="2" s="1" a="1"/>
  <c r="F76" i="2" s="1"/>
  <c r="G77" i="2"/>
  <c r="F77" i="2" s="1" a="1"/>
  <c r="F77" i="2" s="1"/>
  <c r="G78" i="2"/>
  <c r="F78" i="2" s="1" a="1"/>
  <c r="F78" i="2" s="1"/>
  <c r="P24" i="4" l="1"/>
  <c r="J20" i="4"/>
  <c r="M24" i="4"/>
  <c r="M18" i="4"/>
  <c r="J16" i="4"/>
  <c r="M16" i="4"/>
  <c r="M21" i="4"/>
  <c r="M17" i="4"/>
  <c r="P20" i="4"/>
  <c r="P17" i="4"/>
  <c r="M23" i="4"/>
  <c r="M15" i="4"/>
  <c r="J23" i="4"/>
  <c r="P19" i="4"/>
  <c r="J19" i="4"/>
  <c r="P15" i="4"/>
  <c r="M22" i="4"/>
  <c r="P21" i="4"/>
  <c r="J14" i="4"/>
  <c r="M14" i="4"/>
  <c r="P14" i="4"/>
  <c r="J22" i="4"/>
  <c r="J18" i="4"/>
  <c r="P22" i="4"/>
  <c r="J21" i="4"/>
  <c r="J17" i="4"/>
  <c r="P18" i="4"/>
  <c r="Y39" i="6"/>
  <c r="S39" i="6"/>
  <c r="M39" i="6"/>
  <c r="S86" i="4"/>
  <c r="W53" i="2" a="1"/>
  <c r="W53" i="2" s="1"/>
  <c r="W50" i="2" a="1"/>
  <c r="W50" i="2" s="1"/>
  <c r="W47" i="2" a="1"/>
  <c r="W47" i="2" s="1"/>
  <c r="W44" i="2" a="1"/>
  <c r="W44" i="2" s="1"/>
  <c r="W42" i="2" a="1"/>
  <c r="W42" i="2" s="1"/>
  <c r="Y7" i="2" a="1"/>
  <c r="Y7" i="2" s="1"/>
  <c r="V54" i="2" a="1"/>
  <c r="V54" i="2" s="1"/>
  <c r="V53" i="2" a="1"/>
  <c r="V53" i="2" s="1"/>
  <c r="V52" i="2" a="1"/>
  <c r="V52" i="2" s="1"/>
  <c r="V51" i="2" a="1"/>
  <c r="V51" i="2" s="1"/>
  <c r="V50" i="2" a="1"/>
  <c r="V50" i="2" s="1"/>
  <c r="V49" i="2" a="1"/>
  <c r="V49" i="2" s="1"/>
  <c r="V48" i="2" a="1"/>
  <c r="V48" i="2" s="1"/>
  <c r="V47" i="2" a="1"/>
  <c r="V47" i="2" s="1"/>
  <c r="V46" i="2" a="1"/>
  <c r="V46" i="2" s="1"/>
  <c r="V45" i="2" a="1"/>
  <c r="V45" i="2" s="1"/>
  <c r="V44" i="2" a="1"/>
  <c r="V44" i="2" s="1"/>
  <c r="V43" i="2" a="1"/>
  <c r="V43" i="2" s="1"/>
  <c r="V42" i="2" a="1"/>
  <c r="V42" i="2" s="1"/>
  <c r="V41" i="2" a="1"/>
  <c r="V41" i="2" s="1"/>
  <c r="V40" i="2" a="1"/>
  <c r="V40" i="2" s="1"/>
  <c r="V39" i="2" a="1"/>
  <c r="V39" i="2" s="1"/>
  <c r="V38" i="2" a="1"/>
  <c r="V38" i="2" s="1"/>
  <c r="V37" i="2" a="1"/>
  <c r="V37" i="2" s="1"/>
  <c r="V36" i="2" a="1"/>
  <c r="V36" i="2" s="1"/>
  <c r="V35" i="2" a="1"/>
  <c r="V35" i="2" s="1"/>
  <c r="V34" i="2" a="1"/>
  <c r="V34" i="2" s="1"/>
  <c r="V33" i="2" a="1"/>
  <c r="V33" i="2" s="1"/>
  <c r="V32" i="2" a="1"/>
  <c r="V32" i="2" s="1"/>
  <c r="V31" i="2" a="1"/>
  <c r="V31" i="2" s="1"/>
  <c r="V30" i="2" a="1"/>
  <c r="V30" i="2" s="1"/>
  <c r="V29" i="2" a="1"/>
  <c r="V29" i="2" s="1"/>
  <c r="V28" i="2" a="1"/>
  <c r="V28" i="2" s="1"/>
  <c r="V27" i="2" a="1"/>
  <c r="V27" i="2" s="1"/>
  <c r="V26" i="2" a="1"/>
  <c r="V26" i="2" s="1"/>
  <c r="V25" i="2" a="1"/>
  <c r="V25" i="2" s="1"/>
  <c r="V24" i="2" a="1"/>
  <c r="V24" i="2" s="1"/>
  <c r="V23" i="2" a="1"/>
  <c r="V23" i="2" s="1"/>
  <c r="V22" i="2" a="1"/>
  <c r="V22" i="2" s="1"/>
  <c r="V21" i="2" a="1"/>
  <c r="V21" i="2" s="1"/>
  <c r="V20" i="2" a="1"/>
  <c r="V20" i="2" s="1"/>
  <c r="V19" i="2" a="1"/>
  <c r="V19" i="2" s="1"/>
  <c r="V18" i="2" a="1"/>
  <c r="V18" i="2" s="1"/>
  <c r="V17" i="2" a="1"/>
  <c r="V17" i="2" s="1"/>
  <c r="V16" i="2" a="1"/>
  <c r="V16" i="2" s="1"/>
  <c r="V15" i="2" a="1"/>
  <c r="V15" i="2" s="1"/>
  <c r="V14" i="2" a="1"/>
  <c r="V14" i="2" s="1"/>
  <c r="V13" i="2" a="1"/>
  <c r="V13" i="2" s="1"/>
  <c r="V12" i="2" a="1"/>
  <c r="V12" i="2" s="1"/>
  <c r="V11" i="2" a="1"/>
  <c r="V11" i="2" s="1"/>
  <c r="V10" i="2" a="1"/>
  <c r="V10" i="2" s="1"/>
  <c r="V9" i="2" a="1"/>
  <c r="V9" i="2" s="1"/>
  <c r="V8" i="2" a="1"/>
  <c r="V8" i="2" s="1"/>
  <c r="W54" i="2" a="1"/>
  <c r="W54" i="2" s="1"/>
  <c r="W51" i="2" a="1"/>
  <c r="W51" i="2" s="1"/>
  <c r="W48" i="2" a="1"/>
  <c r="W48" i="2" s="1"/>
  <c r="W45" i="2" a="1"/>
  <c r="W45" i="2" s="1"/>
  <c r="W43" i="2" a="1"/>
  <c r="W43" i="2" s="1"/>
  <c r="V7" i="2" a="1"/>
  <c r="V7" i="2" s="1"/>
  <c r="Y54" i="2" a="1"/>
  <c r="Y54" i="2" s="1"/>
  <c r="Y53" i="2" a="1"/>
  <c r="Y53" i="2" s="1"/>
  <c r="Y52" i="2" a="1"/>
  <c r="Y52" i="2" s="1"/>
  <c r="Y51" i="2" a="1"/>
  <c r="Y51" i="2" s="1"/>
  <c r="Y50" i="2" a="1"/>
  <c r="Y50" i="2" s="1"/>
  <c r="Y49" i="2" a="1"/>
  <c r="Y49" i="2" s="1"/>
  <c r="Y48" i="2" a="1"/>
  <c r="Y48" i="2" s="1"/>
  <c r="Y47" i="2" a="1"/>
  <c r="Y47" i="2" s="1"/>
  <c r="Y46" i="2" a="1"/>
  <c r="Y46" i="2" s="1"/>
  <c r="Y45" i="2" a="1"/>
  <c r="Y45" i="2" s="1"/>
  <c r="Y44" i="2" a="1"/>
  <c r="Y44" i="2" s="1"/>
  <c r="Y43" i="2" a="1"/>
  <c r="Y43" i="2" s="1"/>
  <c r="Y42" i="2" a="1"/>
  <c r="Y42" i="2" s="1"/>
  <c r="Y41" i="2" a="1"/>
  <c r="Y41" i="2" s="1"/>
  <c r="Y40" i="2" a="1"/>
  <c r="Y40" i="2" s="1"/>
  <c r="Y39" i="2" a="1"/>
  <c r="Y39" i="2" s="1"/>
  <c r="Y38" i="2" a="1"/>
  <c r="Y38" i="2" s="1"/>
  <c r="Y37" i="2" a="1"/>
  <c r="Y37" i="2" s="1"/>
  <c r="Y36" i="2" a="1"/>
  <c r="Y36" i="2" s="1"/>
  <c r="Y35" i="2" a="1"/>
  <c r="Y35" i="2" s="1"/>
  <c r="Y34" i="2" a="1"/>
  <c r="Y34" i="2" s="1"/>
  <c r="Y33" i="2" a="1"/>
  <c r="Y33" i="2" s="1"/>
  <c r="Y32" i="2" a="1"/>
  <c r="Y32" i="2" s="1"/>
  <c r="Y31" i="2" a="1"/>
  <c r="Y31" i="2" s="1"/>
  <c r="Y30" i="2" a="1"/>
  <c r="Y30" i="2" s="1"/>
  <c r="Y29" i="2" a="1"/>
  <c r="Y29" i="2" s="1"/>
  <c r="Y28" i="2" a="1"/>
  <c r="Y28" i="2" s="1"/>
  <c r="Y27" i="2" a="1"/>
  <c r="Y27" i="2" s="1"/>
  <c r="Y26" i="2" a="1"/>
  <c r="Y26" i="2" s="1"/>
  <c r="Y25" i="2" a="1"/>
  <c r="Y25" i="2" s="1"/>
  <c r="Y24" i="2" a="1"/>
  <c r="Y24" i="2" s="1"/>
  <c r="Y23" i="2" a="1"/>
  <c r="Y23" i="2" s="1"/>
  <c r="Y22" i="2" a="1"/>
  <c r="Y22" i="2" s="1"/>
  <c r="Y21" i="2" a="1"/>
  <c r="Y21" i="2" s="1"/>
  <c r="Y20" i="2" a="1"/>
  <c r="Y20" i="2" s="1"/>
  <c r="Y19" i="2" a="1"/>
  <c r="Y19" i="2" s="1"/>
  <c r="Y18" i="2" a="1"/>
  <c r="Y18" i="2" s="1"/>
  <c r="Y17" i="2" a="1"/>
  <c r="Y17" i="2" s="1"/>
  <c r="Y16" i="2" a="1"/>
  <c r="Y16" i="2" s="1"/>
  <c r="Y15" i="2" a="1"/>
  <c r="Y15" i="2" s="1"/>
  <c r="Y14" i="2" a="1"/>
  <c r="Y14" i="2" s="1"/>
  <c r="Y13" i="2" a="1"/>
  <c r="Y13" i="2" s="1"/>
  <c r="Y12" i="2" a="1"/>
  <c r="Y12" i="2" s="1"/>
  <c r="Y11" i="2" a="1"/>
  <c r="Y11" i="2" s="1"/>
  <c r="Y10" i="2" a="1"/>
  <c r="Y10" i="2" s="1"/>
  <c r="Y9" i="2" a="1"/>
  <c r="Y9" i="2" s="1"/>
  <c r="Y8" i="2" a="1"/>
  <c r="Y8" i="2" s="1"/>
  <c r="X7" i="2" a="1"/>
  <c r="X7" i="2" s="1"/>
  <c r="W52" i="2" a="1"/>
  <c r="W52" i="2" s="1"/>
  <c r="W49" i="2" a="1"/>
  <c r="W49" i="2" s="1"/>
  <c r="W46" i="2" a="1"/>
  <c r="W46" i="2" s="1"/>
  <c r="W7" i="2" a="1"/>
  <c r="W7" i="2" s="1"/>
  <c r="X54" i="2" a="1"/>
  <c r="X54" i="2" s="1"/>
  <c r="X53" i="2" a="1"/>
  <c r="X53" i="2" s="1"/>
  <c r="X52" i="2" a="1"/>
  <c r="X52" i="2" s="1"/>
  <c r="X51" i="2" a="1"/>
  <c r="X51" i="2" s="1"/>
  <c r="X50" i="2" a="1"/>
  <c r="X50" i="2" s="1"/>
  <c r="X49" i="2" a="1"/>
  <c r="X49" i="2" s="1"/>
  <c r="X48" i="2" a="1"/>
  <c r="X48" i="2" s="1"/>
  <c r="X47" i="2" a="1"/>
  <c r="X47" i="2" s="1"/>
  <c r="X46" i="2" a="1"/>
  <c r="X46" i="2" s="1"/>
  <c r="X45" i="2" a="1"/>
  <c r="X45" i="2" s="1"/>
  <c r="X44" i="2" a="1"/>
  <c r="X44" i="2" s="1"/>
  <c r="X43" i="2" a="1"/>
  <c r="X43" i="2" s="1"/>
  <c r="X42" i="2" a="1"/>
  <c r="X42" i="2" s="1"/>
  <c r="X41" i="2" a="1"/>
  <c r="X41" i="2" s="1"/>
  <c r="X40" i="2" a="1"/>
  <c r="X40" i="2" s="1"/>
  <c r="X39" i="2" a="1"/>
  <c r="X39" i="2" s="1"/>
  <c r="X38" i="2" a="1"/>
  <c r="X38" i="2" s="1"/>
  <c r="X37" i="2" a="1"/>
  <c r="X37" i="2" s="1"/>
  <c r="X36" i="2" a="1"/>
  <c r="X36" i="2" s="1"/>
  <c r="X35" i="2" a="1"/>
  <c r="X35" i="2" s="1"/>
  <c r="X34" i="2" a="1"/>
  <c r="X34" i="2" s="1"/>
  <c r="X33" i="2" a="1"/>
  <c r="X33" i="2" s="1"/>
  <c r="X32" i="2" a="1"/>
  <c r="X32" i="2" s="1"/>
  <c r="X31" i="2" a="1"/>
  <c r="X31" i="2" s="1"/>
  <c r="X30" i="2" a="1"/>
  <c r="X30" i="2" s="1"/>
  <c r="X29" i="2" a="1"/>
  <c r="X29" i="2" s="1"/>
  <c r="X28" i="2" a="1"/>
  <c r="X28" i="2" s="1"/>
  <c r="X27" i="2" a="1"/>
  <c r="X27" i="2" s="1"/>
  <c r="X26" i="2" a="1"/>
  <c r="X26" i="2" s="1"/>
  <c r="X25" i="2" a="1"/>
  <c r="X25" i="2" s="1"/>
  <c r="X24" i="2" a="1"/>
  <c r="X24" i="2" s="1"/>
  <c r="X23" i="2" a="1"/>
  <c r="X23" i="2" s="1"/>
  <c r="X22" i="2" a="1"/>
  <c r="X22" i="2" s="1"/>
  <c r="X21" i="2" a="1"/>
  <c r="X21" i="2" s="1"/>
  <c r="X20" i="2" a="1"/>
  <c r="X20" i="2" s="1"/>
  <c r="X19" i="2" a="1"/>
  <c r="X19" i="2" s="1"/>
  <c r="X18" i="2" a="1"/>
  <c r="X18" i="2" s="1"/>
  <c r="X17" i="2" a="1"/>
  <c r="X17" i="2" s="1"/>
  <c r="X16" i="2" a="1"/>
  <c r="X16" i="2" s="1"/>
  <c r="X15" i="2" a="1"/>
  <c r="X15" i="2" s="1"/>
  <c r="X14" i="2" a="1"/>
  <c r="X14" i="2" s="1"/>
  <c r="X13" i="2" a="1"/>
  <c r="X13" i="2" s="1"/>
  <c r="X12" i="2" a="1"/>
  <c r="X12" i="2" s="1"/>
  <c r="X11" i="2" a="1"/>
  <c r="X11" i="2" s="1"/>
  <c r="X10" i="2" a="1"/>
  <c r="X10" i="2" s="1"/>
  <c r="X9" i="2" a="1"/>
  <c r="X9" i="2" s="1"/>
  <c r="X8" i="2" a="1"/>
  <c r="X8" i="2" s="1"/>
  <c r="W41" i="2" a="1"/>
  <c r="W41" i="2" s="1"/>
  <c r="W40" i="2" a="1"/>
  <c r="W40" i="2" s="1"/>
  <c r="W39" i="2" a="1"/>
  <c r="W39" i="2" s="1"/>
  <c r="W38" i="2" a="1"/>
  <c r="W38" i="2" s="1"/>
  <c r="W37" i="2" a="1"/>
  <c r="W37" i="2" s="1"/>
  <c r="W36" i="2" a="1"/>
  <c r="W36" i="2" s="1"/>
  <c r="W35" i="2" a="1"/>
  <c r="W35" i="2" s="1"/>
  <c r="W34" i="2" a="1"/>
  <c r="W34" i="2" s="1"/>
  <c r="W33" i="2" a="1"/>
  <c r="W33" i="2" s="1"/>
  <c r="W32" i="2" a="1"/>
  <c r="W32" i="2" s="1"/>
  <c r="W31" i="2" a="1"/>
  <c r="W31" i="2" s="1"/>
  <c r="W30" i="2" a="1"/>
  <c r="W30" i="2" s="1"/>
  <c r="W29" i="2" a="1"/>
  <c r="W29" i="2" s="1"/>
  <c r="W28" i="2" a="1"/>
  <c r="W28" i="2" s="1"/>
  <c r="W27" i="2" a="1"/>
  <c r="W27" i="2" s="1"/>
  <c r="W26" i="2" a="1"/>
  <c r="W26" i="2" s="1"/>
  <c r="W25" i="2" a="1"/>
  <c r="W25" i="2" s="1"/>
  <c r="W24" i="2" a="1"/>
  <c r="W24" i="2" s="1"/>
  <c r="W23" i="2" a="1"/>
  <c r="W23" i="2" s="1"/>
  <c r="W22" i="2" a="1"/>
  <c r="W22" i="2" s="1"/>
  <c r="W21" i="2" a="1"/>
  <c r="W21" i="2" s="1"/>
  <c r="W20" i="2" a="1"/>
  <c r="W20" i="2" s="1"/>
  <c r="W19" i="2" a="1"/>
  <c r="W19" i="2" s="1"/>
  <c r="W18" i="2" a="1"/>
  <c r="W18" i="2" s="1"/>
  <c r="W17" i="2" a="1"/>
  <c r="W17" i="2" s="1"/>
  <c r="W16" i="2" a="1"/>
  <c r="W16" i="2" s="1"/>
  <c r="W15" i="2" a="1"/>
  <c r="W15" i="2" s="1"/>
  <c r="W14" i="2" a="1"/>
  <c r="W14" i="2" s="1"/>
  <c r="W13" i="2" a="1"/>
  <c r="W13" i="2" s="1"/>
  <c r="W12" i="2" a="1"/>
  <c r="W12" i="2" s="1"/>
  <c r="W11" i="2" a="1"/>
  <c r="W11" i="2" s="1"/>
  <c r="W10" i="2" a="1"/>
  <c r="W10" i="2" s="1"/>
  <c r="W9" i="2" a="1"/>
  <c r="W9" i="2" s="1"/>
  <c r="W8" i="2" a="1"/>
  <c r="W8" i="2" s="1"/>
  <c r="Q7" i="2" a="1"/>
  <c r="Q7" i="2" s="1"/>
  <c r="T51" i="2" a="1"/>
  <c r="T51" i="2" s="1"/>
  <c r="R47" i="2" a="1"/>
  <c r="R47" i="2" s="1"/>
  <c r="T43" i="2" a="1"/>
  <c r="T43" i="2" s="1"/>
  <c r="R39" i="2" a="1"/>
  <c r="R39" i="2" s="1"/>
  <c r="T35" i="2" a="1"/>
  <c r="T35" i="2" s="1"/>
  <c r="T34" i="2" a="1"/>
  <c r="T34" i="2" s="1"/>
  <c r="T33" i="2" a="1"/>
  <c r="T33" i="2" s="1"/>
  <c r="Q32" i="2" a="1"/>
  <c r="Q32" i="2" s="1"/>
  <c r="R31" i="2" a="1"/>
  <c r="R31" i="2" s="1"/>
  <c r="R30" i="2" a="1"/>
  <c r="R30" i="2" s="1"/>
  <c r="R29" i="2" a="1"/>
  <c r="R29" i="2" s="1"/>
  <c r="S28" i="2" a="1"/>
  <c r="S28" i="2" s="1"/>
  <c r="T27" i="2" a="1"/>
  <c r="T27" i="2" s="1"/>
  <c r="T26" i="2" a="1"/>
  <c r="T26" i="2" s="1"/>
  <c r="T25" i="2" a="1"/>
  <c r="T25" i="2" s="1"/>
  <c r="Q24" i="2" a="1"/>
  <c r="Q24" i="2" s="1"/>
  <c r="R23" i="2" a="1"/>
  <c r="R23" i="2" s="1"/>
  <c r="R22" i="2" a="1"/>
  <c r="R22" i="2" s="1"/>
  <c r="R21" i="2" a="1"/>
  <c r="R21" i="2" s="1"/>
  <c r="S20" i="2" a="1"/>
  <c r="S20" i="2" s="1"/>
  <c r="T19" i="2" a="1"/>
  <c r="T19" i="2" s="1"/>
  <c r="T18" i="2" a="1"/>
  <c r="T18" i="2" s="1"/>
  <c r="T17" i="2" a="1"/>
  <c r="T17" i="2" s="1"/>
  <c r="Q16" i="2" a="1"/>
  <c r="Q16" i="2" s="1"/>
  <c r="R15" i="2" a="1"/>
  <c r="R15" i="2" s="1"/>
  <c r="R14" i="2" a="1"/>
  <c r="R14" i="2" s="1"/>
  <c r="R13" i="2" a="1"/>
  <c r="R13" i="2" s="1"/>
  <c r="S12" i="2" a="1"/>
  <c r="S12" i="2" s="1"/>
  <c r="T11" i="2" a="1"/>
  <c r="T11" i="2" s="1"/>
  <c r="T10" i="2" a="1"/>
  <c r="T10" i="2" s="1"/>
  <c r="T9" i="2" a="1"/>
  <c r="T9" i="2" s="1"/>
  <c r="T8" i="2" a="1"/>
  <c r="T8" i="2" s="1"/>
  <c r="T53" i="2" a="1"/>
  <c r="T53" i="2" s="1"/>
  <c r="T50" i="2" a="1"/>
  <c r="T50" i="2" s="1"/>
  <c r="R46" i="2" a="1"/>
  <c r="R46" i="2" s="1"/>
  <c r="T41" i="2" a="1"/>
  <c r="T41" i="2" s="1"/>
  <c r="R37" i="2" a="1"/>
  <c r="R37" i="2" s="1"/>
  <c r="R7" i="2" a="1"/>
  <c r="R7" i="2" s="1"/>
  <c r="S54" i="2" a="1"/>
  <c r="S54" i="2" s="1"/>
  <c r="S53" i="2" a="1"/>
  <c r="S53" i="2" s="1"/>
  <c r="S52" i="2" a="1"/>
  <c r="S52" i="2" s="1"/>
  <c r="S51" i="2" a="1"/>
  <c r="S51" i="2" s="1"/>
  <c r="S50" i="2" a="1"/>
  <c r="S50" i="2" s="1"/>
  <c r="S49" i="2" a="1"/>
  <c r="S49" i="2" s="1"/>
  <c r="T48" i="2" a="1"/>
  <c r="T48" i="2" s="1"/>
  <c r="Q47" i="2" a="1"/>
  <c r="Q47" i="2" s="1"/>
  <c r="Q46" i="2" a="1"/>
  <c r="Q46" i="2" s="1"/>
  <c r="Q45" i="2" a="1"/>
  <c r="Q45" i="2" s="1"/>
  <c r="R44" i="2" a="1"/>
  <c r="R44" i="2" s="1"/>
  <c r="S43" i="2" a="1"/>
  <c r="S43" i="2" s="1"/>
  <c r="S42" i="2" a="1"/>
  <c r="S42" i="2" s="1"/>
  <c r="S41" i="2" a="1"/>
  <c r="S41" i="2" s="1"/>
  <c r="T40" i="2" a="1"/>
  <c r="T40" i="2" s="1"/>
  <c r="Q39" i="2" a="1"/>
  <c r="Q39" i="2" s="1"/>
  <c r="Q38" i="2" a="1"/>
  <c r="Q38" i="2" s="1"/>
  <c r="Q37" i="2" a="1"/>
  <c r="Q37" i="2" s="1"/>
  <c r="R36" i="2" a="1"/>
  <c r="R36" i="2" s="1"/>
  <c r="S35" i="2" a="1"/>
  <c r="S35" i="2" s="1"/>
  <c r="S34" i="2" a="1"/>
  <c r="S34" i="2" s="1"/>
  <c r="S33" i="2" a="1"/>
  <c r="S33" i="2" s="1"/>
  <c r="T32" i="2" a="1"/>
  <c r="T32" i="2" s="1"/>
  <c r="Q31" i="2" a="1"/>
  <c r="Q31" i="2" s="1"/>
  <c r="Q30" i="2" a="1"/>
  <c r="Q30" i="2" s="1"/>
  <c r="Q29" i="2" a="1"/>
  <c r="Q29" i="2" s="1"/>
  <c r="R28" i="2" a="1"/>
  <c r="R28" i="2" s="1"/>
  <c r="S27" i="2" a="1"/>
  <c r="S27" i="2" s="1"/>
  <c r="S26" i="2" a="1"/>
  <c r="S26" i="2" s="1"/>
  <c r="S25" i="2" a="1"/>
  <c r="S25" i="2" s="1"/>
  <c r="T24" i="2" a="1"/>
  <c r="T24" i="2" s="1"/>
  <c r="Q23" i="2" a="1"/>
  <c r="Q23" i="2" s="1"/>
  <c r="Q22" i="2" a="1"/>
  <c r="Q22" i="2" s="1"/>
  <c r="Q21" i="2" a="1"/>
  <c r="Q21" i="2" s="1"/>
  <c r="R20" i="2" a="1"/>
  <c r="R20" i="2" s="1"/>
  <c r="S19" i="2" a="1"/>
  <c r="S19" i="2" s="1"/>
  <c r="S18" i="2" a="1"/>
  <c r="S18" i="2" s="1"/>
  <c r="S17" i="2" a="1"/>
  <c r="S17" i="2" s="1"/>
  <c r="T16" i="2" a="1"/>
  <c r="T16" i="2" s="1"/>
  <c r="Q15" i="2" a="1"/>
  <c r="Q15" i="2" s="1"/>
  <c r="Q14" i="2" a="1"/>
  <c r="Q14" i="2" s="1"/>
  <c r="Q13" i="2" a="1"/>
  <c r="Q13" i="2" s="1"/>
  <c r="R12" i="2" a="1"/>
  <c r="R12" i="2" s="1"/>
  <c r="S11" i="2" a="1"/>
  <c r="S11" i="2" s="1"/>
  <c r="S10" i="2" a="1"/>
  <c r="S10" i="2" s="1"/>
  <c r="S9" i="2" a="1"/>
  <c r="S9" i="2" s="1"/>
  <c r="S8" i="2" a="1"/>
  <c r="S8" i="2" s="1"/>
  <c r="T52" i="2" a="1"/>
  <c r="T52" i="2" s="1"/>
  <c r="Q48" i="2" a="1"/>
  <c r="Q48" i="2" s="1"/>
  <c r="S44" i="2" a="1"/>
  <c r="S44" i="2" s="1"/>
  <c r="Q40" i="2" a="1"/>
  <c r="Q40" i="2" s="1"/>
  <c r="S36" i="2" a="1"/>
  <c r="S36" i="2" s="1"/>
  <c r="S7" i="2" a="1"/>
  <c r="S7" i="2" s="1"/>
  <c r="R54" i="2" a="1"/>
  <c r="R54" i="2" s="1"/>
  <c r="R53" i="2" a="1"/>
  <c r="R53" i="2" s="1"/>
  <c r="R52" i="2" a="1"/>
  <c r="R52" i="2" s="1"/>
  <c r="R51" i="2" a="1"/>
  <c r="R51" i="2" s="1"/>
  <c r="R50" i="2" a="1"/>
  <c r="R50" i="2" s="1"/>
  <c r="R49" i="2" a="1"/>
  <c r="R49" i="2" s="1"/>
  <c r="S48" i="2" a="1"/>
  <c r="S48" i="2" s="1"/>
  <c r="T47" i="2" a="1"/>
  <c r="T47" i="2" s="1"/>
  <c r="T46" i="2" a="1"/>
  <c r="T46" i="2" s="1"/>
  <c r="T45" i="2" a="1"/>
  <c r="T45" i="2" s="1"/>
  <c r="Q44" i="2" a="1"/>
  <c r="Q44" i="2" s="1"/>
  <c r="R43" i="2" a="1"/>
  <c r="R43" i="2" s="1"/>
  <c r="R42" i="2" a="1"/>
  <c r="R42" i="2" s="1"/>
  <c r="R41" i="2" a="1"/>
  <c r="R41" i="2" s="1"/>
  <c r="S40" i="2" a="1"/>
  <c r="S40" i="2" s="1"/>
  <c r="T39" i="2" a="1"/>
  <c r="T39" i="2" s="1"/>
  <c r="T38" i="2" a="1"/>
  <c r="T38" i="2" s="1"/>
  <c r="T37" i="2" a="1"/>
  <c r="T37" i="2" s="1"/>
  <c r="Q36" i="2" a="1"/>
  <c r="Q36" i="2" s="1"/>
  <c r="R35" i="2" a="1"/>
  <c r="R35" i="2" s="1"/>
  <c r="R34" i="2" a="1"/>
  <c r="R34" i="2" s="1"/>
  <c r="R33" i="2" a="1"/>
  <c r="R33" i="2" s="1"/>
  <c r="S32" i="2" a="1"/>
  <c r="S32" i="2" s="1"/>
  <c r="T31" i="2" a="1"/>
  <c r="T31" i="2" s="1"/>
  <c r="T30" i="2" a="1"/>
  <c r="T30" i="2" s="1"/>
  <c r="T29" i="2" a="1"/>
  <c r="T29" i="2" s="1"/>
  <c r="Q28" i="2" a="1"/>
  <c r="Q28" i="2" s="1"/>
  <c r="R27" i="2" a="1"/>
  <c r="R27" i="2" s="1"/>
  <c r="R26" i="2" a="1"/>
  <c r="R26" i="2" s="1"/>
  <c r="R25" i="2" a="1"/>
  <c r="R25" i="2" s="1"/>
  <c r="S24" i="2" a="1"/>
  <c r="S24" i="2" s="1"/>
  <c r="T23" i="2" a="1"/>
  <c r="T23" i="2" s="1"/>
  <c r="T22" i="2" a="1"/>
  <c r="T22" i="2" s="1"/>
  <c r="T21" i="2" a="1"/>
  <c r="T21" i="2" s="1"/>
  <c r="Q20" i="2" a="1"/>
  <c r="Q20" i="2" s="1"/>
  <c r="R19" i="2" a="1"/>
  <c r="R19" i="2" s="1"/>
  <c r="R18" i="2" a="1"/>
  <c r="R18" i="2" s="1"/>
  <c r="R17" i="2" a="1"/>
  <c r="R17" i="2" s="1"/>
  <c r="S16" i="2" a="1"/>
  <c r="S16" i="2" s="1"/>
  <c r="T15" i="2" a="1"/>
  <c r="T15" i="2" s="1"/>
  <c r="T14" i="2" a="1"/>
  <c r="T14" i="2" s="1"/>
  <c r="T13" i="2" a="1"/>
  <c r="T13" i="2" s="1"/>
  <c r="Q12" i="2" a="1"/>
  <c r="Q12" i="2" s="1"/>
  <c r="R11" i="2" a="1"/>
  <c r="R11" i="2" s="1"/>
  <c r="R10" i="2" a="1"/>
  <c r="R10" i="2" s="1"/>
  <c r="R9" i="2" a="1"/>
  <c r="R9" i="2" s="1"/>
  <c r="R8" i="2" a="1"/>
  <c r="R8" i="2" s="1"/>
  <c r="T54" i="2" a="1"/>
  <c r="T54" i="2" s="1"/>
  <c r="T49" i="2" a="1"/>
  <c r="T49" i="2" s="1"/>
  <c r="R45" i="2" a="1"/>
  <c r="R45" i="2" s="1"/>
  <c r="T42" i="2" a="1"/>
  <c r="T42" i="2" s="1"/>
  <c r="R38" i="2" a="1"/>
  <c r="R38" i="2" s="1"/>
  <c r="T7" i="2" a="1"/>
  <c r="T7" i="2" s="1"/>
  <c r="Q54" i="2" a="1"/>
  <c r="Q54" i="2" s="1"/>
  <c r="Q53" i="2" a="1"/>
  <c r="Q53" i="2" s="1"/>
  <c r="Q52" i="2" a="1"/>
  <c r="Q52" i="2" s="1"/>
  <c r="Q51" i="2" a="1"/>
  <c r="Q51" i="2" s="1"/>
  <c r="Q50" i="2" a="1"/>
  <c r="Q50" i="2" s="1"/>
  <c r="Q49" i="2" a="1"/>
  <c r="Q49" i="2" s="1"/>
  <c r="R48" i="2" a="1"/>
  <c r="R48" i="2" s="1"/>
  <c r="S47" i="2" a="1"/>
  <c r="S47" i="2" s="1"/>
  <c r="S46" i="2" a="1"/>
  <c r="S46" i="2" s="1"/>
  <c r="S45" i="2" a="1"/>
  <c r="S45" i="2" s="1"/>
  <c r="T44" i="2" a="1"/>
  <c r="T44" i="2" s="1"/>
  <c r="Q43" i="2" a="1"/>
  <c r="Q43" i="2" s="1"/>
  <c r="Q42" i="2" a="1"/>
  <c r="Q42" i="2" s="1"/>
  <c r="Q41" i="2" a="1"/>
  <c r="Q41" i="2" s="1"/>
  <c r="R40" i="2" a="1"/>
  <c r="R40" i="2" s="1"/>
  <c r="S39" i="2" a="1"/>
  <c r="S39" i="2" s="1"/>
  <c r="S38" i="2" a="1"/>
  <c r="S38" i="2" s="1"/>
  <c r="S37" i="2" a="1"/>
  <c r="S37" i="2" s="1"/>
  <c r="T36" i="2" a="1"/>
  <c r="T36" i="2" s="1"/>
  <c r="Q35" i="2" a="1"/>
  <c r="Q35" i="2" s="1"/>
  <c r="Q34" i="2" a="1"/>
  <c r="Q34" i="2" s="1"/>
  <c r="Q33" i="2" a="1"/>
  <c r="Q33" i="2" s="1"/>
  <c r="R32" i="2" a="1"/>
  <c r="R32" i="2" s="1"/>
  <c r="S31" i="2" a="1"/>
  <c r="S31" i="2" s="1"/>
  <c r="S30" i="2" a="1"/>
  <c r="S30" i="2" s="1"/>
  <c r="S29" i="2" a="1"/>
  <c r="S29" i="2" s="1"/>
  <c r="T28" i="2" a="1"/>
  <c r="T28" i="2" s="1"/>
  <c r="Q27" i="2" a="1"/>
  <c r="Q27" i="2" s="1"/>
  <c r="Q26" i="2" a="1"/>
  <c r="Q26" i="2" s="1"/>
  <c r="Q25" i="2" a="1"/>
  <c r="Q25" i="2" s="1"/>
  <c r="R24" i="2" a="1"/>
  <c r="R24" i="2" s="1"/>
  <c r="S23" i="2" a="1"/>
  <c r="S23" i="2" s="1"/>
  <c r="S22" i="2" a="1"/>
  <c r="S22" i="2" s="1"/>
  <c r="S21" i="2" a="1"/>
  <c r="S21" i="2" s="1"/>
  <c r="T20" i="2" a="1"/>
  <c r="T20" i="2" s="1"/>
  <c r="Q19" i="2" a="1"/>
  <c r="Q19" i="2" s="1"/>
  <c r="Q18" i="2" a="1"/>
  <c r="Q18" i="2" s="1"/>
  <c r="Q17" i="2" a="1"/>
  <c r="Q17" i="2" s="1"/>
  <c r="R16" i="2" a="1"/>
  <c r="R16" i="2" s="1"/>
  <c r="S15" i="2" a="1"/>
  <c r="S15" i="2" s="1"/>
  <c r="S14" i="2" a="1"/>
  <c r="S14" i="2" s="1"/>
  <c r="S13" i="2" a="1"/>
  <c r="S13" i="2" s="1"/>
  <c r="T12" i="2" a="1"/>
  <c r="T12" i="2" s="1"/>
  <c r="Q11" i="2" a="1"/>
  <c r="Q11" i="2" s="1"/>
  <c r="Q10" i="2" a="1"/>
  <c r="Q10" i="2" s="1"/>
  <c r="Q9" i="2" a="1"/>
  <c r="Q9" i="2" s="1"/>
  <c r="Q8" i="2" a="1"/>
  <c r="Q8" i="2" s="1"/>
  <c r="M86" i="4" l="1"/>
  <c r="P86" i="4"/>
  <c r="J86" i="4"/>
  <c r="Z42" i="2"/>
  <c r="Z50" i="2"/>
  <c r="Z20" i="2"/>
  <c r="Z36" i="2"/>
  <c r="Z46" i="2"/>
  <c r="Z54" i="2"/>
  <c r="Z52" i="2"/>
  <c r="Z48" i="2"/>
  <c r="Z44" i="2"/>
  <c r="Z16" i="2"/>
  <c r="Z24" i="2"/>
  <c r="Z32" i="2"/>
  <c r="Z40" i="2"/>
  <c r="Z43" i="2"/>
  <c r="Z53" i="2"/>
  <c r="Z15" i="2"/>
  <c r="Z49" i="2"/>
  <c r="Z33" i="2"/>
  <c r="Z18" i="2"/>
  <c r="Z47" i="2"/>
  <c r="Z51" i="2"/>
  <c r="Z10" i="2"/>
  <c r="Z9" i="2"/>
  <c r="Z13" i="2"/>
  <c r="Z25" i="2"/>
  <c r="Z37" i="2"/>
  <c r="Z41" i="2"/>
  <c r="Z45" i="2"/>
  <c r="Z7" i="2"/>
  <c r="Z27" i="2"/>
  <c r="Z11" i="2"/>
  <c r="Z19" i="2"/>
  <c r="Z23" i="2"/>
  <c r="Z31" i="2"/>
  <c r="Z35" i="2"/>
  <c r="Z39" i="2"/>
  <c r="Z17" i="2"/>
  <c r="Z21" i="2"/>
  <c r="Z29" i="2"/>
  <c r="Z28" i="2"/>
  <c r="Z8" i="2"/>
  <c r="Z12" i="2"/>
  <c r="Z14" i="2"/>
  <c r="Z22" i="2"/>
  <c r="Z26" i="2"/>
  <c r="Z30" i="2"/>
  <c r="Z34" i="2"/>
  <c r="Z38" i="2"/>
  <c r="U53" i="2"/>
  <c r="U12" i="2"/>
  <c r="U20" i="2"/>
  <c r="U28" i="2"/>
  <c r="U36" i="2"/>
  <c r="U8" i="2"/>
  <c r="U52" i="2"/>
  <c r="U14" i="2"/>
  <c r="U22" i="2"/>
  <c r="U30" i="2"/>
  <c r="U46" i="2"/>
  <c r="U37" i="2"/>
  <c r="U9" i="2"/>
  <c r="U25" i="2"/>
  <c r="U33" i="2"/>
  <c r="U41" i="2"/>
  <c r="U49" i="2"/>
  <c r="U44" i="2"/>
  <c r="U15" i="2"/>
  <c r="U23" i="2"/>
  <c r="U31" i="2"/>
  <c r="U39" i="2"/>
  <c r="U47" i="2"/>
  <c r="U17" i="2"/>
  <c r="U10" i="2"/>
  <c r="U18" i="2"/>
  <c r="U26" i="2"/>
  <c r="U34" i="2"/>
  <c r="U42" i="2"/>
  <c r="U50" i="2"/>
  <c r="U54" i="2"/>
  <c r="U40" i="2"/>
  <c r="U48" i="2"/>
  <c r="U38" i="2"/>
  <c r="U11" i="2"/>
  <c r="U19" i="2"/>
  <c r="U27" i="2"/>
  <c r="U35" i="2"/>
  <c r="U43" i="2"/>
  <c r="U51" i="2"/>
  <c r="U13" i="2"/>
  <c r="U21" i="2"/>
  <c r="U29" i="2"/>
  <c r="U45" i="2"/>
  <c r="U16" i="2"/>
  <c r="U24" i="2"/>
  <c r="U32" i="2"/>
  <c r="U7" i="2"/>
  <c r="AA51" i="2" l="1" a="1"/>
  <c r="AA51" i="2" s="1"/>
  <c r="AA54" i="2" a="1"/>
  <c r="AA54" i="2" s="1"/>
  <c r="AA52" i="2" a="1"/>
  <c r="AA52" i="2" s="1"/>
  <c r="AA53" i="2" a="1"/>
  <c r="AA53" i="2" s="1"/>
  <c r="AA13" i="2" a="1"/>
  <c r="AA13" i="2" s="1"/>
  <c r="AA14" i="2" a="1"/>
  <c r="AA14" i="2" s="1"/>
  <c r="AA11" i="2" a="1"/>
  <c r="AA11" i="2" s="1"/>
  <c r="AA12" i="2" a="1"/>
  <c r="AA12" i="2" s="1"/>
  <c r="AA18" i="2" a="1"/>
  <c r="AA18" i="2" s="1"/>
  <c r="AA16" i="2" a="1"/>
  <c r="AA16" i="2" s="1"/>
  <c r="AA15" i="2" a="1"/>
  <c r="AA15" i="2" s="1"/>
  <c r="AA17" i="2" a="1"/>
  <c r="AA17" i="2" s="1"/>
  <c r="AA35" i="2" a="1"/>
  <c r="AA35" i="2" s="1"/>
  <c r="AA36" i="2" a="1"/>
  <c r="AA36" i="2" s="1"/>
  <c r="AA37" i="2" a="1"/>
  <c r="AA37" i="2" s="1"/>
  <c r="AA38" i="2" a="1"/>
  <c r="AA38" i="2" s="1"/>
  <c r="AA22" i="2" a="1"/>
  <c r="AA22" i="2" s="1"/>
  <c r="AA20" i="2" a="1"/>
  <c r="AA20" i="2" s="1"/>
  <c r="AA19" i="2" a="1"/>
  <c r="AA19" i="2" s="1"/>
  <c r="AA21" i="2" a="1"/>
  <c r="AA21" i="2" s="1"/>
  <c r="AA25" i="2" a="1"/>
  <c r="AA25" i="2" s="1"/>
  <c r="AA23" i="2" a="1"/>
  <c r="AA23" i="2" s="1"/>
  <c r="AA24" i="2" a="1"/>
  <c r="AA24" i="2" s="1"/>
  <c r="AA26" i="2" a="1"/>
  <c r="AA26" i="2" s="1"/>
  <c r="AA44" i="2" a="1"/>
  <c r="AA44" i="2" s="1"/>
  <c r="AA43" i="2" a="1"/>
  <c r="AA43" i="2" s="1"/>
  <c r="AA45" i="2" a="1"/>
  <c r="AA45" i="2" s="1"/>
  <c r="AA46" i="2" a="1"/>
  <c r="AA46" i="2" s="1"/>
  <c r="AA48" i="2" a="1"/>
  <c r="AA48" i="2" s="1"/>
  <c r="AA49" i="2" a="1"/>
  <c r="AA49" i="2" s="1"/>
  <c r="AA50" i="2" a="1"/>
  <c r="AA50" i="2" s="1"/>
  <c r="AA47" i="2" a="1"/>
  <c r="AA47" i="2" s="1"/>
  <c r="AA39" i="2" a="1"/>
  <c r="AA39" i="2" s="1"/>
  <c r="AA40" i="2" a="1"/>
  <c r="AA40" i="2" s="1"/>
  <c r="AA41" i="2" a="1"/>
  <c r="AA41" i="2" s="1"/>
  <c r="AA42" i="2" a="1"/>
  <c r="AA42" i="2" s="1"/>
  <c r="AA30" i="2" a="1"/>
  <c r="AA30" i="2" s="1"/>
  <c r="AA28" i="2" a="1"/>
  <c r="AA28" i="2" s="1"/>
  <c r="AA27" i="2" a="1"/>
  <c r="AA27" i="2" s="1"/>
  <c r="AA29" i="2" a="1"/>
  <c r="AA29" i="2" s="1"/>
  <c r="AA31" i="2" a="1"/>
  <c r="AA31" i="2" s="1"/>
  <c r="AA32" i="2" a="1"/>
  <c r="AA32" i="2" s="1"/>
  <c r="AA33" i="2" a="1"/>
  <c r="AA33" i="2" s="1"/>
  <c r="AA34" i="2" a="1"/>
  <c r="AA34" i="2" s="1"/>
  <c r="AA8" i="2" a="1"/>
  <c r="AA8" i="2" s="1"/>
  <c r="AA7" i="2" a="1"/>
  <c r="AA7" i="2" s="1"/>
  <c r="AA9" i="2" a="1"/>
  <c r="AA9" i="2" s="1"/>
  <c r="AA10" i="2" a="1"/>
  <c r="AA10" i="2" s="1"/>
  <c r="AE50" i="2" l="1" a="1"/>
  <c r="AE50" i="2" s="1"/>
  <c r="AE49" i="2" a="1"/>
  <c r="AE49" i="2" s="1"/>
  <c r="AE47" i="2" a="1"/>
  <c r="AE47" i="2" s="1"/>
  <c r="F22" i="3" s="1" a="1"/>
  <c r="F22" i="3" s="1"/>
  <c r="AE48" i="2" a="1"/>
  <c r="AE48" i="2" s="1"/>
  <c r="F18" i="3" s="1" a="1"/>
  <c r="F18" i="3" s="1"/>
  <c r="AE29" i="2" a="1"/>
  <c r="AE29" i="2" s="1"/>
  <c r="AE28" i="2" a="1"/>
  <c r="AE28" i="2" s="1"/>
  <c r="G11" i="3" s="1" a="1"/>
  <c r="G11" i="3" s="1"/>
  <c r="AE30" i="2" a="1"/>
  <c r="AE30" i="2" s="1"/>
  <c r="AE27" i="2" a="1"/>
  <c r="AE27" i="2" s="1"/>
  <c r="F10" i="3" s="1" a="1"/>
  <c r="F10" i="3" s="1"/>
  <c r="AE24" i="2" a="1"/>
  <c r="AE24" i="2" s="1"/>
  <c r="F13" i="3" s="1" a="1"/>
  <c r="F13" i="3" s="1"/>
  <c r="AE23" i="2" a="1"/>
  <c r="AE23" i="2" s="1"/>
  <c r="F9" i="3" s="1" a="1"/>
  <c r="F9" i="3" s="1"/>
  <c r="AE20" i="2" a="1"/>
  <c r="AE20" i="2" s="1"/>
  <c r="F23" i="3" s="1" a="1"/>
  <c r="F23" i="3" s="1"/>
  <c r="AE19" i="2" a="1"/>
  <c r="AE19" i="2" s="1"/>
  <c r="F16" i="3" s="1" a="1"/>
  <c r="F16" i="3" s="1"/>
  <c r="AE22" i="2" a="1"/>
  <c r="AE22" i="2" s="1"/>
  <c r="AE26" i="2" a="1"/>
  <c r="AE26" i="2" s="1"/>
  <c r="AE21" i="2" a="1"/>
  <c r="AE21" i="2" s="1"/>
  <c r="AE25" i="2" a="1"/>
  <c r="AE25" i="2" s="1"/>
  <c r="AE17" i="2" a="1"/>
  <c r="AE17" i="2" s="1"/>
  <c r="AE16" i="2" a="1"/>
  <c r="AE16" i="2" s="1"/>
  <c r="AE15" i="2" a="1"/>
  <c r="AE15" i="2" s="1"/>
  <c r="AE18" i="2" a="1"/>
  <c r="AE18" i="2" s="1"/>
  <c r="AE13" i="2" a="1"/>
  <c r="AE13" i="2" s="1"/>
  <c r="AE11" i="2" a="1"/>
  <c r="AE11" i="2" s="1"/>
  <c r="F20" i="3" s="1" a="1"/>
  <c r="F20" i="3" s="1"/>
  <c r="AE12" i="2" a="1"/>
  <c r="AE12" i="2" s="1"/>
  <c r="G8" i="3" s="1" a="1"/>
  <c r="G8" i="3" s="1"/>
  <c r="AE14" i="2" a="1"/>
  <c r="AE14" i="2" s="1"/>
  <c r="N19" i="3" a="1"/>
  <c r="N19" i="3" s="1"/>
  <c r="N15" i="3" a="1"/>
  <c r="N15" i="3" s="1"/>
  <c r="N18" i="3" a="1"/>
  <c r="N18" i="3" s="1"/>
  <c r="N14" i="3" a="1"/>
  <c r="N14" i="3" s="1"/>
  <c r="N11" i="3" a="1"/>
  <c r="N11" i="3" s="1"/>
  <c r="AE9" i="2" a="1"/>
  <c r="AE9" i="2" s="1"/>
  <c r="N16" i="3" a="1"/>
  <c r="N16" i="3" s="1"/>
  <c r="N9" i="3" a="1"/>
  <c r="N9" i="3" s="1"/>
  <c r="N17" i="3" a="1"/>
  <c r="N17" i="3" s="1"/>
  <c r="N13" i="3" a="1"/>
  <c r="N13" i="3" s="1"/>
  <c r="N10" i="3" a="1"/>
  <c r="N10" i="3" s="1"/>
  <c r="AE8" i="2" a="1"/>
  <c r="AE8" i="2" s="1"/>
  <c r="F8" i="3" s="1" a="1"/>
  <c r="F8" i="3" s="1"/>
  <c r="N12" i="3" a="1"/>
  <c r="N12" i="3" s="1"/>
  <c r="AE7" i="2" a="1"/>
  <c r="AE7" i="2" s="1"/>
  <c r="F14" i="3" s="1" a="1"/>
  <c r="F14" i="3" s="1"/>
  <c r="N8" i="3" a="1"/>
  <c r="N8" i="3" s="1"/>
  <c r="AE10" i="2" a="1"/>
  <c r="AE10" i="2" s="1"/>
  <c r="AE46" i="2" a="1"/>
  <c r="AE46" i="2" s="1"/>
  <c r="AE45" i="2" a="1"/>
  <c r="AE45" i="2" s="1"/>
  <c r="AE44" i="2" a="1"/>
  <c r="AE44" i="2" s="1"/>
  <c r="AE43" i="2" a="1"/>
  <c r="AE43" i="2" s="1"/>
  <c r="F21" i="3" s="1" a="1"/>
  <c r="F21" i="3" s="1"/>
  <c r="AE31" i="2" a="1"/>
  <c r="AE31" i="2" s="1"/>
  <c r="F17" i="3" s="1" a="1"/>
  <c r="F17" i="3" s="1"/>
  <c r="AE41" i="2" a="1"/>
  <c r="AE41" i="2" s="1"/>
  <c r="AE39" i="2" a="1"/>
  <c r="AE39" i="2" s="1"/>
  <c r="F12" i="3" s="1" a="1"/>
  <c r="F12" i="3" s="1"/>
  <c r="AE40" i="2" a="1"/>
  <c r="AE40" i="2" s="1"/>
  <c r="G13" i="3" s="1" a="1"/>
  <c r="G13" i="3" s="1"/>
  <c r="AE42" i="2" a="1"/>
  <c r="AE42" i="2" s="1"/>
  <c r="AE36" i="2" a="1"/>
  <c r="AE36" i="2" s="1"/>
  <c r="G21" i="3" s="1" a="1"/>
  <c r="G21" i="3" s="1"/>
  <c r="AE35" i="2" a="1"/>
  <c r="AE35" i="2" s="1"/>
  <c r="AE38" i="2" a="1"/>
  <c r="AE38" i="2" s="1"/>
  <c r="AE37" i="2" a="1"/>
  <c r="AE37" i="2" s="1"/>
  <c r="AE54" i="2" a="1"/>
  <c r="AE54" i="2" s="1"/>
  <c r="AE51" i="2" a="1"/>
  <c r="AE51" i="2" s="1"/>
  <c r="F15" i="3" s="1" a="1"/>
  <c r="F15" i="3" s="1"/>
  <c r="AE53" i="2" a="1"/>
  <c r="AE53" i="2" s="1"/>
  <c r="AE52" i="2" a="1"/>
  <c r="AE52" i="2" s="1"/>
  <c r="G18" i="3" s="1" a="1"/>
  <c r="G18" i="3" s="1"/>
  <c r="O9" i="3" l="1"/>
  <c r="Q9" i="3" s="1" a="1"/>
  <c r="Q9" i="3" s="1"/>
  <c r="P9" i="3"/>
  <c r="O14" i="3"/>
  <c r="Q14" i="3" s="1" a="1"/>
  <c r="Q14" i="3" s="1"/>
  <c r="P14" i="3"/>
  <c r="G19" i="3" a="1"/>
  <c r="G19" i="3" s="1"/>
  <c r="F19" i="3" a="1"/>
  <c r="F19" i="3" s="1"/>
  <c r="P8" i="3"/>
  <c r="O8" i="3"/>
  <c r="O10" i="3"/>
  <c r="Q10" i="3" s="1" a="1"/>
  <c r="Q10" i="3" s="1"/>
  <c r="P10" i="3"/>
  <c r="P16" i="3"/>
  <c r="O16" i="3"/>
  <c r="Q16" i="3" s="1" a="1"/>
  <c r="Q16" i="3" s="1"/>
  <c r="O18" i="3"/>
  <c r="Q18" i="3" s="1" a="1"/>
  <c r="Q18" i="3" s="1"/>
  <c r="P18" i="3"/>
  <c r="O13" i="3"/>
  <c r="P13" i="3"/>
  <c r="O15" i="3"/>
  <c r="Q15" i="3" s="1" a="1"/>
  <c r="Q15" i="3" s="1"/>
  <c r="P15" i="3"/>
  <c r="F11" i="3" a="1"/>
  <c r="F11" i="3" s="1"/>
  <c r="G10" i="3" a="1"/>
  <c r="G10" i="3" s="1"/>
  <c r="P12" i="3"/>
  <c r="O12" i="3"/>
  <c r="O17" i="3"/>
  <c r="Q17" i="3" s="1" a="1"/>
  <c r="Q17" i="3" s="1"/>
  <c r="P17" i="3"/>
  <c r="P11" i="3"/>
  <c r="O11" i="3"/>
  <c r="O19" i="3"/>
  <c r="Q19" i="3" s="1" a="1"/>
  <c r="Q19" i="3" s="1"/>
  <c r="P19" i="3"/>
  <c r="Q8" i="3" l="1" a="1"/>
  <c r="Q8" i="3" s="1"/>
  <c r="Q13" i="3" a="1"/>
  <c r="Q13" i="3" s="1"/>
  <c r="Q11" i="3" a="1"/>
  <c r="Q11" i="3" s="1"/>
  <c r="Q12" i="3" a="1"/>
  <c r="Q12" i="3" s="1"/>
  <c r="T15" i="3" l="1" a="1"/>
  <c r="T15" i="3" s="1"/>
  <c r="T9" i="3" a="1"/>
  <c r="T9" i="3" s="1"/>
  <c r="T14" i="3" a="1"/>
  <c r="T14" i="3" s="1"/>
  <c r="T11" i="3" a="1"/>
  <c r="T11" i="3" s="1"/>
  <c r="T13" i="3" a="1"/>
  <c r="T13" i="3" s="1"/>
  <c r="T10" i="3" a="1"/>
  <c r="T10" i="3" s="1"/>
  <c r="T12" i="3" a="1"/>
  <c r="T12" i="3" s="1"/>
  <c r="T8" i="3" a="1"/>
  <c r="T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<sst xmlns="http://schemas.openxmlformats.org/spreadsheetml/2006/main" count="1001" uniqueCount="279">
  <si>
    <t>Grupo</t>
  </si>
  <si>
    <t>A</t>
  </si>
  <si>
    <t>México</t>
  </si>
  <si>
    <t>Sudáfrica</t>
  </si>
  <si>
    <t>Corea del Sur</t>
  </si>
  <si>
    <t>Chequia</t>
  </si>
  <si>
    <t>B</t>
  </si>
  <si>
    <t>Canadá</t>
  </si>
  <si>
    <t>Bosnia y Herzegovina</t>
  </si>
  <si>
    <t>Qatar</t>
  </si>
  <si>
    <t>Suiza</t>
  </si>
  <si>
    <t>C</t>
  </si>
  <si>
    <t>Brasil</t>
  </si>
  <si>
    <t>Marruecos</t>
  </si>
  <si>
    <t>Haití</t>
  </si>
  <si>
    <t>Escocia</t>
  </si>
  <si>
    <t>D</t>
  </si>
  <si>
    <t>Estados Unidos</t>
  </si>
  <si>
    <t>Paraguay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</si>
  <si>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</si>
  <si>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</si>
  <si>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</si>
  <si>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</si>
  <si>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</si>
  <si>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</si>
  <si>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</si>
  <si>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</si>
  <si>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</si>
  <si>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</si>
  <si>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</si>
  <si>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</si>
  <si>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</si>
  <si>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</si>
  <si>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</si>
  <si>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</si>
  <si>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</si>
  <si>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</si>
  <si>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</si>
  <si>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</si>
  <si>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</si>
  <si>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</si>
  <si>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</si>
  <si>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</si>
  <si>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</si>
  <si>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</si>
  <si>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</si>
  <si>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</si>
  <si>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</si>
  <si>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</si>
  <si>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</si>
  <si>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</si>
  <si>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</si>
  <si>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</si>
  <si>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</si>
  <si>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</si>
  <si>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</si>
  <si>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</si>
  <si>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</si>
  <si>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Croacia</t>
  </si>
  <si>
    <t>Ghana</t>
  </si>
  <si>
    <t>Panamá</t>
  </si>
  <si>
    <t>Día</t>
  </si>
  <si>
    <t>Hora</t>
  </si>
  <si>
    <t>Equipos</t>
  </si>
  <si>
    <t>Estadio</t>
  </si>
  <si>
    <t>11/06/2026</t>
  </si>
  <si>
    <t>13:00</t>
  </si>
  <si>
    <t>México vs Sudáfrica</t>
  </si>
  <si>
    <t>Estadio Ciudad de México (Ciudad de México)</t>
  </si>
  <si>
    <t>20:00</t>
  </si>
  <si>
    <t>Corea del Sur vs Chequia</t>
  </si>
  <si>
    <t>Estadio Guadalajara (Guadalajara)</t>
  </si>
  <si>
    <t>12/06/2026</t>
  </si>
  <si>
    <t>Canadá vs Bosnia y Herzegovina</t>
  </si>
  <si>
    <t>Estadio de Toronto (Toronto)</t>
  </si>
  <si>
    <t>19:00</t>
  </si>
  <si>
    <t>Estados Unidos vs Paraguay</t>
  </si>
  <si>
    <t>Estadio Los Ángeles (Los Ángeles)</t>
  </si>
  <si>
    <t>13/06/2026</t>
  </si>
  <si>
    <t>Qatar vs Suiza</t>
  </si>
  <si>
    <t>Estadio de la Bahía de San Francisco</t>
  </si>
  <si>
    <t>16:00</t>
  </si>
  <si>
    <t>Brasil vs Marruecos</t>
  </si>
  <si>
    <t>Estadio Nueva York/Nueva Jersey</t>
  </si>
  <si>
    <t>Haití vs Escocia</t>
  </si>
  <si>
    <t>Estadio Boston (Boston)</t>
  </si>
  <si>
    <t>22:00</t>
  </si>
  <si>
    <t>Australia vs Turquía</t>
  </si>
  <si>
    <t>Estadio BC Place Vancouver</t>
  </si>
  <si>
    <t>14/06/2026</t>
  </si>
  <si>
    <t>11:00</t>
  </si>
  <si>
    <t>Alemania vs Curazao</t>
  </si>
  <si>
    <t>Estadio Houston (Houston)</t>
  </si>
  <si>
    <t>14:00</t>
  </si>
  <si>
    <t>Países Bajos vs Japón</t>
  </si>
  <si>
    <t>Estadio Dallas (Dallas)</t>
  </si>
  <si>
    <t>17:00</t>
  </si>
  <si>
    <t>Costa de Marfil vs Ecuador</t>
  </si>
  <si>
    <t>Estadio Filadelfia (Filadelfia)</t>
  </si>
  <si>
    <t>Suecia vs Túnez</t>
  </si>
  <si>
    <t>Estadio Monterrey (Monterrey)</t>
  </si>
  <si>
    <t>15/06/2026</t>
  </si>
  <si>
    <t>10:00</t>
  </si>
  <si>
    <t>España vs Cabo Verde</t>
  </si>
  <si>
    <t>Estadio Atlanta (Atlanta)</t>
  </si>
  <si>
    <t>Bélgica vs Egipto</t>
  </si>
  <si>
    <t>Estadio Seattle (Seattle)</t>
  </si>
  <si>
    <t>Estadio Miami (Miami)</t>
  </si>
  <si>
    <t>Irán vs Nueva Zelanda</t>
  </si>
  <si>
    <t>16/06/2026</t>
  </si>
  <si>
    <t>Francia vs Senegal</t>
  </si>
  <si>
    <t>Irak vs Noruega</t>
  </si>
  <si>
    <t>Argentina vs Argelia</t>
  </si>
  <si>
    <t>Estadio Kansas City</t>
  </si>
  <si>
    <t>Austria vs Jordania</t>
  </si>
  <si>
    <t>Estadio Bahía de San Francisco</t>
  </si>
  <si>
    <t>17/06/2026</t>
  </si>
  <si>
    <t>Portugal vs RD Congo</t>
  </si>
  <si>
    <t>Estadio Houston</t>
  </si>
  <si>
    <t>Inglaterra vs Croacia</t>
  </si>
  <si>
    <t>Estadio Dallas</t>
  </si>
  <si>
    <t>Ghana vs Panamá</t>
  </si>
  <si>
    <t>Estadio Toronto</t>
  </si>
  <si>
    <t>Uzbekistán vs Colombia</t>
  </si>
  <si>
    <t>Estadio Ciudad de México</t>
  </si>
  <si>
    <t>18/06/2026</t>
  </si>
  <si>
    <t>Chequia vs Sudáfrica</t>
  </si>
  <si>
    <t>Estadio Atlanta</t>
  </si>
  <si>
    <t>Suiza vs Bosnia y Herzegovina</t>
  </si>
  <si>
    <t>Estadio Los Ángeles</t>
  </si>
  <si>
    <t>Canadá vs Qatar</t>
  </si>
  <si>
    <t>Estadio Vancouver</t>
  </si>
  <si>
    <t>México vs Corea del Sur</t>
  </si>
  <si>
    <t>Estadio Guadalajara</t>
  </si>
  <si>
    <t>19/06/2026</t>
  </si>
  <si>
    <t>Estados Unidos vs Australia</t>
  </si>
  <si>
    <t>Estadio Seattle</t>
  </si>
  <si>
    <t>Escocia vs Marruecos</t>
  </si>
  <si>
    <t>Estadio Boston</t>
  </si>
  <si>
    <t>18:30</t>
  </si>
  <si>
    <t>Brasil vs Haití</t>
  </si>
  <si>
    <t>Estadio Filadelfia</t>
  </si>
  <si>
    <t>21:00</t>
  </si>
  <si>
    <t>Turquía vs Paraguay</t>
  </si>
  <si>
    <t>20/06/2026</t>
  </si>
  <si>
    <t>Países Bajos vs Suecia</t>
  </si>
  <si>
    <t>Alemania vs Costa de Marfil</t>
  </si>
  <si>
    <t>18:00</t>
  </si>
  <si>
    <t>Ecuador vs Curazao</t>
  </si>
  <si>
    <t>Túnez vs Japón</t>
  </si>
  <si>
    <t>Estadio Monterrey</t>
  </si>
  <si>
    <t>21/06/2026</t>
  </si>
  <si>
    <t>Bélgica vs Irán</t>
  </si>
  <si>
    <t>Uruguay vs Cabo Verde</t>
  </si>
  <si>
    <t>Estadio Miami</t>
  </si>
  <si>
    <t>Nueva Zelanda vs Egipto</t>
  </si>
  <si>
    <t>22/06/2026</t>
  </si>
  <si>
    <t>Argentina vs Austria</t>
  </si>
  <si>
    <t>15:00</t>
  </si>
  <si>
    <t>Francia vs Irak</t>
  </si>
  <si>
    <t>Noruega vs Senegal</t>
  </si>
  <si>
    <t>Jordania vs Argelia</t>
  </si>
  <si>
    <t>23/06/2026</t>
  </si>
  <si>
    <t>Portugal vs Uzbekistán</t>
  </si>
  <si>
    <t>Inglaterra vs Ghana</t>
  </si>
  <si>
    <t>Panamá vs Croacia</t>
  </si>
  <si>
    <t>Colombia vs RD Congo</t>
  </si>
  <si>
    <t>24/06/2026</t>
  </si>
  <si>
    <t>Suiza vs Canadá</t>
  </si>
  <si>
    <t>Bosnia y Herzegovina vs Qatar</t>
  </si>
  <si>
    <t>Escocia vs Brasil</t>
  </si>
  <si>
    <t>Marruecos vs Haití</t>
  </si>
  <si>
    <t>Chequia vs México</t>
  </si>
  <si>
    <t>Sudáfrica vs Corea del Sur</t>
  </si>
  <si>
    <t>25/06/2026</t>
  </si>
  <si>
    <t>Curazao vs Costa de Marfil</t>
  </si>
  <si>
    <t>Ecuador vs Alemania</t>
  </si>
  <si>
    <t>Japón vs Suecia</t>
  </si>
  <si>
    <t>Túnez vs Países Bajos</t>
  </si>
  <si>
    <t>Turquía vs Estados Unidos</t>
  </si>
  <si>
    <t>Paraguay vs Australia</t>
  </si>
  <si>
    <t>26/06/2026</t>
  </si>
  <si>
    <t>Noruega vs Francia</t>
  </si>
  <si>
    <t>Senegal vs Irak</t>
  </si>
  <si>
    <t>Uruguay vs España</t>
  </si>
  <si>
    <t>Egipto vs Irán</t>
  </si>
  <si>
    <t>Nueva Zelanda vs Bélgica</t>
  </si>
  <si>
    <t>27/06/2026</t>
  </si>
  <si>
    <t>Panamá vs Inglaterra</t>
  </si>
  <si>
    <t>Croacia vs Ghana</t>
  </si>
  <si>
    <t>17:30</t>
  </si>
  <si>
    <t>Colombia vs Portugal</t>
  </si>
  <si>
    <t>RD Congo vs Uzbekistán</t>
  </si>
  <si>
    <t>Argelia vs Austria</t>
  </si>
  <si>
    <t>Jordania vs Argentina</t>
  </si>
  <si>
    <t>SAMMY</t>
  </si>
  <si>
    <t>TONY</t>
  </si>
  <si>
    <t>TASHA</t>
  </si>
  <si>
    <t>Resultado</t>
  </si>
  <si>
    <t>Arabia Saudí</t>
  </si>
  <si>
    <t>PUNTAJE</t>
  </si>
  <si>
    <t>Resultado general</t>
  </si>
  <si>
    <t>Resultado exacto</t>
  </si>
  <si>
    <t>Nº Partido</t>
  </si>
  <si>
    <t>28/06/2026</t>
  </si>
  <si>
    <t>29/06/2026</t>
  </si>
  <si>
    <t>30/06/2026</t>
  </si>
  <si>
    <t>01/07/2026</t>
  </si>
  <si>
    <t>02/07/2026</t>
  </si>
  <si>
    <t>03/07/2026</t>
  </si>
  <si>
    <t>Los Ángeles</t>
  </si>
  <si>
    <t>Boston</t>
  </si>
  <si>
    <t>Monterrey</t>
  </si>
  <si>
    <t>Houston</t>
  </si>
  <si>
    <t>Nueva York/Nueva Jersey</t>
  </si>
  <si>
    <t>Dallas</t>
  </si>
  <si>
    <t>Ciudad de México</t>
  </si>
  <si>
    <t>Atlanta</t>
  </si>
  <si>
    <t>San Francisco Bay Area</t>
  </si>
  <si>
    <t>Seattle</t>
  </si>
  <si>
    <t>Toronto</t>
  </si>
  <si>
    <t>Vancouver</t>
  </si>
  <si>
    <t>Miami</t>
  </si>
  <si>
    <t>Kansas City</t>
  </si>
  <si>
    <t>2° Grupo A</t>
  </si>
  <si>
    <t>2° Grupo B</t>
  </si>
  <si>
    <t>1° Grupo E</t>
  </si>
  <si>
    <t>Mejor 3°</t>
  </si>
  <si>
    <t>1° Grupo F</t>
  </si>
  <si>
    <t>2° Grupo C</t>
  </si>
  <si>
    <t>1° Grupo C</t>
  </si>
  <si>
    <t>2° Grupo F</t>
  </si>
  <si>
    <t>1° Grupo I</t>
  </si>
  <si>
    <t>2° Grupo E</t>
  </si>
  <si>
    <t>2° Grupo I</t>
  </si>
  <si>
    <t>1° Grupo A</t>
  </si>
  <si>
    <t>1° Grupo L</t>
  </si>
  <si>
    <t>1° Grupo D</t>
  </si>
  <si>
    <t>1° Grupo G</t>
  </si>
  <si>
    <t>2° Grupo K</t>
  </si>
  <si>
    <t>2° Grupo L</t>
  </si>
  <si>
    <t>1° Grupo H</t>
  </si>
  <si>
    <t>2° Grupo J</t>
  </si>
  <si>
    <t>1° Grupo B</t>
  </si>
  <si>
    <t>1° Grupo J</t>
  </si>
  <si>
    <t>2° Grupo H</t>
  </si>
  <si>
    <t>1° Grupo K</t>
  </si>
  <si>
    <t>2° Grupo D</t>
  </si>
  <si>
    <t>2° Grupo G</t>
  </si>
  <si>
    <t>Arabia Saudita vs Uruguay</t>
  </si>
  <si>
    <t>España vs Arabia Saudita</t>
  </si>
  <si>
    <t>Cabo Verde vs Arabia Saudita</t>
  </si>
  <si>
    <t>Goles</t>
  </si>
  <si>
    <t>Puntos</t>
  </si>
  <si>
    <t>NURY</t>
  </si>
  <si>
    <t>ABU</t>
  </si>
  <si>
    <t>España vs Arabia Saudí</t>
  </si>
  <si>
    <t xml:space="preserve"> G</t>
  </si>
  <si>
    <t>Perdió</t>
  </si>
  <si>
    <t>Ganó</t>
  </si>
  <si>
    <t>Empató</t>
  </si>
  <si>
    <t>Marcador</t>
  </si>
  <si>
    <t>Lugar</t>
  </si>
  <si>
    <t>RESULTADOS</t>
  </si>
  <si>
    <t>Partidos</t>
  </si>
  <si>
    <t>Detalle Goles</t>
  </si>
  <si>
    <t>Terceros Lugares</t>
  </si>
  <si>
    <t>Equipo</t>
  </si>
  <si>
    <t>Posición</t>
  </si>
  <si>
    <t>PTS</t>
  </si>
  <si>
    <t>EDUARDO</t>
  </si>
  <si>
    <t>TOTAL PST</t>
  </si>
  <si>
    <t>JARED</t>
  </si>
  <si>
    <t>Canada vs Bosnia</t>
  </si>
  <si>
    <t>Inglaterra vs Panamá</t>
  </si>
  <si>
    <t>RESULTADO OFICIAL</t>
  </si>
  <si>
    <t>RESULTADOS POR GRUPO</t>
  </si>
  <si>
    <t>3º Lugar</t>
  </si>
  <si>
    <t>MEJORES TERCEROS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</si>
</sst>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4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3250D"/>
        <bgColor indexed="64"/>
      </patternFill>
    </fill>
    <fill>
      <patternFill patternType="solid">
        <fgColor rgb="FF7A3B85"/>
        <bgColor indexed="64"/>
      </patternFill>
    </fill>
    <fill>
      <patternFill patternType="solid">
        <fgColor rgb="FF10B03A"/>
        <bgColor indexed="64"/>
      </patternFill>
    </fill>
    <fill>
      <patternFill patternType="solid">
        <fgColor rgb="FF0FA9D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1" xfId="0" applyNumberFormat="1" applyBorder="1"/>
    <xf numFmtId="0" fontId="2" fillId="2" borderId="3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2" borderId="2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8" borderId="24" xfId="0" applyFill="1" applyBorder="1" applyAlignment="1">
      <alignment horizontal="center" vertical="center"/>
    </xf>
    <xf numFmtId="0" fontId="0" fillId="0" borderId="26" xfId="0" applyBorder="1"/>
    <xf numFmtId="0" fontId="0" fillId="0" borderId="26" xfId="0" applyBorder="1" applyAlignment="1">
      <alignment horizontal="center"/>
    </xf>
    <xf numFmtId="1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4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8" borderId="18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8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49" fontId="0" fillId="0" borderId="14" xfId="0" applyNumberFormat="1" applyBorder="1"/>
    <xf numFmtId="0" fontId="0" fillId="0" borderId="4" xfId="0" applyBorder="1"/>
    <xf numFmtId="0" fontId="0" fillId="0" borderId="19" xfId="0" applyBorder="1"/>
    <xf numFmtId="0" fontId="2" fillId="2" borderId="8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/>
    </xf>
    <xf numFmtId="0" fontId="3" fillId="10" borderId="39" xfId="0" applyFont="1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11" xfId="0" quotePrefix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center"/>
    </xf>
    <xf numFmtId="0" fontId="3" fillId="10" borderId="45" xfId="0" applyFont="1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0" fontId="3" fillId="10" borderId="47" xfId="0" applyFont="1" applyFill="1" applyBorder="1" applyAlignment="1">
      <alignment horizontal="center"/>
    </xf>
    <xf numFmtId="0" fontId="0" fillId="0" borderId="24" xfId="0" applyBorder="1"/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</font>
      <fill>
        <patternFill>
          <bgColor rgb="FFED905D"/>
        </patternFill>
      </fill>
    </dxf>
    <dxf>
      <font>
        <b/>
        <i val="0"/>
      </font>
      <fill>
        <patternFill>
          <bgColor rgb="FFFFCC66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33CCFF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33CCFF"/>
        </patternFill>
      </fill>
    </dxf>
    <dxf>
      <font>
        <b/>
        <i val="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CC66"/>
      <color rgb="FFED905D"/>
      <color rgb="FF0FA9DF"/>
      <color rgb="FF89E6F3"/>
      <color rgb="FF10B03A"/>
      <color rgb="FF7A3B85"/>
      <color rgb="FF0D95C5"/>
      <color rgb="FF33CCFF"/>
      <color rgb="FFFF7C80"/>
      <color rgb="FF97E5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imera Fase'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'Quiniela ABU'!A1"/><Relationship Id="rId5" Type="http://schemas.openxmlformats.org/officeDocument/2006/relationships/hyperlink" Target="#'Quiniela CASA'!A1"/><Relationship Id="rId4" Type="http://schemas.openxmlformats.org/officeDocument/2006/relationships/hyperlink" Target="#'Segunda Fas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5</xdr:row>
      <xdr:rowOff>66675</xdr:rowOff>
    </xdr:from>
    <xdr:to>
      <xdr:col>7</xdr:col>
      <xdr:colOff>280035</xdr:colOff>
      <xdr:row>13</xdr:row>
      <xdr:rowOff>66675</xdr:rowOff>
    </xdr:to>
    <xdr:pic>
      <xdr:nvPicPr>
        <xdr:cNvPr id="4" name="Imagen 3" descr="Mundial 2026: Así quedaron los grupos y calendario - ESPN">
          <a:extLst>
            <a:ext uri="{FF2B5EF4-FFF2-40B4-BE49-F238E27FC236}">
              <a16:creationId xmlns:a16="http://schemas.microsoft.com/office/drawing/2014/main" id="{8286F3E1-EBFA-1544-43F3-3CBC1FDF33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72" b="56198"/>
        <a:stretch>
          <a:fillRect/>
        </a:stretch>
      </xdr:blipFill>
      <xdr:spPr bwMode="auto">
        <a:xfrm>
          <a:off x="1476375" y="1019175"/>
          <a:ext cx="527113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704850</xdr:colOff>
      <xdr:row>13</xdr:row>
      <xdr:rowOff>104775</xdr:rowOff>
    </xdr:from>
    <xdr:to>
      <xdr:col>7</xdr:col>
      <xdr:colOff>270510</xdr:colOff>
      <xdr:row>21</xdr:row>
      <xdr:rowOff>85725</xdr:rowOff>
    </xdr:to>
    <xdr:pic>
      <xdr:nvPicPr>
        <xdr:cNvPr id="5" name="Imagen 4" descr="Mundial 2026: Así quedaron los grupos y calendario - ESPN">
          <a:extLst>
            <a:ext uri="{FF2B5EF4-FFF2-40B4-BE49-F238E27FC236}">
              <a16:creationId xmlns:a16="http://schemas.microsoft.com/office/drawing/2014/main" id="{FC64255D-9D8D-460F-A92F-C5B7CEC287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14" b="32346"/>
        <a:stretch>
          <a:fillRect/>
        </a:stretch>
      </xdr:blipFill>
      <xdr:spPr bwMode="auto">
        <a:xfrm>
          <a:off x="1466850" y="2581275"/>
          <a:ext cx="527113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21</xdr:row>
      <xdr:rowOff>123824</xdr:rowOff>
    </xdr:from>
    <xdr:to>
      <xdr:col>7</xdr:col>
      <xdr:colOff>260985</xdr:colOff>
      <xdr:row>29</xdr:row>
      <xdr:rowOff>47625</xdr:rowOff>
    </xdr:to>
    <xdr:pic>
      <xdr:nvPicPr>
        <xdr:cNvPr id="6" name="Imagen 5" descr="Mundial 2026: Así quedaron los grupos y calendario - ESPN">
          <a:extLst>
            <a:ext uri="{FF2B5EF4-FFF2-40B4-BE49-F238E27FC236}">
              <a16:creationId xmlns:a16="http://schemas.microsoft.com/office/drawing/2014/main" id="{710A97C1-DDF0-4E11-A24B-4D4281A7B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103" b="8924"/>
        <a:stretch>
          <a:fillRect/>
        </a:stretch>
      </xdr:blipFill>
      <xdr:spPr bwMode="auto">
        <a:xfrm>
          <a:off x="1457325" y="4124324"/>
          <a:ext cx="5271135" cy="1447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1043861</xdr:colOff>
      <xdr:row>0</xdr:row>
      <xdr:rowOff>152400</xdr:rowOff>
    </xdr:from>
    <xdr:ext cx="2655728" cy="937693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B2FDE37-803C-31D2-A13F-627A96A4A8A5}"/>
            </a:ext>
          </a:extLst>
        </xdr:cNvPr>
        <xdr:cNvSpPr/>
      </xdr:nvSpPr>
      <xdr:spPr>
        <a:xfrm>
          <a:off x="2786936" y="152400"/>
          <a:ext cx="265572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GRUPOS</a:t>
          </a:r>
        </a:p>
      </xdr:txBody>
    </xdr:sp>
    <xdr:clientData/>
  </xdr:oneCellAnchor>
  <xdr:twoCellAnchor editAs="oneCell">
    <xdr:from>
      <xdr:col>0</xdr:col>
      <xdr:colOff>133350</xdr:colOff>
      <xdr:row>7</xdr:row>
      <xdr:rowOff>142875</xdr:rowOff>
    </xdr:from>
    <xdr:to>
      <xdr:col>1</xdr:col>
      <xdr:colOff>647700</xdr:colOff>
      <xdr:row>12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2DB23A8-DCC9-0B54-D068-71B587218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61" r="78105" b="48529"/>
        <a:stretch>
          <a:fillRect/>
        </a:stretch>
      </xdr:blipFill>
      <xdr:spPr>
        <a:xfrm>
          <a:off x="133350" y="1476375"/>
          <a:ext cx="127635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1</xdr:row>
      <xdr:rowOff>66676</xdr:rowOff>
    </xdr:from>
    <xdr:to>
      <xdr:col>6</xdr:col>
      <xdr:colOff>752475</xdr:colOff>
      <xdr:row>5</xdr:row>
      <xdr:rowOff>66676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44A5D7D-762D-4A80-92EF-48E1D2D77D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6" r="91830" b="79656"/>
        <a:stretch>
          <a:fillRect/>
        </a:stretch>
      </xdr:blipFill>
      <xdr:spPr>
        <a:xfrm>
          <a:off x="5981700" y="257176"/>
          <a:ext cx="476250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581024</xdr:colOff>
      <xdr:row>23</xdr:row>
      <xdr:rowOff>85726</xdr:rowOff>
    </xdr:from>
    <xdr:to>
      <xdr:col>9</xdr:col>
      <xdr:colOff>238125</xdr:colOff>
      <xdr:row>28</xdr:row>
      <xdr:rowOff>47626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AFBB6EC-C731-46AB-B884-F76FE0B9B0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76" t="1231" r="26963" b="75241"/>
        <a:stretch>
          <a:fillRect/>
        </a:stretch>
      </xdr:blipFill>
      <xdr:spPr>
        <a:xfrm>
          <a:off x="7048499" y="4467226"/>
          <a:ext cx="1181101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22</xdr:row>
      <xdr:rowOff>142876</xdr:rowOff>
    </xdr:from>
    <xdr:to>
      <xdr:col>1</xdr:col>
      <xdr:colOff>609599</xdr:colOff>
      <xdr:row>28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8D3D2E2-07D0-4998-B26E-EBC2A895B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39" t="1230" r="3" b="72546"/>
        <a:stretch>
          <a:fillRect/>
        </a:stretch>
      </xdr:blipFill>
      <xdr:spPr>
        <a:xfrm>
          <a:off x="85724" y="4333876"/>
          <a:ext cx="1285875" cy="1019174"/>
        </a:xfrm>
        <a:prstGeom prst="rect">
          <a:avLst/>
        </a:prstGeom>
      </xdr:spPr>
    </xdr:pic>
    <xdr:clientData/>
  </xdr:twoCellAnchor>
  <xdr:twoCellAnchor editAs="oneCell">
    <xdr:from>
      <xdr:col>7</xdr:col>
      <xdr:colOff>514349</xdr:colOff>
      <xdr:row>7</xdr:row>
      <xdr:rowOff>104775</xdr:rowOff>
    </xdr:from>
    <xdr:to>
      <xdr:col>9</xdr:col>
      <xdr:colOff>276224</xdr:colOff>
      <xdr:row>12</xdr:row>
      <xdr:rowOff>123824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C682B3E-098E-4462-9D42-B5B7385A27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939" t="26719" r="3" b="48283"/>
        <a:stretch>
          <a:fillRect/>
        </a:stretch>
      </xdr:blipFill>
      <xdr:spPr>
        <a:xfrm>
          <a:off x="6981824" y="1438275"/>
          <a:ext cx="1285875" cy="97154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</xdr:row>
      <xdr:rowOff>38101</xdr:rowOff>
    </xdr:from>
    <xdr:to>
      <xdr:col>2</xdr:col>
      <xdr:colOff>495300</xdr:colOff>
      <xdr:row>5</xdr:row>
      <xdr:rowOff>38101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6F2B51E-D923-41E8-8A97-0C0D53C37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36" r="91830" b="79656"/>
        <a:stretch>
          <a:fillRect/>
        </a:stretch>
      </xdr:blipFill>
      <xdr:spPr>
        <a:xfrm>
          <a:off x="1762125" y="228601"/>
          <a:ext cx="476250" cy="762000"/>
        </a:xfrm>
        <a:prstGeom prst="rect">
          <a:avLst/>
        </a:prstGeom>
      </xdr:spPr>
    </xdr:pic>
    <xdr:clientData/>
  </xdr:twoCellAnchor>
  <xdr:twoCellAnchor>
    <xdr:from>
      <xdr:col>10</xdr:col>
      <xdr:colOff>409575</xdr:colOff>
      <xdr:row>5</xdr:row>
      <xdr:rowOff>171449</xdr:rowOff>
    </xdr:from>
    <xdr:to>
      <xdr:col>12</xdr:col>
      <xdr:colOff>238125</xdr:colOff>
      <xdr:row>9</xdr:row>
      <xdr:rowOff>66674</xdr:rowOff>
    </xdr:to>
    <xdr:sp macro="" textlink="">
      <xdr:nvSpPr>
        <xdr:cNvPr id="2" name="Rectá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F979C3-3C34-42F3-8AF0-AC81D927A779}"/>
            </a:ext>
          </a:extLst>
        </xdr:cNvPr>
        <xdr:cNvSpPr/>
      </xdr:nvSpPr>
      <xdr:spPr>
        <a:xfrm>
          <a:off x="9163050" y="1123949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PRIMERA</a:t>
          </a:r>
          <a:r>
            <a:rPr lang="es-CR" sz="1400" b="1" baseline="0"/>
            <a:t> FASE</a:t>
          </a:r>
          <a:endParaRPr lang="es-CR" sz="1400" b="1"/>
        </a:p>
      </xdr:txBody>
    </xdr:sp>
    <xdr:clientData/>
  </xdr:twoCellAnchor>
  <xdr:twoCellAnchor>
    <xdr:from>
      <xdr:col>10</xdr:col>
      <xdr:colOff>400050</xdr:colOff>
      <xdr:row>10</xdr:row>
      <xdr:rowOff>28575</xdr:rowOff>
    </xdr:from>
    <xdr:to>
      <xdr:col>12</xdr:col>
      <xdr:colOff>228600</xdr:colOff>
      <xdr:row>13</xdr:row>
      <xdr:rowOff>114300</xdr:rowOff>
    </xdr:to>
    <xdr:sp macro="" textlink="">
      <xdr:nvSpPr>
        <xdr:cNvPr id="3" name="Rectángulo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A531F8-1994-4096-BC8D-130065626CC3}"/>
            </a:ext>
          </a:extLst>
        </xdr:cNvPr>
        <xdr:cNvSpPr/>
      </xdr:nvSpPr>
      <xdr:spPr>
        <a:xfrm>
          <a:off x="9153525" y="1933575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SEGUNDA FASE</a:t>
          </a:r>
        </a:p>
      </xdr:txBody>
    </xdr:sp>
    <xdr:clientData/>
  </xdr:twoCellAnchor>
  <xdr:twoCellAnchor>
    <xdr:from>
      <xdr:col>10</xdr:col>
      <xdr:colOff>400050</xdr:colOff>
      <xdr:row>14</xdr:row>
      <xdr:rowOff>114300</xdr:rowOff>
    </xdr:from>
    <xdr:to>
      <xdr:col>12</xdr:col>
      <xdr:colOff>228600</xdr:colOff>
      <xdr:row>18</xdr:row>
      <xdr:rowOff>9525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3E059E-3BD6-41A1-8167-6DFDD31777E2}"/>
            </a:ext>
          </a:extLst>
        </xdr:cNvPr>
        <xdr:cNvSpPr/>
      </xdr:nvSpPr>
      <xdr:spPr>
        <a:xfrm>
          <a:off x="9153525" y="2781300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QUINIELA CASA</a:t>
          </a:r>
        </a:p>
      </xdr:txBody>
    </xdr:sp>
    <xdr:clientData/>
  </xdr:twoCellAnchor>
  <xdr:twoCellAnchor>
    <xdr:from>
      <xdr:col>10</xdr:col>
      <xdr:colOff>390525</xdr:colOff>
      <xdr:row>19</xdr:row>
      <xdr:rowOff>19050</xdr:rowOff>
    </xdr:from>
    <xdr:to>
      <xdr:col>12</xdr:col>
      <xdr:colOff>219075</xdr:colOff>
      <xdr:row>22</xdr:row>
      <xdr:rowOff>104775</xdr:rowOff>
    </xdr:to>
    <xdr:sp macro="" textlink="">
      <xdr:nvSpPr>
        <xdr:cNvPr id="15" name="Rectá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3616B4B-0BBC-4C27-8D4B-201CBD83BE37}"/>
            </a:ext>
          </a:extLst>
        </xdr:cNvPr>
        <xdr:cNvSpPr/>
      </xdr:nvSpPr>
      <xdr:spPr>
        <a:xfrm>
          <a:off x="9144000" y="3638550"/>
          <a:ext cx="1638300" cy="657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 b="1"/>
            <a:t>QUINIELA ABU</a:t>
          </a:r>
        </a:p>
      </xdr:txBody>
    </xdr:sp>
    <xdr:clientData/>
  </xdr:twoCellAnchor>
  <xdr:oneCellAnchor>
    <xdr:from>
      <xdr:col>9</xdr:col>
      <xdr:colOff>425663</xdr:colOff>
      <xdr:row>2</xdr:row>
      <xdr:rowOff>152400</xdr:rowOff>
    </xdr:from>
    <xdr:ext cx="2806281" cy="800100"/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B16AC4C-DF41-4114-8390-EC4966BF970E}"/>
            </a:ext>
          </a:extLst>
        </xdr:cNvPr>
        <xdr:cNvSpPr/>
      </xdr:nvSpPr>
      <xdr:spPr>
        <a:xfrm>
          <a:off x="8417138" y="533400"/>
          <a:ext cx="2806281" cy="8001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2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ACCESOS DIRECTOS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876300</xdr:colOff>
      <xdr:row>0</xdr:row>
      <xdr:rowOff>38100</xdr:rowOff>
    </xdr:from>
    <xdr:ext cx="4988418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DB63AFA-5D7E-4421-81B6-8D7DC35098DD}"/>
            </a:ext>
          </a:extLst>
        </xdr:cNvPr>
        <xdr:cNvSpPr/>
      </xdr:nvSpPr>
      <xdr:spPr>
        <a:xfrm>
          <a:off x="2486025" y="38100"/>
          <a:ext cx="498841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PARTIDOS</a:t>
          </a:r>
          <a:r>
            <a:rPr lang="es-ES" sz="5400" b="1" cap="none" spc="0" baseline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FASE I</a:t>
          </a:r>
          <a:endParaRPr lang="es-ES" sz="5400" b="1" cap="none" spc="0">
            <a:ln w="9525">
              <a:solidFill>
                <a:schemeClr val="tx2">
                  <a:lumMod val="25000"/>
                  <a:lumOff val="75000"/>
                </a:schemeClr>
              </a:solidFill>
              <a:prstDash val="solid"/>
            </a:ln>
            <a:solidFill>
              <a:schemeClr val="tx2">
                <a:lumMod val="75000"/>
                <a:lumOff val="25000"/>
              </a:schemeClr>
            </a:solidFill>
            <a:effectLst>
              <a:glow rad="101600">
                <a:schemeClr val="tx2">
                  <a:lumMod val="50000"/>
                  <a:lumOff val="50000"/>
                  <a:alpha val="60000"/>
                </a:schemeClr>
              </a:glow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13</xdr:col>
      <xdr:colOff>28575</xdr:colOff>
      <xdr:row>70</xdr:row>
      <xdr:rowOff>180975</xdr:rowOff>
    </xdr:from>
    <xdr:to>
      <xdr:col>14</xdr:col>
      <xdr:colOff>0</xdr:colOff>
      <xdr:row>74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F684BE-A11D-CFE4-7837-705B6DC0D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948" b="83333"/>
        <a:stretch>
          <a:fillRect/>
        </a:stretch>
      </xdr:blipFill>
      <xdr:spPr>
        <a:xfrm>
          <a:off x="6943725" y="13563600"/>
          <a:ext cx="819150" cy="64770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41</xdr:row>
      <xdr:rowOff>76200</xdr:rowOff>
    </xdr:from>
    <xdr:to>
      <xdr:col>13</xdr:col>
      <xdr:colOff>714221</xdr:colOff>
      <xdr:row>43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C5CC68-F9B9-4AA2-BCAF-D02B65A172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23" t="36520" r="44608" b="48283"/>
        <a:stretch>
          <a:fillRect/>
        </a:stretch>
      </xdr:blipFill>
      <xdr:spPr>
        <a:xfrm>
          <a:off x="8848725" y="7981950"/>
          <a:ext cx="657071" cy="44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55</xdr:row>
      <xdr:rowOff>114300</xdr:rowOff>
    </xdr:from>
    <xdr:to>
      <xdr:col>13</xdr:col>
      <xdr:colOff>762000</xdr:colOff>
      <xdr:row>59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B4163B-51F7-4988-A7E2-18BE4F4C56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51" t="68384" r="10948" b="12743"/>
        <a:stretch>
          <a:fillRect/>
        </a:stretch>
      </xdr:blipFill>
      <xdr:spPr>
        <a:xfrm>
          <a:off x="7000875" y="10639425"/>
          <a:ext cx="676275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0</xdr:row>
      <xdr:rowOff>123825</xdr:rowOff>
    </xdr:from>
    <xdr:to>
      <xdr:col>12</xdr:col>
      <xdr:colOff>180974</xdr:colOff>
      <xdr:row>4</xdr:row>
      <xdr:rowOff>76200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4BC2F47-05BC-4368-A3F5-7A79F54C0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95" t="62008" r="21734" b="19365"/>
        <a:stretch>
          <a:fillRect/>
        </a:stretch>
      </xdr:blipFill>
      <xdr:spPr>
        <a:xfrm>
          <a:off x="7953375" y="123825"/>
          <a:ext cx="1152524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0</xdr:row>
      <xdr:rowOff>190499</xdr:rowOff>
    </xdr:from>
    <xdr:to>
      <xdr:col>4</xdr:col>
      <xdr:colOff>247650</xdr:colOff>
      <xdr:row>3</xdr:row>
      <xdr:rowOff>180974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B968559-E977-41B9-BFB9-42C3B5BBC4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06" t="84805" r="41670" b="733"/>
        <a:stretch>
          <a:fillRect/>
        </a:stretch>
      </xdr:blipFill>
      <xdr:spPr>
        <a:xfrm>
          <a:off x="561976" y="190499"/>
          <a:ext cx="1295399" cy="56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26</xdr:row>
      <xdr:rowOff>180975</xdr:rowOff>
    </xdr:from>
    <xdr:to>
      <xdr:col>13</xdr:col>
      <xdr:colOff>790575</xdr:colOff>
      <xdr:row>30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D566B0B-D869-4BCB-A81C-2DF7C1463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25" t="35050" r="73204" b="49754"/>
        <a:stretch>
          <a:fillRect/>
        </a:stretch>
      </xdr:blipFill>
      <xdr:spPr>
        <a:xfrm>
          <a:off x="8820150" y="5229225"/>
          <a:ext cx="762000" cy="590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123825</xdr:colOff>
      <xdr:row>12</xdr:row>
      <xdr:rowOff>85725</xdr:rowOff>
    </xdr:from>
    <xdr:to>
      <xdr:col>13</xdr:col>
      <xdr:colOff>733424</xdr:colOff>
      <xdr:row>15</xdr:row>
      <xdr:rowOff>114300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22A566-E7EE-4C58-8C75-C5AB0EAA6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80" t="42648" r="63562" b="41666"/>
        <a:stretch>
          <a:fillRect/>
        </a:stretch>
      </xdr:blipFill>
      <xdr:spPr>
        <a:xfrm>
          <a:off x="8915400" y="2466975"/>
          <a:ext cx="609599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848815</xdr:colOff>
      <xdr:row>0</xdr:row>
      <xdr:rowOff>47625</xdr:rowOff>
    </xdr:from>
    <xdr:ext cx="5176738" cy="93769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F3AF887-F0B9-48E7-91EA-36F224CC69C4}"/>
            </a:ext>
          </a:extLst>
        </xdr:cNvPr>
        <xdr:cNvSpPr/>
      </xdr:nvSpPr>
      <xdr:spPr>
        <a:xfrm>
          <a:off x="3696790" y="47625"/>
          <a:ext cx="5176738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PARTIDOS</a:t>
          </a:r>
          <a:r>
            <a:rPr lang="es-ES" sz="5400" b="1" cap="none" spc="0" baseline="0">
              <a:ln w="9525">
                <a:solidFill>
                  <a:schemeClr val="tx2">
                    <a:lumMod val="25000"/>
                    <a:lumOff val="75000"/>
                  </a:schemeClr>
                </a:solidFill>
                <a:prstDash val="solid"/>
              </a:ln>
              <a:solidFill>
                <a:schemeClr val="tx2">
                  <a:lumMod val="75000"/>
                  <a:lumOff val="25000"/>
                </a:schemeClr>
              </a:solidFill>
              <a:effectLst>
                <a:glow rad="101600">
                  <a:schemeClr val="tx2">
                    <a:lumMod val="50000"/>
                    <a:lumOff val="50000"/>
                    <a:alpha val="60000"/>
                  </a:schemeClr>
                </a:glow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FASE II</a:t>
          </a:r>
          <a:endParaRPr lang="es-ES" sz="5400" b="1" cap="none" spc="0">
            <a:ln w="9525">
              <a:solidFill>
                <a:schemeClr val="tx2">
                  <a:lumMod val="25000"/>
                  <a:lumOff val="75000"/>
                </a:schemeClr>
              </a:solidFill>
              <a:prstDash val="solid"/>
            </a:ln>
            <a:solidFill>
              <a:schemeClr val="tx2">
                <a:lumMod val="75000"/>
                <a:lumOff val="25000"/>
              </a:schemeClr>
            </a:solidFill>
            <a:effectLst>
              <a:glow rad="101600">
                <a:schemeClr val="tx2">
                  <a:lumMod val="50000"/>
                  <a:lumOff val="50000"/>
                  <a:alpha val="60000"/>
                </a:schemeClr>
              </a:glow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11</xdr:row>
      <xdr:rowOff>142875</xdr:rowOff>
    </xdr:from>
    <xdr:to>
      <xdr:col>2</xdr:col>
      <xdr:colOff>85725</xdr:colOff>
      <xdr:row>19</xdr:row>
      <xdr:rowOff>83778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65AFD-D4B7-41EA-BD62-FFEC574ED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4" t="53648" r="-1927" b="-761"/>
        <a:stretch>
          <a:fillRect/>
        </a:stretch>
      </xdr:blipFill>
      <xdr:spPr>
        <a:xfrm>
          <a:off x="0" y="2343150"/>
          <a:ext cx="1552575" cy="14839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359834</xdr:colOff>
      <xdr:row>0</xdr:row>
      <xdr:rowOff>0</xdr:rowOff>
    </xdr:from>
    <xdr:to>
      <xdr:col>11</xdr:col>
      <xdr:colOff>293159</xdr:colOff>
      <xdr:row>11</xdr:row>
      <xdr:rowOff>151195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645091-B707-A22B-9E05-2614D0C95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9584" y="0"/>
          <a:ext cx="3372908" cy="2257278"/>
        </a:xfrm>
        <a:prstGeom prst="rect">
          <a:avLst/>
        </a:prstGeom>
      </xdr:spPr>
    </xdr:pic>
    <xdr:clientData/>
  </xdr:twoCellAnchor>
  <xdr:twoCellAnchor editAs="oneCell">
    <xdr:from>
      <xdr:col>18</xdr:col>
      <xdr:colOff>433916</xdr:colOff>
      <xdr:row>20</xdr:row>
      <xdr:rowOff>31751</xdr:rowOff>
    </xdr:from>
    <xdr:to>
      <xdr:col>20</xdr:col>
      <xdr:colOff>698499</xdr:colOff>
      <xdr:row>27</xdr:row>
      <xdr:rowOff>84667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059CF6-BF63-1D87-598B-577E039F9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45751" r="83297" b="18574"/>
        <a:stretch>
          <a:fillRect/>
        </a:stretch>
      </xdr:blipFill>
      <xdr:spPr>
        <a:xfrm>
          <a:off x="10054166" y="3968751"/>
          <a:ext cx="1005417" cy="1386416"/>
        </a:xfrm>
        <a:prstGeom prst="rect">
          <a:avLst/>
        </a:prstGeom>
      </xdr:spPr>
    </xdr:pic>
    <xdr:clientData/>
  </xdr:twoCellAnchor>
  <xdr:twoCellAnchor editAs="oneCell">
    <xdr:from>
      <xdr:col>20</xdr:col>
      <xdr:colOff>624416</xdr:colOff>
      <xdr:row>8</xdr:row>
      <xdr:rowOff>169330</xdr:rowOff>
    </xdr:from>
    <xdr:to>
      <xdr:col>21</xdr:col>
      <xdr:colOff>148166</xdr:colOff>
      <xdr:row>11</xdr:row>
      <xdr:rowOff>34921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7CFE66F-C372-4257-A4B6-A847EF963A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53" t="16668" r="46242" b="71813"/>
        <a:stretch>
          <a:fillRect/>
        </a:stretch>
      </xdr:blipFill>
      <xdr:spPr>
        <a:xfrm>
          <a:off x="8784166" y="1693330"/>
          <a:ext cx="857250" cy="447674"/>
        </a:xfrm>
        <a:prstGeom prst="rect">
          <a:avLst/>
        </a:prstGeom>
      </xdr:spPr>
    </xdr:pic>
    <xdr:clientData/>
  </xdr:twoCellAnchor>
  <xdr:oneCellAnchor>
    <xdr:from>
      <xdr:col>18</xdr:col>
      <xdr:colOff>433917</xdr:colOff>
      <xdr:row>36</xdr:row>
      <xdr:rowOff>52918</xdr:rowOff>
    </xdr:from>
    <xdr:ext cx="1005417" cy="1185333"/>
    <xdr:pic>
      <xdr:nvPicPr>
        <xdr:cNvPr id="2" name="Imagen 1">
          <a:extLst>
            <a:ext uri="{FF2B5EF4-FFF2-40B4-BE49-F238E27FC236}">
              <a16:creationId xmlns:a16="http://schemas.microsoft.com/office/drawing/2014/main" id="{837BF5BF-1012-4E3A-ADE6-96C300FB8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71785" r="83297" b="-2286"/>
        <a:stretch>
          <a:fillRect/>
        </a:stretch>
      </xdr:blipFill>
      <xdr:spPr>
        <a:xfrm>
          <a:off x="10054167" y="7037918"/>
          <a:ext cx="1005417" cy="1185333"/>
        </a:xfrm>
        <a:prstGeom prst="rect">
          <a:avLst/>
        </a:prstGeom>
      </xdr:spPr>
    </xdr:pic>
    <xdr:clientData/>
  </xdr:oneCellAnchor>
  <xdr:oneCellAnchor>
    <xdr:from>
      <xdr:col>18</xdr:col>
      <xdr:colOff>402167</xdr:colOff>
      <xdr:row>69</xdr:row>
      <xdr:rowOff>169332</xdr:rowOff>
    </xdr:from>
    <xdr:ext cx="1344083" cy="1195917"/>
    <xdr:pic>
      <xdr:nvPicPr>
        <xdr:cNvPr id="3" name="Imagen 2">
          <a:extLst>
            <a:ext uri="{FF2B5EF4-FFF2-40B4-BE49-F238E27FC236}">
              <a16:creationId xmlns:a16="http://schemas.microsoft.com/office/drawing/2014/main" id="{C41519E8-8538-4533-B973-58F49EAC1C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68" t="-438" r="-725" b="69665"/>
        <a:stretch>
          <a:fillRect/>
        </a:stretch>
      </xdr:blipFill>
      <xdr:spPr>
        <a:xfrm rot="10800000">
          <a:off x="10022417" y="13440832"/>
          <a:ext cx="1344083" cy="1195917"/>
        </a:xfrm>
        <a:prstGeom prst="rect">
          <a:avLst/>
        </a:prstGeom>
      </xdr:spPr>
    </xdr:pic>
    <xdr:clientData/>
  </xdr:oneCellAnchor>
  <xdr:oneCellAnchor>
    <xdr:from>
      <xdr:col>18</xdr:col>
      <xdr:colOff>423335</xdr:colOff>
      <xdr:row>51</xdr:row>
      <xdr:rowOff>158744</xdr:rowOff>
    </xdr:from>
    <xdr:ext cx="1005417" cy="1238250"/>
    <xdr:pic>
      <xdr:nvPicPr>
        <xdr:cNvPr id="5" name="Imagen 4">
          <a:extLst>
            <a:ext uri="{FF2B5EF4-FFF2-40B4-BE49-F238E27FC236}">
              <a16:creationId xmlns:a16="http://schemas.microsoft.com/office/drawing/2014/main" id="{42BCF8D2-1663-49DB-86FF-080C299669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1251" r="83297" b="66887"/>
        <a:stretch>
          <a:fillRect/>
        </a:stretch>
      </xdr:blipFill>
      <xdr:spPr>
        <a:xfrm>
          <a:off x="10043585" y="10001244"/>
          <a:ext cx="1005417" cy="1238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306920</xdr:colOff>
      <xdr:row>0</xdr:row>
      <xdr:rowOff>0</xdr:rowOff>
    </xdr:from>
    <xdr:to>
      <xdr:col>17</xdr:col>
      <xdr:colOff>123828</xdr:colOff>
      <xdr:row>11</xdr:row>
      <xdr:rowOff>151195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31B30C-5627-4D93-8DAA-03B3BEC6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9920" y="0"/>
          <a:ext cx="3372908" cy="2257278"/>
        </a:xfrm>
        <a:prstGeom prst="rect">
          <a:avLst/>
        </a:prstGeom>
      </xdr:spPr>
    </xdr:pic>
    <xdr:clientData/>
  </xdr:twoCellAnchor>
  <xdr:twoCellAnchor editAs="oneCell">
    <xdr:from>
      <xdr:col>24</xdr:col>
      <xdr:colOff>444499</xdr:colOff>
      <xdr:row>16</xdr:row>
      <xdr:rowOff>127000</xdr:rowOff>
    </xdr:from>
    <xdr:to>
      <xdr:col>26</xdr:col>
      <xdr:colOff>709083</xdr:colOff>
      <xdr:row>23</xdr:row>
      <xdr:rowOff>179916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7C2EA8-8C9E-466E-AA6E-C92DBBD225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45751" r="83297" b="18574"/>
        <a:stretch>
          <a:fillRect/>
        </a:stretch>
      </xdr:blipFill>
      <xdr:spPr>
        <a:xfrm>
          <a:off x="12636499" y="3302000"/>
          <a:ext cx="1005417" cy="1386416"/>
        </a:xfrm>
        <a:prstGeom prst="rect">
          <a:avLst/>
        </a:prstGeom>
      </xdr:spPr>
    </xdr:pic>
    <xdr:clientData/>
  </xdr:twoCellAnchor>
  <xdr:twoCellAnchor editAs="oneCell">
    <xdr:from>
      <xdr:col>26</xdr:col>
      <xdr:colOff>624416</xdr:colOff>
      <xdr:row>8</xdr:row>
      <xdr:rowOff>169330</xdr:rowOff>
    </xdr:from>
    <xdr:to>
      <xdr:col>27</xdr:col>
      <xdr:colOff>148166</xdr:colOff>
      <xdr:row>11</xdr:row>
      <xdr:rowOff>34921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186817-2807-44B6-B51A-2050847CD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53" t="16668" r="46242" b="71813"/>
        <a:stretch>
          <a:fillRect/>
        </a:stretch>
      </xdr:blipFill>
      <xdr:spPr>
        <a:xfrm>
          <a:off x="10130366" y="1693330"/>
          <a:ext cx="857250" cy="446616"/>
        </a:xfrm>
        <a:prstGeom prst="rect">
          <a:avLst/>
        </a:prstGeom>
      </xdr:spPr>
    </xdr:pic>
    <xdr:clientData/>
  </xdr:twoCellAnchor>
  <xdr:oneCellAnchor>
    <xdr:from>
      <xdr:col>24</xdr:col>
      <xdr:colOff>423332</xdr:colOff>
      <xdr:row>31</xdr:row>
      <xdr:rowOff>179916</xdr:rowOff>
    </xdr:from>
    <xdr:ext cx="1344083" cy="1195917"/>
    <xdr:pic>
      <xdr:nvPicPr>
        <xdr:cNvPr id="6" name="Imagen 5">
          <a:extLst>
            <a:ext uri="{FF2B5EF4-FFF2-40B4-BE49-F238E27FC236}">
              <a16:creationId xmlns:a16="http://schemas.microsoft.com/office/drawing/2014/main" id="{506FDF32-B4C9-44BB-A6FA-16BBC422A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68" t="-438" r="-725" b="69665"/>
        <a:stretch>
          <a:fillRect/>
        </a:stretch>
      </xdr:blipFill>
      <xdr:spPr>
        <a:xfrm rot="10800000">
          <a:off x="12615332" y="6212416"/>
          <a:ext cx="1344083" cy="1195917"/>
        </a:xfrm>
        <a:prstGeom prst="rect">
          <a:avLst/>
        </a:prstGeom>
      </xdr:spPr>
    </xdr:pic>
    <xdr:clientData/>
  </xdr:oneCellAnchor>
  <xdr:oneCellAnchor>
    <xdr:from>
      <xdr:col>25</xdr:col>
      <xdr:colOff>1</xdr:colOff>
      <xdr:row>24</xdr:row>
      <xdr:rowOff>106892</xdr:rowOff>
    </xdr:from>
    <xdr:ext cx="1005417" cy="1238250"/>
    <xdr:pic>
      <xdr:nvPicPr>
        <xdr:cNvPr id="7" name="Imagen 6">
          <a:extLst>
            <a:ext uri="{FF2B5EF4-FFF2-40B4-BE49-F238E27FC236}">
              <a16:creationId xmlns:a16="http://schemas.microsoft.com/office/drawing/2014/main" id="{57340A0E-E218-4E64-B3A5-CDF9833559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5" t="1251" r="83297" b="66887"/>
        <a:stretch>
          <a:fillRect/>
        </a:stretch>
      </xdr:blipFill>
      <xdr:spPr>
        <a:xfrm>
          <a:off x="12636501" y="4805892"/>
          <a:ext cx="1005417" cy="1238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943F-2CCA-4693-9BAC-9963765E52F2}">
  <dimension ref="A39:E52"/>
  <sheetViews>
    <sheetView showGridLines="0" tabSelected="1" workbookViewId="0">
      <selection activeCell="O22" sqref="O22"/>
    </sheetView>
  </sheetViews>
  <sheetFormatPr baseColWidth="10" defaultRowHeight="15" x14ac:dyDescent="0.25"/>
  <cols>
    <col min="2" max="2" width="14.7109375" bestFit="1" customWidth="1"/>
    <col min="3" max="3" width="19.7109375" bestFit="1" customWidth="1"/>
    <col min="4" max="5" width="14.140625" bestFit="1" customWidth="1"/>
    <col min="10" max="10" width="7.85546875" customWidth="1"/>
    <col min="11" max="11" width="15.7109375" customWidth="1"/>
  </cols>
  <sheetData>
    <row r="39" spans="1:5" hidden="1" x14ac:dyDescent="0.25">
      <c r="A39" s="2" t="s">
        <v>0</v>
      </c>
      <c r="B39" s="90" t="s">
        <v>63</v>
      </c>
      <c r="C39" s="90"/>
      <c r="D39" s="90"/>
      <c r="E39" s="90"/>
    </row>
    <row r="40" spans="1:5" hidden="1" x14ac:dyDescent="0.25">
      <c r="A40" s="3" t="s">
        <v>1</v>
      </c>
      <c r="B40" s="1" t="s">
        <v>2</v>
      </c>
      <c r="C40" s="1" t="s">
        <v>3</v>
      </c>
      <c r="D40" s="1" t="s">
        <v>4</v>
      </c>
      <c r="E40" s="1" t="s">
        <v>5</v>
      </c>
    </row>
    <row r="41" spans="1:5" hidden="1" x14ac:dyDescent="0.25">
      <c r="A41" s="3" t="s">
        <v>6</v>
      </c>
      <c r="B41" s="1" t="s">
        <v>7</v>
      </c>
      <c r="C41" s="1" t="s">
        <v>8</v>
      </c>
      <c r="D41" s="1" t="s">
        <v>9</v>
      </c>
      <c r="E41" s="1" t="s">
        <v>10</v>
      </c>
    </row>
    <row r="42" spans="1:5" hidden="1" x14ac:dyDescent="0.25">
      <c r="A42" s="3" t="s">
        <v>11</v>
      </c>
      <c r="B42" s="1" t="s">
        <v>12</v>
      </c>
      <c r="C42" s="1" t="s">
        <v>13</v>
      </c>
      <c r="D42" s="1" t="s">
        <v>14</v>
      </c>
      <c r="E42" s="1" t="s">
        <v>15</v>
      </c>
    </row>
    <row r="43" spans="1:5" hidden="1" x14ac:dyDescent="0.25">
      <c r="A43" s="3" t="s">
        <v>16</v>
      </c>
      <c r="B43" s="1" t="s">
        <v>17</v>
      </c>
      <c r="C43" s="1" t="s">
        <v>18</v>
      </c>
      <c r="D43" s="1" t="s">
        <v>19</v>
      </c>
      <c r="E43" s="1" t="s">
        <v>20</v>
      </c>
    </row>
    <row r="44" spans="1:5" hidden="1" x14ac:dyDescent="0.25">
      <c r="A44" s="3" t="s">
        <v>21</v>
      </c>
      <c r="B44" s="1" t="s">
        <v>22</v>
      </c>
      <c r="C44" s="1" t="s">
        <v>23</v>
      </c>
      <c r="D44" s="1" t="s">
        <v>24</v>
      </c>
      <c r="E44" s="1" t="s">
        <v>25</v>
      </c>
    </row>
    <row r="45" spans="1:5" hidden="1" x14ac:dyDescent="0.25">
      <c r="A45" s="3" t="s">
        <v>26</v>
      </c>
      <c r="B45" s="1" t="s">
        <v>27</v>
      </c>
      <c r="C45" s="1" t="s">
        <v>28</v>
      </c>
      <c r="D45" s="1" t="s">
        <v>29</v>
      </c>
      <c r="E45" s="1" t="s">
        <v>30</v>
      </c>
    </row>
    <row r="46" spans="1:5" hidden="1" x14ac:dyDescent="0.25">
      <c r="A46" s="3" t="s">
        <v>31</v>
      </c>
      <c r="B46" s="1" t="s">
        <v>32</v>
      </c>
      <c r="C46" s="1" t="s">
        <v>33</v>
      </c>
      <c r="D46" s="1" t="s">
        <v>34</v>
      </c>
      <c r="E46" s="1" t="s">
        <v>35</v>
      </c>
    </row>
    <row r="47" spans="1:5" hidden="1" x14ac:dyDescent="0.25">
      <c r="A47" s="3" t="s">
        <v>36</v>
      </c>
      <c r="B47" s="1" t="s">
        <v>37</v>
      </c>
      <c r="C47" s="1" t="s">
        <v>38</v>
      </c>
      <c r="D47" s="1" t="s">
        <v>39</v>
      </c>
      <c r="E47" s="1" t="s">
        <v>40</v>
      </c>
    </row>
    <row r="48" spans="1:5" hidden="1" x14ac:dyDescent="0.25">
      <c r="A48" s="3" t="s">
        <v>41</v>
      </c>
      <c r="B48" s="1" t="s">
        <v>42</v>
      </c>
      <c r="C48" s="1" t="s">
        <v>43</v>
      </c>
      <c r="D48" s="1" t="s">
        <v>44</v>
      </c>
      <c r="E48" s="1" t="s">
        <v>45</v>
      </c>
    </row>
    <row r="49" spans="1:5" hidden="1" x14ac:dyDescent="0.25">
      <c r="A49" s="3" t="s">
        <v>46</v>
      </c>
      <c r="B49" s="1" t="s">
        <v>47</v>
      </c>
      <c r="C49" s="1" t="s">
        <v>48</v>
      </c>
      <c r="D49" s="1" t="s">
        <v>49</v>
      </c>
      <c r="E49" s="1" t="s">
        <v>50</v>
      </c>
    </row>
    <row r="50" spans="1:5" hidden="1" x14ac:dyDescent="0.25">
      <c r="A50" s="3" t="s">
        <v>51</v>
      </c>
      <c r="B50" s="1" t="s">
        <v>52</v>
      </c>
      <c r="C50" s="1" t="s">
        <v>53</v>
      </c>
      <c r="D50" s="1" t="s">
        <v>54</v>
      </c>
      <c r="E50" s="1" t="s">
        <v>55</v>
      </c>
    </row>
    <row r="51" spans="1:5" hidden="1" x14ac:dyDescent="0.25">
      <c r="A51" s="3" t="s">
        <v>56</v>
      </c>
      <c r="B51" s="1" t="s">
        <v>57</v>
      </c>
      <c r="C51" s="1" t="s">
        <v>58</v>
      </c>
      <c r="D51" s="1" t="s">
        <v>59</v>
      </c>
      <c r="E51" s="1" t="s">
        <v>60</v>
      </c>
    </row>
    <row r="52" spans="1:5" hidden="1" x14ac:dyDescent="0.25"/>
  </sheetData>
  <mergeCells count="1">
    <mergeCell ref="B39:E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870-88E2-4502-8085-BE7E1C572BC4}">
  <dimension ref="B4:AE78"/>
  <sheetViews>
    <sheetView showGridLines="0" zoomScaleNormal="100" workbookViewId="0"/>
  </sheetViews>
  <sheetFormatPr baseColWidth="10" defaultRowHeight="15" x14ac:dyDescent="0.25"/>
  <cols>
    <col min="1" max="1" width="2" customWidth="1"/>
    <col min="2" max="2" width="10.42578125" style="4" bestFit="1" customWidth="1"/>
    <col min="3" max="3" width="6.7109375" style="4" bestFit="1" customWidth="1"/>
    <col min="4" max="4" width="30" style="4" hidden="1" customWidth="1"/>
    <col min="5" max="5" width="41.42578125" bestFit="1" customWidth="1"/>
    <col min="6" max="6" width="3.5703125" style="4" bestFit="1" customWidth="1"/>
    <col min="7" max="7" width="19.7109375" bestFit="1" customWidth="1"/>
    <col min="8" max="8" width="12.7109375" bestFit="1" customWidth="1"/>
    <col min="9" max="10" width="6.28515625" style="4" customWidth="1"/>
    <col min="11" max="11" width="12.7109375" bestFit="1" customWidth="1"/>
    <col min="12" max="12" width="19.7109375" bestFit="1" customWidth="1"/>
    <col min="13" max="13" width="3" style="4" bestFit="1" customWidth="1"/>
    <col min="14" max="14" width="12.7109375" customWidth="1"/>
    <col min="15" max="15" width="3" bestFit="1" customWidth="1"/>
    <col min="16" max="16" width="19.7109375" bestFit="1" customWidth="1"/>
    <col min="17" max="20" width="5.7109375" style="4" hidden="1" customWidth="1"/>
    <col min="21" max="21" width="9.140625" style="36" bestFit="1" customWidth="1"/>
    <col min="22" max="25" width="7.28515625" style="20" hidden="1" customWidth="1"/>
    <col min="26" max="26" width="11.42578125" style="38" customWidth="1"/>
    <col min="27" max="27" width="11.42578125" style="4" hidden="1" customWidth="1"/>
    <col min="28" max="28" width="5.140625" style="195" customWidth="1"/>
    <col min="29" max="29" width="3" bestFit="1" customWidth="1"/>
    <col min="31" max="31" width="42.7109375" style="198" customWidth="1"/>
  </cols>
  <sheetData>
    <row r="4" spans="2:31" ht="15.75" thickBot="1" x14ac:dyDescent="0.3"/>
    <row r="5" spans="2:31" ht="19.5" customHeight="1" thickBot="1" x14ac:dyDescent="0.35">
      <c r="O5" s="82" t="s">
        <v>263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3"/>
      <c r="AB5" s="196"/>
      <c r="AC5" s="202" t="s">
        <v>31</v>
      </c>
      <c r="AD5" s="206" t="s">
        <v>276</v>
      </c>
      <c r="AE5" s="207"/>
    </row>
    <row r="6" spans="2:31" ht="19.5" thickBot="1" x14ac:dyDescent="0.35">
      <c r="B6" s="74" t="s">
        <v>61</v>
      </c>
      <c r="C6" s="75" t="s">
        <v>62</v>
      </c>
      <c r="D6" s="75"/>
      <c r="E6" s="75" t="s">
        <v>64</v>
      </c>
      <c r="F6" s="66" t="s">
        <v>257</v>
      </c>
      <c r="G6" s="76" t="s">
        <v>63</v>
      </c>
      <c r="H6" s="66" t="s">
        <v>198</v>
      </c>
      <c r="I6" s="80" t="s">
        <v>261</v>
      </c>
      <c r="J6" s="81"/>
      <c r="K6" s="66" t="s">
        <v>198</v>
      </c>
      <c r="L6" s="76" t="s">
        <v>63</v>
      </c>
      <c r="M6" s="67" t="s">
        <v>31</v>
      </c>
      <c r="O6" s="68" t="s">
        <v>31</v>
      </c>
      <c r="P6" s="39" t="s">
        <v>63</v>
      </c>
      <c r="Q6" s="84" t="s">
        <v>264</v>
      </c>
      <c r="R6" s="85"/>
      <c r="S6" s="85"/>
      <c r="T6" s="86"/>
      <c r="U6" s="40" t="s">
        <v>253</v>
      </c>
      <c r="V6" s="87" t="s">
        <v>265</v>
      </c>
      <c r="W6" s="88"/>
      <c r="X6" s="88"/>
      <c r="Y6" s="89"/>
      <c r="Z6" s="41" t="s">
        <v>252</v>
      </c>
      <c r="AA6" s="69" t="s">
        <v>262</v>
      </c>
      <c r="AB6" s="196"/>
      <c r="AC6" s="203"/>
      <c r="AD6" s="204" t="s">
        <v>268</v>
      </c>
      <c r="AE6" s="205" t="s">
        <v>267</v>
      </c>
    </row>
    <row r="7" spans="2:31" ht="15" customHeight="1" x14ac:dyDescent="0.25">
      <c r="B7" s="14" t="s">
        <v>65</v>
      </c>
      <c r="C7" s="3" t="s">
        <v>66</v>
      </c>
      <c r="D7" s="6" t="s">
        <v>67</v>
      </c>
      <c r="E7" s="1" t="s">
        <v>68</v>
      </c>
      <c r="F7" s="3" t="str" cm="1">
        <f t="array" ref="F7">_xlfn.XLOOKUP(TRUE,(GRUPOS!$B$40:$B$51=G7)+(GRUPOS!$C$40:$C$51=G7)+(GRUPOS!$D$40:$D$51=G7)+(GRUPOS!$E$40:$E$51=G7)&gt;0,GRUPOS!$A$40:$A$51)</f>
        <v>A</v>
      </c>
      <c r="G7" s="1" t="str">
        <f t="shared" ref="G7:G38" si="0">LEFT(D7,FIND(" vs ",D7)-1)</f>
        <v>México</v>
      </c>
      <c r="H7" s="30" t="s">
        <v>259</v>
      </c>
      <c r="I7" s="3">
        <v>2</v>
      </c>
      <c r="J7" s="3">
        <v>0</v>
      </c>
      <c r="K7" s="30" t="s">
        <v>258</v>
      </c>
      <c r="L7" s="1" t="str">
        <f t="shared" ref="L7:L38" si="1">MID(D7,FIND(" vs ",D7)+4,LEN(D7))</f>
        <v>Sudáfrica</v>
      </c>
      <c r="M7" s="15" t="str" cm="1">
        <f t="array" ref="M7">_xlfn.XLOOKUP(TRUE,(GRUPOS!$B$40:$B$51=L7)+(GRUPOS!$C$40:$C$51=L7)+(GRUPOS!$D$40:$D$51=L7)+(GRUPOS!$E$40:$E$51=L7)&gt;0,GRUPOS!$A$40:$A$51)</f>
        <v>A</v>
      </c>
      <c r="O7" s="47" t="s">
        <v>1</v>
      </c>
      <c r="P7" s="48" t="s">
        <v>2</v>
      </c>
      <c r="Q7" s="49" cm="1">
        <f t="array" ref="Q7">IFERROR(CHOOSE(MATCH(INDEX(_xlfn._xlws.FILTER($H$7:$H$1000,$G$7:$G$1000=P7),1),{"Perdió","Empató","Ganó"},0),0,1,3),"")</f>
        <v>3</v>
      </c>
      <c r="R7" s="49" t="str" cm="1">
        <f t="array" ref="R7">IFERROR(CHOOSE(MATCH(INDEX(_xlfn._xlws.FILTER($H$7:$H$1000,$G$7:$G$1000=P7),2),{"Perdió","Empató","Ganó"},0),0,1,3),"")</f>
        <v/>
      </c>
      <c r="S7" s="49" t="str" cm="1">
        <f t="array" ref="S7">IFERROR(CHOOSE(MATCH(INDEX(_xlfn._xlws.FILTER($K$7:$K$1000,$L$7:$L$1000=P7),1),{"Perdió","Empató","Ganó"},0),0,1,3),"")</f>
        <v/>
      </c>
      <c r="T7" s="49" t="str" cm="1">
        <f t="array" ref="T7">IFERROR(CHOOSE(MATCH(INDEX(_xlfn._xlws.FILTER($K$7:$K$1000,$L$7:$L$1000=P7),2),{"Perdió","Empató","Ganó"},0),0,1,3),"")</f>
        <v/>
      </c>
      <c r="U7" s="50">
        <f>SUM(Q7:S7)</f>
        <v>3</v>
      </c>
      <c r="V7" s="51" cm="1">
        <f t="array" ref="V7">IFERROR(INDEX(_xlfn._xlws.FILTER($I$7:$I$1000-$J$7:$J$1000,$G$7:$G$1000=P7),1),"")</f>
        <v>2</v>
      </c>
      <c r="W7" s="51" cm="1">
        <f t="array" ref="W7">IFERROR(INDEX(_xlfn._xlws.FILTER($I$7:$I$1000-$J$7:$J$1000,$G$7:$G$1000=P7),2),"")</f>
        <v>0</v>
      </c>
      <c r="X7" s="51" cm="1">
        <f t="array" ref="X7">IFERROR(INDEX(_xlfn._xlws.FILTER($J$7:$J$1000-$I$7:$I$1000,$L$7:$L$1000=P7),1),"")</f>
        <v>0</v>
      </c>
      <c r="Y7" s="51" t="str" cm="1">
        <f t="array" ref="Y7">IFERROR(INDEX(_xlfn._xlws.FILTER($J$7:$J$1000-$I$7:$I$1000,$L$7:$L$1000=P7),2),"")</f>
        <v/>
      </c>
      <c r="Z7" s="52">
        <f>SUM(V7:Y7)</f>
        <v>2</v>
      </c>
      <c r="AA7" s="53" cm="1">
        <f t="array" ref="AA7">1+SUMPRODUCT(($U$7:$U$10&gt;U7)+(($U$7:$U$10=U7)*($Z$7:$Z$10&gt;Z7)))</f>
        <v>1</v>
      </c>
      <c r="AB7" s="197"/>
      <c r="AC7" s="47" t="s">
        <v>1</v>
      </c>
      <c r="AD7" s="200">
        <v>1</v>
      </c>
      <c r="AE7" s="199" t="str" cm="1">
        <f t="array" ref="AE7">IFERROR(_xlfn.TEXTJOIN(" - ",TRUE,_xlfn._xlws.FILTER($P$7:$P$10,$AA$7:$AA$10=1)),"")</f>
        <v>México</v>
      </c>
    </row>
    <row r="8" spans="2:31" x14ac:dyDescent="0.25">
      <c r="B8" s="14" t="s">
        <v>65</v>
      </c>
      <c r="C8" s="3" t="s">
        <v>69</v>
      </c>
      <c r="D8" s="6" t="s">
        <v>70</v>
      </c>
      <c r="E8" s="1" t="s">
        <v>71</v>
      </c>
      <c r="F8" s="3" t="str" cm="1">
        <f t="array" ref="F8">_xlfn.XLOOKUP(TRUE,(GRUPOS!$B$40:$B$51=G8)+(GRUPOS!$C$40:$C$51=G8)+(GRUPOS!$D$40:$D$51=G8)+(GRUPOS!$E$40:$E$51=G8)&gt;0,GRUPOS!$A$40:$A$51)</f>
        <v>A</v>
      </c>
      <c r="G8" s="1" t="str">
        <f t="shared" si="0"/>
        <v>Corea del Sur</v>
      </c>
      <c r="H8" s="30" t="s">
        <v>259</v>
      </c>
      <c r="I8" s="3">
        <v>2</v>
      </c>
      <c r="J8" s="3">
        <v>1</v>
      </c>
      <c r="K8" s="30" t="s">
        <v>258</v>
      </c>
      <c r="L8" s="1" t="str">
        <f t="shared" si="1"/>
        <v>Chequia</v>
      </c>
      <c r="M8" s="15" t="str" cm="1">
        <f t="array" ref="M8">_xlfn.XLOOKUP(TRUE,(GRUPOS!$B$40:$B$51=L8)+(GRUPOS!$C$40:$C$51=L8)+(GRUPOS!$D$40:$D$51=L8)+(GRUPOS!$E$40:$E$51=L8)&gt;0,GRUPOS!$A$40:$A$51)</f>
        <v>A</v>
      </c>
      <c r="O8" s="54" t="s">
        <v>1</v>
      </c>
      <c r="P8" s="1" t="s">
        <v>3</v>
      </c>
      <c r="Q8" s="3" t="str" cm="1">
        <f t="array" ref="Q8">IFERROR(CHOOSE(MATCH(INDEX(_xlfn._xlws.FILTER($H$7:$H$1000,$G$7:$G$1000=P8),1),{"Perdió","Empató","Ganó"},0),0,1,3),"")</f>
        <v/>
      </c>
      <c r="R8" s="3" t="str" cm="1">
        <f t="array" ref="R8">IFERROR(CHOOSE(MATCH(INDEX(_xlfn._xlws.FILTER($H$7:$H$1000,$G$7:$G$1000=P8),2),{"Perdió","Empató","Ganó"},0),0,1,3),"")</f>
        <v/>
      </c>
      <c r="S8" s="3" cm="1">
        <f t="array" ref="S8">IFERROR(CHOOSE(MATCH(INDEX(_xlfn._xlws.FILTER($K$7:$K$1000,$L$7:$L$1000=P8),1),{"Perdió","Empató","Ganó"},0),0,1,3),"")</f>
        <v>0</v>
      </c>
      <c r="T8" s="3" t="str" cm="1">
        <f t="array" ref="T8">IFERROR(CHOOSE(MATCH(INDEX(_xlfn._xlws.FILTER($K$7:$K$1000,$L$7:$L$1000=P8),2),{"Perdió","Empató","Ganó"},0),0,1,3),"")</f>
        <v/>
      </c>
      <c r="U8" s="35">
        <f t="shared" ref="U8:U54" si="2">SUM(Q8:S8)</f>
        <v>0</v>
      </c>
      <c r="V8" s="30" cm="1">
        <f t="array" ref="V8">IFERROR(INDEX(_xlfn._xlws.FILTER($I$7:$I$1000-$J$7:$J$1000,$G$7:$G$1000=P8),1),"")</f>
        <v>0</v>
      </c>
      <c r="W8" s="30" t="str" cm="1">
        <f t="array" ref="W8">IFERROR(INDEX(_xlfn._xlws.FILTER($I$7:$I$1000-$J$7:$J$1000,$G$7:$G$1000=P8),2),"")</f>
        <v/>
      </c>
      <c r="X8" s="30" cm="1">
        <f t="array" ref="X8">IFERROR(INDEX(_xlfn._xlws.FILTER($J$7:$J$1000-$I$7:$I$1000,$L$7:$L$1000=P8),1),"")</f>
        <v>-2</v>
      </c>
      <c r="Y8" s="30" cm="1">
        <f t="array" ref="Y8">IFERROR(INDEX(_xlfn._xlws.FILTER($J$7:$J$1000-$I$7:$I$1000,$L$7:$L$1000=P8),2),"")</f>
        <v>0</v>
      </c>
      <c r="Z8" s="37">
        <f t="shared" ref="Z8:Z54" si="3">SUM(V8:Y8)</f>
        <v>-2</v>
      </c>
      <c r="AA8" s="15" cm="1">
        <f t="array" ref="AA8">1+SUMPRODUCT(($U$7:$U$10&gt;U8)+(($U$7:$U$10=U8)*($Z$7:$Z$10&gt;Z8)))</f>
        <v>4</v>
      </c>
      <c r="AB8" s="197"/>
      <c r="AC8" s="54" t="s">
        <v>1</v>
      </c>
      <c r="AD8" s="200">
        <v>2</v>
      </c>
      <c r="AE8" s="199" t="str" cm="1">
        <f t="array" ref="AE8">IFERROR(_xlfn.TEXTJOIN(" - ",TRUE,_xlfn._xlws.FILTER($P$7:$P$10,$AA$7:$AA$10=2)),"")</f>
        <v>Corea del Sur</v>
      </c>
    </row>
    <row r="9" spans="2:31" x14ac:dyDescent="0.25">
      <c r="B9" s="14" t="s">
        <v>72</v>
      </c>
      <c r="C9" s="3" t="s">
        <v>66</v>
      </c>
      <c r="D9" s="6" t="s">
        <v>73</v>
      </c>
      <c r="E9" s="1" t="s">
        <v>74</v>
      </c>
      <c r="F9" s="3" t="str" cm="1">
        <f t="array" ref="F9">_xlfn.XLOOKUP(TRUE,(GRUPOS!$B$40:$B$51=G9)+(GRUPOS!$C$40:$C$51=G9)+(GRUPOS!$D$40:$D$51=G9)+(GRUPOS!$E$40:$E$51=G9)&gt;0,GRUPOS!$A$40:$A$51)</f>
        <v>B</v>
      </c>
      <c r="G9" s="1" t="str">
        <f t="shared" si="0"/>
        <v>Canadá</v>
      </c>
      <c r="H9" s="30" t="s">
        <v>260</v>
      </c>
      <c r="I9" s="3">
        <v>1</v>
      </c>
      <c r="J9" s="3">
        <v>1</v>
      </c>
      <c r="K9" s="30" t="s">
        <v>260</v>
      </c>
      <c r="L9" s="1" t="str">
        <f t="shared" si="1"/>
        <v>Bosnia y Herzegovina</v>
      </c>
      <c r="M9" s="15" t="str" cm="1">
        <f t="array" ref="M9">_xlfn.XLOOKUP(TRUE,(GRUPOS!$B$40:$B$51=L9)+(GRUPOS!$C$40:$C$51=L9)+(GRUPOS!$D$40:$D$51=L9)+(GRUPOS!$E$40:$E$51=L9)&gt;0,GRUPOS!$A$40:$A$51)</f>
        <v>B</v>
      </c>
      <c r="O9" s="54" t="s">
        <v>1</v>
      </c>
      <c r="P9" s="1" t="s">
        <v>4</v>
      </c>
      <c r="Q9" s="3" cm="1">
        <f t="array" ref="Q9">IFERROR(CHOOSE(MATCH(INDEX(_xlfn._xlws.FILTER($H$7:$H$1000,$G$7:$G$1000=P9),1),{"Perdió","Empató","Ganó"},0),0,1,3),"")</f>
        <v>3</v>
      </c>
      <c r="R9" s="3" t="str" cm="1">
        <f t="array" ref="R9">IFERROR(CHOOSE(MATCH(INDEX(_xlfn._xlws.FILTER($H$7:$H$1000,$G$7:$G$1000=P9),2),{"Perdió","Empató","Ganó"},0),0,1,3),"")</f>
        <v/>
      </c>
      <c r="S9" s="3" t="str" cm="1">
        <f t="array" ref="S9">IFERROR(CHOOSE(MATCH(INDEX(_xlfn._xlws.FILTER($K$7:$K$1000,$L$7:$L$1000=P9),1),{"Perdió","Empató","Ganó"},0),0,1,3),"")</f>
        <v/>
      </c>
      <c r="T9" s="3" t="str" cm="1">
        <f t="array" ref="T9">IFERROR(CHOOSE(MATCH(INDEX(_xlfn._xlws.FILTER($K$7:$K$1000,$L$7:$L$1000=P9),2),{"Perdió","Empató","Ganó"},0),0,1,3),"")</f>
        <v/>
      </c>
      <c r="U9" s="35">
        <f t="shared" si="2"/>
        <v>3</v>
      </c>
      <c r="V9" s="30" cm="1">
        <f t="array" ref="V9">IFERROR(INDEX(_xlfn._xlws.FILTER($I$7:$I$1000-$J$7:$J$1000,$G$7:$G$1000=P9),1),"")</f>
        <v>1</v>
      </c>
      <c r="W9" s="30" t="str" cm="1">
        <f t="array" ref="W9">IFERROR(INDEX(_xlfn._xlws.FILTER($I$7:$I$1000-$J$7:$J$1000,$G$7:$G$1000=P9),2),"")</f>
        <v/>
      </c>
      <c r="X9" s="30" cm="1">
        <f t="array" ref="X9">IFERROR(INDEX(_xlfn._xlws.FILTER($J$7:$J$1000-$I$7:$I$1000,$L$7:$L$1000=P9),1),"")</f>
        <v>0</v>
      </c>
      <c r="Y9" s="30" cm="1">
        <f t="array" ref="Y9">IFERROR(INDEX(_xlfn._xlws.FILTER($J$7:$J$1000-$I$7:$I$1000,$L$7:$L$1000=P9),2),"")</f>
        <v>0</v>
      </c>
      <c r="Z9" s="37">
        <f t="shared" si="3"/>
        <v>1</v>
      </c>
      <c r="AA9" s="15" cm="1">
        <f t="array" ref="AA9">1+SUMPRODUCT(($U$7:$U$10&gt;U9)+(($U$7:$U$10=U9)*($Z$7:$Z$10&gt;Z9)))</f>
        <v>2</v>
      </c>
      <c r="AB9" s="197"/>
      <c r="AC9" s="54" t="s">
        <v>1</v>
      </c>
      <c r="AD9" s="200">
        <v>3</v>
      </c>
      <c r="AE9" s="199" t="str" cm="1">
        <f t="array" ref="AE9">IFERROR(_xlfn.TEXTJOIN(" - ",TRUE,_xlfn._xlws.FILTER($P$7:$P$10,$AA$7:$AA$10=3)),"")</f>
        <v>Chequia</v>
      </c>
    </row>
    <row r="10" spans="2:31" ht="15.75" thickBot="1" x14ac:dyDescent="0.3">
      <c r="B10" s="14" t="s">
        <v>72</v>
      </c>
      <c r="C10" s="3" t="s">
        <v>75</v>
      </c>
      <c r="D10" s="6" t="s">
        <v>76</v>
      </c>
      <c r="E10" s="1" t="s">
        <v>77</v>
      </c>
      <c r="F10" s="3" t="str" cm="1">
        <f t="array" ref="F10">_xlfn.XLOOKUP(TRUE,(GRUPOS!$B$40:$B$51=G10)+(GRUPOS!$C$40:$C$51=G10)+(GRUPOS!$D$40:$D$51=G10)+(GRUPOS!$E$40:$E$51=G10)&gt;0,GRUPOS!$A$40:$A$51)</f>
        <v>D</v>
      </c>
      <c r="G10" s="1" t="str">
        <f t="shared" si="0"/>
        <v>Estados Unidos</v>
      </c>
      <c r="H10" s="30" t="s">
        <v>259</v>
      </c>
      <c r="I10" s="3">
        <v>4</v>
      </c>
      <c r="J10" s="3">
        <v>1</v>
      </c>
      <c r="K10" s="30" t="s">
        <v>258</v>
      </c>
      <c r="L10" s="1" t="str">
        <f t="shared" si="1"/>
        <v>Paraguay</v>
      </c>
      <c r="M10" s="15" t="str" cm="1">
        <f t="array" ref="M10">_xlfn.XLOOKUP(TRUE,(GRUPOS!$B$40:$B$51=L10)+(GRUPOS!$C$40:$C$51=L10)+(GRUPOS!$D$40:$D$51=L10)+(GRUPOS!$E$40:$E$51=L10)&gt;0,GRUPOS!$A$40:$A$51)</f>
        <v>D</v>
      </c>
      <c r="O10" s="55" t="s">
        <v>1</v>
      </c>
      <c r="P10" s="11" t="s">
        <v>5</v>
      </c>
      <c r="Q10" s="13" t="str" cm="1">
        <f t="array" ref="Q10">IFERROR(CHOOSE(MATCH(INDEX(_xlfn._xlws.FILTER($H$7:$H$1000,$G$7:$G$1000=P10),1),{"Perdió","Empató","Ganó"},0),0,1,3),"")</f>
        <v/>
      </c>
      <c r="R10" s="13" t="str" cm="1">
        <f t="array" ref="R10">IFERROR(CHOOSE(MATCH(INDEX(_xlfn._xlws.FILTER($H$7:$H$1000,$G$7:$G$1000=P10),2),{"Perdió","Empató","Ganó"},0),0,1,3),"")</f>
        <v/>
      </c>
      <c r="S10" s="13" cm="1">
        <f t="array" ref="S10">IFERROR(CHOOSE(MATCH(INDEX(_xlfn._xlws.FILTER($K$7:$K$1000,$L$7:$L$1000=P10),1),{"Perdió","Empató","Ganó"},0),0,1,3),"")</f>
        <v>0</v>
      </c>
      <c r="T10" s="13" t="str" cm="1">
        <f t="array" ref="T10">IFERROR(CHOOSE(MATCH(INDEX(_xlfn._xlws.FILTER($K$7:$K$1000,$L$7:$L$1000=P10),2),{"Perdió","Empató","Ganó"},0),0,1,3),"")</f>
        <v/>
      </c>
      <c r="U10" s="56">
        <f t="shared" si="2"/>
        <v>0</v>
      </c>
      <c r="V10" s="57" cm="1">
        <f t="array" ref="V10">IFERROR(INDEX(_xlfn._xlws.FILTER($I$7:$I$1000-$J$7:$J$1000,$G$7:$G$1000=P10),1),"")</f>
        <v>0</v>
      </c>
      <c r="W10" s="57" cm="1">
        <f t="array" ref="W10">IFERROR(INDEX(_xlfn._xlws.FILTER($I$7:$I$1000-$J$7:$J$1000,$G$7:$G$1000=P10),2),"")</f>
        <v>0</v>
      </c>
      <c r="X10" s="57" cm="1">
        <f t="array" ref="X10">IFERROR(INDEX(_xlfn._xlws.FILTER($J$7:$J$1000-$I$7:$I$1000,$L$7:$L$1000=P10),1),"")</f>
        <v>-1</v>
      </c>
      <c r="Y10" s="57" t="str" cm="1">
        <f t="array" ref="Y10">IFERROR(INDEX(_xlfn._xlws.FILTER($J$7:$J$1000-$I$7:$I$1000,$L$7:$L$1000=P10),2),"")</f>
        <v/>
      </c>
      <c r="Z10" s="58">
        <f t="shared" si="3"/>
        <v>-1</v>
      </c>
      <c r="AA10" s="18" cm="1">
        <f t="array" ref="AA10">1+SUMPRODUCT(($U$7:$U$10&gt;U10)+(($U$7:$U$10=U10)*($Z$7:$Z$10&gt;Z10)))</f>
        <v>3</v>
      </c>
      <c r="AB10" s="197"/>
      <c r="AC10" s="55" t="s">
        <v>1</v>
      </c>
      <c r="AD10" s="200">
        <v>4</v>
      </c>
      <c r="AE10" s="199" t="str" cm="1">
        <f t="array" ref="AE10">IFERROR(_xlfn.TEXTJOIN(" - ",TRUE,_xlfn._xlws.FILTER($P$7:$P$10,$AA$7:$AA$10=4)),"")</f>
        <v>Sudáfrica</v>
      </c>
    </row>
    <row r="11" spans="2:31" x14ac:dyDescent="0.25">
      <c r="B11" s="14" t="s">
        <v>78</v>
      </c>
      <c r="C11" s="3" t="s">
        <v>66</v>
      </c>
      <c r="D11" s="6" t="s">
        <v>79</v>
      </c>
      <c r="E11" s="1" t="s">
        <v>80</v>
      </c>
      <c r="F11" s="3" t="str" cm="1">
        <f t="array" ref="F11">_xlfn.XLOOKUP(TRUE,(GRUPOS!$B$40:$B$51=G11)+(GRUPOS!$C$40:$C$51=G11)+(GRUPOS!$D$40:$D$51=G11)+(GRUPOS!$E$40:$E$51=G11)&gt;0,GRUPOS!$A$40:$A$51)</f>
        <v>B</v>
      </c>
      <c r="G11" s="1" t="str">
        <f t="shared" si="0"/>
        <v>Qatar</v>
      </c>
      <c r="H11" s="30" t="s">
        <v>260</v>
      </c>
      <c r="I11" s="3">
        <v>1</v>
      </c>
      <c r="J11" s="3">
        <v>1</v>
      </c>
      <c r="K11" s="30" t="s">
        <v>260</v>
      </c>
      <c r="L11" s="1" t="str">
        <f t="shared" si="1"/>
        <v>Suiza</v>
      </c>
      <c r="M11" s="15" t="str" cm="1">
        <f t="array" ref="M11">_xlfn.XLOOKUP(TRUE,(GRUPOS!$B$40:$B$51=L11)+(GRUPOS!$C$40:$C$51=L11)+(GRUPOS!$D$40:$D$51=L11)+(GRUPOS!$E$40:$E$51=L11)&gt;0,GRUPOS!$A$40:$A$51)</f>
        <v>B</v>
      </c>
      <c r="O11" s="59" t="s">
        <v>6</v>
      </c>
      <c r="P11" s="48" t="s">
        <v>7</v>
      </c>
      <c r="Q11" s="49" cm="1">
        <f t="array" ref="Q11">IFERROR(CHOOSE(MATCH(INDEX(_xlfn._xlws.FILTER($H$7:$H$1000,$G$7:$G$1000=P11),1),{"Perdió","Empató","Ganó"},0),0,1,3),"")</f>
        <v>1</v>
      </c>
      <c r="R11" s="49" t="str" cm="1">
        <f t="array" ref="R11">IFERROR(CHOOSE(MATCH(INDEX(_xlfn._xlws.FILTER($H$7:$H$1000,$G$7:$G$1000=P11),2),{"Perdió","Empató","Ganó"},0),0,1,3),"")</f>
        <v/>
      </c>
      <c r="S11" s="49" t="str" cm="1">
        <f t="array" ref="S11">IFERROR(CHOOSE(MATCH(INDEX(_xlfn._xlws.FILTER($K$7:$K$1000,$L$7:$L$1000=P11),1),{"Perdió","Empató","Ganó"},0),0,1,3),"")</f>
        <v/>
      </c>
      <c r="T11" s="49" t="str" cm="1">
        <f t="array" ref="T11">IFERROR(CHOOSE(MATCH(INDEX(_xlfn._xlws.FILTER($K$7:$K$1000,$L$7:$L$1000=P11),2),{"Perdió","Empató","Ganó"},0),0,1,3),"")</f>
        <v/>
      </c>
      <c r="U11" s="50">
        <f t="shared" si="2"/>
        <v>1</v>
      </c>
      <c r="V11" s="51" cm="1">
        <f t="array" ref="V11">IFERROR(INDEX(_xlfn._xlws.FILTER($I$7:$I$1000-$J$7:$J$1000,$G$7:$G$1000=P11),1),"")</f>
        <v>0</v>
      </c>
      <c r="W11" s="51" cm="1">
        <f t="array" ref="W11">IFERROR(INDEX(_xlfn._xlws.FILTER($I$7:$I$1000-$J$7:$J$1000,$G$7:$G$1000=P11),2),"")</f>
        <v>0</v>
      </c>
      <c r="X11" s="51" cm="1">
        <f t="array" ref="X11">IFERROR(INDEX(_xlfn._xlws.FILTER($J$7:$J$1000-$I$7:$I$1000,$L$7:$L$1000=P11),1),"")</f>
        <v>0</v>
      </c>
      <c r="Y11" s="51" t="str" cm="1">
        <f t="array" ref="Y11">IFERROR(INDEX(_xlfn._xlws.FILTER($J$7:$J$1000-$I$7:$I$1000,$L$7:$L$1000=P11),2),"")</f>
        <v/>
      </c>
      <c r="Z11" s="52">
        <f t="shared" si="3"/>
        <v>0</v>
      </c>
      <c r="AA11" s="53" cm="1">
        <f t="array" ref="AA11">1+SUMPRODUCT(($U$11:$U$14&gt;U11)+(($U$11:$U$14=U11)*($Z$11:$Z$14&gt;Z11)))</f>
        <v>1</v>
      </c>
      <c r="AB11" s="197"/>
      <c r="AC11" s="59" t="s">
        <v>6</v>
      </c>
      <c r="AD11" s="200">
        <v>1</v>
      </c>
      <c r="AE11" s="199" t="str" cm="1">
        <f t="array" ref="AE11">IFERROR(_xlfn.TEXTJOIN(" - ",TRUE,_xlfn._xlws.FILTER($P$11:$P$14,$AA$11:$AA$14=1)),"")</f>
        <v>Canadá - Bosnia y Herzegovina - Qatar - Suiza</v>
      </c>
    </row>
    <row r="12" spans="2:31" x14ac:dyDescent="0.25">
      <c r="B12" s="14" t="s">
        <v>78</v>
      </c>
      <c r="C12" s="3" t="s">
        <v>81</v>
      </c>
      <c r="D12" s="6" t="s">
        <v>82</v>
      </c>
      <c r="E12" s="1" t="s">
        <v>83</v>
      </c>
      <c r="F12" s="3" t="str" cm="1">
        <f t="array" ref="F12">_xlfn.XLOOKUP(TRUE,(GRUPOS!$B$40:$B$51=G12)+(GRUPOS!$C$40:$C$51=G12)+(GRUPOS!$D$40:$D$51=G12)+(GRUPOS!$E$40:$E$51=G12)&gt;0,GRUPOS!$A$40:$A$51)</f>
        <v>C</v>
      </c>
      <c r="G12" s="1" t="str">
        <f t="shared" si="0"/>
        <v>Brasil</v>
      </c>
      <c r="H12" s="30" t="s">
        <v>260</v>
      </c>
      <c r="I12" s="3">
        <v>1</v>
      </c>
      <c r="J12" s="3">
        <v>1</v>
      </c>
      <c r="K12" s="30" t="s">
        <v>260</v>
      </c>
      <c r="L12" s="1" t="str">
        <f t="shared" si="1"/>
        <v>Marruecos</v>
      </c>
      <c r="M12" s="15" t="str" cm="1">
        <f t="array" ref="M12">_xlfn.XLOOKUP(TRUE,(GRUPOS!$B$40:$B$51=L12)+(GRUPOS!$C$40:$C$51=L12)+(GRUPOS!$D$40:$D$51=L12)+(GRUPOS!$E$40:$E$51=L12)&gt;0,GRUPOS!$A$40:$A$51)</f>
        <v>C</v>
      </c>
      <c r="O12" s="60" t="s">
        <v>6</v>
      </c>
      <c r="P12" s="1" t="s">
        <v>8</v>
      </c>
      <c r="Q12" s="3" t="str" cm="1">
        <f t="array" ref="Q12">IFERROR(CHOOSE(MATCH(INDEX(_xlfn._xlws.FILTER($H$7:$H$1000,$G$7:$G$1000=P12),1),{"Perdió","Empató","Ganó"},0),0,1,3),"")</f>
        <v/>
      </c>
      <c r="R12" s="3" t="str" cm="1">
        <f t="array" ref="R12">IFERROR(CHOOSE(MATCH(INDEX(_xlfn._xlws.FILTER($H$7:$H$1000,$G$7:$G$1000=P12),2),{"Perdió","Empató","Ganó"},0),0,1,3),"")</f>
        <v/>
      </c>
      <c r="S12" s="3" cm="1">
        <f t="array" ref="S12">IFERROR(CHOOSE(MATCH(INDEX(_xlfn._xlws.FILTER($K$7:$K$1000,$L$7:$L$1000=P12),1),{"Perdió","Empató","Ganó"},0),0,1,3),"")</f>
        <v>1</v>
      </c>
      <c r="T12" s="3" t="str" cm="1">
        <f t="array" ref="T12">IFERROR(CHOOSE(MATCH(INDEX(_xlfn._xlws.FILTER($K$7:$K$1000,$L$7:$L$1000=P12),2),{"Perdió","Empató","Ganó"},0),0,1,3),"")</f>
        <v/>
      </c>
      <c r="U12" s="35">
        <f t="shared" si="2"/>
        <v>1</v>
      </c>
      <c r="V12" s="30" cm="1">
        <f t="array" ref="V12">IFERROR(INDEX(_xlfn._xlws.FILTER($I$7:$I$1000-$J$7:$J$1000,$G$7:$G$1000=P12),1),"")</f>
        <v>0</v>
      </c>
      <c r="W12" s="30" t="str" cm="1">
        <f t="array" ref="W12">IFERROR(INDEX(_xlfn._xlws.FILTER($I$7:$I$1000-$J$7:$J$1000,$G$7:$G$1000=P12),2),"")</f>
        <v/>
      </c>
      <c r="X12" s="30" cm="1">
        <f t="array" ref="X12">IFERROR(INDEX(_xlfn._xlws.FILTER($J$7:$J$1000-$I$7:$I$1000,$L$7:$L$1000=P12),1),"")</f>
        <v>0</v>
      </c>
      <c r="Y12" s="30" cm="1">
        <f t="array" ref="Y12">IFERROR(INDEX(_xlfn._xlws.FILTER($J$7:$J$1000-$I$7:$I$1000,$L$7:$L$1000=P12),2),"")</f>
        <v>0</v>
      </c>
      <c r="Z12" s="37">
        <f t="shared" si="3"/>
        <v>0</v>
      </c>
      <c r="AA12" s="15" cm="1">
        <f t="array" ref="AA12">1+SUMPRODUCT(($U$11:$U$14&gt;U12)+(($U$11:$U$14=U12)*($Z$11:$Z$14&gt;Z12)))</f>
        <v>1</v>
      </c>
      <c r="AB12" s="197"/>
      <c r="AC12" s="60" t="s">
        <v>6</v>
      </c>
      <c r="AD12" s="200">
        <v>2</v>
      </c>
      <c r="AE12" s="199" t="str" cm="1">
        <f t="array" ref="AE12">IFERROR(_xlfn.TEXTJOIN(" - ",TRUE,_xlfn._xlws.FILTER($P$11:$P$14,$AA$11:$AA$14=2)),"")</f>
        <v/>
      </c>
    </row>
    <row r="13" spans="2:31" x14ac:dyDescent="0.25">
      <c r="B13" s="14" t="s">
        <v>78</v>
      </c>
      <c r="C13" s="3" t="s">
        <v>75</v>
      </c>
      <c r="D13" s="6" t="s">
        <v>84</v>
      </c>
      <c r="E13" s="1" t="s">
        <v>85</v>
      </c>
      <c r="F13" s="3" t="str" cm="1">
        <f t="array" ref="F13">_xlfn.XLOOKUP(TRUE,(GRUPOS!$B$40:$B$51=G13)+(GRUPOS!$C$40:$C$51=G13)+(GRUPOS!$D$40:$D$51=G13)+(GRUPOS!$E$40:$E$51=G13)&gt;0,GRUPOS!$A$40:$A$51)</f>
        <v>C</v>
      </c>
      <c r="G13" s="1" t="str">
        <f t="shared" si="0"/>
        <v>Haití</v>
      </c>
      <c r="H13" s="30" t="s">
        <v>258</v>
      </c>
      <c r="I13" s="3">
        <v>0</v>
      </c>
      <c r="J13" s="3">
        <v>1</v>
      </c>
      <c r="K13" s="30" t="s">
        <v>259</v>
      </c>
      <c r="L13" s="1" t="str">
        <f t="shared" si="1"/>
        <v>Escocia</v>
      </c>
      <c r="M13" s="15" t="str" cm="1">
        <f t="array" ref="M13">_xlfn.XLOOKUP(TRUE,(GRUPOS!$B$40:$B$51=L13)+(GRUPOS!$C$40:$C$51=L13)+(GRUPOS!$D$40:$D$51=L13)+(GRUPOS!$E$40:$E$51=L13)&gt;0,GRUPOS!$A$40:$A$51)</f>
        <v>C</v>
      </c>
      <c r="O13" s="60" t="s">
        <v>6</v>
      </c>
      <c r="P13" s="1" t="s">
        <v>9</v>
      </c>
      <c r="Q13" s="3" cm="1">
        <f t="array" ref="Q13">IFERROR(CHOOSE(MATCH(INDEX(_xlfn._xlws.FILTER($H$7:$H$1000,$G$7:$G$1000=P13),1),{"Perdió","Empató","Ganó"},0),0,1,3),"")</f>
        <v>1</v>
      </c>
      <c r="R13" s="3" t="str" cm="1">
        <f t="array" ref="R13">IFERROR(CHOOSE(MATCH(INDEX(_xlfn._xlws.FILTER($H$7:$H$1000,$G$7:$G$1000=P13),2),{"Perdió","Empató","Ganó"},0),0,1,3),"")</f>
        <v/>
      </c>
      <c r="S13" s="3" t="str" cm="1">
        <f t="array" ref="S13">IFERROR(CHOOSE(MATCH(INDEX(_xlfn._xlws.FILTER($K$7:$K$1000,$L$7:$L$1000=P13),1),{"Perdió","Empató","Ganó"},0),0,1,3),"")</f>
        <v/>
      </c>
      <c r="T13" s="3" t="str" cm="1">
        <f t="array" ref="T13">IFERROR(CHOOSE(MATCH(INDEX(_xlfn._xlws.FILTER($K$7:$K$1000,$L$7:$L$1000=P13),2),{"Perdió","Empató","Ganó"},0),0,1,3),"")</f>
        <v/>
      </c>
      <c r="U13" s="35">
        <f t="shared" si="2"/>
        <v>1</v>
      </c>
      <c r="V13" s="30" cm="1">
        <f t="array" ref="V13">IFERROR(INDEX(_xlfn._xlws.FILTER($I$7:$I$1000-$J$7:$J$1000,$G$7:$G$1000=P13),1),"")</f>
        <v>0</v>
      </c>
      <c r="W13" s="30" t="str" cm="1">
        <f t="array" ref="W13">IFERROR(INDEX(_xlfn._xlws.FILTER($I$7:$I$1000-$J$7:$J$1000,$G$7:$G$1000=P13),2),"")</f>
        <v/>
      </c>
      <c r="X13" s="30" cm="1">
        <f t="array" ref="X13">IFERROR(INDEX(_xlfn._xlws.FILTER($J$7:$J$1000-$I$7:$I$1000,$L$7:$L$1000=P13),1),"")</f>
        <v>0</v>
      </c>
      <c r="Y13" s="30" cm="1">
        <f t="array" ref="Y13">IFERROR(INDEX(_xlfn._xlws.FILTER($J$7:$J$1000-$I$7:$I$1000,$L$7:$L$1000=P13),2),"")</f>
        <v>0</v>
      </c>
      <c r="Z13" s="37">
        <f t="shared" si="3"/>
        <v>0</v>
      </c>
      <c r="AA13" s="15" cm="1">
        <f t="array" ref="AA13">1+SUMPRODUCT(($U$11:$U$14&gt;U13)+(($U$11:$U$14=U13)*($Z$11:$Z$14&gt;Z13)))</f>
        <v>1</v>
      </c>
      <c r="AB13" s="197"/>
      <c r="AC13" s="60" t="s">
        <v>6</v>
      </c>
      <c r="AD13" s="200">
        <v>3</v>
      </c>
      <c r="AE13" s="199" t="str" cm="1">
        <f t="array" ref="AE13">IFERROR(_xlfn.TEXTJOIN(" - ",TRUE,_xlfn._xlws.FILTER($P$11:$P$14,$AA$11:$AA$14=3)),"")</f>
        <v/>
      </c>
    </row>
    <row r="14" spans="2:31" ht="15.75" thickBot="1" x14ac:dyDescent="0.3">
      <c r="B14" s="14" t="s">
        <v>78</v>
      </c>
      <c r="C14" s="3" t="s">
        <v>86</v>
      </c>
      <c r="D14" s="6" t="s">
        <v>87</v>
      </c>
      <c r="E14" s="1" t="s">
        <v>88</v>
      </c>
      <c r="F14" s="3" t="str" cm="1">
        <f t="array" ref="F14">_xlfn.XLOOKUP(TRUE,(GRUPOS!$B$40:$B$51=G14)+(GRUPOS!$C$40:$C$51=G14)+(GRUPOS!$D$40:$D$51=G14)+(GRUPOS!$E$40:$E$51=G14)&gt;0,GRUPOS!$A$40:$A$51)</f>
        <v>D</v>
      </c>
      <c r="G14" s="1" t="str">
        <f t="shared" si="0"/>
        <v>Australia</v>
      </c>
      <c r="H14" s="30" t="s">
        <v>259</v>
      </c>
      <c r="I14" s="3">
        <v>2</v>
      </c>
      <c r="J14" s="3">
        <v>0</v>
      </c>
      <c r="K14" s="30" t="s">
        <v>258</v>
      </c>
      <c r="L14" s="1" t="str">
        <f t="shared" si="1"/>
        <v>Turquía</v>
      </c>
      <c r="M14" s="15" t="str" cm="1">
        <f t="array" ref="M14">_xlfn.XLOOKUP(TRUE,(GRUPOS!$B$40:$B$51=L14)+(GRUPOS!$C$40:$C$51=L14)+(GRUPOS!$D$40:$D$51=L14)+(GRUPOS!$E$40:$E$51=L14)&gt;0,GRUPOS!$A$40:$A$51)</f>
        <v>D</v>
      </c>
      <c r="O14" s="61" t="s">
        <v>6</v>
      </c>
      <c r="P14" s="11" t="s">
        <v>10</v>
      </c>
      <c r="Q14" s="13" t="str" cm="1">
        <f t="array" ref="Q14">IFERROR(CHOOSE(MATCH(INDEX(_xlfn._xlws.FILTER($H$7:$H$1000,$G$7:$G$1000=P14),1),{"Perdió","Empató","Ganó"},0),0,1,3),"")</f>
        <v/>
      </c>
      <c r="R14" s="13" t="str" cm="1">
        <f t="array" ref="R14">IFERROR(CHOOSE(MATCH(INDEX(_xlfn._xlws.FILTER($H$7:$H$1000,$G$7:$G$1000=P14),2),{"Perdió","Empató","Ganó"},0),0,1,3),"")</f>
        <v/>
      </c>
      <c r="S14" s="13" cm="1">
        <f t="array" ref="S14">IFERROR(CHOOSE(MATCH(INDEX(_xlfn._xlws.FILTER($K$7:$K$1000,$L$7:$L$1000=P14),1),{"Perdió","Empató","Ganó"},0),0,1,3),"")</f>
        <v>1</v>
      </c>
      <c r="T14" s="13" t="str" cm="1">
        <f t="array" ref="T14">IFERROR(CHOOSE(MATCH(INDEX(_xlfn._xlws.FILTER($K$7:$K$1000,$L$7:$L$1000=P14),2),{"Perdió","Empató","Ganó"},0),0,1,3),"")</f>
        <v/>
      </c>
      <c r="U14" s="56">
        <f t="shared" si="2"/>
        <v>1</v>
      </c>
      <c r="V14" s="57" cm="1">
        <f t="array" ref="V14">IFERROR(INDEX(_xlfn._xlws.FILTER($I$7:$I$1000-$J$7:$J$1000,$G$7:$G$1000=P14),1),"")</f>
        <v>0</v>
      </c>
      <c r="W14" s="57" cm="1">
        <f t="array" ref="W14">IFERROR(INDEX(_xlfn._xlws.FILTER($I$7:$I$1000-$J$7:$J$1000,$G$7:$G$1000=P14),2),"")</f>
        <v>0</v>
      </c>
      <c r="X14" s="57" cm="1">
        <f t="array" ref="X14">IFERROR(INDEX(_xlfn._xlws.FILTER($J$7:$J$1000-$I$7:$I$1000,$L$7:$L$1000=P14),1),"")</f>
        <v>0</v>
      </c>
      <c r="Y14" s="57" t="str" cm="1">
        <f t="array" ref="Y14">IFERROR(INDEX(_xlfn._xlws.FILTER($J$7:$J$1000-$I$7:$I$1000,$L$7:$L$1000=P14),2),"")</f>
        <v/>
      </c>
      <c r="Z14" s="58">
        <f t="shared" si="3"/>
        <v>0</v>
      </c>
      <c r="AA14" s="18" cm="1">
        <f t="array" ref="AA14">1+SUMPRODUCT(($U$11:$U$14&gt;U14)+(($U$11:$U$14=U14)*($Z$11:$Z$14&gt;Z14)))</f>
        <v>1</v>
      </c>
      <c r="AB14" s="197"/>
      <c r="AC14" s="61" t="s">
        <v>6</v>
      </c>
      <c r="AD14" s="200">
        <v>4</v>
      </c>
      <c r="AE14" s="199" t="str" cm="1">
        <f t="array" ref="AE14">IFERROR(_xlfn.TEXTJOIN(" - ",TRUE,_xlfn._xlws.FILTER($P$11:$P$14,$AA$11:$AA$14=4)),"")</f>
        <v/>
      </c>
    </row>
    <row r="15" spans="2:31" x14ac:dyDescent="0.25">
      <c r="B15" s="14" t="s">
        <v>89</v>
      </c>
      <c r="C15" s="3" t="s">
        <v>90</v>
      </c>
      <c r="D15" s="6" t="s">
        <v>91</v>
      </c>
      <c r="E15" s="1" t="s">
        <v>92</v>
      </c>
      <c r="F15" s="3" t="str" cm="1">
        <f t="array" ref="F15">_xlfn.XLOOKUP(TRUE,(GRUPOS!$B$40:$B$51=G15)+(GRUPOS!$C$40:$C$51=G15)+(GRUPOS!$D$40:$D$51=G15)+(GRUPOS!$E$40:$E$51=G15)&gt;0,GRUPOS!$A$40:$A$51)</f>
        <v>E</v>
      </c>
      <c r="G15" s="1" t="str">
        <f t="shared" si="0"/>
        <v>Alemania</v>
      </c>
      <c r="H15" s="30" t="s">
        <v>259</v>
      </c>
      <c r="I15" s="3">
        <v>7</v>
      </c>
      <c r="J15" s="3">
        <v>1</v>
      </c>
      <c r="K15" s="30" t="s">
        <v>258</v>
      </c>
      <c r="L15" s="1" t="str">
        <f t="shared" si="1"/>
        <v>Curazao</v>
      </c>
      <c r="M15" s="15" t="str" cm="1">
        <f t="array" ref="M15">_xlfn.XLOOKUP(TRUE,(GRUPOS!$B$40:$B$51=L15)+(GRUPOS!$C$40:$C$51=L15)+(GRUPOS!$D$40:$D$51=L15)+(GRUPOS!$E$40:$E$51=L15)&gt;0,GRUPOS!$A$40:$A$51)</f>
        <v>E</v>
      </c>
      <c r="O15" s="47" t="s">
        <v>11</v>
      </c>
      <c r="P15" s="48" t="s">
        <v>12</v>
      </c>
      <c r="Q15" s="49" cm="1">
        <f t="array" ref="Q15">IFERROR(CHOOSE(MATCH(INDEX(_xlfn._xlws.FILTER($H$7:$H$1000,$G$7:$G$1000=P15),1),{"Perdió","Empató","Ganó"},0),0,1,3),"")</f>
        <v>1</v>
      </c>
      <c r="R15" s="49" t="str" cm="1">
        <f t="array" ref="R15">IFERROR(CHOOSE(MATCH(INDEX(_xlfn._xlws.FILTER($H$7:$H$1000,$G$7:$G$1000=P15),2),{"Perdió","Empató","Ganó"},0),0,1,3),"")</f>
        <v/>
      </c>
      <c r="S15" s="49" t="str" cm="1">
        <f t="array" ref="S15">IFERROR(CHOOSE(MATCH(INDEX(_xlfn._xlws.FILTER($K$7:$K$1000,$L$7:$L$1000=P15),1),{"Perdió","Empató","Ganó"},0),0,1,3),"")</f>
        <v/>
      </c>
      <c r="T15" s="49" t="str" cm="1">
        <f t="array" ref="T15">IFERROR(CHOOSE(MATCH(INDEX(_xlfn._xlws.FILTER($K$7:$K$1000,$L$7:$L$1000=P15),2),{"Perdió","Empató","Ganó"},0),0,1,3),"")</f>
        <v/>
      </c>
      <c r="U15" s="50">
        <f t="shared" si="2"/>
        <v>1</v>
      </c>
      <c r="V15" s="51" cm="1">
        <f t="array" ref="V15">IFERROR(INDEX(_xlfn._xlws.FILTER($I$7:$I$1000-$J$7:$J$1000,$G$7:$G$1000=P15),1),"")</f>
        <v>0</v>
      </c>
      <c r="W15" s="51" cm="1">
        <f t="array" ref="W15">IFERROR(INDEX(_xlfn._xlws.FILTER($I$7:$I$1000-$J$7:$J$1000,$G$7:$G$1000=P15),2),"")</f>
        <v>0</v>
      </c>
      <c r="X15" s="51" cm="1">
        <f t="array" ref="X15">IFERROR(INDEX(_xlfn._xlws.FILTER($J$7:$J$1000-$I$7:$I$1000,$L$7:$L$1000=P15),1),"")</f>
        <v>0</v>
      </c>
      <c r="Y15" s="51" t="str" cm="1">
        <f t="array" ref="Y15">IFERROR(INDEX(_xlfn._xlws.FILTER($J$7:$J$1000-$I$7:$I$1000,$L$7:$L$1000=P15),2),"")</f>
        <v/>
      </c>
      <c r="Z15" s="52">
        <f t="shared" si="3"/>
        <v>0</v>
      </c>
      <c r="AA15" s="53" cm="1">
        <f t="array" ref="AA15">1+SUMPRODUCT(($U$15:$U$18&gt;U15)+(($U$15:$U$18=U15)*($Z$15:$Z$18&gt;Z15)))</f>
        <v>2</v>
      </c>
      <c r="AB15" s="197"/>
      <c r="AC15" s="47" t="s">
        <v>11</v>
      </c>
      <c r="AD15" s="200">
        <v>1</v>
      </c>
      <c r="AE15" s="199" t="str" cm="1">
        <f t="array" ref="AE15">IFERROR(_xlfn.TEXTJOIN(" - ",TRUE,_xlfn._xlws.FILTER($P$15:$P$18,$AA$15:$AA$18=1)),"")</f>
        <v>Escocia</v>
      </c>
    </row>
    <row r="16" spans="2:31" x14ac:dyDescent="0.25">
      <c r="B16" s="14" t="s">
        <v>89</v>
      </c>
      <c r="C16" s="3" t="s">
        <v>93</v>
      </c>
      <c r="D16" s="6" t="s">
        <v>94</v>
      </c>
      <c r="E16" s="1" t="s">
        <v>95</v>
      </c>
      <c r="F16" s="3" t="str" cm="1">
        <f t="array" ref="F16">_xlfn.XLOOKUP(TRUE,(GRUPOS!$B$40:$B$51=G16)+(GRUPOS!$C$40:$C$51=G16)+(GRUPOS!$D$40:$D$51=G16)+(GRUPOS!$E$40:$E$51=G16)&gt;0,GRUPOS!$A$40:$A$51)</f>
        <v>F</v>
      </c>
      <c r="G16" s="1" t="str">
        <f t="shared" si="0"/>
        <v>Países Bajos</v>
      </c>
      <c r="H16" s="30" t="s">
        <v>260</v>
      </c>
      <c r="I16" s="3">
        <v>2</v>
      </c>
      <c r="J16" s="3">
        <v>2</v>
      </c>
      <c r="K16" s="30" t="s">
        <v>260</v>
      </c>
      <c r="L16" s="1" t="str">
        <f t="shared" si="1"/>
        <v>Japón</v>
      </c>
      <c r="M16" s="15" t="str" cm="1">
        <f t="array" ref="M16">_xlfn.XLOOKUP(TRUE,(GRUPOS!$B$40:$B$51=L16)+(GRUPOS!$C$40:$C$51=L16)+(GRUPOS!$D$40:$D$51=L16)+(GRUPOS!$E$40:$E$51=L16)&gt;0,GRUPOS!$A$40:$A$51)</f>
        <v>F</v>
      </c>
      <c r="O16" s="54" t="s">
        <v>11</v>
      </c>
      <c r="P16" s="1" t="s">
        <v>13</v>
      </c>
      <c r="Q16" s="3" t="str" cm="1">
        <f t="array" ref="Q16">IFERROR(CHOOSE(MATCH(INDEX(_xlfn._xlws.FILTER($H$7:$H$1000,$G$7:$G$1000=P16),1),{"Perdió","Empató","Ganó"},0),0,1,3),"")</f>
        <v/>
      </c>
      <c r="R16" s="3" t="str" cm="1">
        <f t="array" ref="R16">IFERROR(CHOOSE(MATCH(INDEX(_xlfn._xlws.FILTER($H$7:$H$1000,$G$7:$G$1000=P16),2),{"Perdió","Empató","Ganó"},0),0,1,3),"")</f>
        <v/>
      </c>
      <c r="S16" s="3" cm="1">
        <f t="array" ref="S16">IFERROR(CHOOSE(MATCH(INDEX(_xlfn._xlws.FILTER($K$7:$K$1000,$L$7:$L$1000=P16),1),{"Perdió","Empató","Ganó"},0),0,1,3),"")</f>
        <v>1</v>
      </c>
      <c r="T16" s="3" t="str" cm="1">
        <f t="array" ref="T16">IFERROR(CHOOSE(MATCH(INDEX(_xlfn._xlws.FILTER($K$7:$K$1000,$L$7:$L$1000=P16),2),{"Perdió","Empató","Ganó"},0),0,1,3),"")</f>
        <v/>
      </c>
      <c r="U16" s="35">
        <f t="shared" si="2"/>
        <v>1</v>
      </c>
      <c r="V16" s="30" cm="1">
        <f t="array" ref="V16">IFERROR(INDEX(_xlfn._xlws.FILTER($I$7:$I$1000-$J$7:$J$1000,$G$7:$G$1000=P16),1),"")</f>
        <v>0</v>
      </c>
      <c r="W16" s="30" t="str" cm="1">
        <f t="array" ref="W16">IFERROR(INDEX(_xlfn._xlws.FILTER($I$7:$I$1000-$J$7:$J$1000,$G$7:$G$1000=P16),2),"")</f>
        <v/>
      </c>
      <c r="X16" s="30" cm="1">
        <f t="array" ref="X16">IFERROR(INDEX(_xlfn._xlws.FILTER($J$7:$J$1000-$I$7:$I$1000,$L$7:$L$1000=P16),1),"")</f>
        <v>0</v>
      </c>
      <c r="Y16" s="30" cm="1">
        <f t="array" ref="Y16">IFERROR(INDEX(_xlfn._xlws.FILTER($J$7:$J$1000-$I$7:$I$1000,$L$7:$L$1000=P16),2),"")</f>
        <v>0</v>
      </c>
      <c r="Z16" s="37">
        <f t="shared" si="3"/>
        <v>0</v>
      </c>
      <c r="AA16" s="15" cm="1">
        <f t="array" ref="AA16">1+SUMPRODUCT(($U$15:$U$18&gt;U16)+(($U$15:$U$18=U16)*($Z$15:$Z$18&gt;Z16)))</f>
        <v>2</v>
      </c>
      <c r="AB16" s="197"/>
      <c r="AC16" s="54" t="s">
        <v>11</v>
      </c>
      <c r="AD16" s="200">
        <v>2</v>
      </c>
      <c r="AE16" s="199" t="str" cm="1">
        <f t="array" ref="AE16">IFERROR(_xlfn.TEXTJOIN(" - ",TRUE,_xlfn._xlws.FILTER($P$15:$P$18,$AA$15:$AA$18=2)),"")</f>
        <v>Brasil - Marruecos</v>
      </c>
    </row>
    <row r="17" spans="2:31" x14ac:dyDescent="0.25">
      <c r="B17" s="14" t="s">
        <v>89</v>
      </c>
      <c r="C17" s="3" t="s">
        <v>96</v>
      </c>
      <c r="D17" s="6" t="s">
        <v>97</v>
      </c>
      <c r="E17" s="1" t="s">
        <v>98</v>
      </c>
      <c r="F17" s="3" t="str" cm="1">
        <f t="array" ref="F17">_xlfn.XLOOKUP(TRUE,(GRUPOS!$B$40:$B$51=G17)+(GRUPOS!$C$40:$C$51=G17)+(GRUPOS!$D$40:$D$51=G17)+(GRUPOS!$E$40:$E$51=G17)&gt;0,GRUPOS!$A$40:$A$51)</f>
        <v>E</v>
      </c>
      <c r="G17" s="1" t="str">
        <f t="shared" si="0"/>
        <v>Costa de Marfil</v>
      </c>
      <c r="H17" s="30" t="s">
        <v>259</v>
      </c>
      <c r="I17" s="3">
        <v>1</v>
      </c>
      <c r="J17" s="3">
        <v>0</v>
      </c>
      <c r="K17" s="30" t="s">
        <v>258</v>
      </c>
      <c r="L17" s="1" t="str">
        <f t="shared" si="1"/>
        <v>Ecuador</v>
      </c>
      <c r="M17" s="15" t="str" cm="1">
        <f t="array" ref="M17">_xlfn.XLOOKUP(TRUE,(GRUPOS!$B$40:$B$51=L17)+(GRUPOS!$C$40:$C$51=L17)+(GRUPOS!$D$40:$D$51=L17)+(GRUPOS!$E$40:$E$51=L17)&gt;0,GRUPOS!$A$40:$A$51)</f>
        <v>E</v>
      </c>
      <c r="O17" s="54" t="s">
        <v>11</v>
      </c>
      <c r="P17" s="1" t="s">
        <v>14</v>
      </c>
      <c r="Q17" s="3" cm="1">
        <f t="array" ref="Q17">IFERROR(CHOOSE(MATCH(INDEX(_xlfn._xlws.FILTER($H$7:$H$1000,$G$7:$G$1000=P17),1),{"Perdió","Empató","Ganó"},0),0,1,3),"")</f>
        <v>0</v>
      </c>
      <c r="R17" s="3" t="str" cm="1">
        <f t="array" ref="R17">IFERROR(CHOOSE(MATCH(INDEX(_xlfn._xlws.FILTER($H$7:$H$1000,$G$7:$G$1000=P17),2),{"Perdió","Empató","Ganó"},0),0,1,3),"")</f>
        <v/>
      </c>
      <c r="S17" s="3" t="str" cm="1">
        <f t="array" ref="S17">IFERROR(CHOOSE(MATCH(INDEX(_xlfn._xlws.FILTER($K$7:$K$1000,$L$7:$L$1000=P17),1),{"Perdió","Empató","Ganó"},0),0,1,3),"")</f>
        <v/>
      </c>
      <c r="T17" s="3" t="str" cm="1">
        <f t="array" ref="T17">IFERROR(CHOOSE(MATCH(INDEX(_xlfn._xlws.FILTER($K$7:$K$1000,$L$7:$L$1000=P17),2),{"Perdió","Empató","Ganó"},0),0,1,3),"")</f>
        <v/>
      </c>
      <c r="U17" s="35">
        <f t="shared" si="2"/>
        <v>0</v>
      </c>
      <c r="V17" s="30" cm="1">
        <f t="array" ref="V17">IFERROR(INDEX(_xlfn._xlws.FILTER($I$7:$I$1000-$J$7:$J$1000,$G$7:$G$1000=P17),1),"")</f>
        <v>-1</v>
      </c>
      <c r="W17" s="30" t="str" cm="1">
        <f t="array" ref="W17">IFERROR(INDEX(_xlfn._xlws.FILTER($I$7:$I$1000-$J$7:$J$1000,$G$7:$G$1000=P17),2),"")</f>
        <v/>
      </c>
      <c r="X17" s="30" cm="1">
        <f t="array" ref="X17">IFERROR(INDEX(_xlfn._xlws.FILTER($J$7:$J$1000-$I$7:$I$1000,$L$7:$L$1000=P17),1),"")</f>
        <v>0</v>
      </c>
      <c r="Y17" s="30" cm="1">
        <f t="array" ref="Y17">IFERROR(INDEX(_xlfn._xlws.FILTER($J$7:$J$1000-$I$7:$I$1000,$L$7:$L$1000=P17),2),"")</f>
        <v>0</v>
      </c>
      <c r="Z17" s="37">
        <f t="shared" si="3"/>
        <v>-1</v>
      </c>
      <c r="AA17" s="15" cm="1">
        <f t="array" ref="AA17">1+SUMPRODUCT(($U$15:$U$18&gt;U17)+(($U$15:$U$18=U17)*($Z$15:$Z$18&gt;Z17)))</f>
        <v>4</v>
      </c>
      <c r="AB17" s="197"/>
      <c r="AC17" s="54" t="s">
        <v>11</v>
      </c>
      <c r="AD17" s="200">
        <v>3</v>
      </c>
      <c r="AE17" s="199" t="str" cm="1">
        <f t="array" ref="AE17">IFERROR(_xlfn.TEXTJOIN(" - ",TRUE,_xlfn._xlws.FILTER($P$15:$P$18,$AA$15:$AA$18=3)),"")</f>
        <v/>
      </c>
    </row>
    <row r="18" spans="2:31" ht="15.75" thickBot="1" x14ac:dyDescent="0.3">
      <c r="B18" s="14" t="s">
        <v>89</v>
      </c>
      <c r="C18" s="3" t="s">
        <v>69</v>
      </c>
      <c r="D18" s="6" t="s">
        <v>99</v>
      </c>
      <c r="E18" s="1" t="s">
        <v>100</v>
      </c>
      <c r="F18" s="3" t="str" cm="1">
        <f t="array" ref="F18">_xlfn.XLOOKUP(TRUE,(GRUPOS!$B$40:$B$51=G18)+(GRUPOS!$C$40:$C$51=G18)+(GRUPOS!$D$40:$D$51=G18)+(GRUPOS!$E$40:$E$51=G18)&gt;0,GRUPOS!$A$40:$A$51)</f>
        <v>F</v>
      </c>
      <c r="G18" s="1" t="str">
        <f t="shared" si="0"/>
        <v>Suecia</v>
      </c>
      <c r="H18" s="30"/>
      <c r="I18" s="3"/>
      <c r="J18" s="3"/>
      <c r="K18" s="30"/>
      <c r="L18" s="1" t="str">
        <f t="shared" si="1"/>
        <v>Túnez</v>
      </c>
      <c r="M18" s="15" t="str" cm="1">
        <f t="array" ref="M18">_xlfn.XLOOKUP(TRUE,(GRUPOS!$B$40:$B$51=L18)+(GRUPOS!$C$40:$C$51=L18)+(GRUPOS!$D$40:$D$51=L18)+(GRUPOS!$E$40:$E$51=L18)&gt;0,GRUPOS!$A$40:$A$51)</f>
        <v>F</v>
      </c>
      <c r="O18" s="55" t="s">
        <v>11</v>
      </c>
      <c r="P18" s="11" t="s">
        <v>15</v>
      </c>
      <c r="Q18" s="13" t="str" cm="1">
        <f t="array" ref="Q18">IFERROR(CHOOSE(MATCH(INDEX(_xlfn._xlws.FILTER($H$7:$H$1000,$G$7:$G$1000=P18),1),{"Perdió","Empató","Ganó"},0),0,1,3),"")</f>
        <v/>
      </c>
      <c r="R18" s="13" t="str" cm="1">
        <f t="array" ref="R18">IFERROR(CHOOSE(MATCH(INDEX(_xlfn._xlws.FILTER($H$7:$H$1000,$G$7:$G$1000=P18),2),{"Perdió","Empató","Ganó"},0),0,1,3),"")</f>
        <v/>
      </c>
      <c r="S18" s="13" cm="1">
        <f t="array" ref="S18">IFERROR(CHOOSE(MATCH(INDEX(_xlfn._xlws.FILTER($K$7:$K$1000,$L$7:$L$1000=P18),1),{"Perdió","Empató","Ganó"},0),0,1,3),"")</f>
        <v>3</v>
      </c>
      <c r="T18" s="13" t="str" cm="1">
        <f t="array" ref="T18">IFERROR(CHOOSE(MATCH(INDEX(_xlfn._xlws.FILTER($K$7:$K$1000,$L$7:$L$1000=P18),2),{"Perdió","Empató","Ganó"},0),0,1,3),"")</f>
        <v/>
      </c>
      <c r="U18" s="56">
        <f t="shared" si="2"/>
        <v>3</v>
      </c>
      <c r="V18" s="57" cm="1">
        <f t="array" ref="V18">IFERROR(INDEX(_xlfn._xlws.FILTER($I$7:$I$1000-$J$7:$J$1000,$G$7:$G$1000=P18),1),"")</f>
        <v>0</v>
      </c>
      <c r="W18" s="57" cm="1">
        <f t="array" ref="W18">IFERROR(INDEX(_xlfn._xlws.FILTER($I$7:$I$1000-$J$7:$J$1000,$G$7:$G$1000=P18),2),"")</f>
        <v>0</v>
      </c>
      <c r="X18" s="57" cm="1">
        <f t="array" ref="X18">IFERROR(INDEX(_xlfn._xlws.FILTER($J$7:$J$1000-$I$7:$I$1000,$L$7:$L$1000=P18),1),"")</f>
        <v>1</v>
      </c>
      <c r="Y18" s="57" t="str" cm="1">
        <f t="array" ref="Y18">IFERROR(INDEX(_xlfn._xlws.FILTER($J$7:$J$1000-$I$7:$I$1000,$L$7:$L$1000=P18),2),"")</f>
        <v/>
      </c>
      <c r="Z18" s="58">
        <f t="shared" si="3"/>
        <v>1</v>
      </c>
      <c r="AA18" s="18" cm="1">
        <f t="array" ref="AA18">1+SUMPRODUCT(($U$15:$U$18&gt;U18)+(($U$15:$U$18=U18)*($Z$15:$Z$18&gt;Z18)))</f>
        <v>1</v>
      </c>
      <c r="AB18" s="197"/>
      <c r="AC18" s="55" t="s">
        <v>11</v>
      </c>
      <c r="AD18" s="200">
        <v>4</v>
      </c>
      <c r="AE18" s="199" t="str" cm="1">
        <f t="array" ref="AE18">IFERROR(_xlfn.TEXTJOIN(" - ",TRUE,_xlfn._xlws.FILTER($P$15:$P$18,$AA$15:$AA$18=4)),"")</f>
        <v>Haití</v>
      </c>
    </row>
    <row r="19" spans="2:31" x14ac:dyDescent="0.25">
      <c r="B19" s="14" t="s">
        <v>101</v>
      </c>
      <c r="C19" s="3" t="s">
        <v>102</v>
      </c>
      <c r="D19" s="6" t="s">
        <v>103</v>
      </c>
      <c r="E19" s="1" t="s">
        <v>104</v>
      </c>
      <c r="F19" s="3" t="str" cm="1">
        <f t="array" ref="F19">_xlfn.XLOOKUP(TRUE,(GRUPOS!$B$40:$B$51=G19)+(GRUPOS!$C$40:$C$51=G19)+(GRUPOS!$D$40:$D$51=G19)+(GRUPOS!$E$40:$E$51=G19)&gt;0,GRUPOS!$A$40:$A$51)</f>
        <v>H</v>
      </c>
      <c r="G19" s="1" t="str">
        <f t="shared" si="0"/>
        <v>España</v>
      </c>
      <c r="H19" s="30"/>
      <c r="I19" s="3"/>
      <c r="J19" s="3"/>
      <c r="K19" s="30"/>
      <c r="L19" s="1" t="str">
        <f t="shared" si="1"/>
        <v>Cabo Verde</v>
      </c>
      <c r="M19" s="15" t="str" cm="1">
        <f t="array" ref="M19">_xlfn.XLOOKUP(TRUE,(GRUPOS!$B$40:$B$51=L19)+(GRUPOS!$C$40:$C$51=L19)+(GRUPOS!$D$40:$D$51=L19)+(GRUPOS!$E$40:$E$51=L19)&gt;0,GRUPOS!$A$40:$A$51)</f>
        <v>H</v>
      </c>
      <c r="O19" s="59" t="s">
        <v>16</v>
      </c>
      <c r="P19" s="48" t="s">
        <v>17</v>
      </c>
      <c r="Q19" s="49" cm="1">
        <f t="array" ref="Q19">IFERROR(CHOOSE(MATCH(INDEX(_xlfn._xlws.FILTER($H$7:$H$1000,$G$7:$G$1000=P19),1),{"Perdió","Empató","Ganó"},0),0,1,3),"")</f>
        <v>3</v>
      </c>
      <c r="R19" s="49" t="str" cm="1">
        <f t="array" ref="R19">IFERROR(CHOOSE(MATCH(INDEX(_xlfn._xlws.FILTER($H$7:$H$1000,$G$7:$G$1000=P19),2),{"Perdió","Empató","Ganó"},0),0,1,3),"")</f>
        <v/>
      </c>
      <c r="S19" s="49" t="str" cm="1">
        <f t="array" ref="S19">IFERROR(CHOOSE(MATCH(INDEX(_xlfn._xlws.FILTER($K$7:$K$1000,$L$7:$L$1000=P19),1),{"Perdió","Empató","Ganó"},0),0,1,3),"")</f>
        <v/>
      </c>
      <c r="T19" s="49" t="str" cm="1">
        <f t="array" ref="T19">IFERROR(CHOOSE(MATCH(INDEX(_xlfn._xlws.FILTER($K$7:$K$1000,$L$7:$L$1000=P19),2),{"Perdió","Empató","Ganó"},0),0,1,3),"")</f>
        <v/>
      </c>
      <c r="U19" s="50">
        <f t="shared" si="2"/>
        <v>3</v>
      </c>
      <c r="V19" s="51" cm="1">
        <f t="array" ref="V19">IFERROR(INDEX(_xlfn._xlws.FILTER($I$7:$I$1000-$J$7:$J$1000,$G$7:$G$1000=P19),1),"")</f>
        <v>3</v>
      </c>
      <c r="W19" s="51" cm="1">
        <f t="array" ref="W19">IFERROR(INDEX(_xlfn._xlws.FILTER($I$7:$I$1000-$J$7:$J$1000,$G$7:$G$1000=P19),2),"")</f>
        <v>0</v>
      </c>
      <c r="X19" s="51" cm="1">
        <f t="array" ref="X19">IFERROR(INDEX(_xlfn._xlws.FILTER($J$7:$J$1000-$I$7:$I$1000,$L$7:$L$1000=P19),1),"")</f>
        <v>0</v>
      </c>
      <c r="Y19" s="51" t="str" cm="1">
        <f t="array" ref="Y19">IFERROR(INDEX(_xlfn._xlws.FILTER($J$7:$J$1000-$I$7:$I$1000,$L$7:$L$1000=P19),2),"")</f>
        <v/>
      </c>
      <c r="Z19" s="52">
        <f t="shared" si="3"/>
        <v>3</v>
      </c>
      <c r="AA19" s="53" cm="1">
        <f t="array" ref="AA19">1+SUMPRODUCT(($U$19:$U$22&gt;U19)+(($U$19:$U$22=U19)*($Z$19:$Z$22&gt;Z19)))</f>
        <v>1</v>
      </c>
      <c r="AB19" s="197"/>
      <c r="AC19" s="59" t="s">
        <v>16</v>
      </c>
      <c r="AD19" s="200">
        <v>1</v>
      </c>
      <c r="AE19" s="199" t="str" cm="1">
        <f t="array" ref="AE19">IFERROR(_xlfn.TEXTJOIN(" - ",TRUE,_xlfn._xlws.FILTER($P$19:$P$22,$AA$19:$AA$22=1)),"")</f>
        <v>Estados Unidos</v>
      </c>
    </row>
    <row r="20" spans="2:31" x14ac:dyDescent="0.25">
      <c r="B20" s="14" t="s">
        <v>101</v>
      </c>
      <c r="C20" s="3" t="s">
        <v>66</v>
      </c>
      <c r="D20" s="6" t="s">
        <v>105</v>
      </c>
      <c r="E20" s="1" t="s">
        <v>106</v>
      </c>
      <c r="F20" s="3" t="str" cm="1">
        <f t="array" ref="F20">_xlfn.XLOOKUP(TRUE,(GRUPOS!$B$40:$B$51=G20)+(GRUPOS!$C$40:$C$51=G20)+(GRUPOS!$D$40:$D$51=G20)+(GRUPOS!$E$40:$E$51=G20)&gt;0,GRUPOS!$A$40:$A$51)</f>
        <v>G</v>
      </c>
      <c r="G20" s="1" t="str">
        <f t="shared" si="0"/>
        <v>Bélgica</v>
      </c>
      <c r="H20" s="30"/>
      <c r="I20" s="3"/>
      <c r="J20" s="3"/>
      <c r="K20" s="30"/>
      <c r="L20" s="1" t="str">
        <f t="shared" si="1"/>
        <v>Egipto</v>
      </c>
      <c r="M20" s="15" t="str" cm="1">
        <f t="array" ref="M20">_xlfn.XLOOKUP(TRUE,(GRUPOS!$B$40:$B$51=L20)+(GRUPOS!$C$40:$C$51=L20)+(GRUPOS!$D$40:$D$51=L20)+(GRUPOS!$E$40:$E$51=L20)&gt;0,GRUPOS!$A$40:$A$51)</f>
        <v>G</v>
      </c>
      <c r="O20" s="60" t="s">
        <v>16</v>
      </c>
      <c r="P20" s="1" t="s">
        <v>18</v>
      </c>
      <c r="Q20" s="3" t="str" cm="1">
        <f t="array" ref="Q20">IFERROR(CHOOSE(MATCH(INDEX(_xlfn._xlws.FILTER($H$7:$H$1000,$G$7:$G$1000=P20),1),{"Perdió","Empató","Ganó"},0),0,1,3),"")</f>
        <v/>
      </c>
      <c r="R20" s="3" t="str" cm="1">
        <f t="array" ref="R20">IFERROR(CHOOSE(MATCH(INDEX(_xlfn._xlws.FILTER($H$7:$H$1000,$G$7:$G$1000=P20),2),{"Perdió","Empató","Ganó"},0),0,1,3),"")</f>
        <v/>
      </c>
      <c r="S20" s="3" cm="1">
        <f t="array" ref="S20">IFERROR(CHOOSE(MATCH(INDEX(_xlfn._xlws.FILTER($K$7:$K$1000,$L$7:$L$1000=P20),1),{"Perdió","Empató","Ganó"},0),0,1,3),"")</f>
        <v>0</v>
      </c>
      <c r="T20" s="3" t="str" cm="1">
        <f t="array" ref="T20">IFERROR(CHOOSE(MATCH(INDEX(_xlfn._xlws.FILTER($K$7:$K$1000,$L$7:$L$1000=P20),2),{"Perdió","Empató","Ganó"},0),0,1,3),"")</f>
        <v/>
      </c>
      <c r="U20" s="35">
        <f t="shared" si="2"/>
        <v>0</v>
      </c>
      <c r="V20" s="30" cm="1">
        <f t="array" ref="V20">IFERROR(INDEX(_xlfn._xlws.FILTER($I$7:$I$1000-$J$7:$J$1000,$G$7:$G$1000=P20),1),"")</f>
        <v>0</v>
      </c>
      <c r="W20" s="30" t="str" cm="1">
        <f t="array" ref="W20">IFERROR(INDEX(_xlfn._xlws.FILTER($I$7:$I$1000-$J$7:$J$1000,$G$7:$G$1000=P20),2),"")</f>
        <v/>
      </c>
      <c r="X20" s="30" cm="1">
        <f t="array" ref="X20">IFERROR(INDEX(_xlfn._xlws.FILTER($J$7:$J$1000-$I$7:$I$1000,$L$7:$L$1000=P20),1),"")</f>
        <v>-3</v>
      </c>
      <c r="Y20" s="30" cm="1">
        <f t="array" ref="Y20">IFERROR(INDEX(_xlfn._xlws.FILTER($J$7:$J$1000-$I$7:$I$1000,$L$7:$L$1000=P20),2),"")</f>
        <v>0</v>
      </c>
      <c r="Z20" s="37">
        <f t="shared" si="3"/>
        <v>-3</v>
      </c>
      <c r="AA20" s="15" cm="1">
        <f t="array" ref="AA20">1+SUMPRODUCT(($U$19:$U$22&gt;U20)+(($U$19:$U$22=U20)*($Z$19:$Z$22&gt;Z20)))</f>
        <v>4</v>
      </c>
      <c r="AB20" s="197"/>
      <c r="AC20" s="60" t="s">
        <v>16</v>
      </c>
      <c r="AD20" s="14">
        <v>2</v>
      </c>
      <c r="AE20" s="199" t="str" cm="1">
        <f t="array" ref="AE20">IFERROR(_xlfn.TEXTJOIN(" - ",TRUE,_xlfn._xlws.FILTER($P$19:$P$22,$AA$19:$AA$22=2)),"")</f>
        <v>Australia</v>
      </c>
    </row>
    <row r="21" spans="2:31" x14ac:dyDescent="0.25">
      <c r="B21" s="14" t="s">
        <v>101</v>
      </c>
      <c r="C21" s="3" t="s">
        <v>81</v>
      </c>
      <c r="D21" s="6" t="s">
        <v>249</v>
      </c>
      <c r="E21" s="1" t="s">
        <v>107</v>
      </c>
      <c r="F21" s="3" t="str" cm="1">
        <f t="array" ref="F21">_xlfn.XLOOKUP(TRUE,(GRUPOS!$B$40:$B$51=G21)+(GRUPOS!$C$40:$C$51=G21)+(GRUPOS!$D$40:$D$51=G21)+(GRUPOS!$E$40:$E$51=G21)&gt;0,GRUPOS!$A$40:$A$51)</f>
        <v>H</v>
      </c>
      <c r="G21" s="1" t="str">
        <f t="shared" si="0"/>
        <v>Arabia Saudita</v>
      </c>
      <c r="H21" s="30"/>
      <c r="I21" s="3"/>
      <c r="J21" s="3"/>
      <c r="K21" s="30"/>
      <c r="L21" s="1" t="str">
        <f t="shared" si="1"/>
        <v>Uruguay</v>
      </c>
      <c r="M21" s="15" t="str" cm="1">
        <f t="array" ref="M21">_xlfn.XLOOKUP(TRUE,(GRUPOS!$B$40:$B$51=L21)+(GRUPOS!$C$40:$C$51=L21)+(GRUPOS!$D$40:$D$51=L21)+(GRUPOS!$E$40:$E$51=L21)&gt;0,GRUPOS!$A$40:$A$51)</f>
        <v>H</v>
      </c>
      <c r="O21" s="60" t="s">
        <v>16</v>
      </c>
      <c r="P21" s="1" t="s">
        <v>19</v>
      </c>
      <c r="Q21" s="3" cm="1">
        <f t="array" ref="Q21">IFERROR(CHOOSE(MATCH(INDEX(_xlfn._xlws.FILTER($H$7:$H$1000,$G$7:$G$1000=P21),1),{"Perdió","Empató","Ganó"},0),0,1,3),"")</f>
        <v>3</v>
      </c>
      <c r="R21" s="3" t="str" cm="1">
        <f t="array" ref="R21">IFERROR(CHOOSE(MATCH(INDEX(_xlfn._xlws.FILTER($H$7:$H$1000,$G$7:$G$1000=P21),2),{"Perdió","Empató","Ganó"},0),0,1,3),"")</f>
        <v/>
      </c>
      <c r="S21" s="3" t="str" cm="1">
        <f t="array" ref="S21">IFERROR(CHOOSE(MATCH(INDEX(_xlfn._xlws.FILTER($K$7:$K$1000,$L$7:$L$1000=P21),1),{"Perdió","Empató","Ganó"},0),0,1,3),"")</f>
        <v/>
      </c>
      <c r="T21" s="3" t="str" cm="1">
        <f t="array" ref="T21">IFERROR(CHOOSE(MATCH(INDEX(_xlfn._xlws.FILTER($K$7:$K$1000,$L$7:$L$1000=P21),2),{"Perdió","Empató","Ganó"},0),0,1,3),"")</f>
        <v/>
      </c>
      <c r="U21" s="35">
        <f t="shared" si="2"/>
        <v>3</v>
      </c>
      <c r="V21" s="30" cm="1">
        <f t="array" ref="V21">IFERROR(INDEX(_xlfn._xlws.FILTER($I$7:$I$1000-$J$7:$J$1000,$G$7:$G$1000=P21),1),"")</f>
        <v>2</v>
      </c>
      <c r="W21" s="30" t="str" cm="1">
        <f t="array" ref="W21">IFERROR(INDEX(_xlfn._xlws.FILTER($I$7:$I$1000-$J$7:$J$1000,$G$7:$G$1000=P21),2),"")</f>
        <v/>
      </c>
      <c r="X21" s="30" cm="1">
        <f t="array" ref="X21">IFERROR(INDEX(_xlfn._xlws.FILTER($J$7:$J$1000-$I$7:$I$1000,$L$7:$L$1000=P21),1),"")</f>
        <v>0</v>
      </c>
      <c r="Y21" s="30" cm="1">
        <f t="array" ref="Y21">IFERROR(INDEX(_xlfn._xlws.FILTER($J$7:$J$1000-$I$7:$I$1000,$L$7:$L$1000=P21),2),"")</f>
        <v>0</v>
      </c>
      <c r="Z21" s="37">
        <f t="shared" si="3"/>
        <v>2</v>
      </c>
      <c r="AA21" s="15" cm="1">
        <f t="array" ref="AA21">1+SUMPRODUCT(($U$19:$U$22&gt;U21)+(($U$19:$U$22=U21)*($Z$19:$Z$22&gt;Z21)))</f>
        <v>2</v>
      </c>
      <c r="AB21" s="197"/>
      <c r="AC21" s="60" t="s">
        <v>16</v>
      </c>
      <c r="AD21" s="14">
        <v>3</v>
      </c>
      <c r="AE21" s="199" t="str" cm="1">
        <f t="array" ref="AE21">IFERROR(_xlfn.TEXTJOIN(" - ",TRUE,_xlfn._xlws.FILTER($P$19:$P$22,$AA$19:$AA$22=3)),"")</f>
        <v>Turquía</v>
      </c>
    </row>
    <row r="22" spans="2:31" ht="15.75" thickBot="1" x14ac:dyDescent="0.3">
      <c r="B22" s="14" t="s">
        <v>101</v>
      </c>
      <c r="C22" s="3" t="s">
        <v>75</v>
      </c>
      <c r="D22" s="6" t="s">
        <v>108</v>
      </c>
      <c r="E22" s="1" t="s">
        <v>77</v>
      </c>
      <c r="F22" s="3" t="str" cm="1">
        <f t="array" ref="F22">_xlfn.XLOOKUP(TRUE,(GRUPOS!$B$40:$B$51=G22)+(GRUPOS!$C$40:$C$51=G22)+(GRUPOS!$D$40:$D$51=G22)+(GRUPOS!$E$40:$E$51=G22)&gt;0,GRUPOS!$A$40:$A$51)</f>
        <v>G</v>
      </c>
      <c r="G22" s="1" t="str">
        <f t="shared" si="0"/>
        <v>Irán</v>
      </c>
      <c r="H22" s="30"/>
      <c r="I22" s="3"/>
      <c r="J22" s="3"/>
      <c r="K22" s="30"/>
      <c r="L22" s="1" t="str">
        <f t="shared" si="1"/>
        <v>Nueva Zelanda</v>
      </c>
      <c r="M22" s="15" t="str" cm="1">
        <f t="array" ref="M22">_xlfn.XLOOKUP(TRUE,(GRUPOS!$B$40:$B$51=L22)+(GRUPOS!$C$40:$C$51=L22)+(GRUPOS!$D$40:$D$51=L22)+(GRUPOS!$E$40:$E$51=L22)&gt;0,GRUPOS!$A$40:$A$51)</f>
        <v>G</v>
      </c>
      <c r="O22" s="61" t="s">
        <v>16</v>
      </c>
      <c r="P22" s="11" t="s">
        <v>20</v>
      </c>
      <c r="Q22" s="13" t="str" cm="1">
        <f t="array" ref="Q22">IFERROR(CHOOSE(MATCH(INDEX(_xlfn._xlws.FILTER($H$7:$H$1000,$G$7:$G$1000=P22),1),{"Perdió","Empató","Ganó"},0),0,1,3),"")</f>
        <v/>
      </c>
      <c r="R22" s="13" t="str" cm="1">
        <f t="array" ref="R22">IFERROR(CHOOSE(MATCH(INDEX(_xlfn._xlws.FILTER($H$7:$H$1000,$G$7:$G$1000=P22),2),{"Perdió","Empató","Ganó"},0),0,1,3),"")</f>
        <v/>
      </c>
      <c r="S22" s="13" cm="1">
        <f t="array" ref="S22">IFERROR(CHOOSE(MATCH(INDEX(_xlfn._xlws.FILTER($K$7:$K$1000,$L$7:$L$1000=P22),1),{"Perdió","Empató","Ganó"},0),0,1,3),"")</f>
        <v>0</v>
      </c>
      <c r="T22" s="13" t="str" cm="1">
        <f t="array" ref="T22">IFERROR(CHOOSE(MATCH(INDEX(_xlfn._xlws.FILTER($K$7:$K$1000,$L$7:$L$1000=P22),2),{"Perdió","Empató","Ganó"},0),0,1,3),"")</f>
        <v/>
      </c>
      <c r="U22" s="56">
        <f t="shared" si="2"/>
        <v>0</v>
      </c>
      <c r="V22" s="57" cm="1">
        <f t="array" ref="V22">IFERROR(INDEX(_xlfn._xlws.FILTER($I$7:$I$1000-$J$7:$J$1000,$G$7:$G$1000=P22),1),"")</f>
        <v>0</v>
      </c>
      <c r="W22" s="57" cm="1">
        <f t="array" ref="W22">IFERROR(INDEX(_xlfn._xlws.FILTER($I$7:$I$1000-$J$7:$J$1000,$G$7:$G$1000=P22),2),"")</f>
        <v>0</v>
      </c>
      <c r="X22" s="57" cm="1">
        <f t="array" ref="X22">IFERROR(INDEX(_xlfn._xlws.FILTER($J$7:$J$1000-$I$7:$I$1000,$L$7:$L$1000=P22),1),"")</f>
        <v>-2</v>
      </c>
      <c r="Y22" s="57" t="str" cm="1">
        <f t="array" ref="Y22">IFERROR(INDEX(_xlfn._xlws.FILTER($J$7:$J$1000-$I$7:$I$1000,$L$7:$L$1000=P22),2),"")</f>
        <v/>
      </c>
      <c r="Z22" s="58">
        <f t="shared" si="3"/>
        <v>-2</v>
      </c>
      <c r="AA22" s="18" cm="1">
        <f t="array" ref="AA22">1+SUMPRODUCT(($U$19:$U$22&gt;U22)+(($U$19:$U$22=U22)*($Z$19:$Z$22&gt;Z22)))</f>
        <v>3</v>
      </c>
      <c r="AB22" s="197"/>
      <c r="AC22" s="61" t="s">
        <v>16</v>
      </c>
      <c r="AD22" s="14">
        <v>4</v>
      </c>
      <c r="AE22" s="199" t="str" cm="1">
        <f t="array" ref="AE22">IFERROR(_xlfn.TEXTJOIN(" - ",TRUE,_xlfn._xlws.FILTER($P$19:$P$22,$AA$19:$AA$22=4)),"")</f>
        <v>Paraguay</v>
      </c>
    </row>
    <row r="23" spans="2:31" x14ac:dyDescent="0.25">
      <c r="B23" s="14" t="s">
        <v>109</v>
      </c>
      <c r="C23" s="3" t="s">
        <v>66</v>
      </c>
      <c r="D23" s="6" t="s">
        <v>110</v>
      </c>
      <c r="E23" s="1" t="s">
        <v>83</v>
      </c>
      <c r="F23" s="3" t="str" cm="1">
        <f t="array" ref="F23">_xlfn.XLOOKUP(TRUE,(GRUPOS!$B$40:$B$51=G23)+(GRUPOS!$C$40:$C$51=G23)+(GRUPOS!$D$40:$D$51=G23)+(GRUPOS!$E$40:$E$51=G23)&gt;0,GRUPOS!$A$40:$A$51)</f>
        <v>I</v>
      </c>
      <c r="G23" s="1" t="str">
        <f t="shared" si="0"/>
        <v>Francia</v>
      </c>
      <c r="H23" s="30"/>
      <c r="I23" s="3"/>
      <c r="J23" s="3"/>
      <c r="K23" s="30"/>
      <c r="L23" s="1" t="str">
        <f t="shared" si="1"/>
        <v>Senegal</v>
      </c>
      <c r="M23" s="15" t="str" cm="1">
        <f t="array" ref="M23">_xlfn.XLOOKUP(TRUE,(GRUPOS!$B$40:$B$51=L23)+(GRUPOS!$C$40:$C$51=L23)+(GRUPOS!$D$40:$D$51=L23)+(GRUPOS!$E$40:$E$51=L23)&gt;0,GRUPOS!$A$40:$A$51)</f>
        <v>I</v>
      </c>
      <c r="O23" s="47" t="s">
        <v>21</v>
      </c>
      <c r="P23" s="48" t="s">
        <v>22</v>
      </c>
      <c r="Q23" s="49" cm="1">
        <f t="array" ref="Q23">IFERROR(CHOOSE(MATCH(INDEX(_xlfn._xlws.FILTER($H$7:$H$1000,$G$7:$G$1000=P23),1),{"Perdió","Empató","Ganó"},0),0,1,3),"")</f>
        <v>3</v>
      </c>
      <c r="R23" s="49" t="str" cm="1">
        <f t="array" ref="R23">IFERROR(CHOOSE(MATCH(INDEX(_xlfn._xlws.FILTER($H$7:$H$1000,$G$7:$G$1000=P23),2),{"Perdió","Empató","Ganó"},0),0,1,3),"")</f>
        <v/>
      </c>
      <c r="S23" s="49" t="str" cm="1">
        <f t="array" ref="S23">IFERROR(CHOOSE(MATCH(INDEX(_xlfn._xlws.FILTER($K$7:$K$1000,$L$7:$L$1000=P23),1),{"Perdió","Empató","Ganó"},0),0,1,3),"")</f>
        <v/>
      </c>
      <c r="T23" s="49" t="str" cm="1">
        <f t="array" ref="T23">IFERROR(CHOOSE(MATCH(INDEX(_xlfn._xlws.FILTER($K$7:$K$1000,$L$7:$L$1000=P23),2),{"Perdió","Empató","Ganó"},0),0,1,3),"")</f>
        <v/>
      </c>
      <c r="U23" s="50">
        <f t="shared" si="2"/>
        <v>3</v>
      </c>
      <c r="V23" s="51" cm="1">
        <f t="array" ref="V23">IFERROR(INDEX(_xlfn._xlws.FILTER($I$7:$I$1000-$J$7:$J$1000,$G$7:$G$1000=P23),1),"")</f>
        <v>6</v>
      </c>
      <c r="W23" s="51" cm="1">
        <f t="array" ref="W23">IFERROR(INDEX(_xlfn._xlws.FILTER($I$7:$I$1000-$J$7:$J$1000,$G$7:$G$1000=P23),2),"")</f>
        <v>0</v>
      </c>
      <c r="X23" s="51" cm="1">
        <f t="array" ref="X23">IFERROR(INDEX(_xlfn._xlws.FILTER($J$7:$J$1000-$I$7:$I$1000,$L$7:$L$1000=P23),1),"")</f>
        <v>0</v>
      </c>
      <c r="Y23" s="51" t="str" cm="1">
        <f t="array" ref="Y23">IFERROR(INDEX(_xlfn._xlws.FILTER($J$7:$J$1000-$I$7:$I$1000,$L$7:$L$1000=P23),2),"")</f>
        <v/>
      </c>
      <c r="Z23" s="52">
        <f t="shared" si="3"/>
        <v>6</v>
      </c>
      <c r="AA23" s="53" cm="1">
        <f t="array" ref="AA23">1+SUMPRODUCT(($U$23:$U$26&gt;U23)+(($U$23:$U$26=U23)*($Z$23:$Z$26&gt;Z23)))</f>
        <v>1</v>
      </c>
      <c r="AB23" s="197"/>
      <c r="AC23" s="47" t="s">
        <v>21</v>
      </c>
      <c r="AD23" s="14">
        <v>1</v>
      </c>
      <c r="AE23" s="199" t="str" cm="1">
        <f t="array" ref="AE23">IFERROR(_xlfn.TEXTJOIN(" - ",TRUE,_xlfn._xlws.FILTER($P$19:$P$22,$AA$19:$AA$22=1)),"")</f>
        <v>Estados Unidos</v>
      </c>
    </row>
    <row r="24" spans="2:31" x14ac:dyDescent="0.25">
      <c r="B24" s="14" t="s">
        <v>109</v>
      </c>
      <c r="C24" s="3" t="s">
        <v>81</v>
      </c>
      <c r="D24" s="6" t="s">
        <v>111</v>
      </c>
      <c r="E24" s="1" t="s">
        <v>85</v>
      </c>
      <c r="F24" s="3" t="str" cm="1">
        <f t="array" ref="F24">_xlfn.XLOOKUP(TRUE,(GRUPOS!$B$40:$B$51=G24)+(GRUPOS!$C$40:$C$51=G24)+(GRUPOS!$D$40:$D$51=G24)+(GRUPOS!$E$40:$E$51=G24)&gt;0,GRUPOS!$A$40:$A$51)</f>
        <v>I</v>
      </c>
      <c r="G24" s="1" t="str">
        <f t="shared" si="0"/>
        <v>Irak</v>
      </c>
      <c r="H24" s="30"/>
      <c r="I24" s="3"/>
      <c r="J24" s="3"/>
      <c r="K24" s="30"/>
      <c r="L24" s="1" t="str">
        <f t="shared" si="1"/>
        <v>Noruega</v>
      </c>
      <c r="M24" s="15" t="str" cm="1">
        <f t="array" ref="M24">_xlfn.XLOOKUP(TRUE,(GRUPOS!$B$40:$B$51=L24)+(GRUPOS!$C$40:$C$51=L24)+(GRUPOS!$D$40:$D$51=L24)+(GRUPOS!$E$40:$E$51=L24)&gt;0,GRUPOS!$A$40:$A$51)</f>
        <v>I</v>
      </c>
      <c r="O24" s="54" t="s">
        <v>21</v>
      </c>
      <c r="P24" s="1" t="s">
        <v>23</v>
      </c>
      <c r="Q24" s="3" t="str" cm="1">
        <f t="array" ref="Q24">IFERROR(CHOOSE(MATCH(INDEX(_xlfn._xlws.FILTER($H$7:$H$1000,$G$7:$G$1000=P24),1),{"Perdió","Empató","Ganó"},0),0,1,3),"")</f>
        <v/>
      </c>
      <c r="R24" s="3" t="str" cm="1">
        <f t="array" ref="R24">IFERROR(CHOOSE(MATCH(INDEX(_xlfn._xlws.FILTER($H$7:$H$1000,$G$7:$G$1000=P24),2),{"Perdió","Empató","Ganó"},0),0,1,3),"")</f>
        <v/>
      </c>
      <c r="S24" s="3" cm="1">
        <f t="array" ref="S24">IFERROR(CHOOSE(MATCH(INDEX(_xlfn._xlws.FILTER($K$7:$K$1000,$L$7:$L$1000=P24),1),{"Perdió","Empató","Ganó"},0),0,1,3),"")</f>
        <v>0</v>
      </c>
      <c r="T24" s="3" t="str" cm="1">
        <f t="array" ref="T24">IFERROR(CHOOSE(MATCH(INDEX(_xlfn._xlws.FILTER($K$7:$K$1000,$L$7:$L$1000=P24),2),{"Perdió","Empató","Ganó"},0),0,1,3),"")</f>
        <v/>
      </c>
      <c r="U24" s="35">
        <f t="shared" si="2"/>
        <v>0</v>
      </c>
      <c r="V24" s="30" cm="1">
        <f t="array" ref="V24">IFERROR(INDEX(_xlfn._xlws.FILTER($I$7:$I$1000-$J$7:$J$1000,$G$7:$G$1000=P24),1),"")</f>
        <v>0</v>
      </c>
      <c r="W24" s="30" t="str" cm="1">
        <f t="array" ref="W24">IFERROR(INDEX(_xlfn._xlws.FILTER($I$7:$I$1000-$J$7:$J$1000,$G$7:$G$1000=P24),2),"")</f>
        <v/>
      </c>
      <c r="X24" s="30" cm="1">
        <f t="array" ref="X24">IFERROR(INDEX(_xlfn._xlws.FILTER($J$7:$J$1000-$I$7:$I$1000,$L$7:$L$1000=P24),1),"")</f>
        <v>-6</v>
      </c>
      <c r="Y24" s="30" cm="1">
        <f t="array" ref="Y24">IFERROR(INDEX(_xlfn._xlws.FILTER($J$7:$J$1000-$I$7:$I$1000,$L$7:$L$1000=P24),2),"")</f>
        <v>0</v>
      </c>
      <c r="Z24" s="37">
        <f t="shared" si="3"/>
        <v>-6</v>
      </c>
      <c r="AA24" s="15" cm="1">
        <f t="array" ref="AA24">1+SUMPRODUCT(($U$23:$U$26&gt;U24)+(($U$23:$U$26=U24)*($Z$23:$Z$26&gt;Z24)))</f>
        <v>4</v>
      </c>
      <c r="AB24" s="197"/>
      <c r="AC24" s="54" t="s">
        <v>21</v>
      </c>
      <c r="AD24" s="14">
        <v>2</v>
      </c>
      <c r="AE24" s="199" t="str" cm="1">
        <f t="array" ref="AE24">IFERROR(_xlfn.TEXTJOIN(" - ",TRUE,_xlfn._xlws.FILTER($P$19:$P$22,$AA$19:$AA$22=2)),"")</f>
        <v>Australia</v>
      </c>
    </row>
    <row r="25" spans="2:31" x14ac:dyDescent="0.25">
      <c r="B25" s="14" t="s">
        <v>109</v>
      </c>
      <c r="C25" s="3" t="s">
        <v>75</v>
      </c>
      <c r="D25" s="6" t="s">
        <v>112</v>
      </c>
      <c r="E25" s="1" t="s">
        <v>113</v>
      </c>
      <c r="F25" s="3" t="str" cm="1">
        <f t="array" ref="F25">_xlfn.XLOOKUP(TRUE,(GRUPOS!$B$40:$B$51=G25)+(GRUPOS!$C$40:$C$51=G25)+(GRUPOS!$D$40:$D$51=G25)+(GRUPOS!$E$40:$E$51=G25)&gt;0,GRUPOS!$A$40:$A$51)</f>
        <v>J</v>
      </c>
      <c r="G25" s="1" t="str">
        <f t="shared" si="0"/>
        <v>Argentina</v>
      </c>
      <c r="H25" s="30"/>
      <c r="I25" s="3"/>
      <c r="J25" s="3"/>
      <c r="K25" s="30"/>
      <c r="L25" s="1" t="str">
        <f t="shared" si="1"/>
        <v>Argelia</v>
      </c>
      <c r="M25" s="15" t="str" cm="1">
        <f t="array" ref="M25">_xlfn.XLOOKUP(TRUE,(GRUPOS!$B$40:$B$51=L25)+(GRUPOS!$C$40:$C$51=L25)+(GRUPOS!$D$40:$D$51=L25)+(GRUPOS!$E$40:$E$51=L25)&gt;0,GRUPOS!$A$40:$A$51)</f>
        <v>J</v>
      </c>
      <c r="O25" s="54" t="s">
        <v>21</v>
      </c>
      <c r="P25" s="1" t="s">
        <v>24</v>
      </c>
      <c r="Q25" s="3" cm="1">
        <f t="array" ref="Q25">IFERROR(CHOOSE(MATCH(INDEX(_xlfn._xlws.FILTER($H$7:$H$1000,$G$7:$G$1000=P25),1),{"Perdió","Empató","Ganó"},0),0,1,3),"")</f>
        <v>3</v>
      </c>
      <c r="R25" s="3" t="str" cm="1">
        <f t="array" ref="R25">IFERROR(CHOOSE(MATCH(INDEX(_xlfn._xlws.FILTER($H$7:$H$1000,$G$7:$G$1000=P25),2),{"Perdió","Empató","Ganó"},0),0,1,3),"")</f>
        <v/>
      </c>
      <c r="S25" s="3" t="str" cm="1">
        <f t="array" ref="S25">IFERROR(CHOOSE(MATCH(INDEX(_xlfn._xlws.FILTER($K$7:$K$1000,$L$7:$L$1000=P25),1),{"Perdió","Empató","Ganó"},0),0,1,3),"")</f>
        <v/>
      </c>
      <c r="T25" s="3" t="str" cm="1">
        <f t="array" ref="T25">IFERROR(CHOOSE(MATCH(INDEX(_xlfn._xlws.FILTER($K$7:$K$1000,$L$7:$L$1000=P25),2),{"Perdió","Empató","Ganó"},0),0,1,3),"")</f>
        <v/>
      </c>
      <c r="U25" s="35">
        <f t="shared" si="2"/>
        <v>3</v>
      </c>
      <c r="V25" s="30" cm="1">
        <f t="array" ref="V25">IFERROR(INDEX(_xlfn._xlws.FILTER($I$7:$I$1000-$J$7:$J$1000,$G$7:$G$1000=P25),1),"")</f>
        <v>1</v>
      </c>
      <c r="W25" s="30" t="str" cm="1">
        <f t="array" ref="W25">IFERROR(INDEX(_xlfn._xlws.FILTER($I$7:$I$1000-$J$7:$J$1000,$G$7:$G$1000=P25),2),"")</f>
        <v/>
      </c>
      <c r="X25" s="30" cm="1">
        <f t="array" ref="X25">IFERROR(INDEX(_xlfn._xlws.FILTER($J$7:$J$1000-$I$7:$I$1000,$L$7:$L$1000=P25),1),"")</f>
        <v>0</v>
      </c>
      <c r="Y25" s="30" cm="1">
        <f t="array" ref="Y25">IFERROR(INDEX(_xlfn._xlws.FILTER($J$7:$J$1000-$I$7:$I$1000,$L$7:$L$1000=P25),2),"")</f>
        <v>0</v>
      </c>
      <c r="Z25" s="37">
        <f t="shared" si="3"/>
        <v>1</v>
      </c>
      <c r="AA25" s="15" cm="1">
        <f t="array" ref="AA25">1+SUMPRODUCT(($U$23:$U$26&gt;U25)+(($U$23:$U$26=U25)*($Z$23:$Z$26&gt;Z25)))</f>
        <v>2</v>
      </c>
      <c r="AB25" s="197"/>
      <c r="AC25" s="54" t="s">
        <v>21</v>
      </c>
      <c r="AD25" s="14">
        <v>3</v>
      </c>
      <c r="AE25" s="199" t="str" cm="1">
        <f t="array" ref="AE25">IFERROR(_xlfn.TEXTJOIN(" - ",TRUE,_xlfn._xlws.FILTER($P$19:$P$22,$AA$19:$AA$22=3)),"")</f>
        <v>Turquía</v>
      </c>
    </row>
    <row r="26" spans="2:31" ht="15.75" thickBot="1" x14ac:dyDescent="0.3">
      <c r="B26" s="14" t="s">
        <v>109</v>
      </c>
      <c r="C26" s="3" t="s">
        <v>86</v>
      </c>
      <c r="D26" s="6" t="s">
        <v>114</v>
      </c>
      <c r="E26" s="1" t="s">
        <v>115</v>
      </c>
      <c r="F26" s="3" t="str" cm="1">
        <f t="array" ref="F26">_xlfn.XLOOKUP(TRUE,(GRUPOS!$B$40:$B$51=G26)+(GRUPOS!$C$40:$C$51=G26)+(GRUPOS!$D$40:$D$51=G26)+(GRUPOS!$E$40:$E$51=G26)&gt;0,GRUPOS!$A$40:$A$51)</f>
        <v>J</v>
      </c>
      <c r="G26" s="1" t="str">
        <f t="shared" si="0"/>
        <v>Austria</v>
      </c>
      <c r="H26" s="30"/>
      <c r="I26" s="3"/>
      <c r="J26" s="3"/>
      <c r="K26" s="30"/>
      <c r="L26" s="1" t="str">
        <f t="shared" si="1"/>
        <v>Jordania</v>
      </c>
      <c r="M26" s="15" t="str" cm="1">
        <f t="array" ref="M26">_xlfn.XLOOKUP(TRUE,(GRUPOS!$B$40:$B$51=L26)+(GRUPOS!$C$40:$C$51=L26)+(GRUPOS!$D$40:$D$51=L26)+(GRUPOS!$E$40:$E$51=L26)&gt;0,GRUPOS!$A$40:$A$51)</f>
        <v>J</v>
      </c>
      <c r="O26" s="55" t="s">
        <v>21</v>
      </c>
      <c r="P26" s="11" t="s">
        <v>25</v>
      </c>
      <c r="Q26" s="13" t="str" cm="1">
        <f t="array" ref="Q26">IFERROR(CHOOSE(MATCH(INDEX(_xlfn._xlws.FILTER($H$7:$H$1000,$G$7:$G$1000=P26),1),{"Perdió","Empató","Ganó"},0),0,1,3),"")</f>
        <v/>
      </c>
      <c r="R26" s="13" t="str" cm="1">
        <f t="array" ref="R26">IFERROR(CHOOSE(MATCH(INDEX(_xlfn._xlws.FILTER($H$7:$H$1000,$G$7:$G$1000=P26),2),{"Perdió","Empató","Ganó"},0),0,1,3),"")</f>
        <v/>
      </c>
      <c r="S26" s="13" cm="1">
        <f t="array" ref="S26">IFERROR(CHOOSE(MATCH(INDEX(_xlfn._xlws.FILTER($K$7:$K$1000,$L$7:$L$1000=P26),1),{"Perdió","Empató","Ganó"},0),0,1,3),"")</f>
        <v>0</v>
      </c>
      <c r="T26" s="13" t="str" cm="1">
        <f t="array" ref="T26">IFERROR(CHOOSE(MATCH(INDEX(_xlfn._xlws.FILTER($K$7:$K$1000,$L$7:$L$1000=P26),2),{"Perdió","Empató","Ganó"},0),0,1,3),"")</f>
        <v/>
      </c>
      <c r="U26" s="56">
        <f t="shared" si="2"/>
        <v>0</v>
      </c>
      <c r="V26" s="57" cm="1">
        <f t="array" ref="V26">IFERROR(INDEX(_xlfn._xlws.FILTER($I$7:$I$1000-$J$7:$J$1000,$G$7:$G$1000=P26),1),"")</f>
        <v>0</v>
      </c>
      <c r="W26" s="57" cm="1">
        <f t="array" ref="W26">IFERROR(INDEX(_xlfn._xlws.FILTER($I$7:$I$1000-$J$7:$J$1000,$G$7:$G$1000=P26),2),"")</f>
        <v>0</v>
      </c>
      <c r="X26" s="57" cm="1">
        <f t="array" ref="X26">IFERROR(INDEX(_xlfn._xlws.FILTER($J$7:$J$1000-$I$7:$I$1000,$L$7:$L$1000=P26),1),"")</f>
        <v>-1</v>
      </c>
      <c r="Y26" s="57" t="str" cm="1">
        <f t="array" ref="Y26">IFERROR(INDEX(_xlfn._xlws.FILTER($J$7:$J$1000-$I$7:$I$1000,$L$7:$L$1000=P26),2),"")</f>
        <v/>
      </c>
      <c r="Z26" s="58">
        <f t="shared" si="3"/>
        <v>-1</v>
      </c>
      <c r="AA26" s="18" cm="1">
        <f t="array" ref="AA26">1+SUMPRODUCT(($U$23:$U$26&gt;U26)+(($U$23:$U$26=U26)*($Z$23:$Z$26&gt;Z26)))</f>
        <v>3</v>
      </c>
      <c r="AB26" s="197"/>
      <c r="AC26" s="55" t="s">
        <v>21</v>
      </c>
      <c r="AD26" s="14">
        <v>4</v>
      </c>
      <c r="AE26" s="199" t="str" cm="1">
        <f t="array" ref="AE26">IFERROR(_xlfn.TEXTJOIN(" - ",TRUE,_xlfn._xlws.FILTER($P$19:$P$22,$AA$19:$AA$22=4)),"")</f>
        <v>Paraguay</v>
      </c>
    </row>
    <row r="27" spans="2:31" x14ac:dyDescent="0.25">
      <c r="B27" s="14" t="s">
        <v>116</v>
      </c>
      <c r="C27" s="3" t="s">
        <v>90</v>
      </c>
      <c r="D27" s="6" t="s">
        <v>117</v>
      </c>
      <c r="E27" s="1" t="s">
        <v>118</v>
      </c>
      <c r="F27" s="3" t="str" cm="1">
        <f t="array" ref="F27">_xlfn.XLOOKUP(TRUE,(GRUPOS!$B$40:$B$51=G27)+(GRUPOS!$C$40:$C$51=G27)+(GRUPOS!$D$40:$D$51=G27)+(GRUPOS!$E$40:$E$51=G27)&gt;0,GRUPOS!$A$40:$A$51)</f>
        <v>K</v>
      </c>
      <c r="G27" s="1" t="str">
        <f t="shared" si="0"/>
        <v>Portugal</v>
      </c>
      <c r="H27" s="30"/>
      <c r="I27" s="3"/>
      <c r="J27" s="3"/>
      <c r="K27" s="30"/>
      <c r="L27" s="1" t="str">
        <f t="shared" si="1"/>
        <v>RD Congo</v>
      </c>
      <c r="M27" s="15" t="str" cm="1">
        <f t="array" ref="M27">_xlfn.XLOOKUP(TRUE,(GRUPOS!$B$40:$B$51=L27)+(GRUPOS!$C$40:$C$51=L27)+(GRUPOS!$D$40:$D$51=L27)+(GRUPOS!$E$40:$E$51=L27)&gt;0,GRUPOS!$A$40:$A$51)</f>
        <v>K</v>
      </c>
      <c r="O27" s="59" t="s">
        <v>26</v>
      </c>
      <c r="P27" s="48" t="s">
        <v>27</v>
      </c>
      <c r="Q27" s="49" cm="1">
        <f t="array" ref="Q27">IFERROR(CHOOSE(MATCH(INDEX(_xlfn._xlws.FILTER($H$7:$H$1000,$G$7:$G$1000=P27),1),{"Perdió","Empató","Ganó"},0),0,1,3),"")</f>
        <v>1</v>
      </c>
      <c r="R27" s="49" t="str" cm="1">
        <f t="array" ref="R27">IFERROR(CHOOSE(MATCH(INDEX(_xlfn._xlws.FILTER($H$7:$H$1000,$G$7:$G$1000=P27),2),{"Perdió","Empató","Ganó"},0),0,1,3),"")</f>
        <v/>
      </c>
      <c r="S27" s="49" t="str" cm="1">
        <f t="array" ref="S27">IFERROR(CHOOSE(MATCH(INDEX(_xlfn._xlws.FILTER($K$7:$K$1000,$L$7:$L$1000=P27),1),{"Perdió","Empató","Ganó"},0),0,1,3),"")</f>
        <v/>
      </c>
      <c r="T27" s="49" t="str" cm="1">
        <f t="array" ref="T27">IFERROR(CHOOSE(MATCH(INDEX(_xlfn._xlws.FILTER($K$7:$K$1000,$L$7:$L$1000=P27),2),{"Perdió","Empató","Ganó"},0),0,1,3),"")</f>
        <v/>
      </c>
      <c r="U27" s="50">
        <f t="shared" si="2"/>
        <v>1</v>
      </c>
      <c r="V27" s="51" cm="1">
        <f t="array" ref="V27">IFERROR(INDEX(_xlfn._xlws.FILTER($I$7:$I$1000-$J$7:$J$1000,$G$7:$G$1000=P27),1),"")</f>
        <v>0</v>
      </c>
      <c r="W27" s="51" cm="1">
        <f t="array" ref="W27">IFERROR(INDEX(_xlfn._xlws.FILTER($I$7:$I$1000-$J$7:$J$1000,$G$7:$G$1000=P27),2),"")</f>
        <v>0</v>
      </c>
      <c r="X27" s="51" cm="1">
        <f t="array" ref="X27">IFERROR(INDEX(_xlfn._xlws.FILTER($J$7:$J$1000-$I$7:$I$1000,$L$7:$L$1000=P27),1),"")</f>
        <v>0</v>
      </c>
      <c r="Y27" s="51" t="str" cm="1">
        <f t="array" ref="Y27">IFERROR(INDEX(_xlfn._xlws.FILTER($J$7:$J$1000-$I$7:$I$1000,$L$7:$L$1000=P27),2),"")</f>
        <v/>
      </c>
      <c r="Z27" s="52">
        <f t="shared" si="3"/>
        <v>0</v>
      </c>
      <c r="AA27" s="53" cm="1">
        <f t="array" ref="AA27">1+SUMPRODUCT(($U$27:$U$30&gt;U27)+(($U$27:$U$30=U27)*($Z$27:$Z$30&gt;Z27)))</f>
        <v>1</v>
      </c>
      <c r="AB27" s="197"/>
      <c r="AC27" s="59" t="s">
        <v>26</v>
      </c>
      <c r="AD27" s="14">
        <v>1</v>
      </c>
      <c r="AE27" s="199" t="str" cm="1">
        <f t="array" ref="AE27">IFERROR(_xlfn.TEXTJOIN(" - ",TRUE,_xlfn._xlws.FILTER($P$27:$P$30,$AA$27:$AA$30=1)),"")</f>
        <v>Países Bajos - Japón</v>
      </c>
    </row>
    <row r="28" spans="2:31" x14ac:dyDescent="0.25">
      <c r="B28" s="14" t="s">
        <v>116</v>
      </c>
      <c r="C28" s="3" t="s">
        <v>93</v>
      </c>
      <c r="D28" s="6" t="s">
        <v>119</v>
      </c>
      <c r="E28" s="1" t="s">
        <v>120</v>
      </c>
      <c r="F28" s="3" t="str" cm="1">
        <f t="array" ref="F28">_xlfn.XLOOKUP(TRUE,(GRUPOS!$B$40:$B$51=G28)+(GRUPOS!$C$40:$C$51=G28)+(GRUPOS!$D$40:$D$51=G28)+(GRUPOS!$E$40:$E$51=G28)&gt;0,GRUPOS!$A$40:$A$51)</f>
        <v>L</v>
      </c>
      <c r="G28" s="1" t="str">
        <f t="shared" si="0"/>
        <v>Inglaterra</v>
      </c>
      <c r="H28" s="30"/>
      <c r="I28" s="3"/>
      <c r="J28" s="3"/>
      <c r="K28" s="30"/>
      <c r="L28" s="1" t="str">
        <f t="shared" si="1"/>
        <v>Croacia</v>
      </c>
      <c r="M28" s="15" t="str" cm="1">
        <f t="array" ref="M28">_xlfn.XLOOKUP(TRUE,(GRUPOS!$B$40:$B$51=L28)+(GRUPOS!$C$40:$C$51=L28)+(GRUPOS!$D$40:$D$51=L28)+(GRUPOS!$E$40:$E$51=L28)&gt;0,GRUPOS!$A$40:$A$51)</f>
        <v>L</v>
      </c>
      <c r="O28" s="60" t="s">
        <v>26</v>
      </c>
      <c r="P28" s="1" t="s">
        <v>28</v>
      </c>
      <c r="Q28" s="3" t="str" cm="1">
        <f t="array" ref="Q28">IFERROR(CHOOSE(MATCH(INDEX(_xlfn._xlws.FILTER($H$7:$H$1000,$G$7:$G$1000=P28),1),{"Perdió","Empató","Ganó"},0),0,1,3),"")</f>
        <v/>
      </c>
      <c r="R28" s="3" t="str" cm="1">
        <f t="array" ref="R28">IFERROR(CHOOSE(MATCH(INDEX(_xlfn._xlws.FILTER($H$7:$H$1000,$G$7:$G$1000=P28),2),{"Perdió","Empató","Ganó"},0),0,1,3),"")</f>
        <v/>
      </c>
      <c r="S28" s="3" cm="1">
        <f t="array" ref="S28">IFERROR(CHOOSE(MATCH(INDEX(_xlfn._xlws.FILTER($K$7:$K$1000,$L$7:$L$1000=P28),1),{"Perdió","Empató","Ganó"},0),0,1,3),"")</f>
        <v>1</v>
      </c>
      <c r="T28" s="3" t="str" cm="1">
        <f t="array" ref="T28">IFERROR(CHOOSE(MATCH(INDEX(_xlfn._xlws.FILTER($K$7:$K$1000,$L$7:$L$1000=P28),2),{"Perdió","Empató","Ganó"},0),0,1,3),"")</f>
        <v/>
      </c>
      <c r="U28" s="35">
        <f t="shared" si="2"/>
        <v>1</v>
      </c>
      <c r="V28" s="30" cm="1">
        <f t="array" ref="V28">IFERROR(INDEX(_xlfn._xlws.FILTER($I$7:$I$1000-$J$7:$J$1000,$G$7:$G$1000=P28),1),"")</f>
        <v>0</v>
      </c>
      <c r="W28" s="30" t="str" cm="1">
        <f t="array" ref="W28">IFERROR(INDEX(_xlfn._xlws.FILTER($I$7:$I$1000-$J$7:$J$1000,$G$7:$G$1000=P28),2),"")</f>
        <v/>
      </c>
      <c r="X28" s="30" cm="1">
        <f t="array" ref="X28">IFERROR(INDEX(_xlfn._xlws.FILTER($J$7:$J$1000-$I$7:$I$1000,$L$7:$L$1000=P28),1),"")</f>
        <v>0</v>
      </c>
      <c r="Y28" s="30" cm="1">
        <f t="array" ref="Y28">IFERROR(INDEX(_xlfn._xlws.FILTER($J$7:$J$1000-$I$7:$I$1000,$L$7:$L$1000=P28),2),"")</f>
        <v>0</v>
      </c>
      <c r="Z28" s="37">
        <f t="shared" si="3"/>
        <v>0</v>
      </c>
      <c r="AA28" s="15" cm="1">
        <f t="array" ref="AA28">1+SUMPRODUCT(($U$27:$U$30&gt;U28)+(($U$27:$U$30=U28)*($Z$27:$Z$30&gt;Z28)))</f>
        <v>1</v>
      </c>
      <c r="AB28" s="197"/>
      <c r="AC28" s="60" t="s">
        <v>26</v>
      </c>
      <c r="AD28" s="14">
        <v>2</v>
      </c>
      <c r="AE28" s="199" t="str" cm="1">
        <f t="array" ref="AE28">IFERROR(_xlfn.TEXTJOIN(" - ",TRUE,_xlfn._xlws.FILTER($P$27:$P$30,$AA$27:$AA$30=2)),"")</f>
        <v/>
      </c>
    </row>
    <row r="29" spans="2:31" x14ac:dyDescent="0.25">
      <c r="B29" s="14" t="s">
        <v>116</v>
      </c>
      <c r="C29" s="3" t="s">
        <v>96</v>
      </c>
      <c r="D29" s="6" t="s">
        <v>121</v>
      </c>
      <c r="E29" s="1" t="s">
        <v>122</v>
      </c>
      <c r="F29" s="3" t="str" cm="1">
        <f t="array" ref="F29">_xlfn.XLOOKUP(TRUE,(GRUPOS!$B$40:$B$51=G29)+(GRUPOS!$C$40:$C$51=G29)+(GRUPOS!$D$40:$D$51=G29)+(GRUPOS!$E$40:$E$51=G29)&gt;0,GRUPOS!$A$40:$A$51)</f>
        <v>L</v>
      </c>
      <c r="G29" s="1" t="str">
        <f t="shared" si="0"/>
        <v>Ghana</v>
      </c>
      <c r="H29" s="30"/>
      <c r="I29" s="3"/>
      <c r="J29" s="3"/>
      <c r="K29" s="30"/>
      <c r="L29" s="1" t="str">
        <f t="shared" si="1"/>
        <v>Panamá</v>
      </c>
      <c r="M29" s="15" t="str" cm="1">
        <f t="array" ref="M29">_xlfn.XLOOKUP(TRUE,(GRUPOS!$B$40:$B$51=L29)+(GRUPOS!$C$40:$C$51=L29)+(GRUPOS!$D$40:$D$51=L29)+(GRUPOS!$E$40:$E$51=L29)&gt;0,GRUPOS!$A$40:$A$51)</f>
        <v>L</v>
      </c>
      <c r="O29" s="60" t="s">
        <v>26</v>
      </c>
      <c r="P29" s="1" t="s">
        <v>29</v>
      </c>
      <c r="Q29" s="3" t="str" cm="1">
        <f t="array" ref="Q29">IFERROR(CHOOSE(MATCH(INDEX(_xlfn._xlws.FILTER($H$7:$H$1000,$G$7:$G$1000=P29),1),{"Perdió","Empató","Ganó"},0),0,1,3),"")</f>
        <v/>
      </c>
      <c r="R29" s="3" t="str" cm="1">
        <f t="array" ref="R29">IFERROR(CHOOSE(MATCH(INDEX(_xlfn._xlws.FILTER($H$7:$H$1000,$G$7:$G$1000=P29),2),{"Perdió","Empató","Ganó"},0),0,1,3),"")</f>
        <v/>
      </c>
      <c r="S29" s="3" t="str" cm="1">
        <f t="array" ref="S29">IFERROR(CHOOSE(MATCH(INDEX(_xlfn._xlws.FILTER($K$7:$K$1000,$L$7:$L$1000=P29),1),{"Perdió","Empató","Ganó"},0),0,1,3),"")</f>
        <v/>
      </c>
      <c r="T29" s="3" t="str" cm="1">
        <f t="array" ref="T29">IFERROR(CHOOSE(MATCH(INDEX(_xlfn._xlws.FILTER($K$7:$K$1000,$L$7:$L$1000=P29),2),{"Perdió","Empató","Ganó"},0),0,1,3),"")</f>
        <v/>
      </c>
      <c r="U29" s="35">
        <f t="shared" si="2"/>
        <v>0</v>
      </c>
      <c r="V29" s="30" cm="1">
        <f t="array" ref="V29">IFERROR(INDEX(_xlfn._xlws.FILTER($I$7:$I$1000-$J$7:$J$1000,$G$7:$G$1000=P29),1),"")</f>
        <v>0</v>
      </c>
      <c r="W29" s="30" t="str" cm="1">
        <f t="array" ref="W29">IFERROR(INDEX(_xlfn._xlws.FILTER($I$7:$I$1000-$J$7:$J$1000,$G$7:$G$1000=P29),2),"")</f>
        <v/>
      </c>
      <c r="X29" s="30" cm="1">
        <f t="array" ref="X29">IFERROR(INDEX(_xlfn._xlws.FILTER($J$7:$J$1000-$I$7:$I$1000,$L$7:$L$1000=P29),1),"")</f>
        <v>0</v>
      </c>
      <c r="Y29" s="30" cm="1">
        <f t="array" ref="Y29">IFERROR(INDEX(_xlfn._xlws.FILTER($J$7:$J$1000-$I$7:$I$1000,$L$7:$L$1000=P29),2),"")</f>
        <v>0</v>
      </c>
      <c r="Z29" s="37">
        <f t="shared" si="3"/>
        <v>0</v>
      </c>
      <c r="AA29" s="15" cm="1">
        <f t="array" ref="AA29">1+SUMPRODUCT(($U$27:$U$30&gt;U29)+(($U$27:$U$30=U29)*($Z$27:$Z$30&gt;Z29)))</f>
        <v>3</v>
      </c>
      <c r="AB29" s="197"/>
      <c r="AC29" s="60" t="s">
        <v>26</v>
      </c>
      <c r="AD29" s="14">
        <v>3</v>
      </c>
      <c r="AE29" s="199" t="str" cm="1">
        <f t="array" ref="AE29">IFERROR(_xlfn.TEXTJOIN(" - ",TRUE,_xlfn._xlws.FILTER($P$27:$P$30,$AA$27:$AA$30=3)),"")</f>
        <v>Suecia - Túnez</v>
      </c>
    </row>
    <row r="30" spans="2:31" ht="15.75" thickBot="1" x14ac:dyDescent="0.3">
      <c r="B30" s="14" t="s">
        <v>116</v>
      </c>
      <c r="C30" s="3" t="s">
        <v>69</v>
      </c>
      <c r="D30" s="6" t="s">
        <v>123</v>
      </c>
      <c r="E30" s="1" t="s">
        <v>124</v>
      </c>
      <c r="F30" s="3" t="str" cm="1">
        <f t="array" ref="F30">_xlfn.XLOOKUP(TRUE,(GRUPOS!$B$40:$B$51=G30)+(GRUPOS!$C$40:$C$51=G30)+(GRUPOS!$D$40:$D$51=G30)+(GRUPOS!$E$40:$E$51=G30)&gt;0,GRUPOS!$A$40:$A$51)</f>
        <v>K</v>
      </c>
      <c r="G30" s="1" t="str">
        <f t="shared" si="0"/>
        <v>Uzbekistán</v>
      </c>
      <c r="H30" s="30"/>
      <c r="I30" s="3"/>
      <c r="J30" s="3"/>
      <c r="K30" s="30"/>
      <c r="L30" s="1" t="str">
        <f t="shared" si="1"/>
        <v>Colombia</v>
      </c>
      <c r="M30" s="15" t="str" cm="1">
        <f t="array" ref="M30">_xlfn.XLOOKUP(TRUE,(GRUPOS!$B$40:$B$51=L30)+(GRUPOS!$C$40:$C$51=L30)+(GRUPOS!$D$40:$D$51=L30)+(GRUPOS!$E$40:$E$51=L30)&gt;0,GRUPOS!$A$40:$A$51)</f>
        <v>K</v>
      </c>
      <c r="O30" s="61" t="s">
        <v>26</v>
      </c>
      <c r="P30" s="11" t="s">
        <v>30</v>
      </c>
      <c r="Q30" s="13" t="str" cm="1">
        <f t="array" ref="Q30">IFERROR(CHOOSE(MATCH(INDEX(_xlfn._xlws.FILTER($H$7:$H$1000,$G$7:$G$1000=P30),1),{"Perdió","Empató","Ganó"},0),0,1,3),"")</f>
        <v/>
      </c>
      <c r="R30" s="13" t="str" cm="1">
        <f t="array" ref="R30">IFERROR(CHOOSE(MATCH(INDEX(_xlfn._xlws.FILTER($H$7:$H$1000,$G$7:$G$1000=P30),2),{"Perdió","Empató","Ganó"},0),0,1,3),"")</f>
        <v/>
      </c>
      <c r="S30" s="13" t="str" cm="1">
        <f t="array" ref="S30">IFERROR(CHOOSE(MATCH(INDEX(_xlfn._xlws.FILTER($K$7:$K$1000,$L$7:$L$1000=P30),1),{"Perdió","Empató","Ganó"},0),0,1,3),"")</f>
        <v/>
      </c>
      <c r="T30" s="13" t="str" cm="1">
        <f t="array" ref="T30">IFERROR(CHOOSE(MATCH(INDEX(_xlfn._xlws.FILTER($K$7:$K$1000,$L$7:$L$1000=P30),2),{"Perdió","Empató","Ganó"},0),0,1,3),"")</f>
        <v/>
      </c>
      <c r="U30" s="56">
        <f t="shared" si="2"/>
        <v>0</v>
      </c>
      <c r="V30" s="57" cm="1">
        <f t="array" ref="V30">IFERROR(INDEX(_xlfn._xlws.FILTER($I$7:$I$1000-$J$7:$J$1000,$G$7:$G$1000=P30),1),"")</f>
        <v>0</v>
      </c>
      <c r="W30" s="57" cm="1">
        <f t="array" ref="W30">IFERROR(INDEX(_xlfn._xlws.FILTER($I$7:$I$1000-$J$7:$J$1000,$G$7:$G$1000=P30),2),"")</f>
        <v>0</v>
      </c>
      <c r="X30" s="57" cm="1">
        <f t="array" ref="X30">IFERROR(INDEX(_xlfn._xlws.FILTER($J$7:$J$1000-$I$7:$I$1000,$L$7:$L$1000=P30),1),"")</f>
        <v>0</v>
      </c>
      <c r="Y30" s="57" t="str" cm="1">
        <f t="array" ref="Y30">IFERROR(INDEX(_xlfn._xlws.FILTER($J$7:$J$1000-$I$7:$I$1000,$L$7:$L$1000=P30),2),"")</f>
        <v/>
      </c>
      <c r="Z30" s="58">
        <f t="shared" si="3"/>
        <v>0</v>
      </c>
      <c r="AA30" s="18" cm="1">
        <f t="array" ref="AA30">1+SUMPRODUCT(($U$27:$U$30&gt;U30)+(($U$27:$U$30=U30)*($Z$27:$Z$30&gt;Z30)))</f>
        <v>3</v>
      </c>
      <c r="AB30" s="197"/>
      <c r="AC30" s="61" t="s">
        <v>26</v>
      </c>
      <c r="AD30" s="14">
        <v>4</v>
      </c>
      <c r="AE30" s="199" t="str" cm="1">
        <f t="array" ref="AE30">IFERROR(_xlfn.TEXTJOIN(" - ",TRUE,_xlfn._xlws.FILTER($P$27:$P$30,$AA$27:$AA$30=4)),"")</f>
        <v/>
      </c>
    </row>
    <row r="31" spans="2:31" x14ac:dyDescent="0.25">
      <c r="B31" s="14" t="s">
        <v>125</v>
      </c>
      <c r="C31" s="3" t="s">
        <v>102</v>
      </c>
      <c r="D31" s="6" t="s">
        <v>126</v>
      </c>
      <c r="E31" s="1" t="s">
        <v>127</v>
      </c>
      <c r="F31" s="3" t="str" cm="1">
        <f t="array" ref="F31">_xlfn.XLOOKUP(TRUE,(GRUPOS!$B$40:$B$51=G31)+(GRUPOS!$C$40:$C$51=G31)+(GRUPOS!$D$40:$D$51=G31)+(GRUPOS!$E$40:$E$51=G31)&gt;0,GRUPOS!$A$40:$A$51)</f>
        <v>A</v>
      </c>
      <c r="G31" s="1" t="str">
        <f t="shared" si="0"/>
        <v>Chequia</v>
      </c>
      <c r="H31" s="30"/>
      <c r="I31" s="3"/>
      <c r="J31" s="3"/>
      <c r="K31" s="30"/>
      <c r="L31" s="1" t="str">
        <f t="shared" si="1"/>
        <v>Sudáfrica</v>
      </c>
      <c r="M31" s="15" t="str" cm="1">
        <f t="array" ref="M31">_xlfn.XLOOKUP(TRUE,(GRUPOS!$B$40:$B$51=L31)+(GRUPOS!$C$40:$C$51=L31)+(GRUPOS!$D$40:$D$51=L31)+(GRUPOS!$E$40:$E$51=L31)&gt;0,GRUPOS!$A$40:$A$51)</f>
        <v>A</v>
      </c>
      <c r="O31" s="47" t="s">
        <v>31</v>
      </c>
      <c r="P31" s="48" t="s">
        <v>32</v>
      </c>
      <c r="Q31" s="49" t="str" cm="1">
        <f t="array" ref="Q31">IFERROR(CHOOSE(MATCH(INDEX(_xlfn._xlws.FILTER($H$7:$H$1000,$G$7:$G$1000=P31),1),{"Perdió","Empató","Ganó"},0),0,1,3),"")</f>
        <v/>
      </c>
      <c r="R31" s="49" t="str" cm="1">
        <f t="array" ref="R31">IFERROR(CHOOSE(MATCH(INDEX(_xlfn._xlws.FILTER($H$7:$H$1000,$G$7:$G$1000=P31),2),{"Perdió","Empató","Ganó"},0),0,1,3),"")</f>
        <v/>
      </c>
      <c r="S31" s="49" t="str" cm="1">
        <f t="array" ref="S31">IFERROR(CHOOSE(MATCH(INDEX(_xlfn._xlws.FILTER($K$7:$K$1000,$L$7:$L$1000=P31),1),{"Perdió","Empató","Ganó"},0),0,1,3),"")</f>
        <v/>
      </c>
      <c r="T31" s="49" t="str" cm="1">
        <f t="array" ref="T31">IFERROR(CHOOSE(MATCH(INDEX(_xlfn._xlws.FILTER($K$7:$K$1000,$L$7:$L$1000=P31),2),{"Perdió","Empató","Ganó"},0),0,1,3),"")</f>
        <v/>
      </c>
      <c r="U31" s="50">
        <f t="shared" si="2"/>
        <v>0</v>
      </c>
      <c r="V31" s="51" cm="1">
        <f t="array" ref="V31">IFERROR(INDEX(_xlfn._xlws.FILTER($I$7:$I$1000-$J$7:$J$1000,$G$7:$G$1000=P31),1),"")</f>
        <v>0</v>
      </c>
      <c r="W31" s="51" cm="1">
        <f t="array" ref="W31">IFERROR(INDEX(_xlfn._xlws.FILTER($I$7:$I$1000-$J$7:$J$1000,$G$7:$G$1000=P31),2),"")</f>
        <v>0</v>
      </c>
      <c r="X31" s="51" cm="1">
        <f t="array" ref="X31">IFERROR(INDEX(_xlfn._xlws.FILTER($J$7:$J$1000-$I$7:$I$1000,$L$7:$L$1000=P31),1),"")</f>
        <v>0</v>
      </c>
      <c r="Y31" s="51" t="str" cm="1">
        <f t="array" ref="Y31">IFERROR(INDEX(_xlfn._xlws.FILTER($J$7:$J$1000-$I$7:$I$1000,$L$7:$L$1000=P31),2),"")</f>
        <v/>
      </c>
      <c r="Z31" s="52">
        <f t="shared" si="3"/>
        <v>0</v>
      </c>
      <c r="AA31" s="53" cm="1">
        <f t="array" ref="AA31">1+SUMPRODUCT(($U$31:$U$34&gt;U31)+(($U$31:$U$34=U31)*($Z$31:$Z$34&gt;Z31)))</f>
        <v>1</v>
      </c>
      <c r="AB31" s="197"/>
      <c r="AC31" s="47" t="s">
        <v>31</v>
      </c>
      <c r="AD31" s="14">
        <v>1</v>
      </c>
      <c r="AE31" s="199" t="str" cm="1">
        <f t="array" ref="AE31">IFERROR(_xlfn.TEXTJOIN(" - ",TRUE,_xlfn._xlws.FILTER($P$31:$P$34,$AA$31:$AA$34=1)),"")</f>
        <v>Bélgica - Egipto - Irán - Nueva Zelanda</v>
      </c>
    </row>
    <row r="32" spans="2:31" x14ac:dyDescent="0.25">
      <c r="B32" s="14" t="s">
        <v>125</v>
      </c>
      <c r="C32" s="3" t="s">
        <v>66</v>
      </c>
      <c r="D32" s="6" t="s">
        <v>128</v>
      </c>
      <c r="E32" s="1" t="s">
        <v>129</v>
      </c>
      <c r="F32" s="3" t="str" cm="1">
        <f t="array" ref="F32">_xlfn.XLOOKUP(TRUE,(GRUPOS!$B$40:$B$51=G32)+(GRUPOS!$C$40:$C$51=G32)+(GRUPOS!$D$40:$D$51=G32)+(GRUPOS!$E$40:$E$51=G32)&gt;0,GRUPOS!$A$40:$A$51)</f>
        <v>B</v>
      </c>
      <c r="G32" s="1" t="str">
        <f t="shared" si="0"/>
        <v>Suiza</v>
      </c>
      <c r="H32" s="30"/>
      <c r="I32" s="3"/>
      <c r="J32" s="3"/>
      <c r="K32" s="30"/>
      <c r="L32" s="1" t="str">
        <f t="shared" si="1"/>
        <v>Bosnia y Herzegovina</v>
      </c>
      <c r="M32" s="15" t="str" cm="1">
        <f t="array" ref="M32">_xlfn.XLOOKUP(TRUE,(GRUPOS!$B$40:$B$51=L32)+(GRUPOS!$C$40:$C$51=L32)+(GRUPOS!$D$40:$D$51=L32)+(GRUPOS!$E$40:$E$51=L32)&gt;0,GRUPOS!$A$40:$A$51)</f>
        <v>B</v>
      </c>
      <c r="O32" s="54" t="s">
        <v>31</v>
      </c>
      <c r="P32" s="1" t="s">
        <v>33</v>
      </c>
      <c r="Q32" s="3" t="str" cm="1">
        <f t="array" ref="Q32">IFERROR(CHOOSE(MATCH(INDEX(_xlfn._xlws.FILTER($H$7:$H$1000,$G$7:$G$1000=P32),1),{"Perdió","Empató","Ganó"},0),0,1,3),"")</f>
        <v/>
      </c>
      <c r="R32" s="3" t="str" cm="1">
        <f t="array" ref="R32">IFERROR(CHOOSE(MATCH(INDEX(_xlfn._xlws.FILTER($H$7:$H$1000,$G$7:$G$1000=P32),2),{"Perdió","Empató","Ganó"},0),0,1,3),"")</f>
        <v/>
      </c>
      <c r="S32" s="3" t="str" cm="1">
        <f t="array" ref="S32">IFERROR(CHOOSE(MATCH(INDEX(_xlfn._xlws.FILTER($K$7:$K$1000,$L$7:$L$1000=P32),1),{"Perdió","Empató","Ganó"},0),0,1,3),"")</f>
        <v/>
      </c>
      <c r="T32" s="3" t="str" cm="1">
        <f t="array" ref="T32">IFERROR(CHOOSE(MATCH(INDEX(_xlfn._xlws.FILTER($K$7:$K$1000,$L$7:$L$1000=P32),2),{"Perdió","Empató","Ganó"},0),0,1,3),"")</f>
        <v/>
      </c>
      <c r="U32" s="35">
        <f t="shared" si="2"/>
        <v>0</v>
      </c>
      <c r="V32" s="30" cm="1">
        <f t="array" ref="V32">IFERROR(INDEX(_xlfn._xlws.FILTER($I$7:$I$1000-$J$7:$J$1000,$G$7:$G$1000=P32),1),"")</f>
        <v>0</v>
      </c>
      <c r="W32" s="30" t="str" cm="1">
        <f t="array" ref="W32">IFERROR(INDEX(_xlfn._xlws.FILTER($I$7:$I$1000-$J$7:$J$1000,$G$7:$G$1000=P32),2),"")</f>
        <v/>
      </c>
      <c r="X32" s="30" cm="1">
        <f t="array" ref="X32">IFERROR(INDEX(_xlfn._xlws.FILTER($J$7:$J$1000-$I$7:$I$1000,$L$7:$L$1000=P32),1),"")</f>
        <v>0</v>
      </c>
      <c r="Y32" s="30" cm="1">
        <f t="array" ref="Y32">IFERROR(INDEX(_xlfn._xlws.FILTER($J$7:$J$1000-$I$7:$I$1000,$L$7:$L$1000=P32),2),"")</f>
        <v>0</v>
      </c>
      <c r="Z32" s="37">
        <f t="shared" si="3"/>
        <v>0</v>
      </c>
      <c r="AA32" s="15" cm="1">
        <f t="array" ref="AA32">1+SUMPRODUCT(($U$31:$U$34&gt;U32)+(($U$31:$U$34=U32)*($Z$31:$Z$34&gt;Z32)))</f>
        <v>1</v>
      </c>
      <c r="AB32" s="197"/>
      <c r="AC32" s="54" t="s">
        <v>31</v>
      </c>
      <c r="AD32" s="14">
        <v>2</v>
      </c>
      <c r="AE32" s="199"/>
    </row>
    <row r="33" spans="2:31" x14ac:dyDescent="0.25">
      <c r="B33" s="14" t="s">
        <v>125</v>
      </c>
      <c r="C33" s="3" t="s">
        <v>81</v>
      </c>
      <c r="D33" s="6" t="s">
        <v>130</v>
      </c>
      <c r="E33" s="1" t="s">
        <v>131</v>
      </c>
      <c r="F33" s="3" t="str" cm="1">
        <f t="array" ref="F33">_xlfn.XLOOKUP(TRUE,(GRUPOS!$B$40:$B$51=G33)+(GRUPOS!$C$40:$C$51=G33)+(GRUPOS!$D$40:$D$51=G33)+(GRUPOS!$E$40:$E$51=G33)&gt;0,GRUPOS!$A$40:$A$51)</f>
        <v>B</v>
      </c>
      <c r="G33" s="1" t="str">
        <f t="shared" si="0"/>
        <v>Canadá</v>
      </c>
      <c r="H33" s="30"/>
      <c r="I33" s="3"/>
      <c r="J33" s="3"/>
      <c r="K33" s="30"/>
      <c r="L33" s="1" t="str">
        <f t="shared" si="1"/>
        <v>Qatar</v>
      </c>
      <c r="M33" s="15" t="str" cm="1">
        <f t="array" ref="M33">_xlfn.XLOOKUP(TRUE,(GRUPOS!$B$40:$B$51=L33)+(GRUPOS!$C$40:$C$51=L33)+(GRUPOS!$D$40:$D$51=L33)+(GRUPOS!$E$40:$E$51=L33)&gt;0,GRUPOS!$A$40:$A$51)</f>
        <v>B</v>
      </c>
      <c r="O33" s="54" t="s">
        <v>31</v>
      </c>
      <c r="P33" s="1" t="s">
        <v>34</v>
      </c>
      <c r="Q33" s="3" t="str" cm="1">
        <f t="array" ref="Q33">IFERROR(CHOOSE(MATCH(INDEX(_xlfn._xlws.FILTER($H$7:$H$1000,$G$7:$G$1000=P33),1),{"Perdió","Empató","Ganó"},0),0,1,3),"")</f>
        <v/>
      </c>
      <c r="R33" s="3" t="str" cm="1">
        <f t="array" ref="R33">IFERROR(CHOOSE(MATCH(INDEX(_xlfn._xlws.FILTER($H$7:$H$1000,$G$7:$G$1000=P33),2),{"Perdió","Empató","Ganó"},0),0,1,3),"")</f>
        <v/>
      </c>
      <c r="S33" s="3" t="str" cm="1">
        <f t="array" ref="S33">IFERROR(CHOOSE(MATCH(INDEX(_xlfn._xlws.FILTER($K$7:$K$1000,$L$7:$L$1000=P33),1),{"Perdió","Empató","Ganó"},0),0,1,3),"")</f>
        <v/>
      </c>
      <c r="T33" s="3" t="str" cm="1">
        <f t="array" ref="T33">IFERROR(CHOOSE(MATCH(INDEX(_xlfn._xlws.FILTER($K$7:$K$1000,$L$7:$L$1000=P33),2),{"Perdió","Empató","Ganó"},0),0,1,3),"")</f>
        <v/>
      </c>
      <c r="U33" s="35">
        <f t="shared" si="2"/>
        <v>0</v>
      </c>
      <c r="V33" s="30" cm="1">
        <f t="array" ref="V33">IFERROR(INDEX(_xlfn._xlws.FILTER($I$7:$I$1000-$J$7:$J$1000,$G$7:$G$1000=P33),1),"")</f>
        <v>0</v>
      </c>
      <c r="W33" s="30" t="str" cm="1">
        <f t="array" ref="W33">IFERROR(INDEX(_xlfn._xlws.FILTER($I$7:$I$1000-$J$7:$J$1000,$G$7:$G$1000=P33),2),"")</f>
        <v/>
      </c>
      <c r="X33" s="30" cm="1">
        <f t="array" ref="X33">IFERROR(INDEX(_xlfn._xlws.FILTER($J$7:$J$1000-$I$7:$I$1000,$L$7:$L$1000=P33),1),"")</f>
        <v>0</v>
      </c>
      <c r="Y33" s="30" cm="1">
        <f t="array" ref="Y33">IFERROR(INDEX(_xlfn._xlws.FILTER($J$7:$J$1000-$I$7:$I$1000,$L$7:$L$1000=P33),2),"")</f>
        <v>0</v>
      </c>
      <c r="Z33" s="37">
        <f t="shared" si="3"/>
        <v>0</v>
      </c>
      <c r="AA33" s="15" cm="1">
        <f t="array" ref="AA33">1+SUMPRODUCT(($U$31:$U$34&gt;U33)+(($U$31:$U$34=U33)*($Z$31:$Z$34&gt;Z33)))</f>
        <v>1</v>
      </c>
      <c r="AB33" s="197"/>
      <c r="AC33" s="54" t="s">
        <v>31</v>
      </c>
      <c r="AD33" s="14">
        <v>3</v>
      </c>
      <c r="AE33" s="199"/>
    </row>
    <row r="34" spans="2:31" ht="15.75" thickBot="1" x14ac:dyDescent="0.3">
      <c r="B34" s="14" t="s">
        <v>125</v>
      </c>
      <c r="C34" s="3" t="s">
        <v>75</v>
      </c>
      <c r="D34" s="6" t="s">
        <v>132</v>
      </c>
      <c r="E34" s="1" t="s">
        <v>133</v>
      </c>
      <c r="F34" s="3" t="str" cm="1">
        <f t="array" ref="F34">_xlfn.XLOOKUP(TRUE,(GRUPOS!$B$40:$B$51=G34)+(GRUPOS!$C$40:$C$51=G34)+(GRUPOS!$D$40:$D$51=G34)+(GRUPOS!$E$40:$E$51=G34)&gt;0,GRUPOS!$A$40:$A$51)</f>
        <v>A</v>
      </c>
      <c r="G34" s="1" t="str">
        <f t="shared" si="0"/>
        <v>México</v>
      </c>
      <c r="H34" s="30"/>
      <c r="I34" s="3"/>
      <c r="J34" s="3"/>
      <c r="K34" s="30"/>
      <c r="L34" s="1" t="str">
        <f t="shared" si="1"/>
        <v>Corea del Sur</v>
      </c>
      <c r="M34" s="15" t="str" cm="1">
        <f t="array" ref="M34">_xlfn.XLOOKUP(TRUE,(GRUPOS!$B$40:$B$51=L34)+(GRUPOS!$C$40:$C$51=L34)+(GRUPOS!$D$40:$D$51=L34)+(GRUPOS!$E$40:$E$51=L34)&gt;0,GRUPOS!$A$40:$A$51)</f>
        <v>A</v>
      </c>
      <c r="O34" s="55" t="s">
        <v>31</v>
      </c>
      <c r="P34" s="11" t="s">
        <v>35</v>
      </c>
      <c r="Q34" s="13" t="str" cm="1">
        <f t="array" ref="Q34">IFERROR(CHOOSE(MATCH(INDEX(_xlfn._xlws.FILTER($H$7:$H$1000,$G$7:$G$1000=P34),1),{"Perdió","Empató","Ganó"},0),0,1,3),"")</f>
        <v/>
      </c>
      <c r="R34" s="13" t="str" cm="1">
        <f t="array" ref="R34">IFERROR(CHOOSE(MATCH(INDEX(_xlfn._xlws.FILTER($H$7:$H$1000,$G$7:$G$1000=P34),2),{"Perdió","Empató","Ganó"},0),0,1,3),"")</f>
        <v/>
      </c>
      <c r="S34" s="13" t="str" cm="1">
        <f t="array" ref="S34">IFERROR(CHOOSE(MATCH(INDEX(_xlfn._xlws.FILTER($K$7:$K$1000,$L$7:$L$1000=P34),1),{"Perdió","Empató","Ganó"},0),0,1,3),"")</f>
        <v/>
      </c>
      <c r="T34" s="13" t="str" cm="1">
        <f t="array" ref="T34">IFERROR(CHOOSE(MATCH(INDEX(_xlfn._xlws.FILTER($K$7:$K$1000,$L$7:$L$1000=P34),2),{"Perdió","Empató","Ganó"},0),0,1,3),"")</f>
        <v/>
      </c>
      <c r="U34" s="56">
        <f t="shared" si="2"/>
        <v>0</v>
      </c>
      <c r="V34" s="57" cm="1">
        <f t="array" ref="V34">IFERROR(INDEX(_xlfn._xlws.FILTER($I$7:$I$1000-$J$7:$J$1000,$G$7:$G$1000=P34),1),"")</f>
        <v>0</v>
      </c>
      <c r="W34" s="57" cm="1">
        <f t="array" ref="W34">IFERROR(INDEX(_xlfn._xlws.FILTER($I$7:$I$1000-$J$7:$J$1000,$G$7:$G$1000=P34),2),"")</f>
        <v>0</v>
      </c>
      <c r="X34" s="57" cm="1">
        <f t="array" ref="X34">IFERROR(INDEX(_xlfn._xlws.FILTER($J$7:$J$1000-$I$7:$I$1000,$L$7:$L$1000=P34),1),"")</f>
        <v>0</v>
      </c>
      <c r="Y34" s="57" t="str" cm="1">
        <f t="array" ref="Y34">IFERROR(INDEX(_xlfn._xlws.FILTER($J$7:$J$1000-$I$7:$I$1000,$L$7:$L$1000=P34),2),"")</f>
        <v/>
      </c>
      <c r="Z34" s="58">
        <f t="shared" si="3"/>
        <v>0</v>
      </c>
      <c r="AA34" s="18" cm="1">
        <f t="array" ref="AA34">1+SUMPRODUCT(($U$31:$U$34&gt;U34)+(($U$31:$U$34=U34)*($Z$31:$Z$34&gt;Z34)))</f>
        <v>1</v>
      </c>
      <c r="AB34" s="197"/>
      <c r="AC34" s="55" t="s">
        <v>31</v>
      </c>
      <c r="AD34" s="14">
        <v>4</v>
      </c>
      <c r="AE34" s="199"/>
    </row>
    <row r="35" spans="2:31" x14ac:dyDescent="0.25">
      <c r="B35" s="14" t="s">
        <v>134</v>
      </c>
      <c r="C35" s="3" t="s">
        <v>66</v>
      </c>
      <c r="D35" s="6" t="s">
        <v>135</v>
      </c>
      <c r="E35" s="1" t="s">
        <v>136</v>
      </c>
      <c r="F35" s="3" t="str" cm="1">
        <f t="array" ref="F35">_xlfn.XLOOKUP(TRUE,(GRUPOS!$B$40:$B$51=G35)+(GRUPOS!$C$40:$C$51=G35)+(GRUPOS!$D$40:$D$51=G35)+(GRUPOS!$E$40:$E$51=G35)&gt;0,GRUPOS!$A$40:$A$51)</f>
        <v>D</v>
      </c>
      <c r="G35" s="1" t="str">
        <f t="shared" si="0"/>
        <v>Estados Unidos</v>
      </c>
      <c r="H35" s="30"/>
      <c r="I35" s="3"/>
      <c r="J35" s="3"/>
      <c r="K35" s="30"/>
      <c r="L35" s="1" t="str">
        <f t="shared" si="1"/>
        <v>Australia</v>
      </c>
      <c r="M35" s="15" t="str" cm="1">
        <f t="array" ref="M35">_xlfn.XLOOKUP(TRUE,(GRUPOS!$B$40:$B$51=L35)+(GRUPOS!$C$40:$C$51=L35)+(GRUPOS!$D$40:$D$51=L35)+(GRUPOS!$E$40:$E$51=L35)&gt;0,GRUPOS!$A$40:$A$51)</f>
        <v>D</v>
      </c>
      <c r="O35" s="59" t="s">
        <v>36</v>
      </c>
      <c r="P35" s="48" t="s">
        <v>37</v>
      </c>
      <c r="Q35" s="49" t="str" cm="1">
        <f t="array" ref="Q35">IFERROR(CHOOSE(MATCH(INDEX(_xlfn._xlws.FILTER($H$7:$H$1000,$G$7:$G$1000=P35),1),{"Perdió","Empató","Ganó"},0),0,1,3),"")</f>
        <v/>
      </c>
      <c r="R35" s="49" t="str" cm="1">
        <f t="array" ref="R35">IFERROR(CHOOSE(MATCH(INDEX(_xlfn._xlws.FILTER($H$7:$H$1000,$G$7:$G$1000=P35),2),{"Perdió","Empató","Ganó"},0),0,1,3),"")</f>
        <v/>
      </c>
      <c r="S35" s="49" t="str" cm="1">
        <f t="array" ref="S35">IFERROR(CHOOSE(MATCH(INDEX(_xlfn._xlws.FILTER($K$7:$K$1000,$L$7:$L$1000=P35),1),{"Perdió","Empató","Ganó"},0),0,1,3),"")</f>
        <v/>
      </c>
      <c r="T35" s="49" t="str" cm="1">
        <f t="array" ref="T35">IFERROR(CHOOSE(MATCH(INDEX(_xlfn._xlws.FILTER($K$7:$K$1000,$L$7:$L$1000=P35),2),{"Perdió","Empató","Ganó"},0),0,1,3),"")</f>
        <v/>
      </c>
      <c r="U35" s="50">
        <f t="shared" si="2"/>
        <v>0</v>
      </c>
      <c r="V35" s="51" cm="1">
        <f t="array" ref="V35">IFERROR(INDEX(_xlfn._xlws.FILTER($I$7:$I$1000-$J$7:$J$1000,$G$7:$G$1000=P35),1),"")</f>
        <v>0</v>
      </c>
      <c r="W35" s="51" cm="1">
        <f t="array" ref="W35">IFERROR(INDEX(_xlfn._xlws.FILTER($I$7:$I$1000-$J$7:$J$1000,$G$7:$G$1000=P35),2),"")</f>
        <v>0</v>
      </c>
      <c r="X35" s="51" cm="1">
        <f t="array" ref="X35">IFERROR(INDEX(_xlfn._xlws.FILTER($J$7:$J$1000-$I$7:$I$1000,$L$7:$L$1000=P35),1),"")</f>
        <v>0</v>
      </c>
      <c r="Y35" s="51" t="str" cm="1">
        <f t="array" ref="Y35">IFERROR(INDEX(_xlfn._xlws.FILTER($J$7:$J$1000-$I$7:$I$1000,$L$7:$L$1000=P35),2),"")</f>
        <v/>
      </c>
      <c r="Z35" s="52">
        <f t="shared" si="3"/>
        <v>0</v>
      </c>
      <c r="AA35" s="53" cm="1">
        <f t="array" ref="AA35">1+SUMPRODUCT(($U$35:$U$38&gt;U35)+(($U$35:$U$38=U35)*($Z$35:$Z$38&gt;Z35)))</f>
        <v>1</v>
      </c>
      <c r="AB35" s="197"/>
      <c r="AC35" s="59" t="s">
        <v>36</v>
      </c>
      <c r="AD35" s="14">
        <v>1</v>
      </c>
      <c r="AE35" s="199" t="str" cm="1">
        <f t="array" ref="AE35">IFERROR(_xlfn.TEXTJOIN(" - ",TRUE,_xlfn._xlws.FILTER($P$35:$P$38,$AA$35:$AA$38=1)),"")</f>
        <v>España - Cabo Verde - Arabia Saudita - Uruguay</v>
      </c>
    </row>
    <row r="36" spans="2:31" x14ac:dyDescent="0.25">
      <c r="B36" s="14" t="s">
        <v>134</v>
      </c>
      <c r="C36" s="3" t="s">
        <v>81</v>
      </c>
      <c r="D36" s="6" t="s">
        <v>137</v>
      </c>
      <c r="E36" s="1" t="s">
        <v>138</v>
      </c>
      <c r="F36" s="3" t="str" cm="1">
        <f t="array" ref="F36">_xlfn.XLOOKUP(TRUE,(GRUPOS!$B$40:$B$51=G36)+(GRUPOS!$C$40:$C$51=G36)+(GRUPOS!$D$40:$D$51=G36)+(GRUPOS!$E$40:$E$51=G36)&gt;0,GRUPOS!$A$40:$A$51)</f>
        <v>C</v>
      </c>
      <c r="G36" s="1" t="str">
        <f t="shared" si="0"/>
        <v>Escocia</v>
      </c>
      <c r="H36" s="30"/>
      <c r="I36" s="3"/>
      <c r="J36" s="3"/>
      <c r="K36" s="30"/>
      <c r="L36" s="1" t="str">
        <f t="shared" si="1"/>
        <v>Marruecos</v>
      </c>
      <c r="M36" s="15" t="str" cm="1">
        <f t="array" ref="M36">_xlfn.XLOOKUP(TRUE,(GRUPOS!$B$40:$B$51=L36)+(GRUPOS!$C$40:$C$51=L36)+(GRUPOS!$D$40:$D$51=L36)+(GRUPOS!$E$40:$E$51=L36)&gt;0,GRUPOS!$A$40:$A$51)</f>
        <v>C</v>
      </c>
      <c r="O36" s="60" t="s">
        <v>36</v>
      </c>
      <c r="P36" s="1" t="s">
        <v>38</v>
      </c>
      <c r="Q36" s="3" t="str" cm="1">
        <f t="array" ref="Q36">IFERROR(CHOOSE(MATCH(INDEX(_xlfn._xlws.FILTER($H$7:$H$1000,$G$7:$G$1000=P36),1),{"Perdió","Empató","Ganó"},0),0,1,3),"")</f>
        <v/>
      </c>
      <c r="R36" s="3" t="str" cm="1">
        <f t="array" ref="R36">IFERROR(CHOOSE(MATCH(INDEX(_xlfn._xlws.FILTER($H$7:$H$1000,$G$7:$G$1000=P36),2),{"Perdió","Empató","Ganó"},0),0,1,3),"")</f>
        <v/>
      </c>
      <c r="S36" s="3" t="str" cm="1">
        <f t="array" ref="S36">IFERROR(CHOOSE(MATCH(INDEX(_xlfn._xlws.FILTER($K$7:$K$1000,$L$7:$L$1000=P36),1),{"Perdió","Empató","Ganó"},0),0,1,3),"")</f>
        <v/>
      </c>
      <c r="T36" s="3" t="str" cm="1">
        <f t="array" ref="T36">IFERROR(CHOOSE(MATCH(INDEX(_xlfn._xlws.FILTER($K$7:$K$1000,$L$7:$L$1000=P36),2),{"Perdió","Empató","Ganó"},0),0,1,3),"")</f>
        <v/>
      </c>
      <c r="U36" s="35">
        <f t="shared" si="2"/>
        <v>0</v>
      </c>
      <c r="V36" s="30" cm="1">
        <f t="array" ref="V36">IFERROR(INDEX(_xlfn._xlws.FILTER($I$7:$I$1000-$J$7:$J$1000,$G$7:$G$1000=P36),1),"")</f>
        <v>0</v>
      </c>
      <c r="W36" s="30" t="str" cm="1">
        <f t="array" ref="W36">IFERROR(INDEX(_xlfn._xlws.FILTER($I$7:$I$1000-$J$7:$J$1000,$G$7:$G$1000=P36),2),"")</f>
        <v/>
      </c>
      <c r="X36" s="30" cm="1">
        <f t="array" ref="X36">IFERROR(INDEX(_xlfn._xlws.FILTER($J$7:$J$1000-$I$7:$I$1000,$L$7:$L$1000=P36),1),"")</f>
        <v>0</v>
      </c>
      <c r="Y36" s="30" cm="1">
        <f t="array" ref="Y36">IFERROR(INDEX(_xlfn._xlws.FILTER($J$7:$J$1000-$I$7:$I$1000,$L$7:$L$1000=P36),2),"")</f>
        <v>0</v>
      </c>
      <c r="Z36" s="37">
        <f t="shared" si="3"/>
        <v>0</v>
      </c>
      <c r="AA36" s="15" cm="1">
        <f t="array" ref="AA36">1+SUMPRODUCT(($U$35:$U$38&gt;U36)+(($U$35:$U$38=U36)*($Z$35:$Z$38&gt;Z36)))</f>
        <v>1</v>
      </c>
      <c r="AB36" s="197"/>
      <c r="AC36" s="60" t="s">
        <v>36</v>
      </c>
      <c r="AD36" s="14">
        <v>2</v>
      </c>
      <c r="AE36" s="199" t="str" cm="1">
        <f t="array" ref="AE36">IFERROR(_xlfn.TEXTJOIN(" - ",TRUE,_xlfn._xlws.FILTER($P$35:$P$38,$AA$35:$AA$38=2)),"")</f>
        <v/>
      </c>
    </row>
    <row r="37" spans="2:31" x14ac:dyDescent="0.25">
      <c r="B37" s="14" t="s">
        <v>134</v>
      </c>
      <c r="C37" s="3" t="s">
        <v>139</v>
      </c>
      <c r="D37" s="6" t="s">
        <v>140</v>
      </c>
      <c r="E37" s="1" t="s">
        <v>141</v>
      </c>
      <c r="F37" s="3" t="str" cm="1">
        <f t="array" ref="F37">_xlfn.XLOOKUP(TRUE,(GRUPOS!$B$40:$B$51=G37)+(GRUPOS!$C$40:$C$51=G37)+(GRUPOS!$D$40:$D$51=G37)+(GRUPOS!$E$40:$E$51=G37)&gt;0,GRUPOS!$A$40:$A$51)</f>
        <v>C</v>
      </c>
      <c r="G37" s="1" t="str">
        <f t="shared" si="0"/>
        <v>Brasil</v>
      </c>
      <c r="H37" s="30"/>
      <c r="I37" s="3"/>
      <c r="J37" s="3"/>
      <c r="K37" s="30"/>
      <c r="L37" s="1" t="str">
        <f t="shared" si="1"/>
        <v>Haití</v>
      </c>
      <c r="M37" s="15" t="str" cm="1">
        <f t="array" ref="M37">_xlfn.XLOOKUP(TRUE,(GRUPOS!$B$40:$B$51=L37)+(GRUPOS!$C$40:$C$51=L37)+(GRUPOS!$D$40:$D$51=L37)+(GRUPOS!$E$40:$E$51=L37)&gt;0,GRUPOS!$A$40:$A$51)</f>
        <v>C</v>
      </c>
      <c r="O37" s="60" t="s">
        <v>36</v>
      </c>
      <c r="P37" s="1" t="s">
        <v>39</v>
      </c>
      <c r="Q37" s="3" t="str" cm="1">
        <f t="array" ref="Q37">IFERROR(CHOOSE(MATCH(INDEX(_xlfn._xlws.FILTER($H$7:$H$1000,$G$7:$G$1000=P37),1),{"Perdió","Empató","Ganó"},0),0,1,3),"")</f>
        <v/>
      </c>
      <c r="R37" s="3" t="str" cm="1">
        <f t="array" ref="R37">IFERROR(CHOOSE(MATCH(INDEX(_xlfn._xlws.FILTER($H$7:$H$1000,$G$7:$G$1000=P37),2),{"Perdió","Empató","Ganó"},0),0,1,3),"")</f>
        <v/>
      </c>
      <c r="S37" s="3" t="str" cm="1">
        <f t="array" ref="S37">IFERROR(CHOOSE(MATCH(INDEX(_xlfn._xlws.FILTER($K$7:$K$1000,$L$7:$L$1000=P37),1),{"Perdió","Empató","Ganó"},0),0,1,3),"")</f>
        <v/>
      </c>
      <c r="T37" s="3" t="str" cm="1">
        <f t="array" ref="T37">IFERROR(CHOOSE(MATCH(INDEX(_xlfn._xlws.FILTER($K$7:$K$1000,$L$7:$L$1000=P37),2),{"Perdió","Empató","Ganó"},0),0,1,3),"")</f>
        <v/>
      </c>
      <c r="U37" s="35">
        <f t="shared" si="2"/>
        <v>0</v>
      </c>
      <c r="V37" s="30" cm="1">
        <f t="array" ref="V37">IFERROR(INDEX(_xlfn._xlws.FILTER($I$7:$I$1000-$J$7:$J$1000,$G$7:$G$1000=P37),1),"")</f>
        <v>0</v>
      </c>
      <c r="W37" s="30" t="str" cm="1">
        <f t="array" ref="W37">IFERROR(INDEX(_xlfn._xlws.FILTER($I$7:$I$1000-$J$7:$J$1000,$G$7:$G$1000=P37),2),"")</f>
        <v/>
      </c>
      <c r="X37" s="30" cm="1">
        <f t="array" ref="X37">IFERROR(INDEX(_xlfn._xlws.FILTER($J$7:$J$1000-$I$7:$I$1000,$L$7:$L$1000=P37),1),"")</f>
        <v>0</v>
      </c>
      <c r="Y37" s="30" cm="1">
        <f t="array" ref="Y37">IFERROR(INDEX(_xlfn._xlws.FILTER($J$7:$J$1000-$I$7:$I$1000,$L$7:$L$1000=P37),2),"")</f>
        <v>0</v>
      </c>
      <c r="Z37" s="37">
        <f t="shared" si="3"/>
        <v>0</v>
      </c>
      <c r="AA37" s="15" cm="1">
        <f t="array" ref="AA37">1+SUMPRODUCT(($U$35:$U$38&gt;U37)+(($U$35:$U$38=U37)*($Z$35:$Z$38&gt;Z37)))</f>
        <v>1</v>
      </c>
      <c r="AB37" s="197"/>
      <c r="AC37" s="60" t="s">
        <v>36</v>
      </c>
      <c r="AD37" s="14">
        <v>3</v>
      </c>
      <c r="AE37" s="199" t="str" cm="1">
        <f t="array" ref="AE37">IFERROR(_xlfn.TEXTJOIN(" - ",TRUE,_xlfn._xlws.FILTER($P$35:$P$38,$AA$35:$AA$38=3)),"")</f>
        <v/>
      </c>
    </row>
    <row r="38" spans="2:31" ht="15.75" thickBot="1" x14ac:dyDescent="0.3">
      <c r="B38" s="14" t="s">
        <v>134</v>
      </c>
      <c r="C38" s="3" t="s">
        <v>142</v>
      </c>
      <c r="D38" s="6" t="s">
        <v>143</v>
      </c>
      <c r="E38" s="1" t="s">
        <v>115</v>
      </c>
      <c r="F38" s="3" t="str" cm="1">
        <f t="array" ref="F38">_xlfn.XLOOKUP(TRUE,(GRUPOS!$B$40:$B$51=G38)+(GRUPOS!$C$40:$C$51=G38)+(GRUPOS!$D$40:$D$51=G38)+(GRUPOS!$E$40:$E$51=G38)&gt;0,GRUPOS!$A$40:$A$51)</f>
        <v>D</v>
      </c>
      <c r="G38" s="1" t="str">
        <f t="shared" si="0"/>
        <v>Turquía</v>
      </c>
      <c r="H38" s="30"/>
      <c r="I38" s="3"/>
      <c r="J38" s="3"/>
      <c r="K38" s="30"/>
      <c r="L38" s="1" t="str">
        <f t="shared" si="1"/>
        <v>Paraguay</v>
      </c>
      <c r="M38" s="15" t="str" cm="1">
        <f t="array" ref="M38">_xlfn.XLOOKUP(TRUE,(GRUPOS!$B$40:$B$51=L38)+(GRUPOS!$C$40:$C$51=L38)+(GRUPOS!$D$40:$D$51=L38)+(GRUPOS!$E$40:$E$51=L38)&gt;0,GRUPOS!$A$40:$A$51)</f>
        <v>D</v>
      </c>
      <c r="O38" s="61" t="s">
        <v>36</v>
      </c>
      <c r="P38" s="11" t="s">
        <v>40</v>
      </c>
      <c r="Q38" s="13" t="str" cm="1">
        <f t="array" ref="Q38">IFERROR(CHOOSE(MATCH(INDEX(_xlfn._xlws.FILTER($H$7:$H$1000,$G$7:$G$1000=P38),1),{"Perdió","Empató","Ganó"},0),0,1,3),"")</f>
        <v/>
      </c>
      <c r="R38" s="13" t="str" cm="1">
        <f t="array" ref="R38">IFERROR(CHOOSE(MATCH(INDEX(_xlfn._xlws.FILTER($H$7:$H$1000,$G$7:$G$1000=P38),2),{"Perdió","Empató","Ganó"},0),0,1,3),"")</f>
        <v/>
      </c>
      <c r="S38" s="13" t="str" cm="1">
        <f t="array" ref="S38">IFERROR(CHOOSE(MATCH(INDEX(_xlfn._xlws.FILTER($K$7:$K$1000,$L$7:$L$1000=P38),1),{"Perdió","Empató","Ganó"},0),0,1,3),"")</f>
        <v/>
      </c>
      <c r="T38" s="13" t="str" cm="1">
        <f t="array" ref="T38">IFERROR(CHOOSE(MATCH(INDEX(_xlfn._xlws.FILTER($K$7:$K$1000,$L$7:$L$1000=P38),2),{"Perdió","Empató","Ganó"},0),0,1,3),"")</f>
        <v/>
      </c>
      <c r="U38" s="56">
        <f t="shared" si="2"/>
        <v>0</v>
      </c>
      <c r="V38" s="57" cm="1">
        <f t="array" ref="V38">IFERROR(INDEX(_xlfn._xlws.FILTER($I$7:$I$1000-$J$7:$J$1000,$G$7:$G$1000=P38),1),"")</f>
        <v>0</v>
      </c>
      <c r="W38" s="57" cm="1">
        <f t="array" ref="W38">IFERROR(INDEX(_xlfn._xlws.FILTER($I$7:$I$1000-$J$7:$J$1000,$G$7:$G$1000=P38),2),"")</f>
        <v>0</v>
      </c>
      <c r="X38" s="57" cm="1">
        <f t="array" ref="X38">IFERROR(INDEX(_xlfn._xlws.FILTER($J$7:$J$1000-$I$7:$I$1000,$L$7:$L$1000=P38),1),"")</f>
        <v>0</v>
      </c>
      <c r="Y38" s="57" t="str" cm="1">
        <f t="array" ref="Y38">IFERROR(INDEX(_xlfn._xlws.FILTER($J$7:$J$1000-$I$7:$I$1000,$L$7:$L$1000=P38),2),"")</f>
        <v/>
      </c>
      <c r="Z38" s="58">
        <f t="shared" si="3"/>
        <v>0</v>
      </c>
      <c r="AA38" s="18" cm="1">
        <f t="array" ref="AA38">1+SUMPRODUCT(($U$35:$U$38&gt;U38)+(($U$35:$U$38=U38)*($Z$35:$Z$38&gt;Z38)))</f>
        <v>1</v>
      </c>
      <c r="AB38" s="197"/>
      <c r="AC38" s="61" t="s">
        <v>36</v>
      </c>
      <c r="AD38" s="14">
        <v>4</v>
      </c>
      <c r="AE38" s="199" t="str" cm="1">
        <f t="array" ref="AE38">IFERROR(_xlfn.TEXTJOIN(" - ",TRUE,_xlfn._xlws.FILTER($P$35:$P$38,$AA$35:$AA$38=4)),"")</f>
        <v/>
      </c>
    </row>
    <row r="39" spans="2:31" x14ac:dyDescent="0.25">
      <c r="B39" s="14" t="s">
        <v>144</v>
      </c>
      <c r="C39" s="3" t="s">
        <v>90</v>
      </c>
      <c r="D39" s="6" t="s">
        <v>145</v>
      </c>
      <c r="E39" s="1" t="s">
        <v>118</v>
      </c>
      <c r="F39" s="3" t="str" cm="1">
        <f t="array" ref="F39">_xlfn.XLOOKUP(TRUE,(GRUPOS!$B$40:$B$51=G39)+(GRUPOS!$C$40:$C$51=G39)+(GRUPOS!$D$40:$D$51=G39)+(GRUPOS!$E$40:$E$51=G39)&gt;0,GRUPOS!$A$40:$A$51)</f>
        <v>F</v>
      </c>
      <c r="G39" s="1" t="str">
        <f t="shared" ref="G39:G70" si="4">LEFT(D39,FIND(" vs ",D39)-1)</f>
        <v>Países Bajos</v>
      </c>
      <c r="H39" s="30"/>
      <c r="I39" s="3"/>
      <c r="J39" s="3"/>
      <c r="K39" s="30"/>
      <c r="L39" s="1" t="str">
        <f t="shared" ref="L39:L70" si="5">MID(D39,FIND(" vs ",D39)+4,LEN(D39))</f>
        <v>Suecia</v>
      </c>
      <c r="M39" s="15" t="str" cm="1">
        <f t="array" ref="M39">_xlfn.XLOOKUP(TRUE,(GRUPOS!$B$40:$B$51=L39)+(GRUPOS!$C$40:$C$51=L39)+(GRUPOS!$D$40:$D$51=L39)+(GRUPOS!$E$40:$E$51=L39)&gt;0,GRUPOS!$A$40:$A$51)</f>
        <v>F</v>
      </c>
      <c r="O39" s="47" t="s">
        <v>41</v>
      </c>
      <c r="P39" s="48" t="s">
        <v>42</v>
      </c>
      <c r="Q39" s="49" t="str" cm="1">
        <f t="array" ref="Q39">IFERROR(CHOOSE(MATCH(INDEX(_xlfn._xlws.FILTER($H$7:$H$1000,$G$7:$G$1000=P39),1),{"Perdió","Empató","Ganó"},0),0,1,3),"")</f>
        <v/>
      </c>
      <c r="R39" s="49" t="str" cm="1">
        <f t="array" ref="R39">IFERROR(CHOOSE(MATCH(INDEX(_xlfn._xlws.FILTER($H$7:$H$1000,$G$7:$G$1000=P39),2),{"Perdió","Empató","Ganó"},0),0,1,3),"")</f>
        <v/>
      </c>
      <c r="S39" s="49" t="str" cm="1">
        <f t="array" ref="S39">IFERROR(CHOOSE(MATCH(INDEX(_xlfn._xlws.FILTER($K$7:$K$1000,$L$7:$L$1000=P39),1),{"Perdió","Empató","Ganó"},0),0,1,3),"")</f>
        <v/>
      </c>
      <c r="T39" s="49" t="str" cm="1">
        <f t="array" ref="T39">IFERROR(CHOOSE(MATCH(INDEX(_xlfn._xlws.FILTER($K$7:$K$1000,$L$7:$L$1000=P39),2),{"Perdió","Empató","Ganó"},0),0,1,3),"")</f>
        <v/>
      </c>
      <c r="U39" s="50">
        <f t="shared" si="2"/>
        <v>0</v>
      </c>
      <c r="V39" s="51" cm="1">
        <f t="array" ref="V39">IFERROR(INDEX(_xlfn._xlws.FILTER($I$7:$I$1000-$J$7:$J$1000,$G$7:$G$1000=P39),1),"")</f>
        <v>0</v>
      </c>
      <c r="W39" s="51" cm="1">
        <f t="array" ref="W39">IFERROR(INDEX(_xlfn._xlws.FILTER($I$7:$I$1000-$J$7:$J$1000,$G$7:$G$1000=P39),2),"")</f>
        <v>0</v>
      </c>
      <c r="X39" s="51" cm="1">
        <f t="array" ref="X39">IFERROR(INDEX(_xlfn._xlws.FILTER($J$7:$J$1000-$I$7:$I$1000,$L$7:$L$1000=P39),1),"")</f>
        <v>0</v>
      </c>
      <c r="Y39" s="51" t="str" cm="1">
        <f t="array" ref="Y39">IFERROR(INDEX(_xlfn._xlws.FILTER($J$7:$J$1000-$I$7:$I$1000,$L$7:$L$1000=P39),2),"")</f>
        <v/>
      </c>
      <c r="Z39" s="52">
        <f t="shared" si="3"/>
        <v>0</v>
      </c>
      <c r="AA39" s="53" cm="1">
        <f t="array" ref="AA39">1+SUMPRODUCT(($U$39:$U$42&gt;U39)+(($U$39:$U$42=U39)*($Z$39:$Z$42&gt;Z39)))</f>
        <v>1</v>
      </c>
      <c r="AB39" s="197"/>
      <c r="AC39" s="47" t="s">
        <v>41</v>
      </c>
      <c r="AD39" s="14">
        <v>1</v>
      </c>
      <c r="AE39" s="199" t="str" cm="1">
        <f t="array" ref="AE39">IFERROR(_xlfn.TEXTJOIN(" - ",TRUE,_xlfn._xlws.FILTER($P$39:$P$42,$AA$39:$AA$42=1)),"")</f>
        <v>Francia - Senegal - Irak - Noruega</v>
      </c>
    </row>
    <row r="40" spans="2:31" x14ac:dyDescent="0.25">
      <c r="B40" s="14" t="s">
        <v>144</v>
      </c>
      <c r="C40" s="3" t="s">
        <v>93</v>
      </c>
      <c r="D40" s="6" t="s">
        <v>146</v>
      </c>
      <c r="E40" s="1" t="s">
        <v>122</v>
      </c>
      <c r="F40" s="3" t="str" cm="1">
        <f t="array" ref="F40">_xlfn.XLOOKUP(TRUE,(GRUPOS!$B$40:$B$51=G40)+(GRUPOS!$C$40:$C$51=G40)+(GRUPOS!$D$40:$D$51=G40)+(GRUPOS!$E$40:$E$51=G40)&gt;0,GRUPOS!$A$40:$A$51)</f>
        <v>E</v>
      </c>
      <c r="G40" s="1" t="str">
        <f t="shared" si="4"/>
        <v>Alemania</v>
      </c>
      <c r="H40" s="30"/>
      <c r="I40" s="3"/>
      <c r="J40" s="3"/>
      <c r="K40" s="30"/>
      <c r="L40" s="1" t="str">
        <f t="shared" si="5"/>
        <v>Costa de Marfil</v>
      </c>
      <c r="M40" s="15" t="str" cm="1">
        <f t="array" ref="M40">_xlfn.XLOOKUP(TRUE,(GRUPOS!$B$40:$B$51=L40)+(GRUPOS!$C$40:$C$51=L40)+(GRUPOS!$D$40:$D$51=L40)+(GRUPOS!$E$40:$E$51=L40)&gt;0,GRUPOS!$A$40:$A$51)</f>
        <v>E</v>
      </c>
      <c r="O40" s="54" t="s">
        <v>41</v>
      </c>
      <c r="P40" s="1" t="s">
        <v>43</v>
      </c>
      <c r="Q40" s="3" t="str" cm="1">
        <f t="array" ref="Q40">IFERROR(CHOOSE(MATCH(INDEX(_xlfn._xlws.FILTER($H$7:$H$1000,$G$7:$G$1000=P40),1),{"Perdió","Empató","Ganó"},0),0,1,3),"")</f>
        <v/>
      </c>
      <c r="R40" s="3" t="str" cm="1">
        <f t="array" ref="R40">IFERROR(CHOOSE(MATCH(INDEX(_xlfn._xlws.FILTER($H$7:$H$1000,$G$7:$G$1000=P40),2),{"Perdió","Empató","Ganó"},0),0,1,3),"")</f>
        <v/>
      </c>
      <c r="S40" s="3" t="str" cm="1">
        <f t="array" ref="S40">IFERROR(CHOOSE(MATCH(INDEX(_xlfn._xlws.FILTER($K$7:$K$1000,$L$7:$L$1000=P40),1),{"Perdió","Empató","Ganó"},0),0,1,3),"")</f>
        <v/>
      </c>
      <c r="T40" s="3" t="str" cm="1">
        <f t="array" ref="T40">IFERROR(CHOOSE(MATCH(INDEX(_xlfn._xlws.FILTER($K$7:$K$1000,$L$7:$L$1000=P40),2),{"Perdió","Empató","Ganó"},0),0,1,3),"")</f>
        <v/>
      </c>
      <c r="U40" s="35">
        <f t="shared" si="2"/>
        <v>0</v>
      </c>
      <c r="V40" s="30" cm="1">
        <f t="array" ref="V40">IFERROR(INDEX(_xlfn._xlws.FILTER($I$7:$I$1000-$J$7:$J$1000,$G$7:$G$1000=P40),1),"")</f>
        <v>0</v>
      </c>
      <c r="W40" s="30" t="str" cm="1">
        <f t="array" ref="W40">IFERROR(INDEX(_xlfn._xlws.FILTER($I$7:$I$1000-$J$7:$J$1000,$G$7:$G$1000=P40),2),"")</f>
        <v/>
      </c>
      <c r="X40" s="30" cm="1">
        <f t="array" ref="X40">IFERROR(INDEX(_xlfn._xlws.FILTER($J$7:$J$1000-$I$7:$I$1000,$L$7:$L$1000=P40),1),"")</f>
        <v>0</v>
      </c>
      <c r="Y40" s="30" cm="1">
        <f t="array" ref="Y40">IFERROR(INDEX(_xlfn._xlws.FILTER($J$7:$J$1000-$I$7:$I$1000,$L$7:$L$1000=P40),2),"")</f>
        <v>0</v>
      </c>
      <c r="Z40" s="37">
        <f t="shared" si="3"/>
        <v>0</v>
      </c>
      <c r="AA40" s="15" cm="1">
        <f t="array" ref="AA40">1+SUMPRODUCT(($U$39:$U$42&gt;U40)+(($U$39:$U$42=U40)*($Z$39:$Z$42&gt;Z40)))</f>
        <v>1</v>
      </c>
      <c r="AB40" s="197"/>
      <c r="AC40" s="54" t="s">
        <v>41</v>
      </c>
      <c r="AD40" s="14">
        <v>2</v>
      </c>
      <c r="AE40" s="199" t="str" cm="1">
        <f t="array" ref="AE40">IFERROR(_xlfn.TEXTJOIN(" - ",TRUE,_xlfn._xlws.FILTER($P$39:$P$42,$AA$39:$AA$42=2)),"")</f>
        <v/>
      </c>
    </row>
    <row r="41" spans="2:31" x14ac:dyDescent="0.25">
      <c r="B41" s="14" t="s">
        <v>144</v>
      </c>
      <c r="C41" s="3" t="s">
        <v>147</v>
      </c>
      <c r="D41" s="6" t="s">
        <v>148</v>
      </c>
      <c r="E41" s="1" t="s">
        <v>113</v>
      </c>
      <c r="F41" s="3" t="str" cm="1">
        <f t="array" ref="F41">_xlfn.XLOOKUP(TRUE,(GRUPOS!$B$40:$B$51=G41)+(GRUPOS!$C$40:$C$51=G41)+(GRUPOS!$D$40:$D$51=G41)+(GRUPOS!$E$40:$E$51=G41)&gt;0,GRUPOS!$A$40:$A$51)</f>
        <v>E</v>
      </c>
      <c r="G41" s="1" t="str">
        <f t="shared" si="4"/>
        <v>Ecuador</v>
      </c>
      <c r="H41" s="30"/>
      <c r="I41" s="3"/>
      <c r="J41" s="3"/>
      <c r="K41" s="30"/>
      <c r="L41" s="1" t="str">
        <f t="shared" si="5"/>
        <v>Curazao</v>
      </c>
      <c r="M41" s="15" t="str" cm="1">
        <f t="array" ref="M41">_xlfn.XLOOKUP(TRUE,(GRUPOS!$B$40:$B$51=L41)+(GRUPOS!$C$40:$C$51=L41)+(GRUPOS!$D$40:$D$51=L41)+(GRUPOS!$E$40:$E$51=L41)&gt;0,GRUPOS!$A$40:$A$51)</f>
        <v>E</v>
      </c>
      <c r="O41" s="54" t="s">
        <v>41</v>
      </c>
      <c r="P41" s="1" t="s">
        <v>44</v>
      </c>
      <c r="Q41" s="3" t="str" cm="1">
        <f t="array" ref="Q41">IFERROR(CHOOSE(MATCH(INDEX(_xlfn._xlws.FILTER($H$7:$H$1000,$G$7:$G$1000=P41),1),{"Perdió","Empató","Ganó"},0),0,1,3),"")</f>
        <v/>
      </c>
      <c r="R41" s="3" t="str" cm="1">
        <f t="array" ref="R41">IFERROR(CHOOSE(MATCH(INDEX(_xlfn._xlws.FILTER($H$7:$H$1000,$G$7:$G$1000=P41),2),{"Perdió","Empató","Ganó"},0),0,1,3),"")</f>
        <v/>
      </c>
      <c r="S41" s="3" t="str" cm="1">
        <f t="array" ref="S41">IFERROR(CHOOSE(MATCH(INDEX(_xlfn._xlws.FILTER($K$7:$K$1000,$L$7:$L$1000=P41),1),{"Perdió","Empató","Ganó"},0),0,1,3),"")</f>
        <v/>
      </c>
      <c r="T41" s="3" t="str" cm="1">
        <f t="array" ref="T41">IFERROR(CHOOSE(MATCH(INDEX(_xlfn._xlws.FILTER($K$7:$K$1000,$L$7:$L$1000=P41),2),{"Perdió","Empató","Ganó"},0),0,1,3),"")</f>
        <v/>
      </c>
      <c r="U41" s="35">
        <f t="shared" si="2"/>
        <v>0</v>
      </c>
      <c r="V41" s="30" cm="1">
        <f t="array" ref="V41">IFERROR(INDEX(_xlfn._xlws.FILTER($I$7:$I$1000-$J$7:$J$1000,$G$7:$G$1000=P41),1),"")</f>
        <v>0</v>
      </c>
      <c r="W41" s="30" t="str" cm="1">
        <f t="array" ref="W41">IFERROR(INDEX(_xlfn._xlws.FILTER($I$7:$I$1000-$J$7:$J$1000,$G$7:$G$1000=P41),2),"")</f>
        <v/>
      </c>
      <c r="X41" s="30" cm="1">
        <f t="array" ref="X41">IFERROR(INDEX(_xlfn._xlws.FILTER($J$7:$J$1000-$I$7:$I$1000,$L$7:$L$1000=P41),1),"")</f>
        <v>0</v>
      </c>
      <c r="Y41" s="30" cm="1">
        <f t="array" ref="Y41">IFERROR(INDEX(_xlfn._xlws.FILTER($J$7:$J$1000-$I$7:$I$1000,$L$7:$L$1000=P41),2),"")</f>
        <v>0</v>
      </c>
      <c r="Z41" s="37">
        <f t="shared" si="3"/>
        <v>0</v>
      </c>
      <c r="AA41" s="15" cm="1">
        <f t="array" ref="AA41">1+SUMPRODUCT(($U$39:$U$42&gt;U41)+(($U$39:$U$42=U41)*($Z$39:$Z$42&gt;Z41)))</f>
        <v>1</v>
      </c>
      <c r="AB41" s="197"/>
      <c r="AC41" s="54" t="s">
        <v>41</v>
      </c>
      <c r="AD41" s="14">
        <v>3</v>
      </c>
      <c r="AE41" s="199" t="str" cm="1">
        <f t="array" ref="AE41">IFERROR(_xlfn.TEXTJOIN(" - ",TRUE,_xlfn._xlws.FILTER($P$39:$P$42,$AA$39:$AA$42=3)),"")</f>
        <v/>
      </c>
    </row>
    <row r="42" spans="2:31" ht="15.75" thickBot="1" x14ac:dyDescent="0.3">
      <c r="B42" s="14" t="s">
        <v>144</v>
      </c>
      <c r="C42" s="3" t="s">
        <v>86</v>
      </c>
      <c r="D42" s="6" t="s">
        <v>149</v>
      </c>
      <c r="E42" s="1" t="s">
        <v>150</v>
      </c>
      <c r="F42" s="3" t="str" cm="1">
        <f t="array" ref="F42">_xlfn.XLOOKUP(TRUE,(GRUPOS!$B$40:$B$51=G42)+(GRUPOS!$C$40:$C$51=G42)+(GRUPOS!$D$40:$D$51=G42)+(GRUPOS!$E$40:$E$51=G42)&gt;0,GRUPOS!$A$40:$A$51)</f>
        <v>F</v>
      </c>
      <c r="G42" s="1" t="str">
        <f t="shared" si="4"/>
        <v>Túnez</v>
      </c>
      <c r="H42" s="30"/>
      <c r="I42" s="3"/>
      <c r="J42" s="3"/>
      <c r="K42" s="30"/>
      <c r="L42" s="1" t="str">
        <f t="shared" si="5"/>
        <v>Japón</v>
      </c>
      <c r="M42" s="15" t="str" cm="1">
        <f t="array" ref="M42">_xlfn.XLOOKUP(TRUE,(GRUPOS!$B$40:$B$51=L42)+(GRUPOS!$C$40:$C$51=L42)+(GRUPOS!$D$40:$D$51=L42)+(GRUPOS!$E$40:$E$51=L42)&gt;0,GRUPOS!$A$40:$A$51)</f>
        <v>F</v>
      </c>
      <c r="O42" s="55" t="s">
        <v>41</v>
      </c>
      <c r="P42" s="11" t="s">
        <v>45</v>
      </c>
      <c r="Q42" s="13" t="str" cm="1">
        <f t="array" ref="Q42">IFERROR(CHOOSE(MATCH(INDEX(_xlfn._xlws.FILTER($H$7:$H$1000,$G$7:$G$1000=P42),1),{"Perdió","Empató","Ganó"},0),0,1,3),"")</f>
        <v/>
      </c>
      <c r="R42" s="13" t="str" cm="1">
        <f t="array" ref="R42">IFERROR(CHOOSE(MATCH(INDEX(_xlfn._xlws.FILTER($H$7:$H$1000,$G$7:$G$1000=P42),2),{"Perdió","Empató","Ganó"},0),0,1,3),"")</f>
        <v/>
      </c>
      <c r="S42" s="13" t="str" cm="1">
        <f t="array" ref="S42">IFERROR(CHOOSE(MATCH(INDEX(_xlfn._xlws.FILTER($K$7:$K$1000,$L$7:$L$1000=P42),1),{"Perdió","Empató","Ganó"},0),0,1,3),"")</f>
        <v/>
      </c>
      <c r="T42" s="13" t="str" cm="1">
        <f t="array" ref="T42">IFERROR(CHOOSE(MATCH(INDEX(_xlfn._xlws.FILTER($K$7:$K$1000,$L$7:$L$1000=P42),2),{"Perdió","Empató","Ganó"},0),0,1,3),"")</f>
        <v/>
      </c>
      <c r="U42" s="56">
        <f t="shared" si="2"/>
        <v>0</v>
      </c>
      <c r="V42" s="57" cm="1">
        <f t="array" ref="V42">IFERROR(INDEX(_xlfn._xlws.FILTER($I$7:$I$1000-$J$7:$J$1000,$G$7:$G$1000=P42),1),"")</f>
        <v>0</v>
      </c>
      <c r="W42" s="57" cm="1">
        <f t="array" ref="W42">IFERROR(INDEX(_xlfn._xlws.FILTER($I$7:$I$1000-$J$7:$J$1000,$G$7:$G$1000=P42),2),"")</f>
        <v>0</v>
      </c>
      <c r="X42" s="57" cm="1">
        <f t="array" ref="X42">IFERROR(INDEX(_xlfn._xlws.FILTER($J$7:$J$1000-$I$7:$I$1000,$L$7:$L$1000=P42),1),"")</f>
        <v>0</v>
      </c>
      <c r="Y42" s="57" t="str" cm="1">
        <f t="array" ref="Y42">IFERROR(INDEX(_xlfn._xlws.FILTER($J$7:$J$1000-$I$7:$I$1000,$L$7:$L$1000=P42),2),"")</f>
        <v/>
      </c>
      <c r="Z42" s="58">
        <f t="shared" si="3"/>
        <v>0</v>
      </c>
      <c r="AA42" s="18" cm="1">
        <f t="array" ref="AA42">1+SUMPRODUCT(($U$39:$U$42&gt;U42)+(($U$39:$U$42=U42)*($Z$39:$Z$42&gt;Z42)))</f>
        <v>1</v>
      </c>
      <c r="AB42" s="197"/>
      <c r="AC42" s="55" t="s">
        <v>41</v>
      </c>
      <c r="AD42" s="14">
        <v>4</v>
      </c>
      <c r="AE42" s="199" t="str" cm="1">
        <f t="array" ref="AE42">IFERROR(_xlfn.TEXTJOIN(" - ",TRUE,_xlfn._xlws.FILTER($P$39:$P$42,$AA$39:$AA$42=4)),"")</f>
        <v/>
      </c>
    </row>
    <row r="43" spans="2:31" x14ac:dyDescent="0.25">
      <c r="B43" s="14" t="s">
        <v>151</v>
      </c>
      <c r="C43" s="3" t="s">
        <v>102</v>
      </c>
      <c r="D43" s="6" t="s">
        <v>250</v>
      </c>
      <c r="E43" s="1" t="s">
        <v>127</v>
      </c>
      <c r="F43" s="3" t="str" cm="1">
        <f t="array" ref="F43">_xlfn.XLOOKUP(TRUE,(GRUPOS!$B$40:$B$51=G43)+(GRUPOS!$C$40:$C$51=G43)+(GRUPOS!$D$40:$D$51=G43)+(GRUPOS!$E$40:$E$51=G43)&gt;0,GRUPOS!$A$40:$A$51)</f>
        <v>H</v>
      </c>
      <c r="G43" s="1" t="str">
        <f t="shared" si="4"/>
        <v>España</v>
      </c>
      <c r="H43" s="30"/>
      <c r="I43" s="3"/>
      <c r="J43" s="3"/>
      <c r="K43" s="30"/>
      <c r="L43" s="1" t="str">
        <f t="shared" si="5"/>
        <v>Arabia Saudita</v>
      </c>
      <c r="M43" s="15" t="str" cm="1">
        <f t="array" ref="M43">_xlfn.XLOOKUP(TRUE,(GRUPOS!$B$40:$B$51=L43)+(GRUPOS!$C$40:$C$51=L43)+(GRUPOS!$D$40:$D$51=L43)+(GRUPOS!$E$40:$E$51=L43)&gt;0,GRUPOS!$A$40:$A$51)</f>
        <v>H</v>
      </c>
      <c r="O43" s="59" t="s">
        <v>46</v>
      </c>
      <c r="P43" s="48" t="s">
        <v>47</v>
      </c>
      <c r="Q43" s="49" t="str" cm="1">
        <f t="array" ref="Q43">IFERROR(CHOOSE(MATCH(INDEX(_xlfn._xlws.FILTER($H$7:$H$1000,$G$7:$G$1000=P43),1),{"Perdió","Empató","Ganó"},0),0,1,3),"")</f>
        <v/>
      </c>
      <c r="R43" s="49" t="str" cm="1">
        <f t="array" ref="R43">IFERROR(CHOOSE(MATCH(INDEX(_xlfn._xlws.FILTER($H$7:$H$1000,$G$7:$G$1000=P43),2),{"Perdió","Empató","Ganó"},0),0,1,3),"")</f>
        <v/>
      </c>
      <c r="S43" s="49" t="str" cm="1">
        <f t="array" ref="S43">IFERROR(CHOOSE(MATCH(INDEX(_xlfn._xlws.FILTER($K$7:$K$1000,$L$7:$L$1000=P43),1),{"Perdió","Empató","Ganó"},0),0,1,3),"")</f>
        <v/>
      </c>
      <c r="T43" s="49" t="str" cm="1">
        <f t="array" ref="T43">IFERROR(CHOOSE(MATCH(INDEX(_xlfn._xlws.FILTER($K$7:$K$1000,$L$7:$L$1000=P43),2),{"Perdió","Empató","Ganó"},0),0,1,3),"")</f>
        <v/>
      </c>
      <c r="U43" s="50">
        <f t="shared" si="2"/>
        <v>0</v>
      </c>
      <c r="V43" s="51" cm="1">
        <f t="array" ref="V43">IFERROR(INDEX(_xlfn._xlws.FILTER($I$7:$I$1000-$J$7:$J$1000,$G$7:$G$1000=P43),1),"")</f>
        <v>0</v>
      </c>
      <c r="W43" s="51" cm="1">
        <f t="array" ref="W43">IFERROR(INDEX(_xlfn._xlws.FILTER($I$7:$I$1000-$J$7:$J$1000,$G$7:$G$1000=P43),2),"")</f>
        <v>0</v>
      </c>
      <c r="X43" s="51" cm="1">
        <f t="array" ref="X43">IFERROR(INDEX(_xlfn._xlws.FILTER($J$7:$J$1000-$I$7:$I$1000,$L$7:$L$1000=P43),1),"")</f>
        <v>0</v>
      </c>
      <c r="Y43" s="51" t="str" cm="1">
        <f t="array" ref="Y43">IFERROR(INDEX(_xlfn._xlws.FILTER($J$7:$J$1000-$I$7:$I$1000,$L$7:$L$1000=P43),2),"")</f>
        <v/>
      </c>
      <c r="Z43" s="52">
        <f t="shared" si="3"/>
        <v>0</v>
      </c>
      <c r="AA43" s="53" cm="1">
        <f t="array" ref="AA43">1+SUMPRODUCT(($U$43:$U$46&gt;U43)+(($U$43:$U$46=U43)*($Z$43:$Z$46&gt;Z43)))</f>
        <v>1</v>
      </c>
      <c r="AB43" s="197"/>
      <c r="AC43" s="59" t="s">
        <v>46</v>
      </c>
      <c r="AD43" s="14">
        <v>1</v>
      </c>
      <c r="AE43" s="199" t="str" cm="1">
        <f t="array" ref="AE43">IFERROR(_xlfn.TEXTJOIN(" - ",TRUE,_xlfn._xlws.FILTER($P$43:$P$46,$AA$43:$AA$46=1)),"")</f>
        <v>Argentina - Argelia - Austria - Jordania</v>
      </c>
    </row>
    <row r="44" spans="2:31" x14ac:dyDescent="0.25">
      <c r="B44" s="14" t="s">
        <v>151</v>
      </c>
      <c r="C44" s="3" t="s">
        <v>66</v>
      </c>
      <c r="D44" s="6" t="s">
        <v>152</v>
      </c>
      <c r="E44" s="1" t="s">
        <v>129</v>
      </c>
      <c r="F44" s="3" t="str" cm="1">
        <f t="array" ref="F44">_xlfn.XLOOKUP(TRUE,(GRUPOS!$B$40:$B$51=G44)+(GRUPOS!$C$40:$C$51=G44)+(GRUPOS!$D$40:$D$51=G44)+(GRUPOS!$E$40:$E$51=G44)&gt;0,GRUPOS!$A$40:$A$51)</f>
        <v>G</v>
      </c>
      <c r="G44" s="1" t="str">
        <f t="shared" si="4"/>
        <v>Bélgica</v>
      </c>
      <c r="H44" s="30"/>
      <c r="I44" s="3"/>
      <c r="J44" s="3"/>
      <c r="K44" s="30"/>
      <c r="L44" s="1" t="str">
        <f t="shared" si="5"/>
        <v>Irán</v>
      </c>
      <c r="M44" s="15" t="str" cm="1">
        <f t="array" ref="M44">_xlfn.XLOOKUP(TRUE,(GRUPOS!$B$40:$B$51=L44)+(GRUPOS!$C$40:$C$51=L44)+(GRUPOS!$D$40:$D$51=L44)+(GRUPOS!$E$40:$E$51=L44)&gt;0,GRUPOS!$A$40:$A$51)</f>
        <v>G</v>
      </c>
      <c r="O44" s="60" t="s">
        <v>46</v>
      </c>
      <c r="P44" s="1" t="s">
        <v>48</v>
      </c>
      <c r="Q44" s="3" t="str" cm="1">
        <f t="array" ref="Q44">IFERROR(CHOOSE(MATCH(INDEX(_xlfn._xlws.FILTER($H$7:$H$1000,$G$7:$G$1000=P44),1),{"Perdió","Empató","Ganó"},0),0,1,3),"")</f>
        <v/>
      </c>
      <c r="R44" s="3" t="str" cm="1">
        <f t="array" ref="R44">IFERROR(CHOOSE(MATCH(INDEX(_xlfn._xlws.FILTER($H$7:$H$1000,$G$7:$G$1000=P44),2),{"Perdió","Empató","Ganó"},0),0,1,3),"")</f>
        <v/>
      </c>
      <c r="S44" s="3" t="str" cm="1">
        <f t="array" ref="S44">IFERROR(CHOOSE(MATCH(INDEX(_xlfn._xlws.FILTER($K$7:$K$1000,$L$7:$L$1000=P44),1),{"Perdió","Empató","Ganó"},0),0,1,3),"")</f>
        <v/>
      </c>
      <c r="T44" s="3" t="str" cm="1">
        <f t="array" ref="T44">IFERROR(CHOOSE(MATCH(INDEX(_xlfn._xlws.FILTER($K$7:$K$1000,$L$7:$L$1000=P44),2),{"Perdió","Empató","Ganó"},0),0,1,3),"")</f>
        <v/>
      </c>
      <c r="U44" s="35">
        <f t="shared" si="2"/>
        <v>0</v>
      </c>
      <c r="V44" s="30" cm="1">
        <f t="array" ref="V44">IFERROR(INDEX(_xlfn._xlws.FILTER($I$7:$I$1000-$J$7:$J$1000,$G$7:$G$1000=P44),1),"")</f>
        <v>0</v>
      </c>
      <c r="W44" s="30" t="str" cm="1">
        <f t="array" ref="W44">IFERROR(INDEX(_xlfn._xlws.FILTER($I$7:$I$1000-$J$7:$J$1000,$G$7:$G$1000=P44),2),"")</f>
        <v/>
      </c>
      <c r="X44" s="30" cm="1">
        <f t="array" ref="X44">IFERROR(INDEX(_xlfn._xlws.FILTER($J$7:$J$1000-$I$7:$I$1000,$L$7:$L$1000=P44),1),"")</f>
        <v>0</v>
      </c>
      <c r="Y44" s="30" cm="1">
        <f t="array" ref="Y44">IFERROR(INDEX(_xlfn._xlws.FILTER($J$7:$J$1000-$I$7:$I$1000,$L$7:$L$1000=P44),2),"")</f>
        <v>0</v>
      </c>
      <c r="Z44" s="37">
        <f t="shared" si="3"/>
        <v>0</v>
      </c>
      <c r="AA44" s="15" cm="1">
        <f t="array" ref="AA44">1+SUMPRODUCT(($U$43:$U$46&gt;U44)+(($U$43:$U$46=U44)*($Z$43:$Z$46&gt;Z44)))</f>
        <v>1</v>
      </c>
      <c r="AB44" s="197"/>
      <c r="AC44" s="60" t="s">
        <v>46</v>
      </c>
      <c r="AD44" s="14">
        <v>2</v>
      </c>
      <c r="AE44" s="199" t="str" cm="1">
        <f t="array" ref="AE44">IFERROR(_xlfn.TEXTJOIN(" - ",TRUE,_xlfn._xlws.FILTER($P$43:$P$46,$AA$43:$AA$46=2)),"")</f>
        <v/>
      </c>
    </row>
    <row r="45" spans="2:31" x14ac:dyDescent="0.25">
      <c r="B45" s="14" t="s">
        <v>151</v>
      </c>
      <c r="C45" s="3" t="s">
        <v>81</v>
      </c>
      <c r="D45" s="6" t="s">
        <v>153</v>
      </c>
      <c r="E45" s="1" t="s">
        <v>154</v>
      </c>
      <c r="F45" s="3" t="str" cm="1">
        <f t="array" ref="F45">_xlfn.XLOOKUP(TRUE,(GRUPOS!$B$40:$B$51=G45)+(GRUPOS!$C$40:$C$51=G45)+(GRUPOS!$D$40:$D$51=G45)+(GRUPOS!$E$40:$E$51=G45)&gt;0,GRUPOS!$A$40:$A$51)</f>
        <v>H</v>
      </c>
      <c r="G45" s="1" t="str">
        <f t="shared" si="4"/>
        <v>Uruguay</v>
      </c>
      <c r="H45" s="30"/>
      <c r="I45" s="3"/>
      <c r="J45" s="3"/>
      <c r="K45" s="30"/>
      <c r="L45" s="1" t="str">
        <f t="shared" si="5"/>
        <v>Cabo Verde</v>
      </c>
      <c r="M45" s="15" t="str" cm="1">
        <f t="array" ref="M45">_xlfn.XLOOKUP(TRUE,(GRUPOS!$B$40:$B$51=L45)+(GRUPOS!$C$40:$C$51=L45)+(GRUPOS!$D$40:$D$51=L45)+(GRUPOS!$E$40:$E$51=L45)&gt;0,GRUPOS!$A$40:$A$51)</f>
        <v>H</v>
      </c>
      <c r="O45" s="60" t="s">
        <v>46</v>
      </c>
      <c r="P45" s="1" t="s">
        <v>49</v>
      </c>
      <c r="Q45" s="3" t="str" cm="1">
        <f t="array" ref="Q45">IFERROR(CHOOSE(MATCH(INDEX(_xlfn._xlws.FILTER($H$7:$H$1000,$G$7:$G$1000=P45),1),{"Perdió","Empató","Ganó"},0),0,1,3),"")</f>
        <v/>
      </c>
      <c r="R45" s="3" t="str" cm="1">
        <f t="array" ref="R45">IFERROR(CHOOSE(MATCH(INDEX(_xlfn._xlws.FILTER($H$7:$H$1000,$G$7:$G$1000=P45),2),{"Perdió","Empató","Ganó"},0),0,1,3),"")</f>
        <v/>
      </c>
      <c r="S45" s="3" t="str" cm="1">
        <f t="array" ref="S45">IFERROR(CHOOSE(MATCH(INDEX(_xlfn._xlws.FILTER($K$7:$K$1000,$L$7:$L$1000=P45),1),{"Perdió","Empató","Ganó"},0),0,1,3),"")</f>
        <v/>
      </c>
      <c r="T45" s="3" t="str" cm="1">
        <f t="array" ref="T45">IFERROR(CHOOSE(MATCH(INDEX(_xlfn._xlws.FILTER($K$7:$K$1000,$L$7:$L$1000=P45),2),{"Perdió","Empató","Ganó"},0),0,1,3),"")</f>
        <v/>
      </c>
      <c r="U45" s="35">
        <f t="shared" si="2"/>
        <v>0</v>
      </c>
      <c r="V45" s="30" cm="1">
        <f t="array" ref="V45">IFERROR(INDEX(_xlfn._xlws.FILTER($I$7:$I$1000-$J$7:$J$1000,$G$7:$G$1000=P45),1),"")</f>
        <v>0</v>
      </c>
      <c r="W45" s="30" t="str" cm="1">
        <f t="array" ref="W45">IFERROR(INDEX(_xlfn._xlws.FILTER($I$7:$I$1000-$J$7:$J$1000,$G$7:$G$1000=P45),2),"")</f>
        <v/>
      </c>
      <c r="X45" s="30" cm="1">
        <f t="array" ref="X45">IFERROR(INDEX(_xlfn._xlws.FILTER($J$7:$J$1000-$I$7:$I$1000,$L$7:$L$1000=P45),1),"")</f>
        <v>0</v>
      </c>
      <c r="Y45" s="30" cm="1">
        <f t="array" ref="Y45">IFERROR(INDEX(_xlfn._xlws.FILTER($J$7:$J$1000-$I$7:$I$1000,$L$7:$L$1000=P45),2),"")</f>
        <v>0</v>
      </c>
      <c r="Z45" s="37">
        <f t="shared" si="3"/>
        <v>0</v>
      </c>
      <c r="AA45" s="15" cm="1">
        <f t="array" ref="AA45">1+SUMPRODUCT(($U$43:$U$46&gt;U45)+(($U$43:$U$46=U45)*($Z$43:$Z$46&gt;Z45)))</f>
        <v>1</v>
      </c>
      <c r="AB45" s="197"/>
      <c r="AC45" s="60" t="s">
        <v>46</v>
      </c>
      <c r="AD45" s="14">
        <v>3</v>
      </c>
      <c r="AE45" s="199" t="str" cm="1">
        <f t="array" ref="AE45">IFERROR(_xlfn.TEXTJOIN(" - ",TRUE,_xlfn._xlws.FILTER($P$43:$P$46,$AA$43:$AA$46=3)),"")</f>
        <v/>
      </c>
    </row>
    <row r="46" spans="2:31" ht="15.75" thickBot="1" x14ac:dyDescent="0.3">
      <c r="B46" s="14" t="s">
        <v>151</v>
      </c>
      <c r="C46" s="3" t="s">
        <v>75</v>
      </c>
      <c r="D46" s="6" t="s">
        <v>155</v>
      </c>
      <c r="E46" s="1" t="s">
        <v>131</v>
      </c>
      <c r="F46" s="3" t="str" cm="1">
        <f t="array" ref="F46">_xlfn.XLOOKUP(TRUE,(GRUPOS!$B$40:$B$51=G46)+(GRUPOS!$C$40:$C$51=G46)+(GRUPOS!$D$40:$D$51=G46)+(GRUPOS!$E$40:$E$51=G46)&gt;0,GRUPOS!$A$40:$A$51)</f>
        <v>G</v>
      </c>
      <c r="G46" s="1" t="str">
        <f t="shared" si="4"/>
        <v>Nueva Zelanda</v>
      </c>
      <c r="H46" s="30"/>
      <c r="I46" s="3"/>
      <c r="J46" s="3"/>
      <c r="K46" s="30"/>
      <c r="L46" s="1" t="str">
        <f t="shared" si="5"/>
        <v>Egipto</v>
      </c>
      <c r="M46" s="15" t="str" cm="1">
        <f t="array" ref="M46">_xlfn.XLOOKUP(TRUE,(GRUPOS!$B$40:$B$51=L46)+(GRUPOS!$C$40:$C$51=L46)+(GRUPOS!$D$40:$D$51=L46)+(GRUPOS!$E$40:$E$51=L46)&gt;0,GRUPOS!$A$40:$A$51)</f>
        <v>G</v>
      </c>
      <c r="O46" s="61" t="s">
        <v>46</v>
      </c>
      <c r="P46" s="11" t="s">
        <v>50</v>
      </c>
      <c r="Q46" s="13" t="str" cm="1">
        <f t="array" ref="Q46">IFERROR(CHOOSE(MATCH(INDEX(_xlfn._xlws.FILTER($H$7:$H$1000,$G$7:$G$1000=P46),1),{"Perdió","Empató","Ganó"},0),0,1,3),"")</f>
        <v/>
      </c>
      <c r="R46" s="13" t="str" cm="1">
        <f t="array" ref="R46">IFERROR(CHOOSE(MATCH(INDEX(_xlfn._xlws.FILTER($H$7:$H$1000,$G$7:$G$1000=P46),2),{"Perdió","Empató","Ganó"},0),0,1,3),"")</f>
        <v/>
      </c>
      <c r="S46" s="13" t="str" cm="1">
        <f t="array" ref="S46">IFERROR(CHOOSE(MATCH(INDEX(_xlfn._xlws.FILTER($K$7:$K$1000,$L$7:$L$1000=P46),1),{"Perdió","Empató","Ganó"},0),0,1,3),"")</f>
        <v/>
      </c>
      <c r="T46" s="13" t="str" cm="1">
        <f t="array" ref="T46">IFERROR(CHOOSE(MATCH(INDEX(_xlfn._xlws.FILTER($K$7:$K$1000,$L$7:$L$1000=P46),2),{"Perdió","Empató","Ganó"},0),0,1,3),"")</f>
        <v/>
      </c>
      <c r="U46" s="56">
        <f t="shared" si="2"/>
        <v>0</v>
      </c>
      <c r="V46" s="57" cm="1">
        <f t="array" ref="V46">IFERROR(INDEX(_xlfn._xlws.FILTER($I$7:$I$1000-$J$7:$J$1000,$G$7:$G$1000=P46),1),"")</f>
        <v>0</v>
      </c>
      <c r="W46" s="57" cm="1">
        <f t="array" ref="W46">IFERROR(INDEX(_xlfn._xlws.FILTER($I$7:$I$1000-$J$7:$J$1000,$G$7:$G$1000=P46),2),"")</f>
        <v>0</v>
      </c>
      <c r="X46" s="57" cm="1">
        <f t="array" ref="X46">IFERROR(INDEX(_xlfn._xlws.FILTER($J$7:$J$1000-$I$7:$I$1000,$L$7:$L$1000=P46),1),"")</f>
        <v>0</v>
      </c>
      <c r="Y46" s="57" t="str" cm="1">
        <f t="array" ref="Y46">IFERROR(INDEX(_xlfn._xlws.FILTER($J$7:$J$1000-$I$7:$I$1000,$L$7:$L$1000=P46),2),"")</f>
        <v/>
      </c>
      <c r="Z46" s="58">
        <f t="shared" si="3"/>
        <v>0</v>
      </c>
      <c r="AA46" s="18" cm="1">
        <f t="array" ref="AA46">1+SUMPRODUCT(($U$43:$U$46&gt;U46)+(($U$43:$U$46=U46)*($Z$43:$Z$46&gt;Z46)))</f>
        <v>1</v>
      </c>
      <c r="AB46" s="197"/>
      <c r="AC46" s="61" t="s">
        <v>46</v>
      </c>
      <c r="AD46" s="14">
        <v>4</v>
      </c>
      <c r="AE46" s="199" t="str" cm="1">
        <f t="array" ref="AE46">IFERROR(_xlfn.TEXTJOIN(" - ",TRUE,_xlfn._xlws.FILTER($P$43:$P$46,$AA$43:$AA$46=4)),"")</f>
        <v/>
      </c>
    </row>
    <row r="47" spans="2:31" x14ac:dyDescent="0.25">
      <c r="B47" s="14" t="s">
        <v>156</v>
      </c>
      <c r="C47" s="3" t="s">
        <v>90</v>
      </c>
      <c r="D47" s="6" t="s">
        <v>157</v>
      </c>
      <c r="E47" s="1" t="s">
        <v>120</v>
      </c>
      <c r="F47" s="3" t="str" cm="1">
        <f t="array" ref="F47">_xlfn.XLOOKUP(TRUE,(GRUPOS!$B$40:$B$51=G47)+(GRUPOS!$C$40:$C$51=G47)+(GRUPOS!$D$40:$D$51=G47)+(GRUPOS!$E$40:$E$51=G47)&gt;0,GRUPOS!$A$40:$A$51)</f>
        <v>J</v>
      </c>
      <c r="G47" s="1" t="str">
        <f t="shared" si="4"/>
        <v>Argentina</v>
      </c>
      <c r="H47" s="30"/>
      <c r="I47" s="3"/>
      <c r="J47" s="3"/>
      <c r="K47" s="30"/>
      <c r="L47" s="1" t="str">
        <f t="shared" si="5"/>
        <v>Austria</v>
      </c>
      <c r="M47" s="15" t="str" cm="1">
        <f t="array" ref="M47">_xlfn.XLOOKUP(TRUE,(GRUPOS!$B$40:$B$51=L47)+(GRUPOS!$C$40:$C$51=L47)+(GRUPOS!$D$40:$D$51=L47)+(GRUPOS!$E$40:$E$51=L47)&gt;0,GRUPOS!$A$40:$A$51)</f>
        <v>J</v>
      </c>
      <c r="O47" s="70" t="s">
        <v>51</v>
      </c>
      <c r="P47" s="43" t="s">
        <v>52</v>
      </c>
      <c r="Q47" s="44" t="str" cm="1">
        <f t="array" ref="Q47">IFERROR(CHOOSE(MATCH(INDEX(_xlfn._xlws.FILTER($H$7:$H$1000,$G$7:$G$1000=P47),1),{"Perdió","Empató","Ganó"},0),0,1,3),"")</f>
        <v/>
      </c>
      <c r="R47" s="44" t="str" cm="1">
        <f t="array" ref="R47">IFERROR(CHOOSE(MATCH(INDEX(_xlfn._xlws.FILTER($H$7:$H$1000,$G$7:$G$1000=P47),2),{"Perdió","Empató","Ganó"},0),0,1,3),"")</f>
        <v/>
      </c>
      <c r="S47" s="44" t="str" cm="1">
        <f t="array" ref="S47">IFERROR(CHOOSE(MATCH(INDEX(_xlfn._xlws.FILTER($K$7:$K$1000,$L$7:$L$1000=P47),1),{"Perdió","Empató","Ganó"},0),0,1,3),"")</f>
        <v/>
      </c>
      <c r="T47" s="44" t="str" cm="1">
        <f t="array" ref="T47">IFERROR(CHOOSE(MATCH(INDEX(_xlfn._xlws.FILTER($K$7:$K$1000,$L$7:$L$1000=P47),2),{"Perdió","Empató","Ganó"},0),0,1,3),"")</f>
        <v/>
      </c>
      <c r="U47" s="45">
        <f t="shared" si="2"/>
        <v>0</v>
      </c>
      <c r="V47" s="42" cm="1">
        <f t="array" ref="V47">IFERROR(INDEX(_xlfn._xlws.FILTER($I$7:$I$1000-$J$7:$J$1000,$G$7:$G$1000=P47),1),"")</f>
        <v>0</v>
      </c>
      <c r="W47" s="42" cm="1">
        <f t="array" ref="W47">IFERROR(INDEX(_xlfn._xlws.FILTER($I$7:$I$1000-$J$7:$J$1000,$G$7:$G$1000=P47),2),"")</f>
        <v>0</v>
      </c>
      <c r="X47" s="42" cm="1">
        <f t="array" ref="X47">IFERROR(INDEX(_xlfn._xlws.FILTER($J$7:$J$1000-$I$7:$I$1000,$L$7:$L$1000=P47),1),"")</f>
        <v>0</v>
      </c>
      <c r="Y47" s="42" t="str" cm="1">
        <f t="array" ref="Y47">IFERROR(INDEX(_xlfn._xlws.FILTER($J$7:$J$1000-$I$7:$I$1000,$L$7:$L$1000=P47),2),"")</f>
        <v/>
      </c>
      <c r="Z47" s="46">
        <f t="shared" si="3"/>
        <v>0</v>
      </c>
      <c r="AA47" s="71" cm="1">
        <f t="array" ref="AA47">1+SUMPRODUCT(($U$47:$U$50&gt;U47)+(($U$47:$U$50=U47)*($Z$47:$Z$50&gt;Z47)))</f>
        <v>1</v>
      </c>
      <c r="AB47" s="197"/>
      <c r="AC47" s="70" t="s">
        <v>51</v>
      </c>
      <c r="AD47" s="14">
        <v>1</v>
      </c>
      <c r="AE47" s="199" t="str" cm="1">
        <f t="array" ref="AE47">IFERROR(_xlfn.TEXTJOIN(" - ",TRUE,_xlfn._xlws.FILTER($P$47:$P$50,$AA$47:$AA$50=1)),"")</f>
        <v>Portugal - RD Congo - Uzbekistán - Colombia</v>
      </c>
    </row>
    <row r="48" spans="2:31" x14ac:dyDescent="0.25">
      <c r="B48" s="14" t="s">
        <v>156</v>
      </c>
      <c r="C48" s="3" t="s">
        <v>158</v>
      </c>
      <c r="D48" s="6" t="s">
        <v>159</v>
      </c>
      <c r="E48" s="1" t="s">
        <v>141</v>
      </c>
      <c r="F48" s="3" t="str" cm="1">
        <f t="array" ref="F48">_xlfn.XLOOKUP(TRUE,(GRUPOS!$B$40:$B$51=G48)+(GRUPOS!$C$40:$C$51=G48)+(GRUPOS!$D$40:$D$51=G48)+(GRUPOS!$E$40:$E$51=G48)&gt;0,GRUPOS!$A$40:$A$51)</f>
        <v>I</v>
      </c>
      <c r="G48" s="1" t="str">
        <f t="shared" si="4"/>
        <v>Francia</v>
      </c>
      <c r="H48" s="30"/>
      <c r="I48" s="3"/>
      <c r="J48" s="3"/>
      <c r="K48" s="30"/>
      <c r="L48" s="1" t="str">
        <f t="shared" si="5"/>
        <v>Irak</v>
      </c>
      <c r="M48" s="15" t="str" cm="1">
        <f t="array" ref="M48">_xlfn.XLOOKUP(TRUE,(GRUPOS!$B$40:$B$51=L48)+(GRUPOS!$C$40:$C$51=L48)+(GRUPOS!$D$40:$D$51=L48)+(GRUPOS!$E$40:$E$51=L48)&gt;0,GRUPOS!$A$40:$A$51)</f>
        <v>I</v>
      </c>
      <c r="O48" s="54" t="s">
        <v>51</v>
      </c>
      <c r="P48" s="1" t="s">
        <v>53</v>
      </c>
      <c r="Q48" s="3" t="str" cm="1">
        <f t="array" ref="Q48">IFERROR(CHOOSE(MATCH(INDEX(_xlfn._xlws.FILTER($H$7:$H$1000,$G$7:$G$1000=P48),1),{"Perdió","Empató","Ganó"},0),0,1,3),"")</f>
        <v/>
      </c>
      <c r="R48" s="3" t="str" cm="1">
        <f t="array" ref="R48">IFERROR(CHOOSE(MATCH(INDEX(_xlfn._xlws.FILTER($H$7:$H$1000,$G$7:$G$1000=P48),2),{"Perdió","Empató","Ganó"},0),0,1,3),"")</f>
        <v/>
      </c>
      <c r="S48" s="3" t="str" cm="1">
        <f t="array" ref="S48">IFERROR(CHOOSE(MATCH(INDEX(_xlfn._xlws.FILTER($K$7:$K$1000,$L$7:$L$1000=P48),1),{"Perdió","Empató","Ganó"},0),0,1,3),"")</f>
        <v/>
      </c>
      <c r="T48" s="3" t="str" cm="1">
        <f t="array" ref="T48">IFERROR(CHOOSE(MATCH(INDEX(_xlfn._xlws.FILTER($K$7:$K$1000,$L$7:$L$1000=P48),2),{"Perdió","Empató","Ganó"},0),0,1,3),"")</f>
        <v/>
      </c>
      <c r="U48" s="35">
        <f t="shared" si="2"/>
        <v>0</v>
      </c>
      <c r="V48" s="30" cm="1">
        <f t="array" ref="V48">IFERROR(INDEX(_xlfn._xlws.FILTER($I$7:$I$1000-$J$7:$J$1000,$G$7:$G$1000=P48),1),"")</f>
        <v>0</v>
      </c>
      <c r="W48" s="30" t="str" cm="1">
        <f t="array" ref="W48">IFERROR(INDEX(_xlfn._xlws.FILTER($I$7:$I$1000-$J$7:$J$1000,$G$7:$G$1000=P48),2),"")</f>
        <v/>
      </c>
      <c r="X48" s="30" cm="1">
        <f t="array" ref="X48">IFERROR(INDEX(_xlfn._xlws.FILTER($J$7:$J$1000-$I$7:$I$1000,$L$7:$L$1000=P48),1),"")</f>
        <v>0</v>
      </c>
      <c r="Y48" s="30" cm="1">
        <f t="array" ref="Y48">IFERROR(INDEX(_xlfn._xlws.FILTER($J$7:$J$1000-$I$7:$I$1000,$L$7:$L$1000=P48),2),"")</f>
        <v>0</v>
      </c>
      <c r="Z48" s="37">
        <f t="shared" si="3"/>
        <v>0</v>
      </c>
      <c r="AA48" s="15" cm="1">
        <f t="array" ref="AA48">1+SUMPRODUCT(($U$47:$U$50&gt;U48)+(($U$47:$U$50=U48)*($Z$47:$Z$50&gt;Z48)))</f>
        <v>1</v>
      </c>
      <c r="AB48" s="197"/>
      <c r="AC48" s="54" t="s">
        <v>51</v>
      </c>
      <c r="AD48" s="14">
        <v>2</v>
      </c>
      <c r="AE48" s="199" t="str" cm="1">
        <f t="array" ref="AE48">IFERROR(_xlfn.TEXTJOIN(" - ",TRUE,_xlfn._xlws.FILTER($P$47:$P$50,$AA$47:$AA$50=2)),"")</f>
        <v/>
      </c>
    </row>
    <row r="49" spans="2:31" x14ac:dyDescent="0.25">
      <c r="B49" s="14" t="s">
        <v>156</v>
      </c>
      <c r="C49" s="3" t="s">
        <v>147</v>
      </c>
      <c r="D49" s="6" t="s">
        <v>160</v>
      </c>
      <c r="E49" s="1" t="s">
        <v>83</v>
      </c>
      <c r="F49" s="3" t="str" cm="1">
        <f t="array" ref="F49">_xlfn.XLOOKUP(TRUE,(GRUPOS!$B$40:$B$51=G49)+(GRUPOS!$C$40:$C$51=G49)+(GRUPOS!$D$40:$D$51=G49)+(GRUPOS!$E$40:$E$51=G49)&gt;0,GRUPOS!$A$40:$A$51)</f>
        <v>I</v>
      </c>
      <c r="G49" s="1" t="str">
        <f t="shared" si="4"/>
        <v>Noruega</v>
      </c>
      <c r="H49" s="30"/>
      <c r="I49" s="3"/>
      <c r="J49" s="3"/>
      <c r="K49" s="30"/>
      <c r="L49" s="1" t="str">
        <f t="shared" si="5"/>
        <v>Senegal</v>
      </c>
      <c r="M49" s="15" t="str" cm="1">
        <f t="array" ref="M49">_xlfn.XLOOKUP(TRUE,(GRUPOS!$B$40:$B$51=L49)+(GRUPOS!$C$40:$C$51=L49)+(GRUPOS!$D$40:$D$51=L49)+(GRUPOS!$E$40:$E$51=L49)&gt;0,GRUPOS!$A$40:$A$51)</f>
        <v>I</v>
      </c>
      <c r="O49" s="54" t="s">
        <v>51</v>
      </c>
      <c r="P49" s="1" t="s">
        <v>54</v>
      </c>
      <c r="Q49" s="3" t="str" cm="1">
        <f t="array" ref="Q49">IFERROR(CHOOSE(MATCH(INDEX(_xlfn._xlws.FILTER($H$7:$H$1000,$G$7:$G$1000=P49),1),{"Perdió","Empató","Ganó"},0),0,1,3),"")</f>
        <v/>
      </c>
      <c r="R49" s="3" t="str" cm="1">
        <f t="array" ref="R49">IFERROR(CHOOSE(MATCH(INDEX(_xlfn._xlws.FILTER($H$7:$H$1000,$G$7:$G$1000=P49),2),{"Perdió","Empató","Ganó"},0),0,1,3),"")</f>
        <v/>
      </c>
      <c r="S49" s="3" t="str" cm="1">
        <f t="array" ref="S49">IFERROR(CHOOSE(MATCH(INDEX(_xlfn._xlws.FILTER($K$7:$K$1000,$L$7:$L$1000=P49),1),{"Perdió","Empató","Ganó"},0),0,1,3),"")</f>
        <v/>
      </c>
      <c r="T49" s="3" t="str" cm="1">
        <f t="array" ref="T49">IFERROR(CHOOSE(MATCH(INDEX(_xlfn._xlws.FILTER($K$7:$K$1000,$L$7:$L$1000=P49),2),{"Perdió","Empató","Ganó"},0),0,1,3),"")</f>
        <v/>
      </c>
      <c r="U49" s="35">
        <f t="shared" si="2"/>
        <v>0</v>
      </c>
      <c r="V49" s="30" cm="1">
        <f t="array" ref="V49">IFERROR(INDEX(_xlfn._xlws.FILTER($I$7:$I$1000-$J$7:$J$1000,$G$7:$G$1000=P49),1),"")</f>
        <v>0</v>
      </c>
      <c r="W49" s="30" t="str" cm="1">
        <f t="array" ref="W49">IFERROR(INDEX(_xlfn._xlws.FILTER($I$7:$I$1000-$J$7:$J$1000,$G$7:$G$1000=P49),2),"")</f>
        <v/>
      </c>
      <c r="X49" s="30" cm="1">
        <f t="array" ref="X49">IFERROR(INDEX(_xlfn._xlws.FILTER($J$7:$J$1000-$I$7:$I$1000,$L$7:$L$1000=P49),1),"")</f>
        <v>0</v>
      </c>
      <c r="Y49" s="30" cm="1">
        <f t="array" ref="Y49">IFERROR(INDEX(_xlfn._xlws.FILTER($J$7:$J$1000-$I$7:$I$1000,$L$7:$L$1000=P49),2),"")</f>
        <v>0</v>
      </c>
      <c r="Z49" s="37">
        <f t="shared" si="3"/>
        <v>0</v>
      </c>
      <c r="AA49" s="15" cm="1">
        <f t="array" ref="AA49">1+SUMPRODUCT(($U$47:$U$50&gt;U49)+(($U$47:$U$50=U49)*($Z$47:$Z$50&gt;Z49)))</f>
        <v>1</v>
      </c>
      <c r="AB49" s="197"/>
      <c r="AC49" s="54" t="s">
        <v>51</v>
      </c>
      <c r="AD49" s="14">
        <v>3</v>
      </c>
      <c r="AE49" s="199" t="str" cm="1">
        <f t="array" ref="AE49">IFERROR(_xlfn.TEXTJOIN(" - ",TRUE,_xlfn._xlws.FILTER($P$47:$P$50,$AA$47:$AA$50=3)),"")</f>
        <v/>
      </c>
    </row>
    <row r="50" spans="2:31" ht="15.75" thickBot="1" x14ac:dyDescent="0.3">
      <c r="B50" s="14" t="s">
        <v>156</v>
      </c>
      <c r="C50" s="3" t="s">
        <v>142</v>
      </c>
      <c r="D50" s="6" t="s">
        <v>161</v>
      </c>
      <c r="E50" s="1" t="s">
        <v>115</v>
      </c>
      <c r="F50" s="3" t="str" cm="1">
        <f t="array" ref="F50">_xlfn.XLOOKUP(TRUE,(GRUPOS!$B$40:$B$51=G50)+(GRUPOS!$C$40:$C$51=G50)+(GRUPOS!$D$40:$D$51=G50)+(GRUPOS!$E$40:$E$51=G50)&gt;0,GRUPOS!$A$40:$A$51)</f>
        <v>J</v>
      </c>
      <c r="G50" s="1" t="str">
        <f t="shared" si="4"/>
        <v>Jordania</v>
      </c>
      <c r="H50" s="30"/>
      <c r="I50" s="3"/>
      <c r="J50" s="3"/>
      <c r="K50" s="30"/>
      <c r="L50" s="1" t="str">
        <f t="shared" si="5"/>
        <v>Argelia</v>
      </c>
      <c r="M50" s="15" t="str" cm="1">
        <f t="array" ref="M50">_xlfn.XLOOKUP(TRUE,(GRUPOS!$B$40:$B$51=L50)+(GRUPOS!$C$40:$C$51=L50)+(GRUPOS!$D$40:$D$51=L50)+(GRUPOS!$E$40:$E$51=L50)&gt;0,GRUPOS!$A$40:$A$51)</f>
        <v>J</v>
      </c>
      <c r="O50" s="72" t="s">
        <v>51</v>
      </c>
      <c r="P50" s="62" t="s">
        <v>55</v>
      </c>
      <c r="Q50" s="63" t="str" cm="1">
        <f t="array" ref="Q50">IFERROR(CHOOSE(MATCH(INDEX(_xlfn._xlws.FILTER($H$7:$H$1000,$G$7:$G$1000=P50),1),{"Perdió","Empató","Ganó"},0),0,1,3),"")</f>
        <v/>
      </c>
      <c r="R50" s="63" t="str" cm="1">
        <f t="array" ref="R50">IFERROR(CHOOSE(MATCH(INDEX(_xlfn._xlws.FILTER($H$7:$H$1000,$G$7:$G$1000=P50),2),{"Perdió","Empató","Ganó"},0),0,1,3),"")</f>
        <v/>
      </c>
      <c r="S50" s="63" t="str" cm="1">
        <f t="array" ref="S50">IFERROR(CHOOSE(MATCH(INDEX(_xlfn._xlws.FILTER($K$7:$K$1000,$L$7:$L$1000=P50),1),{"Perdió","Empató","Ganó"},0),0,1,3),"")</f>
        <v/>
      </c>
      <c r="T50" s="63" t="str" cm="1">
        <f t="array" ref="T50">IFERROR(CHOOSE(MATCH(INDEX(_xlfn._xlws.FILTER($K$7:$K$1000,$L$7:$L$1000=P50),2),{"Perdió","Empató","Ganó"},0),0,1,3),"")</f>
        <v/>
      </c>
      <c r="U50" s="64">
        <f t="shared" si="2"/>
        <v>0</v>
      </c>
      <c r="V50" s="31" cm="1">
        <f t="array" ref="V50">IFERROR(INDEX(_xlfn._xlws.FILTER($I$7:$I$1000-$J$7:$J$1000,$G$7:$G$1000=P50),1),"")</f>
        <v>0</v>
      </c>
      <c r="W50" s="31" cm="1">
        <f t="array" ref="W50">IFERROR(INDEX(_xlfn._xlws.FILTER($I$7:$I$1000-$J$7:$J$1000,$G$7:$G$1000=P50),2),"")</f>
        <v>0</v>
      </c>
      <c r="X50" s="31" cm="1">
        <f t="array" ref="X50">IFERROR(INDEX(_xlfn._xlws.FILTER($J$7:$J$1000-$I$7:$I$1000,$L$7:$L$1000=P50),1),"")</f>
        <v>0</v>
      </c>
      <c r="Y50" s="31" t="str" cm="1">
        <f t="array" ref="Y50">IFERROR(INDEX(_xlfn._xlws.FILTER($J$7:$J$1000-$I$7:$I$1000,$L$7:$L$1000=P50),2),"")</f>
        <v/>
      </c>
      <c r="Z50" s="65">
        <f t="shared" si="3"/>
        <v>0</v>
      </c>
      <c r="AA50" s="73" cm="1">
        <f t="array" ref="AA50">1+SUMPRODUCT(($U$47:$U$50&gt;U50)+(($U$47:$U$50=U50)*($Z$47:$Z$50&gt;Z50)))</f>
        <v>1</v>
      </c>
      <c r="AB50" s="197"/>
      <c r="AC50" s="72" t="s">
        <v>51</v>
      </c>
      <c r="AD50" s="14">
        <v>4</v>
      </c>
      <c r="AE50" s="199" t="str" cm="1">
        <f t="array" ref="AE50">IFERROR(_xlfn.TEXTJOIN(" - ",TRUE,_xlfn._xlws.FILTER($P$47:$P$50,$AA$47:$AA$50=4)),"")</f>
        <v/>
      </c>
    </row>
    <row r="51" spans="2:31" x14ac:dyDescent="0.25">
      <c r="B51" s="14" t="s">
        <v>162</v>
      </c>
      <c r="C51" s="3" t="s">
        <v>90</v>
      </c>
      <c r="D51" s="6" t="s">
        <v>163</v>
      </c>
      <c r="E51" s="1" t="s">
        <v>118</v>
      </c>
      <c r="F51" s="3" t="str" cm="1">
        <f t="array" ref="F51">_xlfn.XLOOKUP(TRUE,(GRUPOS!$B$40:$B$51=G51)+(GRUPOS!$C$40:$C$51=G51)+(GRUPOS!$D$40:$D$51=G51)+(GRUPOS!$E$40:$E$51=G51)&gt;0,GRUPOS!$A$40:$A$51)</f>
        <v>K</v>
      </c>
      <c r="G51" s="1" t="str">
        <f t="shared" si="4"/>
        <v>Portugal</v>
      </c>
      <c r="H51" s="30"/>
      <c r="I51" s="3"/>
      <c r="J51" s="3"/>
      <c r="K51" s="30"/>
      <c r="L51" s="1" t="str">
        <f t="shared" si="5"/>
        <v>Uzbekistán</v>
      </c>
      <c r="M51" s="15" t="str" cm="1">
        <f t="array" ref="M51">_xlfn.XLOOKUP(TRUE,(GRUPOS!$B$40:$B$51=L51)+(GRUPOS!$C$40:$C$51=L51)+(GRUPOS!$D$40:$D$51=L51)+(GRUPOS!$E$40:$E$51=L51)&gt;0,GRUPOS!$A$40:$A$51)</f>
        <v>K</v>
      </c>
      <c r="O51" s="59" t="s">
        <v>56</v>
      </c>
      <c r="P51" s="48" t="s">
        <v>57</v>
      </c>
      <c r="Q51" s="49" t="str" cm="1">
        <f t="array" ref="Q51">IFERROR(CHOOSE(MATCH(INDEX(_xlfn._xlws.FILTER($H$7:$H$1000,$G$7:$G$1000=P51),1),{"Perdió","Empató","Ganó"},0),0,1,3),"")</f>
        <v/>
      </c>
      <c r="R51" s="49" t="str" cm="1">
        <f t="array" ref="R51">IFERROR(CHOOSE(MATCH(INDEX(_xlfn._xlws.FILTER($H$7:$H$1000,$G$7:$G$1000=P51),2),{"Perdió","Empató","Ganó"},0),0,1,3),"")</f>
        <v/>
      </c>
      <c r="S51" s="49" t="str" cm="1">
        <f t="array" ref="S51">IFERROR(CHOOSE(MATCH(INDEX(_xlfn._xlws.FILTER($K$7:$K$1000,$L$7:$L$1000=P51),1),{"Perdió","Empató","Ganó"},0),0,1,3),"")</f>
        <v/>
      </c>
      <c r="T51" s="49" t="str" cm="1">
        <f t="array" ref="T51">IFERROR(CHOOSE(MATCH(INDEX(_xlfn._xlws.FILTER($K$7:$K$1000,$L$7:$L$1000=P51),2),{"Perdió","Empató","Ganó"},0),0,1,3),"")</f>
        <v/>
      </c>
      <c r="U51" s="50">
        <f t="shared" si="2"/>
        <v>0</v>
      </c>
      <c r="V51" s="51" cm="1">
        <f t="array" ref="V51">IFERROR(INDEX(_xlfn._xlws.FILTER($I$7:$I$1000-$J$7:$J$1000,$G$7:$G$1000=P51),1),"")</f>
        <v>0</v>
      </c>
      <c r="W51" s="51" cm="1">
        <f t="array" ref="W51">IFERROR(INDEX(_xlfn._xlws.FILTER($I$7:$I$1000-$J$7:$J$1000,$G$7:$G$1000=P51),2),"")</f>
        <v>0</v>
      </c>
      <c r="X51" s="51" cm="1">
        <f t="array" ref="X51">IFERROR(INDEX(_xlfn._xlws.FILTER($J$7:$J$1000-$I$7:$I$1000,$L$7:$L$1000=P51),1),"")</f>
        <v>0</v>
      </c>
      <c r="Y51" s="51" t="str" cm="1">
        <f t="array" ref="Y51">IFERROR(INDEX(_xlfn._xlws.FILTER($J$7:$J$1000-$I$7:$I$1000,$L$7:$L$1000=P51),2),"")</f>
        <v/>
      </c>
      <c r="Z51" s="52">
        <f t="shared" si="3"/>
        <v>0</v>
      </c>
      <c r="AA51" s="53" cm="1">
        <f t="array" ref="AA51">1+SUMPRODUCT(($U$51:$U$54&gt;U51)+(($U$51:$U$54=U51)*($Z$51:$Z$54&gt;Z51)))</f>
        <v>1</v>
      </c>
      <c r="AB51" s="197"/>
      <c r="AC51" s="59" t="s">
        <v>56</v>
      </c>
      <c r="AD51" s="14">
        <v>1</v>
      </c>
      <c r="AE51" s="199" t="str" cm="1">
        <f t="array" ref="AE51">IFERROR(_xlfn.TEXTJOIN(" - ",TRUE,_xlfn._xlws.FILTER($P$51:$P$54,$AA$51:$AA$54=1)),"")</f>
        <v>Inglaterra - Croacia - Ghana - Panamá</v>
      </c>
    </row>
    <row r="52" spans="2:31" x14ac:dyDescent="0.25">
      <c r="B52" s="14" t="s">
        <v>162</v>
      </c>
      <c r="C52" s="3" t="s">
        <v>93</v>
      </c>
      <c r="D52" s="6" t="s">
        <v>164</v>
      </c>
      <c r="E52" s="1" t="s">
        <v>138</v>
      </c>
      <c r="F52" s="3" t="str" cm="1">
        <f t="array" ref="F52">_xlfn.XLOOKUP(TRUE,(GRUPOS!$B$40:$B$51=G52)+(GRUPOS!$C$40:$C$51=G52)+(GRUPOS!$D$40:$D$51=G52)+(GRUPOS!$E$40:$E$51=G52)&gt;0,GRUPOS!$A$40:$A$51)</f>
        <v>L</v>
      </c>
      <c r="G52" s="1" t="str">
        <f t="shared" si="4"/>
        <v>Inglaterra</v>
      </c>
      <c r="H52" s="30"/>
      <c r="I52" s="3"/>
      <c r="J52" s="3"/>
      <c r="K52" s="30"/>
      <c r="L52" s="1" t="str">
        <f t="shared" si="5"/>
        <v>Ghana</v>
      </c>
      <c r="M52" s="15" t="str" cm="1">
        <f t="array" ref="M52">_xlfn.XLOOKUP(TRUE,(GRUPOS!$B$40:$B$51=L52)+(GRUPOS!$C$40:$C$51=L52)+(GRUPOS!$D$40:$D$51=L52)+(GRUPOS!$E$40:$E$51=L52)&gt;0,GRUPOS!$A$40:$A$51)</f>
        <v>L</v>
      </c>
      <c r="O52" s="60" t="s">
        <v>56</v>
      </c>
      <c r="P52" s="1" t="s">
        <v>58</v>
      </c>
      <c r="Q52" s="3" t="str" cm="1">
        <f t="array" ref="Q52">IFERROR(CHOOSE(MATCH(INDEX(_xlfn._xlws.FILTER($H$7:$H$1000,$G$7:$G$1000=P52),1),{"Perdió","Empató","Ganó"},0),0,1,3),"")</f>
        <v/>
      </c>
      <c r="R52" s="3" t="str" cm="1">
        <f t="array" ref="R52">IFERROR(CHOOSE(MATCH(INDEX(_xlfn._xlws.FILTER($H$7:$H$1000,$G$7:$G$1000=P52),2),{"Perdió","Empató","Ganó"},0),0,1,3),"")</f>
        <v/>
      </c>
      <c r="S52" s="3" t="str" cm="1">
        <f t="array" ref="S52">IFERROR(CHOOSE(MATCH(INDEX(_xlfn._xlws.FILTER($K$7:$K$1000,$L$7:$L$1000=P52),1),{"Perdió","Empató","Ganó"},0),0,1,3),"")</f>
        <v/>
      </c>
      <c r="T52" s="3" t="str" cm="1">
        <f t="array" ref="T52">IFERROR(CHOOSE(MATCH(INDEX(_xlfn._xlws.FILTER($K$7:$K$1000,$L$7:$L$1000=P52),2),{"Perdió","Empató","Ganó"},0),0,1,3),"")</f>
        <v/>
      </c>
      <c r="U52" s="35">
        <f t="shared" si="2"/>
        <v>0</v>
      </c>
      <c r="V52" s="30" cm="1">
        <f t="array" ref="V52">IFERROR(INDEX(_xlfn._xlws.FILTER($I$7:$I$1000-$J$7:$J$1000,$G$7:$G$1000=P52),1),"")</f>
        <v>0</v>
      </c>
      <c r="W52" s="30" t="str" cm="1">
        <f t="array" ref="W52">IFERROR(INDEX(_xlfn._xlws.FILTER($I$7:$I$1000-$J$7:$J$1000,$G$7:$G$1000=P52),2),"")</f>
        <v/>
      </c>
      <c r="X52" s="30" cm="1">
        <f t="array" ref="X52">IFERROR(INDEX(_xlfn._xlws.FILTER($J$7:$J$1000-$I$7:$I$1000,$L$7:$L$1000=P52),1),"")</f>
        <v>0</v>
      </c>
      <c r="Y52" s="30" cm="1">
        <f t="array" ref="Y52">IFERROR(INDEX(_xlfn._xlws.FILTER($J$7:$J$1000-$I$7:$I$1000,$L$7:$L$1000=P52),2),"")</f>
        <v>0</v>
      </c>
      <c r="Z52" s="37">
        <f t="shared" si="3"/>
        <v>0</v>
      </c>
      <c r="AA52" s="15" cm="1">
        <f t="array" ref="AA52">1+SUMPRODUCT(($U$51:$U$54&gt;U52)+(($U$51:$U$54=U52)*($Z$51:$Z$54&gt;Z52)))</f>
        <v>1</v>
      </c>
      <c r="AB52" s="197"/>
      <c r="AC52" s="60" t="s">
        <v>56</v>
      </c>
      <c r="AD52" s="14">
        <v>2</v>
      </c>
      <c r="AE52" s="199" t="str" cm="1">
        <f t="array" ref="AE52">IFERROR(_xlfn.TEXTJOIN(" - ",TRUE,_xlfn._xlws.FILTER($P$51:$P$54,$AA$51:$AA$54=2)),"")</f>
        <v/>
      </c>
    </row>
    <row r="53" spans="2:31" ht="14.25" customHeight="1" x14ac:dyDescent="0.25">
      <c r="B53" s="14" t="s">
        <v>162</v>
      </c>
      <c r="C53" s="3" t="s">
        <v>96</v>
      </c>
      <c r="D53" s="6" t="s">
        <v>165</v>
      </c>
      <c r="E53" s="1" t="s">
        <v>122</v>
      </c>
      <c r="F53" s="3" t="str" cm="1">
        <f t="array" ref="F53">_xlfn.XLOOKUP(TRUE,(GRUPOS!$B$40:$B$51=G53)+(GRUPOS!$C$40:$C$51=G53)+(GRUPOS!$D$40:$D$51=G53)+(GRUPOS!$E$40:$E$51=G53)&gt;0,GRUPOS!$A$40:$A$51)</f>
        <v>L</v>
      </c>
      <c r="G53" s="1" t="str">
        <f t="shared" si="4"/>
        <v>Panamá</v>
      </c>
      <c r="H53" s="30"/>
      <c r="I53" s="3"/>
      <c r="J53" s="3"/>
      <c r="K53" s="30"/>
      <c r="L53" s="1" t="str">
        <f t="shared" si="5"/>
        <v>Croacia</v>
      </c>
      <c r="M53" s="15" t="str" cm="1">
        <f t="array" ref="M53">_xlfn.XLOOKUP(TRUE,(GRUPOS!$B$40:$B$51=L53)+(GRUPOS!$C$40:$C$51=L53)+(GRUPOS!$D$40:$D$51=L53)+(GRUPOS!$E$40:$E$51=L53)&gt;0,GRUPOS!$A$40:$A$51)</f>
        <v>L</v>
      </c>
      <c r="O53" s="60" t="s">
        <v>56</v>
      </c>
      <c r="P53" s="1" t="s">
        <v>59</v>
      </c>
      <c r="Q53" s="3" t="str" cm="1">
        <f t="array" ref="Q53">IFERROR(CHOOSE(MATCH(INDEX(_xlfn._xlws.FILTER($H$7:$H$1000,$G$7:$G$1000=P53),1),{"Perdió","Empató","Ganó"},0),0,1,3),"")</f>
        <v/>
      </c>
      <c r="R53" s="3" t="str" cm="1">
        <f t="array" ref="R53">IFERROR(CHOOSE(MATCH(INDEX(_xlfn._xlws.FILTER($H$7:$H$1000,$G$7:$G$1000=P53),2),{"Perdió","Empató","Ganó"},0),0,1,3),"")</f>
        <v/>
      </c>
      <c r="S53" s="3" t="str" cm="1">
        <f t="array" ref="S53">IFERROR(CHOOSE(MATCH(INDEX(_xlfn._xlws.FILTER($K$7:$K$1000,$L$7:$L$1000=P53),1),{"Perdió","Empató","Ganó"},0),0,1,3),"")</f>
        <v/>
      </c>
      <c r="T53" s="3" t="str" cm="1">
        <f t="array" ref="T53">IFERROR(CHOOSE(MATCH(INDEX(_xlfn._xlws.FILTER($K$7:$K$1000,$L$7:$L$1000=P53),2),{"Perdió","Empató","Ganó"},0),0,1,3),"")</f>
        <v/>
      </c>
      <c r="U53" s="35">
        <f t="shared" si="2"/>
        <v>0</v>
      </c>
      <c r="V53" s="30" cm="1">
        <f t="array" ref="V53">IFERROR(INDEX(_xlfn._xlws.FILTER($I$7:$I$1000-$J$7:$J$1000,$G$7:$G$1000=P53),1),"")</f>
        <v>0</v>
      </c>
      <c r="W53" s="30" t="str" cm="1">
        <f t="array" ref="W53">IFERROR(INDEX(_xlfn._xlws.FILTER($I$7:$I$1000-$J$7:$J$1000,$G$7:$G$1000=P53),2),"")</f>
        <v/>
      </c>
      <c r="X53" s="30" cm="1">
        <f t="array" ref="X53">IFERROR(INDEX(_xlfn._xlws.FILTER($J$7:$J$1000-$I$7:$I$1000,$L$7:$L$1000=P53),1),"")</f>
        <v>0</v>
      </c>
      <c r="Y53" s="30" cm="1">
        <f t="array" ref="Y53">IFERROR(INDEX(_xlfn._xlws.FILTER($J$7:$J$1000-$I$7:$I$1000,$L$7:$L$1000=P53),2),"")</f>
        <v>0</v>
      </c>
      <c r="Z53" s="37">
        <f t="shared" si="3"/>
        <v>0</v>
      </c>
      <c r="AA53" s="15" cm="1">
        <f t="array" ref="AA53">1+SUMPRODUCT(($U$51:$U$54&gt;U53)+(($U$51:$U$54=U53)*($Z$51:$Z$54&gt;Z53)))</f>
        <v>1</v>
      </c>
      <c r="AB53" s="197"/>
      <c r="AC53" s="60" t="s">
        <v>56</v>
      </c>
      <c r="AD53" s="14">
        <v>3</v>
      </c>
      <c r="AE53" s="199" t="str" cm="1">
        <f t="array" ref="AE53">IFERROR(_xlfn.TEXTJOIN(" - ",TRUE,_xlfn._xlws.FILTER($P$51:$P$54,$AA$51:$AA$54=3)),"")</f>
        <v/>
      </c>
    </row>
    <row r="54" spans="2:31" ht="15.75" thickBot="1" x14ac:dyDescent="0.3">
      <c r="B54" s="14" t="s">
        <v>162</v>
      </c>
      <c r="C54" s="3" t="s">
        <v>69</v>
      </c>
      <c r="D54" s="6" t="s">
        <v>166</v>
      </c>
      <c r="E54" s="1" t="s">
        <v>133</v>
      </c>
      <c r="F54" s="3" t="str" cm="1">
        <f t="array" ref="F54">_xlfn.XLOOKUP(TRUE,(GRUPOS!$B$40:$B$51=G54)+(GRUPOS!$C$40:$C$51=G54)+(GRUPOS!$D$40:$D$51=G54)+(GRUPOS!$E$40:$E$51=G54)&gt;0,GRUPOS!$A$40:$A$51)</f>
        <v>K</v>
      </c>
      <c r="G54" s="1" t="str">
        <f t="shared" si="4"/>
        <v>Colombia</v>
      </c>
      <c r="H54" s="30"/>
      <c r="I54" s="3"/>
      <c r="J54" s="3"/>
      <c r="K54" s="30"/>
      <c r="L54" s="1" t="str">
        <f t="shared" si="5"/>
        <v>RD Congo</v>
      </c>
      <c r="M54" s="15" t="str" cm="1">
        <f t="array" ref="M54">_xlfn.XLOOKUP(TRUE,(GRUPOS!$B$40:$B$51=L54)+(GRUPOS!$C$40:$C$51=L54)+(GRUPOS!$D$40:$D$51=L54)+(GRUPOS!$E$40:$E$51=L54)&gt;0,GRUPOS!$A$40:$A$51)</f>
        <v>K</v>
      </c>
      <c r="O54" s="61" t="s">
        <v>56</v>
      </c>
      <c r="P54" s="11" t="s">
        <v>60</v>
      </c>
      <c r="Q54" s="13" t="str" cm="1">
        <f t="array" ref="Q54">IFERROR(CHOOSE(MATCH(INDEX(_xlfn._xlws.FILTER($H$7:$H$1000,$G$7:$G$1000=P54),1),{"Perdió","Empató","Ganó"},0),0,1,3),"")</f>
        <v/>
      </c>
      <c r="R54" s="13" t="str" cm="1">
        <f t="array" ref="R54">IFERROR(CHOOSE(MATCH(INDEX(_xlfn._xlws.FILTER($H$7:$H$1000,$G$7:$G$1000=P54),2),{"Perdió","Empató","Ganó"},0),0,1,3),"")</f>
        <v/>
      </c>
      <c r="S54" s="13" t="str" cm="1">
        <f t="array" ref="S54">IFERROR(CHOOSE(MATCH(INDEX(_xlfn._xlws.FILTER($K$7:$K$1000,$L$7:$L$1000=P54),1),{"Perdió","Empató","Ganó"},0),0,1,3),"")</f>
        <v/>
      </c>
      <c r="T54" s="13" t="str" cm="1">
        <f t="array" ref="T54">IFERROR(CHOOSE(MATCH(INDEX(_xlfn._xlws.FILTER($K$7:$K$1000,$L$7:$L$1000=P54),2),{"Perdió","Empató","Ganó"},0),0,1,3),"")</f>
        <v/>
      </c>
      <c r="U54" s="56">
        <f t="shared" si="2"/>
        <v>0</v>
      </c>
      <c r="V54" s="57" cm="1">
        <f t="array" ref="V54">IFERROR(INDEX(_xlfn._xlws.FILTER($I$7:$I$1000-$J$7:$J$1000,$G$7:$G$1000=P54),1),"")</f>
        <v>0</v>
      </c>
      <c r="W54" s="57" cm="1">
        <f t="array" ref="W54">IFERROR(INDEX(_xlfn._xlws.FILTER($I$7:$I$1000-$J$7:$J$1000,$G$7:$G$1000=P54),2),"")</f>
        <v>0</v>
      </c>
      <c r="X54" s="57" cm="1">
        <f t="array" ref="X54">IFERROR(INDEX(_xlfn._xlws.FILTER($J$7:$J$1000-$I$7:$I$1000,$L$7:$L$1000=P54),1),"")</f>
        <v>0</v>
      </c>
      <c r="Y54" s="57" t="str" cm="1">
        <f t="array" ref="Y54">IFERROR(INDEX(_xlfn._xlws.FILTER($J$7:$J$1000-$I$7:$I$1000,$L$7:$L$1000=P54),2),"")</f>
        <v/>
      </c>
      <c r="Z54" s="58">
        <f t="shared" si="3"/>
        <v>0</v>
      </c>
      <c r="AA54" s="18" cm="1">
        <f t="array" ref="AA54">1+SUMPRODUCT(($U$51:$U$54&gt;U54)+(($U$51:$U$54=U54)*($Z$51:$Z$54&gt;Z54)))</f>
        <v>1</v>
      </c>
      <c r="AB54" s="197"/>
      <c r="AC54" s="61" t="s">
        <v>56</v>
      </c>
      <c r="AD54" s="17">
        <v>4</v>
      </c>
      <c r="AE54" s="199" t="str" cm="1">
        <f t="array" ref="AE54">IFERROR(_xlfn.TEXTJOIN(" - ",TRUE,_xlfn._xlws.FILTER($P$51:$P$54,$AA$51:$AA$54=4)),"")</f>
        <v/>
      </c>
    </row>
    <row r="55" spans="2:31" x14ac:dyDescent="0.25">
      <c r="B55" s="14" t="s">
        <v>167</v>
      </c>
      <c r="C55" s="3" t="s">
        <v>66</v>
      </c>
      <c r="D55" s="6" t="s">
        <v>168</v>
      </c>
      <c r="E55" s="1" t="s">
        <v>131</v>
      </c>
      <c r="F55" s="3" t="str" cm="1">
        <f t="array" ref="F55">_xlfn.XLOOKUP(TRUE,(GRUPOS!$B$40:$B$51=G55)+(GRUPOS!$C$40:$C$51=G55)+(GRUPOS!$D$40:$D$51=G55)+(GRUPOS!$E$40:$E$51=G55)&gt;0,GRUPOS!$A$40:$A$51)</f>
        <v>B</v>
      </c>
      <c r="G55" s="1" t="str">
        <f t="shared" si="4"/>
        <v>Suiza</v>
      </c>
      <c r="H55" s="30"/>
      <c r="I55" s="3"/>
      <c r="J55" s="3"/>
      <c r="K55" s="30"/>
      <c r="L55" s="1" t="str">
        <f t="shared" si="5"/>
        <v>Canadá</v>
      </c>
      <c r="M55" s="15" t="str" cm="1">
        <f t="array" ref="M55">_xlfn.XLOOKUP(TRUE,(GRUPOS!$B$40:$B$51=L55)+(GRUPOS!$C$40:$C$51=L55)+(GRUPOS!$D$40:$D$51=L55)+(GRUPOS!$E$40:$E$51=L55)&gt;0,GRUPOS!$A$40:$A$51)</f>
        <v>B</v>
      </c>
    </row>
    <row r="56" spans="2:31" x14ac:dyDescent="0.25">
      <c r="B56" s="14" t="s">
        <v>167</v>
      </c>
      <c r="C56" s="3" t="s">
        <v>66</v>
      </c>
      <c r="D56" s="6" t="s">
        <v>169</v>
      </c>
      <c r="E56" s="1" t="s">
        <v>136</v>
      </c>
      <c r="F56" s="3" t="str" cm="1">
        <f t="array" ref="F56">_xlfn.XLOOKUP(TRUE,(GRUPOS!$B$40:$B$51=G56)+(GRUPOS!$C$40:$C$51=G56)+(GRUPOS!$D$40:$D$51=G56)+(GRUPOS!$E$40:$E$51=G56)&gt;0,GRUPOS!$A$40:$A$51)</f>
        <v>B</v>
      </c>
      <c r="G56" s="1" t="str">
        <f t="shared" si="4"/>
        <v>Bosnia y Herzegovina</v>
      </c>
      <c r="H56" s="30"/>
      <c r="I56" s="3"/>
      <c r="J56" s="3"/>
      <c r="K56" s="30"/>
      <c r="L56" s="1" t="str">
        <f t="shared" si="5"/>
        <v>Qatar</v>
      </c>
      <c r="M56" s="15" t="str" cm="1">
        <f t="array" ref="M56">_xlfn.XLOOKUP(TRUE,(GRUPOS!$B$40:$B$51=L56)+(GRUPOS!$C$40:$C$51=L56)+(GRUPOS!$D$40:$D$51=L56)+(GRUPOS!$E$40:$E$51=L56)&gt;0,GRUPOS!$A$40:$A$51)</f>
        <v>B</v>
      </c>
    </row>
    <row r="57" spans="2:31" x14ac:dyDescent="0.25">
      <c r="B57" s="14" t="s">
        <v>167</v>
      </c>
      <c r="C57" s="3" t="s">
        <v>147</v>
      </c>
      <c r="D57" s="6" t="s">
        <v>170</v>
      </c>
      <c r="E57" s="1" t="s">
        <v>154</v>
      </c>
      <c r="F57" s="3" t="str" cm="1">
        <f t="array" ref="F57">_xlfn.XLOOKUP(TRUE,(GRUPOS!$B$40:$B$51=G57)+(GRUPOS!$C$40:$C$51=G57)+(GRUPOS!$D$40:$D$51=G57)+(GRUPOS!$E$40:$E$51=G57)&gt;0,GRUPOS!$A$40:$A$51)</f>
        <v>C</v>
      </c>
      <c r="G57" s="1" t="str">
        <f t="shared" si="4"/>
        <v>Escocia</v>
      </c>
      <c r="H57" s="30"/>
      <c r="I57" s="3"/>
      <c r="J57" s="3"/>
      <c r="K57" s="30"/>
      <c r="L57" s="1" t="str">
        <f t="shared" si="5"/>
        <v>Brasil</v>
      </c>
      <c r="M57" s="15" t="str" cm="1">
        <f t="array" ref="M57">_xlfn.XLOOKUP(TRUE,(GRUPOS!$B$40:$B$51=L57)+(GRUPOS!$C$40:$C$51=L57)+(GRUPOS!$D$40:$D$51=L57)+(GRUPOS!$E$40:$E$51=L57)&gt;0,GRUPOS!$A$40:$A$51)</f>
        <v>C</v>
      </c>
    </row>
    <row r="58" spans="2:31" x14ac:dyDescent="0.25">
      <c r="B58" s="14" t="s">
        <v>167</v>
      </c>
      <c r="C58" s="3" t="s">
        <v>81</v>
      </c>
      <c r="D58" s="6" t="s">
        <v>171</v>
      </c>
      <c r="E58" s="1" t="s">
        <v>127</v>
      </c>
      <c r="F58" s="3" t="str" cm="1">
        <f t="array" ref="F58">_xlfn.XLOOKUP(TRUE,(GRUPOS!$B$40:$B$51=G58)+(GRUPOS!$C$40:$C$51=G58)+(GRUPOS!$D$40:$D$51=G58)+(GRUPOS!$E$40:$E$51=G58)&gt;0,GRUPOS!$A$40:$A$51)</f>
        <v>C</v>
      </c>
      <c r="G58" s="1" t="str">
        <f t="shared" si="4"/>
        <v>Marruecos</v>
      </c>
      <c r="H58" s="30"/>
      <c r="I58" s="3"/>
      <c r="J58" s="3"/>
      <c r="K58" s="30"/>
      <c r="L58" s="1" t="str">
        <f t="shared" si="5"/>
        <v>Haití</v>
      </c>
      <c r="M58" s="15" t="str" cm="1">
        <f t="array" ref="M58">_xlfn.XLOOKUP(TRUE,(GRUPOS!$B$40:$B$51=L58)+(GRUPOS!$C$40:$C$51=L58)+(GRUPOS!$D$40:$D$51=L58)+(GRUPOS!$E$40:$E$51=L58)&gt;0,GRUPOS!$A$40:$A$51)</f>
        <v>C</v>
      </c>
    </row>
    <row r="59" spans="2:31" x14ac:dyDescent="0.25">
      <c r="B59" s="14" t="s">
        <v>167</v>
      </c>
      <c r="C59" s="3" t="s">
        <v>75</v>
      </c>
      <c r="D59" s="6" t="s">
        <v>172</v>
      </c>
      <c r="E59" s="1" t="s">
        <v>124</v>
      </c>
      <c r="F59" s="3" t="str" cm="1">
        <f t="array" ref="F59">_xlfn.XLOOKUP(TRUE,(GRUPOS!$B$40:$B$51=G59)+(GRUPOS!$C$40:$C$51=G59)+(GRUPOS!$D$40:$D$51=G59)+(GRUPOS!$E$40:$E$51=G59)&gt;0,GRUPOS!$A$40:$A$51)</f>
        <v>A</v>
      </c>
      <c r="G59" s="1" t="str">
        <f t="shared" si="4"/>
        <v>Chequia</v>
      </c>
      <c r="H59" s="30"/>
      <c r="I59" s="3"/>
      <c r="J59" s="3"/>
      <c r="K59" s="30"/>
      <c r="L59" s="1" t="str">
        <f t="shared" si="5"/>
        <v>México</v>
      </c>
      <c r="M59" s="15" t="str" cm="1">
        <f t="array" ref="M59">_xlfn.XLOOKUP(TRUE,(GRUPOS!$B$40:$B$51=L59)+(GRUPOS!$C$40:$C$51=L59)+(GRUPOS!$D$40:$D$51=L59)+(GRUPOS!$E$40:$E$51=L59)&gt;0,GRUPOS!$A$40:$A$51)</f>
        <v>A</v>
      </c>
    </row>
    <row r="60" spans="2:31" x14ac:dyDescent="0.25">
      <c r="B60" s="14" t="s">
        <v>167</v>
      </c>
      <c r="C60" s="3" t="s">
        <v>75</v>
      </c>
      <c r="D60" s="6" t="s">
        <v>173</v>
      </c>
      <c r="E60" s="1" t="s">
        <v>150</v>
      </c>
      <c r="F60" s="3" t="str" cm="1">
        <f t="array" ref="F60">_xlfn.XLOOKUP(TRUE,(GRUPOS!$B$40:$B$51=G60)+(GRUPOS!$C$40:$C$51=G60)+(GRUPOS!$D$40:$D$51=G60)+(GRUPOS!$E$40:$E$51=G60)&gt;0,GRUPOS!$A$40:$A$51)</f>
        <v>A</v>
      </c>
      <c r="G60" s="1" t="str">
        <f t="shared" si="4"/>
        <v>Sudáfrica</v>
      </c>
      <c r="H60" s="30"/>
      <c r="I60" s="3"/>
      <c r="J60" s="3"/>
      <c r="K60" s="30"/>
      <c r="L60" s="1" t="str">
        <f t="shared" si="5"/>
        <v>Corea del Sur</v>
      </c>
      <c r="M60" s="15" t="str" cm="1">
        <f t="array" ref="M60">_xlfn.XLOOKUP(TRUE,(GRUPOS!$B$40:$B$51=L60)+(GRUPOS!$C$40:$C$51=L60)+(GRUPOS!$D$40:$D$51=L60)+(GRUPOS!$E$40:$E$51=L60)&gt;0,GRUPOS!$A$40:$A$51)</f>
        <v>A</v>
      </c>
    </row>
    <row r="61" spans="2:31" x14ac:dyDescent="0.25">
      <c r="B61" s="14" t="s">
        <v>174</v>
      </c>
      <c r="C61" s="3" t="s">
        <v>93</v>
      </c>
      <c r="D61" s="6" t="s">
        <v>175</v>
      </c>
      <c r="E61" s="1" t="s">
        <v>141</v>
      </c>
      <c r="F61" s="3" t="str" cm="1">
        <f t="array" ref="F61">_xlfn.XLOOKUP(TRUE,(GRUPOS!$B$40:$B$51=G61)+(GRUPOS!$C$40:$C$51=G61)+(GRUPOS!$D$40:$D$51=G61)+(GRUPOS!$E$40:$E$51=G61)&gt;0,GRUPOS!$A$40:$A$51)</f>
        <v>E</v>
      </c>
      <c r="G61" s="1" t="str">
        <f t="shared" si="4"/>
        <v>Curazao</v>
      </c>
      <c r="H61" s="30"/>
      <c r="I61" s="3"/>
      <c r="J61" s="3"/>
      <c r="K61" s="30"/>
      <c r="L61" s="1" t="str">
        <f t="shared" si="5"/>
        <v>Costa de Marfil</v>
      </c>
      <c r="M61" s="15" t="str" cm="1">
        <f t="array" ref="M61">_xlfn.XLOOKUP(TRUE,(GRUPOS!$B$40:$B$51=L61)+(GRUPOS!$C$40:$C$51=L61)+(GRUPOS!$D$40:$D$51=L61)+(GRUPOS!$E$40:$E$51=L61)&gt;0,GRUPOS!$A$40:$A$51)</f>
        <v>E</v>
      </c>
    </row>
    <row r="62" spans="2:31" x14ac:dyDescent="0.25">
      <c r="B62" s="14" t="s">
        <v>174</v>
      </c>
      <c r="C62" s="3" t="s">
        <v>93</v>
      </c>
      <c r="D62" s="6" t="s">
        <v>176</v>
      </c>
      <c r="E62" s="1" t="s">
        <v>83</v>
      </c>
      <c r="F62" s="3" t="str" cm="1">
        <f t="array" ref="F62">_xlfn.XLOOKUP(TRUE,(GRUPOS!$B$40:$B$51=G62)+(GRUPOS!$C$40:$C$51=G62)+(GRUPOS!$D$40:$D$51=G62)+(GRUPOS!$E$40:$E$51=G62)&gt;0,GRUPOS!$A$40:$A$51)</f>
        <v>E</v>
      </c>
      <c r="G62" s="1" t="str">
        <f t="shared" si="4"/>
        <v>Ecuador</v>
      </c>
      <c r="H62" s="30"/>
      <c r="I62" s="3"/>
      <c r="J62" s="3"/>
      <c r="K62" s="30"/>
      <c r="L62" s="1" t="str">
        <f t="shared" si="5"/>
        <v>Alemania</v>
      </c>
      <c r="M62" s="15" t="str" cm="1">
        <f t="array" ref="M62">_xlfn.XLOOKUP(TRUE,(GRUPOS!$B$40:$B$51=L62)+(GRUPOS!$C$40:$C$51=L62)+(GRUPOS!$D$40:$D$51=L62)+(GRUPOS!$E$40:$E$51=L62)&gt;0,GRUPOS!$A$40:$A$51)</f>
        <v>E</v>
      </c>
    </row>
    <row r="63" spans="2:31" x14ac:dyDescent="0.25">
      <c r="B63" s="14" t="s">
        <v>174</v>
      </c>
      <c r="C63" s="3" t="s">
        <v>96</v>
      </c>
      <c r="D63" s="6" t="s">
        <v>177</v>
      </c>
      <c r="E63" s="1" t="s">
        <v>120</v>
      </c>
      <c r="F63" s="3" t="str" cm="1">
        <f t="array" ref="F63">_xlfn.XLOOKUP(TRUE,(GRUPOS!$B$40:$B$51=G63)+(GRUPOS!$C$40:$C$51=G63)+(GRUPOS!$D$40:$D$51=G63)+(GRUPOS!$E$40:$E$51=G63)&gt;0,GRUPOS!$A$40:$A$51)</f>
        <v>F</v>
      </c>
      <c r="G63" s="1" t="str">
        <f t="shared" si="4"/>
        <v>Japón</v>
      </c>
      <c r="H63" s="30"/>
      <c r="I63" s="3"/>
      <c r="J63" s="3"/>
      <c r="K63" s="30"/>
      <c r="L63" s="1" t="str">
        <f t="shared" si="5"/>
        <v>Suecia</v>
      </c>
      <c r="M63" s="15" t="str" cm="1">
        <f t="array" ref="M63">_xlfn.XLOOKUP(TRUE,(GRUPOS!$B$40:$B$51=L63)+(GRUPOS!$C$40:$C$51=L63)+(GRUPOS!$D$40:$D$51=L63)+(GRUPOS!$E$40:$E$51=L63)&gt;0,GRUPOS!$A$40:$A$51)</f>
        <v>F</v>
      </c>
    </row>
    <row r="64" spans="2:31" x14ac:dyDescent="0.25">
      <c r="B64" s="14" t="s">
        <v>174</v>
      </c>
      <c r="C64" s="3" t="s">
        <v>96</v>
      </c>
      <c r="D64" s="6" t="s">
        <v>178</v>
      </c>
      <c r="E64" s="1" t="s">
        <v>113</v>
      </c>
      <c r="F64" s="3" t="str" cm="1">
        <f t="array" ref="F64">_xlfn.XLOOKUP(TRUE,(GRUPOS!$B$40:$B$51=G64)+(GRUPOS!$C$40:$C$51=G64)+(GRUPOS!$D$40:$D$51=G64)+(GRUPOS!$E$40:$E$51=G64)&gt;0,GRUPOS!$A$40:$A$51)</f>
        <v>F</v>
      </c>
      <c r="G64" s="1" t="str">
        <f t="shared" si="4"/>
        <v>Túnez</v>
      </c>
      <c r="H64" s="30"/>
      <c r="I64" s="3"/>
      <c r="J64" s="3"/>
      <c r="K64" s="30"/>
      <c r="L64" s="1" t="str">
        <f t="shared" si="5"/>
        <v>Países Bajos</v>
      </c>
      <c r="M64" s="15" t="str" cm="1">
        <f t="array" ref="M64">_xlfn.XLOOKUP(TRUE,(GRUPOS!$B$40:$B$51=L64)+(GRUPOS!$C$40:$C$51=L64)+(GRUPOS!$D$40:$D$51=L64)+(GRUPOS!$E$40:$E$51=L64)&gt;0,GRUPOS!$A$40:$A$51)</f>
        <v>F</v>
      </c>
    </row>
    <row r="65" spans="2:13" x14ac:dyDescent="0.25">
      <c r="B65" s="14" t="s">
        <v>174</v>
      </c>
      <c r="C65" s="3" t="s">
        <v>69</v>
      </c>
      <c r="D65" s="6" t="s">
        <v>179</v>
      </c>
      <c r="E65" s="1" t="s">
        <v>129</v>
      </c>
      <c r="F65" s="3" t="str" cm="1">
        <f t="array" ref="F65">_xlfn.XLOOKUP(TRUE,(GRUPOS!$B$40:$B$51=G65)+(GRUPOS!$C$40:$C$51=G65)+(GRUPOS!$D$40:$D$51=G65)+(GRUPOS!$E$40:$E$51=G65)&gt;0,GRUPOS!$A$40:$A$51)</f>
        <v>D</v>
      </c>
      <c r="G65" s="1" t="str">
        <f t="shared" si="4"/>
        <v>Turquía</v>
      </c>
      <c r="H65" s="30"/>
      <c r="I65" s="3"/>
      <c r="J65" s="3"/>
      <c r="K65" s="30"/>
      <c r="L65" s="1" t="str">
        <f t="shared" si="5"/>
        <v>Estados Unidos</v>
      </c>
      <c r="M65" s="15" t="str" cm="1">
        <f t="array" ref="M65">_xlfn.XLOOKUP(TRUE,(GRUPOS!$B$40:$B$51=L65)+(GRUPOS!$C$40:$C$51=L65)+(GRUPOS!$D$40:$D$51=L65)+(GRUPOS!$E$40:$E$51=L65)&gt;0,GRUPOS!$A$40:$A$51)</f>
        <v>D</v>
      </c>
    </row>
    <row r="66" spans="2:13" x14ac:dyDescent="0.25">
      <c r="B66" s="14" t="s">
        <v>174</v>
      </c>
      <c r="C66" s="3" t="s">
        <v>69</v>
      </c>
      <c r="D66" s="6" t="s">
        <v>180</v>
      </c>
      <c r="E66" s="1" t="s">
        <v>115</v>
      </c>
      <c r="F66" s="3" t="str" cm="1">
        <f t="array" ref="F66">_xlfn.XLOOKUP(TRUE,(GRUPOS!$B$40:$B$51=G66)+(GRUPOS!$C$40:$C$51=G66)+(GRUPOS!$D$40:$D$51=G66)+(GRUPOS!$E$40:$E$51=G66)&gt;0,GRUPOS!$A$40:$A$51)</f>
        <v>D</v>
      </c>
      <c r="G66" s="1" t="str">
        <f t="shared" si="4"/>
        <v>Paraguay</v>
      </c>
      <c r="H66" s="30"/>
      <c r="I66" s="3"/>
      <c r="J66" s="3"/>
      <c r="K66" s="30"/>
      <c r="L66" s="1" t="str">
        <f t="shared" si="5"/>
        <v>Australia</v>
      </c>
      <c r="M66" s="15" t="str" cm="1">
        <f t="array" ref="M66">_xlfn.XLOOKUP(TRUE,(GRUPOS!$B$40:$B$51=L66)+(GRUPOS!$C$40:$C$51=L66)+(GRUPOS!$D$40:$D$51=L66)+(GRUPOS!$E$40:$E$51=L66)&gt;0,GRUPOS!$A$40:$A$51)</f>
        <v>D</v>
      </c>
    </row>
    <row r="67" spans="2:13" x14ac:dyDescent="0.25">
      <c r="B67" s="14" t="s">
        <v>181</v>
      </c>
      <c r="C67" s="3" t="s">
        <v>66</v>
      </c>
      <c r="D67" s="6" t="s">
        <v>182</v>
      </c>
      <c r="E67" s="1" t="s">
        <v>138</v>
      </c>
      <c r="F67" s="3" t="str" cm="1">
        <f t="array" ref="F67">_xlfn.XLOOKUP(TRUE,(GRUPOS!$B$40:$B$51=G67)+(GRUPOS!$C$40:$C$51=G67)+(GRUPOS!$D$40:$D$51=G67)+(GRUPOS!$E$40:$E$51=G67)&gt;0,GRUPOS!$A$40:$A$51)</f>
        <v>I</v>
      </c>
      <c r="G67" s="1" t="str">
        <f t="shared" si="4"/>
        <v>Noruega</v>
      </c>
      <c r="H67" s="30"/>
      <c r="I67" s="3"/>
      <c r="J67" s="3"/>
      <c r="K67" s="30"/>
      <c r="L67" s="1" t="str">
        <f t="shared" si="5"/>
        <v>Francia</v>
      </c>
      <c r="M67" s="15" t="str" cm="1">
        <f t="array" ref="M67">_xlfn.XLOOKUP(TRUE,(GRUPOS!$B$40:$B$51=L67)+(GRUPOS!$C$40:$C$51=L67)+(GRUPOS!$D$40:$D$51=L67)+(GRUPOS!$E$40:$E$51=L67)&gt;0,GRUPOS!$A$40:$A$51)</f>
        <v>I</v>
      </c>
    </row>
    <row r="68" spans="2:13" x14ac:dyDescent="0.25">
      <c r="B68" s="14" t="s">
        <v>181</v>
      </c>
      <c r="C68" s="3" t="s">
        <v>66</v>
      </c>
      <c r="D68" s="6" t="s">
        <v>183</v>
      </c>
      <c r="E68" s="1" t="s">
        <v>122</v>
      </c>
      <c r="F68" s="3" t="str" cm="1">
        <f t="array" ref="F68">_xlfn.XLOOKUP(TRUE,(GRUPOS!$B$40:$B$51=G68)+(GRUPOS!$C$40:$C$51=G68)+(GRUPOS!$D$40:$D$51=G68)+(GRUPOS!$E$40:$E$51=G68)&gt;0,GRUPOS!$A$40:$A$51)</f>
        <v>I</v>
      </c>
      <c r="G68" s="1" t="str">
        <f t="shared" si="4"/>
        <v>Senegal</v>
      </c>
      <c r="H68" s="30"/>
      <c r="I68" s="3"/>
      <c r="J68" s="3"/>
      <c r="K68" s="30"/>
      <c r="L68" s="1" t="str">
        <f t="shared" si="5"/>
        <v>Irak</v>
      </c>
      <c r="M68" s="15" t="str" cm="1">
        <f t="array" ref="M68">_xlfn.XLOOKUP(TRUE,(GRUPOS!$B$40:$B$51=L68)+(GRUPOS!$C$40:$C$51=L68)+(GRUPOS!$D$40:$D$51=L68)+(GRUPOS!$E$40:$E$51=L68)&gt;0,GRUPOS!$A$40:$A$51)</f>
        <v>I</v>
      </c>
    </row>
    <row r="69" spans="2:13" x14ac:dyDescent="0.25">
      <c r="B69" s="14" t="s">
        <v>181</v>
      </c>
      <c r="C69" s="3" t="s">
        <v>147</v>
      </c>
      <c r="D69" s="6" t="s">
        <v>251</v>
      </c>
      <c r="E69" s="1" t="s">
        <v>118</v>
      </c>
      <c r="F69" s="3" t="str" cm="1">
        <f t="array" ref="F69">_xlfn.XLOOKUP(TRUE,(GRUPOS!$B$40:$B$51=G69)+(GRUPOS!$C$40:$C$51=G69)+(GRUPOS!$D$40:$D$51=G69)+(GRUPOS!$E$40:$E$51=G69)&gt;0,GRUPOS!$A$40:$A$51)</f>
        <v>H</v>
      </c>
      <c r="G69" s="1" t="str">
        <f t="shared" si="4"/>
        <v>Cabo Verde</v>
      </c>
      <c r="H69" s="30"/>
      <c r="I69" s="3"/>
      <c r="J69" s="3"/>
      <c r="K69" s="30"/>
      <c r="L69" s="1" t="str">
        <f t="shared" si="5"/>
        <v>Arabia Saudita</v>
      </c>
      <c r="M69" s="15" t="str" cm="1">
        <f t="array" ref="M69">_xlfn.XLOOKUP(TRUE,(GRUPOS!$B$40:$B$51=L69)+(GRUPOS!$C$40:$C$51=L69)+(GRUPOS!$D$40:$D$51=L69)+(GRUPOS!$E$40:$E$51=L69)&gt;0,GRUPOS!$A$40:$A$51)</f>
        <v>H</v>
      </c>
    </row>
    <row r="70" spans="2:13" x14ac:dyDescent="0.25">
      <c r="B70" s="14" t="s">
        <v>181</v>
      </c>
      <c r="C70" s="3" t="s">
        <v>147</v>
      </c>
      <c r="D70" s="6" t="s">
        <v>184</v>
      </c>
      <c r="E70" s="1" t="s">
        <v>133</v>
      </c>
      <c r="F70" s="3" t="str" cm="1">
        <f t="array" ref="F70">_xlfn.XLOOKUP(TRUE,(GRUPOS!$B$40:$B$51=G70)+(GRUPOS!$C$40:$C$51=G70)+(GRUPOS!$D$40:$D$51=G70)+(GRUPOS!$E$40:$E$51=G70)&gt;0,GRUPOS!$A$40:$A$51)</f>
        <v>H</v>
      </c>
      <c r="G70" s="1" t="str">
        <f t="shared" si="4"/>
        <v>Uruguay</v>
      </c>
      <c r="H70" s="30"/>
      <c r="I70" s="3"/>
      <c r="J70" s="3"/>
      <c r="K70" s="30"/>
      <c r="L70" s="1" t="str">
        <f t="shared" si="5"/>
        <v>España</v>
      </c>
      <c r="M70" s="15" t="str" cm="1">
        <f t="array" ref="M70">_xlfn.XLOOKUP(TRUE,(GRUPOS!$B$40:$B$51=L70)+(GRUPOS!$C$40:$C$51=L70)+(GRUPOS!$D$40:$D$51=L70)+(GRUPOS!$E$40:$E$51=L70)&gt;0,GRUPOS!$A$40:$A$51)</f>
        <v>H</v>
      </c>
    </row>
    <row r="71" spans="2:13" x14ac:dyDescent="0.25">
      <c r="B71" s="14" t="s">
        <v>181</v>
      </c>
      <c r="C71" s="3" t="s">
        <v>142</v>
      </c>
      <c r="D71" s="6" t="s">
        <v>185</v>
      </c>
      <c r="E71" s="1" t="s">
        <v>136</v>
      </c>
      <c r="F71" s="3" t="str" cm="1">
        <f t="array" ref="F71">_xlfn.XLOOKUP(TRUE,(GRUPOS!$B$40:$B$51=G71)+(GRUPOS!$C$40:$C$51=G71)+(GRUPOS!$D$40:$D$51=G71)+(GRUPOS!$E$40:$E$51=G71)&gt;0,GRUPOS!$A$40:$A$51)</f>
        <v>G</v>
      </c>
      <c r="G71" s="1" t="str">
        <f t="shared" ref="G71:G78" si="6">LEFT(D71,FIND(" vs ",D71)-1)</f>
        <v>Egipto</v>
      </c>
      <c r="H71" s="30"/>
      <c r="I71" s="3"/>
      <c r="J71" s="3"/>
      <c r="K71" s="30"/>
      <c r="L71" s="1" t="str">
        <f t="shared" ref="L71:L78" si="7">MID(D71,FIND(" vs ",D71)+4,LEN(D71))</f>
        <v>Irán</v>
      </c>
      <c r="M71" s="15" t="str" cm="1">
        <f t="array" ref="M71">_xlfn.XLOOKUP(TRUE,(GRUPOS!$B$40:$B$51=L71)+(GRUPOS!$C$40:$C$51=L71)+(GRUPOS!$D$40:$D$51=L71)+(GRUPOS!$E$40:$E$51=L71)&gt;0,GRUPOS!$A$40:$A$51)</f>
        <v>G</v>
      </c>
    </row>
    <row r="72" spans="2:13" x14ac:dyDescent="0.25">
      <c r="B72" s="14" t="s">
        <v>181</v>
      </c>
      <c r="C72" s="3" t="s">
        <v>142</v>
      </c>
      <c r="D72" s="6" t="s">
        <v>186</v>
      </c>
      <c r="E72" s="1" t="s">
        <v>131</v>
      </c>
      <c r="F72" s="3" t="str" cm="1">
        <f t="array" ref="F72">_xlfn.XLOOKUP(TRUE,(GRUPOS!$B$40:$B$51=G72)+(GRUPOS!$C$40:$C$51=G72)+(GRUPOS!$D$40:$D$51=G72)+(GRUPOS!$E$40:$E$51=G72)&gt;0,GRUPOS!$A$40:$A$51)</f>
        <v>G</v>
      </c>
      <c r="G72" s="1" t="str">
        <f t="shared" si="6"/>
        <v>Nueva Zelanda</v>
      </c>
      <c r="H72" s="30"/>
      <c r="I72" s="3"/>
      <c r="J72" s="3"/>
      <c r="K72" s="30"/>
      <c r="L72" s="1" t="str">
        <f t="shared" si="7"/>
        <v>Bélgica</v>
      </c>
      <c r="M72" s="15" t="str" cm="1">
        <f t="array" ref="M72">_xlfn.XLOOKUP(TRUE,(GRUPOS!$B$40:$B$51=L72)+(GRUPOS!$C$40:$C$51=L72)+(GRUPOS!$D$40:$D$51=L72)+(GRUPOS!$E$40:$E$51=L72)&gt;0,GRUPOS!$A$40:$A$51)</f>
        <v>G</v>
      </c>
    </row>
    <row r="73" spans="2:13" x14ac:dyDescent="0.25">
      <c r="B73" s="14" t="s">
        <v>187</v>
      </c>
      <c r="C73" s="3" t="s">
        <v>158</v>
      </c>
      <c r="D73" s="6" t="s">
        <v>188</v>
      </c>
      <c r="E73" s="1" t="s">
        <v>83</v>
      </c>
      <c r="F73" s="3" t="str" cm="1">
        <f t="array" ref="F73">_xlfn.XLOOKUP(TRUE,(GRUPOS!$B$40:$B$51=G73)+(GRUPOS!$C$40:$C$51=G73)+(GRUPOS!$D$40:$D$51=G73)+(GRUPOS!$E$40:$E$51=G73)&gt;0,GRUPOS!$A$40:$A$51)</f>
        <v>L</v>
      </c>
      <c r="G73" s="1" t="str">
        <f t="shared" si="6"/>
        <v>Panamá</v>
      </c>
      <c r="H73" s="30"/>
      <c r="I73" s="3"/>
      <c r="J73" s="3"/>
      <c r="K73" s="30"/>
      <c r="L73" s="1" t="str">
        <f t="shared" si="7"/>
        <v>Inglaterra</v>
      </c>
      <c r="M73" s="15" t="str" cm="1">
        <f t="array" ref="M73">_xlfn.XLOOKUP(TRUE,(GRUPOS!$B$40:$B$51=L73)+(GRUPOS!$C$40:$C$51=L73)+(GRUPOS!$D$40:$D$51=L73)+(GRUPOS!$E$40:$E$51=L73)&gt;0,GRUPOS!$A$40:$A$51)</f>
        <v>L</v>
      </c>
    </row>
    <row r="74" spans="2:13" x14ac:dyDescent="0.25">
      <c r="B74" s="14" t="s">
        <v>187</v>
      </c>
      <c r="C74" s="3" t="s">
        <v>158</v>
      </c>
      <c r="D74" s="6" t="s">
        <v>189</v>
      </c>
      <c r="E74" s="1" t="s">
        <v>141</v>
      </c>
      <c r="F74" s="3" t="str" cm="1">
        <f t="array" ref="F74">_xlfn.XLOOKUP(TRUE,(GRUPOS!$B$40:$B$51=G74)+(GRUPOS!$C$40:$C$51=G74)+(GRUPOS!$D$40:$D$51=G74)+(GRUPOS!$E$40:$E$51=G74)&gt;0,GRUPOS!$A$40:$A$51)</f>
        <v>L</v>
      </c>
      <c r="G74" s="1" t="str">
        <f t="shared" si="6"/>
        <v>Croacia</v>
      </c>
      <c r="H74" s="30"/>
      <c r="I74" s="3"/>
      <c r="J74" s="3"/>
      <c r="K74" s="30"/>
      <c r="L74" s="1" t="str">
        <f t="shared" si="7"/>
        <v>Ghana</v>
      </c>
      <c r="M74" s="15" t="str" cm="1">
        <f t="array" ref="M74">_xlfn.XLOOKUP(TRUE,(GRUPOS!$B$40:$B$51=L74)+(GRUPOS!$C$40:$C$51=L74)+(GRUPOS!$D$40:$D$51=L74)+(GRUPOS!$E$40:$E$51=L74)&gt;0,GRUPOS!$A$40:$A$51)</f>
        <v>L</v>
      </c>
    </row>
    <row r="75" spans="2:13" x14ac:dyDescent="0.25">
      <c r="B75" s="14" t="s">
        <v>187</v>
      </c>
      <c r="C75" s="3" t="s">
        <v>190</v>
      </c>
      <c r="D75" s="6" t="s">
        <v>191</v>
      </c>
      <c r="E75" s="1" t="s">
        <v>154</v>
      </c>
      <c r="F75" s="3" t="str" cm="1">
        <f t="array" ref="F75">_xlfn.XLOOKUP(TRUE,(GRUPOS!$B$40:$B$51=G75)+(GRUPOS!$C$40:$C$51=G75)+(GRUPOS!$D$40:$D$51=G75)+(GRUPOS!$E$40:$E$51=G75)&gt;0,GRUPOS!$A$40:$A$51)</f>
        <v>K</v>
      </c>
      <c r="G75" s="1" t="str">
        <f t="shared" si="6"/>
        <v>Colombia</v>
      </c>
      <c r="H75" s="30"/>
      <c r="I75" s="3"/>
      <c r="J75" s="3"/>
      <c r="K75" s="30"/>
      <c r="L75" s="1" t="str">
        <f t="shared" si="7"/>
        <v>Portugal</v>
      </c>
      <c r="M75" s="15" t="str" cm="1">
        <f t="array" ref="M75">_xlfn.XLOOKUP(TRUE,(GRUPOS!$B$40:$B$51=L75)+(GRUPOS!$C$40:$C$51=L75)+(GRUPOS!$D$40:$D$51=L75)+(GRUPOS!$E$40:$E$51=L75)&gt;0,GRUPOS!$A$40:$A$51)</f>
        <v>K</v>
      </c>
    </row>
    <row r="76" spans="2:13" x14ac:dyDescent="0.25">
      <c r="B76" s="14" t="s">
        <v>187</v>
      </c>
      <c r="C76" s="3" t="s">
        <v>190</v>
      </c>
      <c r="D76" s="6" t="s">
        <v>192</v>
      </c>
      <c r="E76" s="1" t="s">
        <v>127</v>
      </c>
      <c r="F76" s="3" t="str" cm="1">
        <f t="array" ref="F76">_xlfn.XLOOKUP(TRUE,(GRUPOS!$B$40:$B$51=G76)+(GRUPOS!$C$40:$C$51=G76)+(GRUPOS!$D$40:$D$51=G76)+(GRUPOS!$E$40:$E$51=G76)&gt;0,GRUPOS!$A$40:$A$51)</f>
        <v>K</v>
      </c>
      <c r="G76" s="1" t="str">
        <f t="shared" si="6"/>
        <v>RD Congo</v>
      </c>
      <c r="H76" s="30"/>
      <c r="I76" s="3"/>
      <c r="J76" s="3"/>
      <c r="K76" s="30"/>
      <c r="L76" s="1" t="str">
        <f t="shared" si="7"/>
        <v>Uzbekistán</v>
      </c>
      <c r="M76" s="15" t="str" cm="1">
        <f t="array" ref="M76">_xlfn.XLOOKUP(TRUE,(GRUPOS!$B$40:$B$51=L76)+(GRUPOS!$C$40:$C$51=L76)+(GRUPOS!$D$40:$D$51=L76)+(GRUPOS!$E$40:$E$51=L76)&gt;0,GRUPOS!$A$40:$A$51)</f>
        <v>K</v>
      </c>
    </row>
    <row r="77" spans="2:13" x14ac:dyDescent="0.25">
      <c r="B77" s="14" t="s">
        <v>187</v>
      </c>
      <c r="C77" s="3" t="s">
        <v>69</v>
      </c>
      <c r="D77" s="6" t="s">
        <v>193</v>
      </c>
      <c r="E77" s="1" t="s">
        <v>113</v>
      </c>
      <c r="F77" s="3" t="str" cm="1">
        <f t="array" ref="F77">_xlfn.XLOOKUP(TRUE,(GRUPOS!$B$40:$B$51=G77)+(GRUPOS!$C$40:$C$51=G77)+(GRUPOS!$D$40:$D$51=G77)+(GRUPOS!$E$40:$E$51=G77)&gt;0,GRUPOS!$A$40:$A$51)</f>
        <v>J</v>
      </c>
      <c r="G77" s="1" t="str">
        <f t="shared" si="6"/>
        <v>Argelia</v>
      </c>
      <c r="H77" s="30"/>
      <c r="I77" s="3"/>
      <c r="J77" s="3"/>
      <c r="K77" s="30"/>
      <c r="L77" s="1" t="str">
        <f t="shared" si="7"/>
        <v>Austria</v>
      </c>
      <c r="M77" s="15" t="str" cm="1">
        <f t="array" ref="M77">_xlfn.XLOOKUP(TRUE,(GRUPOS!$B$40:$B$51=L77)+(GRUPOS!$C$40:$C$51=L77)+(GRUPOS!$D$40:$D$51=L77)+(GRUPOS!$E$40:$E$51=L77)&gt;0,GRUPOS!$A$40:$A$51)</f>
        <v>J</v>
      </c>
    </row>
    <row r="78" spans="2:13" ht="15.75" thickBot="1" x14ac:dyDescent="0.3">
      <c r="B78" s="17" t="s">
        <v>187</v>
      </c>
      <c r="C78" s="13" t="s">
        <v>69</v>
      </c>
      <c r="D78" s="77" t="s">
        <v>194</v>
      </c>
      <c r="E78" s="11" t="s">
        <v>120</v>
      </c>
      <c r="F78" s="13" t="str" cm="1">
        <f t="array" ref="F78">_xlfn.XLOOKUP(TRUE,(GRUPOS!$B$40:$B$51=G78)+(GRUPOS!$C$40:$C$51=G78)+(GRUPOS!$D$40:$D$51=G78)+(GRUPOS!$E$40:$E$51=G78)&gt;0,GRUPOS!$A$40:$A$51)</f>
        <v>J</v>
      </c>
      <c r="G78" s="11" t="str">
        <f t="shared" si="6"/>
        <v>Jordania</v>
      </c>
      <c r="H78" s="57"/>
      <c r="I78" s="13"/>
      <c r="J78" s="13"/>
      <c r="K78" s="57"/>
      <c r="L78" s="11" t="str">
        <f t="shared" si="7"/>
        <v>Argentina</v>
      </c>
      <c r="M78" s="18" t="str" cm="1">
        <f t="array" ref="M78">_xlfn.XLOOKUP(TRUE,(GRUPOS!$B$40:$B$51=L78)+(GRUPOS!$C$40:$C$51=L78)+(GRUPOS!$D$40:$D$51=L78)+(GRUPOS!$E$40:$E$51=L78)&gt;0,GRUPOS!$A$40:$A$51)</f>
        <v>J</v>
      </c>
    </row>
  </sheetData>
  <autoFilter ref="E6:M78" xr:uid="{D8396870-88E2-4502-8085-BE7E1C572BC4}">
    <filterColumn colId="4" showButton="0"/>
  </autoFilter>
  <mergeCells count="6">
    <mergeCell ref="AC5:AC6"/>
    <mergeCell ref="AD5:AE5"/>
    <mergeCell ref="I6:J6"/>
    <mergeCell ref="O5:AA5"/>
    <mergeCell ref="Q6:T6"/>
    <mergeCell ref="V6:Y6"/>
  </mergeCells>
  <conditionalFormatting sqref="H7:H78">
    <cfRule type="cellIs" dxfId="7" priority="13" operator="equal">
      <formula>"Perdió"</formula>
    </cfRule>
    <cfRule type="cellIs" dxfId="6" priority="14" operator="equal">
      <formula>"Empató"</formula>
    </cfRule>
    <cfRule type="cellIs" dxfId="5" priority="15" operator="equal">
      <formula>"Ganó"</formula>
    </cfRule>
  </conditionalFormatting>
  <conditionalFormatting sqref="K7:K78">
    <cfRule type="cellIs" dxfId="4" priority="4" operator="equal">
      <formula>"Perdió"</formula>
    </cfRule>
    <cfRule type="cellIs" dxfId="3" priority="5" operator="equal">
      <formula>"Empató"</formula>
    </cfRule>
    <cfRule type="cellIs" dxfId="2" priority="6" operator="equal">
      <formula>"Ganó"</formula>
    </cfRule>
  </conditionalFormatting>
  <conditionalFormatting sqref="AD1:AD1048576">
    <cfRule type="cellIs" dxfId="1" priority="1" operator="equal">
      <formula>2</formula>
    </cfRule>
    <cfRule type="cellIs" dxfId="0" priority="2" operator="equal">
      <formula>1</formula>
    </cfRule>
  </conditionalFormatting>
  <dataValidations count="1">
    <dataValidation type="list" allowBlank="1" showInputMessage="1" showErrorMessage="1" sqref="H7:H78 K7:K78" xr:uid="{4F5B8079-2C35-44DE-ABE1-B4D81EDD712F}">
      <formula1>"Ganó, Perdió, Empató"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8A04-FFCE-4BC5-AD0B-39E521CA0908}">
  <dimension ref="C5:T23"/>
  <sheetViews>
    <sheetView showGridLines="0" workbookViewId="0"/>
  </sheetViews>
  <sheetFormatPr baseColWidth="10" defaultRowHeight="15" x14ac:dyDescent="0.25"/>
  <cols>
    <col min="2" max="2" width="10.5703125" customWidth="1"/>
    <col min="3" max="3" width="9.28515625" customWidth="1"/>
    <col min="5" max="5" width="0" hidden="1" customWidth="1"/>
    <col min="6" max="6" width="43.42578125" customWidth="1"/>
    <col min="7" max="7" width="51.42578125" customWidth="1"/>
    <col min="8" max="8" width="23.140625" bestFit="1" customWidth="1"/>
    <col min="9" max="9" width="6.140625" customWidth="1"/>
    <col min="10" max="11" width="19" hidden="1" customWidth="1"/>
    <col min="12" max="12" width="5.85546875" hidden="1" customWidth="1"/>
    <col min="14" max="14" width="14.5703125" customWidth="1"/>
    <col min="15" max="15" width="9.140625" style="4" bestFit="1" customWidth="1"/>
    <col min="16" max="16" width="7.7109375" bestFit="1" customWidth="1"/>
    <col min="17" max="17" width="0" hidden="1" customWidth="1"/>
    <col min="18" max="18" width="5.5703125" customWidth="1"/>
    <col min="19" max="19" width="11.42578125" style="4"/>
    <col min="20" max="20" width="39.42578125" customWidth="1"/>
  </cols>
  <sheetData>
    <row r="5" spans="3:20" ht="15.75" thickBot="1" x14ac:dyDescent="0.3"/>
    <row r="6" spans="3:20" ht="19.5" thickBot="1" x14ac:dyDescent="0.3">
      <c r="C6" s="95" t="s">
        <v>203</v>
      </c>
      <c r="D6" s="97" t="s">
        <v>61</v>
      </c>
      <c r="E6" s="26" t="s">
        <v>62</v>
      </c>
      <c r="F6" s="99" t="s">
        <v>63</v>
      </c>
      <c r="G6" s="100"/>
      <c r="H6" s="103" t="s">
        <v>64</v>
      </c>
      <c r="I6" s="29"/>
      <c r="J6" s="29"/>
      <c r="K6" s="29"/>
      <c r="M6" s="109" t="s">
        <v>266</v>
      </c>
      <c r="N6" s="97"/>
      <c r="O6" s="99"/>
      <c r="P6" s="99"/>
      <c r="Q6" s="103"/>
      <c r="S6" s="91" t="s">
        <v>278</v>
      </c>
      <c r="T6" s="94"/>
    </row>
    <row r="7" spans="3:20" ht="18.75" x14ac:dyDescent="0.25">
      <c r="C7" s="96"/>
      <c r="D7" s="98"/>
      <c r="E7" s="7"/>
      <c r="F7" s="101"/>
      <c r="G7" s="102"/>
      <c r="H7" s="104"/>
      <c r="I7" s="29"/>
      <c r="J7" s="29"/>
      <c r="K7" s="29"/>
      <c r="M7" s="32" t="s">
        <v>0</v>
      </c>
      <c r="N7" s="26" t="s">
        <v>267</v>
      </c>
      <c r="O7" s="26" t="s">
        <v>253</v>
      </c>
      <c r="P7" s="26" t="s">
        <v>252</v>
      </c>
      <c r="Q7" s="21" t="s">
        <v>268</v>
      </c>
      <c r="S7" s="22" t="s">
        <v>268</v>
      </c>
      <c r="T7" s="23" t="s">
        <v>267</v>
      </c>
    </row>
    <row r="8" spans="3:20" x14ac:dyDescent="0.25">
      <c r="C8" s="27">
        <v>73</v>
      </c>
      <c r="D8" s="3" t="s">
        <v>204</v>
      </c>
      <c r="E8" s="3"/>
      <c r="F8" s="1" t="str" cm="1">
        <f t="array" ref="F8">IFERROR(INDEX('Primera Fase'!$AE$7:$AE$54,MATCH(1,('Primera Fase'!$AC$7:$AC$54="A")*('Primera Fase'!$AD$7:$AD$54=2),0)),"")</f>
        <v>Corea del Sur</v>
      </c>
      <c r="G8" s="1" t="str" cm="1">
        <f t="array" ref="G8">IFERROR(INDEX('Primera Fase'!$AE$7:$AE$54,MATCH(1,('Primera Fase'!$AC$7:$AC$54="B")*('Primera Fase'!$AD$7:$AD$54=2),0)),"")</f>
        <v/>
      </c>
      <c r="H8" s="9" t="s">
        <v>210</v>
      </c>
      <c r="J8" t="s">
        <v>224</v>
      </c>
      <c r="K8" t="s">
        <v>225</v>
      </c>
      <c r="M8" s="14" t="s">
        <v>1</v>
      </c>
      <c r="N8" s="1" t="str" cm="1">
        <f t="array" ref="N8">IFERROR(INDEX('Primera Fase'!$P$7:$P$54,MATCH(1,('Primera Fase'!$O$7:$O$54=M8)*('Primera Fase'!$AA$7:$AA$54=3),0)),"")</f>
        <v>Chequia</v>
      </c>
      <c r="O8" s="3">
        <f>IFERROR(INDEX('Primera Fase'!$U$7:$U$54,MATCH(N8,'Primera Fase'!$P$7:$P$54,0)),"")</f>
        <v>0</v>
      </c>
      <c r="P8" s="3">
        <f>IFERROR(INDEX('Primera Fase'!$Z$7:$Z$54,MATCH(N8,'Primera Fase'!$P$7:$P$54,0)),"")</f>
        <v>-1</v>
      </c>
      <c r="Q8" s="15" cm="1">
        <f t="array" ref="Q8">IF(O8="","",1+SUMPRODUCT(($O$8:$O$19&lt;&gt;"")*(($O$8:$O$19&gt;O8)+(($O$8:$O$19=O8)*($P$8:$P$19&gt;P8))))
)</f>
        <v>2</v>
      </c>
      <c r="S8" s="14">
        <v>1</v>
      </c>
      <c r="T8" s="9" t="str" cm="1">
        <f t="array" ref="T8">IFERROR(_xlfn.TEXTJOIN(" - ",TRUE,_xlfn._xlws.FILTER($N$8:$N$19,$Q$8:$Q$19=1)),"")</f>
        <v>Suecia</v>
      </c>
    </row>
    <row r="9" spans="3:20" x14ac:dyDescent="0.25">
      <c r="C9" s="27">
        <v>74</v>
      </c>
      <c r="D9" s="3" t="s">
        <v>205</v>
      </c>
      <c r="E9" s="3"/>
      <c r="F9" s="1" t="str" cm="1">
        <f t="array" ref="F9">IFERROR(INDEX('Primera Fase'!$AE$7:$AE$54,MATCH(1,('Primera Fase'!$AC$7:$AC$54="E")*('Primera Fase'!$AD$7:$AD$54=1),0)),"")</f>
        <v>Estados Unidos</v>
      </c>
      <c r="G9" s="201" t="s">
        <v>277</v>
      </c>
      <c r="H9" s="9" t="s">
        <v>211</v>
      </c>
      <c r="J9" t="s">
        <v>226</v>
      </c>
      <c r="K9" t="s">
        <v>227</v>
      </c>
      <c r="M9" s="14" t="s">
        <v>6</v>
      </c>
      <c r="N9" s="1" t="str" cm="1">
        <f t="array" ref="N9">IFERROR(INDEX('Primera Fase'!$P$7:$P$54,MATCH(1,('Primera Fase'!$O$7:$O$54=M9)*('Primera Fase'!$AA$7:$AA$54=3),0)),"")</f>
        <v/>
      </c>
      <c r="O9" s="3" t="str">
        <f>IFERROR(INDEX('Primera Fase'!$U$7:$U$54,MATCH(N9,'Primera Fase'!$P$7:$P$54,0)),"")</f>
        <v/>
      </c>
      <c r="P9" s="3" t="str">
        <f>IFERROR(INDEX('Primera Fase'!$Z$7:$Z$54,MATCH(N9,'Primera Fase'!$P$7:$P$54,0)),"")</f>
        <v/>
      </c>
      <c r="Q9" s="15" t="str" cm="1">
        <f t="array" ref="Q9">IF(O9="","",1+SUMPRODUCT(($O$8:$O$19&lt;&gt;"")*(($O$8:$O$19&gt;O9)+(($O$8:$O$19=O9)*($P$8:$P$19&gt;P9))))
)</f>
        <v/>
      </c>
      <c r="S9" s="14">
        <v>2</v>
      </c>
      <c r="T9" s="9" t="str" cm="1">
        <f t="array" ref="T9">IFERROR(_xlfn.TEXTJOIN(" - ",TRUE,_xlfn._xlws.FILTER($N$8:$N$19,$Q$8:$Q$19=2)),"")</f>
        <v>Chequia - Ecuador</v>
      </c>
    </row>
    <row r="10" spans="3:20" x14ac:dyDescent="0.25">
      <c r="C10" s="27">
        <v>75</v>
      </c>
      <c r="D10" s="3" t="s">
        <v>205</v>
      </c>
      <c r="E10" s="3"/>
      <c r="F10" s="1" t="str" cm="1">
        <f t="array" ref="F10">IFERROR(INDEX('Primera Fase'!$AE$7:$AE$54,MATCH(1,('Primera Fase'!$AC$7:$AC$54="F")*('Primera Fase'!$AD$7:$AD$54=1),0)),"")</f>
        <v>Países Bajos - Japón</v>
      </c>
      <c r="G10" s="1" t="str" cm="1">
        <f t="array" ref="G10">IFERROR(INDEX('Primera Fase'!$AE$7:$AE$54,MATCH(1,('Primera Fase'!$AC$7:$AC$54="C")*('Primera Fase'!$AD$7:$AD$54=2),0)),"")</f>
        <v>Brasil - Marruecos</v>
      </c>
      <c r="H10" s="9" t="s">
        <v>212</v>
      </c>
      <c r="J10" t="s">
        <v>228</v>
      </c>
      <c r="K10" t="s">
        <v>229</v>
      </c>
      <c r="M10" s="14" t="s">
        <v>11</v>
      </c>
      <c r="N10" s="1" t="str" cm="1">
        <f t="array" ref="N10">IFERROR(INDEX('Primera Fase'!$P$7:$P$54,MATCH(1,('Primera Fase'!$O$7:$O$54=M10)*('Primera Fase'!$AA$7:$AA$54=3),0)),"")</f>
        <v/>
      </c>
      <c r="O10" s="3" t="str">
        <f>IFERROR(INDEX('Primera Fase'!$U$7:$U$54,MATCH(N10,'Primera Fase'!$P$7:$P$54,0)),"")</f>
        <v/>
      </c>
      <c r="P10" s="3" t="str">
        <f>IFERROR(INDEX('Primera Fase'!$Z$7:$Z$54,MATCH(N10,'Primera Fase'!$P$7:$P$54,0)),"")</f>
        <v/>
      </c>
      <c r="Q10" s="15" t="str" cm="1">
        <f t="array" ref="Q10">IF(O10="","",1+SUMPRODUCT(($O$8:$O$19&lt;&gt;"")*(($O$8:$O$19&gt;O10)+(($O$8:$O$19=O10)*($P$8:$P$19&gt;P10))))
)</f>
        <v/>
      </c>
      <c r="S10" s="14">
        <v>3</v>
      </c>
      <c r="T10" s="9" t="str" cm="1">
        <f t="array" ref="T10">IFERROR(_xlfn.TEXTJOIN(" - ",TRUE,_xlfn._xlws.FILTER($N$8:$N$19,$Q$8:$Q$19=3)),"")</f>
        <v/>
      </c>
    </row>
    <row r="11" spans="3:20" x14ac:dyDescent="0.25">
      <c r="C11" s="27">
        <v>76</v>
      </c>
      <c r="D11" s="3" t="s">
        <v>205</v>
      </c>
      <c r="E11" s="3"/>
      <c r="F11" s="1" t="str" cm="1">
        <f t="array" ref="F11">IFERROR(INDEX('Primera Fase'!$AE$7:$AE$54,MATCH(1,('Primera Fase'!$AC$7:$AC$54="C")*('Primera Fase'!$AD$7:$AD$54=2),0)),"")</f>
        <v>Brasil - Marruecos</v>
      </c>
      <c r="G11" s="1" t="str" cm="1">
        <f t="array" ref="G11">IFERROR(INDEX('Primera Fase'!$AE$7:$AE$54,MATCH(1,('Primera Fase'!$AC$7:$AC$54="F")*('Primera Fase'!$AD$7:$AD$54=2),0)),"")</f>
        <v/>
      </c>
      <c r="H11" s="9" t="s">
        <v>213</v>
      </c>
      <c r="J11" t="s">
        <v>230</v>
      </c>
      <c r="K11" t="s">
        <v>231</v>
      </c>
      <c r="M11" s="14" t="s">
        <v>16</v>
      </c>
      <c r="N11" s="1" t="str" cm="1">
        <f t="array" ref="N11">IFERROR(INDEX('Primera Fase'!$P$7:$P$54,MATCH(1,('Primera Fase'!$O$7:$O$54=M11)*('Primera Fase'!$AA$7:$AA$54=3),0)),"")</f>
        <v>Turquía</v>
      </c>
      <c r="O11" s="3">
        <f>IFERROR(INDEX('Primera Fase'!$U$7:$U$54,MATCH(N11,'Primera Fase'!$P$7:$P$54,0)),"")</f>
        <v>0</v>
      </c>
      <c r="P11" s="3">
        <f>IFERROR(INDEX('Primera Fase'!$Z$7:$Z$54,MATCH(N11,'Primera Fase'!$P$7:$P$54,0)),"")</f>
        <v>-2</v>
      </c>
      <c r="Q11" s="15" cm="1">
        <f t="array" ref="Q11">IF(O11="","",1+SUMPRODUCT(($O$8:$O$19&lt;&gt;"")*(($O$8:$O$19&gt;O11)+(($O$8:$O$19=O11)*($P$8:$P$19&gt;P11))))
)</f>
        <v>4</v>
      </c>
      <c r="S11" s="14">
        <v>4</v>
      </c>
      <c r="T11" s="9" t="str" cm="1">
        <f t="array" ref="T11">IFERROR(_xlfn.TEXTJOIN(" - ",TRUE,_xlfn._xlws.FILTER($N$8:$N$19,$Q$8:$Q$19=4)),"")</f>
        <v>Turquía</v>
      </c>
    </row>
    <row r="12" spans="3:20" x14ac:dyDescent="0.25">
      <c r="C12" s="27">
        <v>77</v>
      </c>
      <c r="D12" s="3" t="s">
        <v>206</v>
      </c>
      <c r="E12" s="3"/>
      <c r="F12" s="1" t="str" cm="1">
        <f t="array" ref="F12">IFERROR(INDEX('Primera Fase'!$AE$7:$AE$54,MATCH(1,('Primera Fase'!$AC$7:$AC$54="I")*('Primera Fase'!$AD$7:$AD$54=1),0)),"")</f>
        <v>Francia - Senegal - Irak - Noruega</v>
      </c>
      <c r="G12" s="201" t="s">
        <v>277</v>
      </c>
      <c r="H12" s="9" t="s">
        <v>214</v>
      </c>
      <c r="J12" t="s">
        <v>232</v>
      </c>
      <c r="K12" t="s">
        <v>227</v>
      </c>
      <c r="M12" s="14" t="s">
        <v>21</v>
      </c>
      <c r="N12" s="1" t="str" cm="1">
        <f t="array" ref="N12">IFERROR(INDEX('Primera Fase'!$P$7:$P$54,MATCH(1,('Primera Fase'!$O$7:$O$54=M12)*('Primera Fase'!$AA$7:$AA$54=3),0)),"")</f>
        <v>Ecuador</v>
      </c>
      <c r="O12" s="3">
        <f>IFERROR(INDEX('Primera Fase'!$U$7:$U$54,MATCH(N12,'Primera Fase'!$P$7:$P$54,0)),"")</f>
        <v>0</v>
      </c>
      <c r="P12" s="3">
        <f>IFERROR(INDEX('Primera Fase'!$Z$7:$Z$54,MATCH(N12,'Primera Fase'!$P$7:$P$54,0)),"")</f>
        <v>-1</v>
      </c>
      <c r="Q12" s="15" cm="1">
        <f t="array" ref="Q12">IF(O12="","",1+SUMPRODUCT(($O$8:$O$19&lt;&gt;"")*(($O$8:$O$19&gt;O12)+(($O$8:$O$19=O12)*($P$8:$P$19&gt;P12))))
)</f>
        <v>2</v>
      </c>
      <c r="S12" s="14">
        <v>5</v>
      </c>
      <c r="T12" s="9" t="str" cm="1">
        <f t="array" ref="T12">IFERROR(_xlfn.TEXTJOIN(" - ",TRUE,_xlfn._xlws.FILTER($N$8:$N$19,$Q$8:$Q$19=5)),"")</f>
        <v/>
      </c>
    </row>
    <row r="13" spans="3:20" x14ac:dyDescent="0.25">
      <c r="C13" s="27">
        <v>78</v>
      </c>
      <c r="D13" s="3" t="s">
        <v>206</v>
      </c>
      <c r="E13" s="3"/>
      <c r="F13" s="1" t="str" cm="1">
        <f t="array" ref="F13">IFERROR(INDEX('Primera Fase'!$AE$7:$AE$54,MATCH(1,('Primera Fase'!$AC$7:$AC$54="E")*('Primera Fase'!$AD$7:$AD$54=2),0)),"")</f>
        <v>Australia</v>
      </c>
      <c r="G13" s="1" t="str" cm="1">
        <f t="array" ref="G13">IFERROR(INDEX('Primera Fase'!$AE$7:$AE$54,MATCH(1,('Primera Fase'!$AC$7:$AC$54="I")*('Primera Fase'!$AD$7:$AD$54=2),0)),"")</f>
        <v/>
      </c>
      <c r="H13" s="9" t="s">
        <v>215</v>
      </c>
      <c r="J13" t="s">
        <v>233</v>
      </c>
      <c r="K13" t="s">
        <v>234</v>
      </c>
      <c r="M13" s="14" t="s">
        <v>26</v>
      </c>
      <c r="N13" s="1" t="str" cm="1">
        <f t="array" ref="N13">IFERROR(INDEX('Primera Fase'!$P$7:$P$54,MATCH(1,('Primera Fase'!$O$7:$O$54=M13)*('Primera Fase'!$AA$7:$AA$54=3),0)),"")</f>
        <v>Suecia</v>
      </c>
      <c r="O13" s="3">
        <f>IFERROR(INDEX('Primera Fase'!$U$7:$U$54,MATCH(N13,'Primera Fase'!$P$7:$P$54,0)),"")</f>
        <v>0</v>
      </c>
      <c r="P13" s="3">
        <f>IFERROR(INDEX('Primera Fase'!$Z$7:$Z$54,MATCH(N13,'Primera Fase'!$P$7:$P$54,0)),"")</f>
        <v>0</v>
      </c>
      <c r="Q13" s="15" cm="1">
        <f t="array" ref="Q13">IF(O13="","",1+SUMPRODUCT(($O$8:$O$19&lt;&gt;"")*(($O$8:$O$19&gt;O13)+(($O$8:$O$19=O13)*($P$8:$P$19&gt;P13))))
)</f>
        <v>1</v>
      </c>
      <c r="S13" s="14">
        <v>6</v>
      </c>
      <c r="T13" s="9" t="str" cm="1">
        <f t="array" ref="T13">IFERROR(_xlfn.TEXTJOIN(" - ",TRUE,_xlfn._xlws.FILTER($N$8:$N$19,$Q$8:$Q$19=6)),"")</f>
        <v/>
      </c>
    </row>
    <row r="14" spans="3:20" x14ac:dyDescent="0.25">
      <c r="C14" s="27">
        <v>79</v>
      </c>
      <c r="D14" s="3" t="s">
        <v>206</v>
      </c>
      <c r="E14" s="3"/>
      <c r="F14" s="1" t="str" cm="1">
        <f t="array" ref="F14">IFERROR(INDEX('Primera Fase'!$AE$7:$AE$54,MATCH(1,('Primera Fase'!$AC$7:$AC$54="A")*('Primera Fase'!$AD$7:$AD$54=1),0)),"")</f>
        <v>México</v>
      </c>
      <c r="G14" s="201" t="s">
        <v>277</v>
      </c>
      <c r="H14" s="9" t="s">
        <v>216</v>
      </c>
      <c r="J14" t="s">
        <v>235</v>
      </c>
      <c r="K14" t="s">
        <v>227</v>
      </c>
      <c r="M14" s="14" t="s">
        <v>31</v>
      </c>
      <c r="N14" s="1" t="str" cm="1">
        <f t="array" ref="N14">IFERROR(INDEX('Primera Fase'!$P$7:$P$54,MATCH(1,('Primera Fase'!$O$7:$O$54=M14)*('Primera Fase'!$AA$7:$AA$54=3),0)),"")</f>
        <v/>
      </c>
      <c r="O14" s="3" t="str">
        <f>IFERROR(INDEX('Primera Fase'!$U$7:$U$54,MATCH(N14,'Primera Fase'!$P$7:$P$54,0)),"")</f>
        <v/>
      </c>
      <c r="P14" s="3" t="str">
        <f>IFERROR(INDEX('Primera Fase'!$Z$7:$Z$54,MATCH(N14,'Primera Fase'!$P$7:$P$54,0)),"")</f>
        <v/>
      </c>
      <c r="Q14" s="15" t="str" cm="1">
        <f t="array" ref="Q14">IF(O14="","",1+SUMPRODUCT(($O$8:$O$19&lt;&gt;"")*(($O$8:$O$19&gt;O14)+(($O$8:$O$19=O14)*($P$8:$P$19&gt;P14))))
)</f>
        <v/>
      </c>
      <c r="S14" s="14">
        <v>7</v>
      </c>
      <c r="T14" s="9" t="str" cm="1">
        <f t="array" ref="T14">IFERROR(_xlfn.TEXTJOIN(" - ",TRUE,_xlfn._xlws.FILTER($N$8:$N$19,$Q$8:$Q$19=7)),"")</f>
        <v/>
      </c>
    </row>
    <row r="15" spans="3:20" ht="15.75" thickBot="1" x14ac:dyDescent="0.3">
      <c r="C15" s="27">
        <v>80</v>
      </c>
      <c r="D15" s="3" t="s">
        <v>207</v>
      </c>
      <c r="E15" s="3"/>
      <c r="F15" s="1" t="str" cm="1">
        <f t="array" ref="F15">IFERROR(INDEX('Primera Fase'!$AE$7:$AE$54,MATCH(1,('Primera Fase'!$AC$7:$AC$54="L")*('Primera Fase'!$AD$7:$AD$54=1),0)),"")</f>
        <v>Inglaterra - Croacia - Ghana - Panamá</v>
      </c>
      <c r="G15" s="201" t="s">
        <v>277</v>
      </c>
      <c r="H15" s="9" t="s">
        <v>217</v>
      </c>
      <c r="J15" t="s">
        <v>236</v>
      </c>
      <c r="K15" t="s">
        <v>227</v>
      </c>
      <c r="M15" s="14" t="s">
        <v>36</v>
      </c>
      <c r="N15" s="1" t="str" cm="1">
        <f t="array" ref="N15">IFERROR(INDEX('Primera Fase'!$P$7:$P$54,MATCH(1,('Primera Fase'!$O$7:$O$54=M15)*('Primera Fase'!$AA$7:$AA$54=3),0)),"")</f>
        <v/>
      </c>
      <c r="O15" s="3" t="str">
        <f>IFERROR(INDEX('Primera Fase'!$U$7:$U$54,MATCH(N15,'Primera Fase'!$P$7:$P$54,0)),"")</f>
        <v/>
      </c>
      <c r="P15" s="3" t="str">
        <f>IFERROR(INDEX('Primera Fase'!$Z$7:$Z$54,MATCH(N15,'Primera Fase'!$P$7:$P$54,0)),"")</f>
        <v/>
      </c>
      <c r="Q15" s="15" t="str" cm="1">
        <f t="array" ref="Q15">IF(O15="","",1+SUMPRODUCT(($O$8:$O$19&lt;&gt;"")*(($O$8:$O$19&gt;O15)+(($O$8:$O$19=O15)*($P$8:$P$19&gt;P15))))
)</f>
        <v/>
      </c>
      <c r="S15" s="17">
        <v>8</v>
      </c>
      <c r="T15" s="12" t="str" cm="1">
        <f t="array" ref="T15">IFERROR(_xlfn.TEXTJOIN(" - ",TRUE,_xlfn._xlws.FILTER($N$8:$N$19,$Q$8:$Q$19=8)),"")</f>
        <v/>
      </c>
    </row>
    <row r="16" spans="3:20" x14ac:dyDescent="0.25">
      <c r="C16" s="27">
        <v>81</v>
      </c>
      <c r="D16" s="3" t="s">
        <v>207</v>
      </c>
      <c r="E16" s="3"/>
      <c r="F16" s="1" t="str" cm="1">
        <f t="array" ref="F16">IFERROR(INDEX('Primera Fase'!$AE$7:$AE$54,MATCH(1,('Primera Fase'!$AC$7:$AC$54="D")*('Primera Fase'!$AD$7:$AD$54=1),0)),"")</f>
        <v>Estados Unidos</v>
      </c>
      <c r="G16" s="201" t="s">
        <v>277</v>
      </c>
      <c r="H16" s="9" t="s">
        <v>218</v>
      </c>
      <c r="J16" t="s">
        <v>237</v>
      </c>
      <c r="K16" t="s">
        <v>227</v>
      </c>
      <c r="M16" s="14" t="s">
        <v>41</v>
      </c>
      <c r="N16" s="1" t="str" cm="1">
        <f t="array" ref="N16">IFERROR(INDEX('Primera Fase'!$P$7:$P$54,MATCH(1,('Primera Fase'!$O$7:$O$54=M16)*('Primera Fase'!$AA$7:$AA$54=3),0)),"")</f>
        <v/>
      </c>
      <c r="O16" s="3" t="str">
        <f>IFERROR(INDEX('Primera Fase'!$U$7:$U$54,MATCH(N16,'Primera Fase'!$P$7:$P$54,0)),"")</f>
        <v/>
      </c>
      <c r="P16" s="3" t="str">
        <f>IFERROR(INDEX('Primera Fase'!$Z$7:$Z$54,MATCH(N16,'Primera Fase'!$P$7:$P$54,0)),"")</f>
        <v/>
      </c>
      <c r="Q16" s="15" t="str" cm="1">
        <f t="array" ref="Q16">IF(O16="","",1+SUMPRODUCT(($O$8:$O$19&lt;&gt;"")*(($O$8:$O$19&gt;O16)+(($O$8:$O$19=O16)*($P$8:$P$19&gt;P16))))
)</f>
        <v/>
      </c>
    </row>
    <row r="17" spans="3:17" x14ac:dyDescent="0.25">
      <c r="C17" s="27">
        <v>82</v>
      </c>
      <c r="D17" s="3" t="s">
        <v>207</v>
      </c>
      <c r="E17" s="3"/>
      <c r="F17" s="1" t="str" cm="1">
        <f t="array" ref="F17">IFERROR(INDEX('Primera Fase'!$AE$7:$AE$54,MATCH(1,('Primera Fase'!$AC$7:$AC$54="G")*('Primera Fase'!$AD$7:$AD$54=1),0)),"")</f>
        <v>Bélgica - Egipto - Irán - Nueva Zelanda</v>
      </c>
      <c r="G17" s="201" t="s">
        <v>277</v>
      </c>
      <c r="H17" s="9" t="s">
        <v>219</v>
      </c>
      <c r="J17" t="s">
        <v>238</v>
      </c>
      <c r="K17" t="s">
        <v>227</v>
      </c>
      <c r="M17" s="14" t="s">
        <v>46</v>
      </c>
      <c r="N17" s="1" t="str" cm="1">
        <f t="array" ref="N17">IFERROR(INDEX('Primera Fase'!$P$7:$P$54,MATCH(1,('Primera Fase'!$O$7:$O$54=M17)*('Primera Fase'!$AA$7:$AA$54=3),0)),"")</f>
        <v/>
      </c>
      <c r="O17" s="3" t="str">
        <f>IFERROR(INDEX('Primera Fase'!$U$7:$U$54,MATCH(N17,'Primera Fase'!$P$7:$P$54,0)),"")</f>
        <v/>
      </c>
      <c r="P17" s="3" t="str">
        <f>IFERROR(INDEX('Primera Fase'!$Z$7:$Z$54,MATCH(N17,'Primera Fase'!$P$7:$P$54,0)),"")</f>
        <v/>
      </c>
      <c r="Q17" s="15" t="str" cm="1">
        <f t="array" ref="Q17">IF(O17="","",1+SUMPRODUCT(($O$8:$O$19&lt;&gt;"")*(($O$8:$O$19&gt;O17)+(($O$8:$O$19=O17)*($P$8:$P$19&gt;P17))))
)</f>
        <v/>
      </c>
    </row>
    <row r="18" spans="3:17" x14ac:dyDescent="0.25">
      <c r="C18" s="27">
        <v>83</v>
      </c>
      <c r="D18" s="3" t="s">
        <v>208</v>
      </c>
      <c r="E18" s="3"/>
      <c r="F18" s="1" t="str" cm="1">
        <f t="array" ref="F18">IFERROR(INDEX('Primera Fase'!$AE$7:$AE$54,MATCH(1,('Primera Fase'!$AC$7:$AC$54="K")*('Primera Fase'!$AD$7:$AD$54=2),0)),"")</f>
        <v/>
      </c>
      <c r="G18" s="1" t="str" cm="1">
        <f t="array" ref="G18">IFERROR(INDEX('Primera Fase'!$AE$7:$AE$54,MATCH(1,('Primera Fase'!$AC$7:$AC$54="L")*('Primera Fase'!$AD$7:$AD$54=2),0)),"")</f>
        <v/>
      </c>
      <c r="H18" s="9" t="s">
        <v>220</v>
      </c>
      <c r="J18" t="s">
        <v>239</v>
      </c>
      <c r="K18" t="s">
        <v>240</v>
      </c>
      <c r="M18" s="14" t="s">
        <v>51</v>
      </c>
      <c r="N18" s="1" t="str" cm="1">
        <f t="array" ref="N18">IFERROR(INDEX('Primera Fase'!$P$7:$P$54,MATCH(1,('Primera Fase'!$O$7:$O$54=M18)*('Primera Fase'!$AA$7:$AA$54=3),0)),"")</f>
        <v/>
      </c>
      <c r="O18" s="3" t="str">
        <f>IFERROR(INDEX('Primera Fase'!$U$7:$U$54,MATCH(N18,'Primera Fase'!$P$7:$P$54,0)),"")</f>
        <v/>
      </c>
      <c r="P18" s="3" t="str">
        <f>IFERROR(INDEX('Primera Fase'!$Z$7:$Z$54,MATCH(N18,'Primera Fase'!$P$7:$P$54,0)),"")</f>
        <v/>
      </c>
      <c r="Q18" s="15" t="str" cm="1">
        <f t="array" ref="Q18">IF(O18="","",1+SUMPRODUCT(($O$8:$O$19&lt;&gt;"")*(($O$8:$O$19&gt;O18)+(($O$8:$O$19=O18)*($P$8:$P$19&gt;P18))))
)</f>
        <v/>
      </c>
    </row>
    <row r="19" spans="3:17" ht="15.75" thickBot="1" x14ac:dyDescent="0.3">
      <c r="C19" s="27">
        <v>84</v>
      </c>
      <c r="D19" s="3" t="s">
        <v>208</v>
      </c>
      <c r="E19" s="3"/>
      <c r="F19" s="1" t="str" cm="1">
        <f t="array" ref="F19">IFERROR(INDEX('Primera Fase'!$AE$7:$AE$54,MATCH(1,('Primera Fase'!$AC$7:$AC$54="H")*('Primera Fase'!$AD$7:$AD$54=1),0)),"")</f>
        <v>España - Cabo Verde - Arabia Saudita - Uruguay</v>
      </c>
      <c r="G19" s="1" t="str" cm="1">
        <f t="array" ref="G19">IFERROR(INDEX('Primera Fase'!$AE$7:$AE$54,MATCH(1,('Primera Fase'!$AC$7:$AC$54="H")*('Primera Fase'!$AD$7:$AD$54=1),0)),"")</f>
        <v>España - Cabo Verde - Arabia Saudita - Uruguay</v>
      </c>
      <c r="H19" s="9" t="s">
        <v>210</v>
      </c>
      <c r="J19" t="s">
        <v>241</v>
      </c>
      <c r="K19" t="s">
        <v>242</v>
      </c>
      <c r="M19" s="17" t="s">
        <v>56</v>
      </c>
      <c r="N19" s="11" t="str" cm="1">
        <f t="array" ref="N19">IFERROR(INDEX('Primera Fase'!$P$7:$P$54,MATCH(1,('Primera Fase'!$O$7:$O$54=M19)*('Primera Fase'!$AA$7:$AA$54=3),0)),"")</f>
        <v/>
      </c>
      <c r="O19" s="13" t="str">
        <f>IFERROR(INDEX('Primera Fase'!$U$7:$U$54,MATCH(N19,'Primera Fase'!$P$7:$P$54,0)),"")</f>
        <v/>
      </c>
      <c r="P19" s="13" t="str">
        <f>IFERROR(INDEX('Primera Fase'!$Z$7:$Z$54,MATCH(N19,'Primera Fase'!$P$7:$P$54,0)),"")</f>
        <v/>
      </c>
      <c r="Q19" s="18" t="str" cm="1">
        <f t="array" ref="Q19">IF(O19="","",1+SUMPRODUCT(($O$8:$O$19&lt;&gt;"")*(($O$8:$O$19&gt;O19)+(($O$8:$O$19=O19)*($P$8:$P$19&gt;P19))))
)</f>
        <v/>
      </c>
    </row>
    <row r="20" spans="3:17" x14ac:dyDescent="0.25">
      <c r="C20" s="27">
        <v>85</v>
      </c>
      <c r="D20" s="3" t="s">
        <v>208</v>
      </c>
      <c r="E20" s="3"/>
      <c r="F20" s="1" t="str" cm="1">
        <f t="array" ref="F20">IFERROR(INDEX('Primera Fase'!$AE$7:$AE$54,MATCH(1,('Primera Fase'!$AC$7:$AC$54="B")*('Primera Fase'!$AD$7:$AD$54=1),0)),"")</f>
        <v>Canadá - Bosnia y Herzegovina - Qatar - Suiza</v>
      </c>
      <c r="G20" s="201" t="s">
        <v>277</v>
      </c>
      <c r="H20" s="9" t="s">
        <v>221</v>
      </c>
      <c r="J20" t="s">
        <v>243</v>
      </c>
      <c r="K20" t="s">
        <v>227</v>
      </c>
      <c r="Q20" s="118" t="str" cm="1">
        <f t="array" ref="Q20">IF(N20="","",1+SUMPRODUCT(($N$8:$N$19&gt;N20)+(($N$8:$N$19=N20)*($O$8:$O$19&gt;O20))))</f>
        <v/>
      </c>
    </row>
    <row r="21" spans="3:17" x14ac:dyDescent="0.25">
      <c r="C21" s="27">
        <v>86</v>
      </c>
      <c r="D21" s="3" t="s">
        <v>209</v>
      </c>
      <c r="E21" s="3"/>
      <c r="F21" s="1" t="str" cm="1">
        <f t="array" ref="F21">IFERROR(INDEX('Primera Fase'!$AE$7:$AE$54,MATCH(1,('Primera Fase'!$AC$7:$AC$54="J")*('Primera Fase'!$AD$7:$AD$54=1),0)),"")</f>
        <v>Argentina - Argelia - Austria - Jordania</v>
      </c>
      <c r="G21" s="1" t="str" cm="1">
        <f t="array" ref="G21">IFERROR(INDEX('Primera Fase'!$AE$7:$AE$54,MATCH(1,('Primera Fase'!$AC$7:$AC$54="H")*('Primera Fase'!$AD$7:$AD$54=2),0)),"")</f>
        <v/>
      </c>
      <c r="H21" s="9" t="s">
        <v>222</v>
      </c>
      <c r="J21" t="s">
        <v>244</v>
      </c>
      <c r="K21" t="s">
        <v>245</v>
      </c>
    </row>
    <row r="22" spans="3:17" x14ac:dyDescent="0.25">
      <c r="C22" s="27">
        <v>87</v>
      </c>
      <c r="D22" s="3" t="s">
        <v>209</v>
      </c>
      <c r="E22" s="3"/>
      <c r="F22" s="1" t="str" cm="1">
        <f t="array" ref="F22">IFERROR(INDEX('Primera Fase'!$AE$7:$AE$54,MATCH(1,('Primera Fase'!$AC$7:$AC$54="K")*('Primera Fase'!$AD$7:$AD$54=1),0)),"")</f>
        <v>Portugal - RD Congo - Uzbekistán - Colombia</v>
      </c>
      <c r="G22" s="201" t="s">
        <v>277</v>
      </c>
      <c r="H22" s="9" t="s">
        <v>223</v>
      </c>
      <c r="J22" t="s">
        <v>246</v>
      </c>
      <c r="K22" t="s">
        <v>227</v>
      </c>
    </row>
    <row r="23" spans="3:17" ht="15.75" thickBot="1" x14ac:dyDescent="0.3">
      <c r="C23" s="28">
        <v>88</v>
      </c>
      <c r="D23" s="13" t="s">
        <v>209</v>
      </c>
      <c r="E23" s="13"/>
      <c r="F23" s="11" t="str" cm="1">
        <f t="array" ref="F23">IFERROR(INDEX('Primera Fase'!$AE$7:$AE$54,MATCH(1,('Primera Fase'!$AC$7:$AC$54="D")*('Primera Fase'!$AD$7:$AD$54=2),0)),"")</f>
        <v>Australia</v>
      </c>
      <c r="G23" s="11" cm="1">
        <f t="array" ref="G23">IFERROR(INDEX('Primera Fase'!$AE$7:$AE$54,MATCH(1,('Primera Fase'!$AC$7:$AC$54="G")*('Primera Fase'!$AD$7:$AD$54=2),0)),"")</f>
        <v>0</v>
      </c>
      <c r="H23" s="12" t="s">
        <v>215</v>
      </c>
      <c r="J23" t="s">
        <v>247</v>
      </c>
      <c r="K23" t="s">
        <v>248</v>
      </c>
    </row>
  </sheetData>
  <mergeCells count="6">
    <mergeCell ref="S6:T6"/>
    <mergeCell ref="M6:Q6"/>
    <mergeCell ref="C6:C7"/>
    <mergeCell ref="D6:D7"/>
    <mergeCell ref="F6:G7"/>
    <mergeCell ref="H6:H7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EF4B-9CC5-4F50-A80D-C7F34BA03378}">
  <sheetPr>
    <pageSetUpPr fitToPage="1"/>
  </sheetPr>
  <dimension ref="B11:V87"/>
  <sheetViews>
    <sheetView showGridLines="0" zoomScale="90" zoomScaleNormal="90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/>
    </sheetView>
  </sheetViews>
  <sheetFormatPr baseColWidth="10" defaultRowHeight="15" x14ac:dyDescent="0.25"/>
  <cols>
    <col min="1" max="1" width="3" customWidth="1"/>
    <col min="4" max="5" width="19.7109375" bestFit="1" customWidth="1"/>
    <col min="6" max="7" width="10.28515625" style="4" customWidth="1"/>
    <col min="8" max="9" width="6.7109375" style="4" customWidth="1"/>
    <col min="10" max="10" width="11" style="4" customWidth="1"/>
    <col min="11" max="19" width="6.7109375" style="4" customWidth="1"/>
    <col min="20" max="20" width="4.42578125" customWidth="1"/>
    <col min="21" max="21" width="20" customWidth="1"/>
    <col min="22" max="22" width="9.28515625" customWidth="1"/>
  </cols>
  <sheetData>
    <row r="11" spans="2:22" ht="15.75" thickBot="1" x14ac:dyDescent="0.3"/>
    <row r="12" spans="2:22" s="5" customFormat="1" ht="18.75" x14ac:dyDescent="0.25">
      <c r="B12" s="91" t="s">
        <v>61</v>
      </c>
      <c r="C12" s="92" t="s">
        <v>62</v>
      </c>
      <c r="D12" s="92" t="s">
        <v>63</v>
      </c>
      <c r="E12" s="93"/>
      <c r="F12" s="191" t="s">
        <v>275</v>
      </c>
      <c r="G12" s="192"/>
      <c r="H12" s="168" t="s">
        <v>195</v>
      </c>
      <c r="I12" s="124"/>
      <c r="J12" s="129"/>
      <c r="K12" s="132" t="s">
        <v>197</v>
      </c>
      <c r="L12" s="125"/>
      <c r="M12" s="133"/>
      <c r="N12" s="136" t="s">
        <v>196</v>
      </c>
      <c r="O12" s="126"/>
      <c r="P12" s="127"/>
      <c r="Q12" s="139" t="s">
        <v>270</v>
      </c>
      <c r="R12" s="140"/>
      <c r="S12" s="141"/>
      <c r="U12" s="91" t="s">
        <v>200</v>
      </c>
      <c r="V12" s="94"/>
    </row>
    <row r="13" spans="2:22" s="5" customFormat="1" ht="19.5" thickBot="1" x14ac:dyDescent="0.3">
      <c r="B13" s="169"/>
      <c r="C13" s="170"/>
      <c r="D13" s="170"/>
      <c r="E13" s="87"/>
      <c r="F13" s="193"/>
      <c r="G13" s="194"/>
      <c r="H13" s="171" t="s">
        <v>198</v>
      </c>
      <c r="I13" s="172"/>
      <c r="J13" s="173" t="s">
        <v>269</v>
      </c>
      <c r="K13" s="174" t="s">
        <v>198</v>
      </c>
      <c r="L13" s="175"/>
      <c r="M13" s="176" t="s">
        <v>269</v>
      </c>
      <c r="N13" s="177" t="s">
        <v>198</v>
      </c>
      <c r="O13" s="178"/>
      <c r="P13" s="179" t="s">
        <v>269</v>
      </c>
      <c r="Q13" s="180" t="s">
        <v>198</v>
      </c>
      <c r="R13" s="181"/>
      <c r="S13" s="182" t="s">
        <v>269</v>
      </c>
      <c r="U13" s="105"/>
      <c r="V13" s="106"/>
    </row>
    <row r="14" spans="2:22" x14ac:dyDescent="0.25">
      <c r="B14" s="187" t="s">
        <v>65</v>
      </c>
      <c r="C14" s="49" t="s">
        <v>66</v>
      </c>
      <c r="D14" s="48" t="s">
        <v>2</v>
      </c>
      <c r="E14" s="188" t="s">
        <v>3</v>
      </c>
      <c r="F14" s="33">
        <f>IF(AND('Primera Fase'!I7=0,'Primera Fase'!H7=""),"-",'Primera Fase'!I7)</f>
        <v>2</v>
      </c>
      <c r="G14" s="33">
        <f>IF(AND('Primera Fase'!J7=0,'Primera Fase'!I7=""),"-",'Primera Fase'!J7)</f>
        <v>0</v>
      </c>
      <c r="H14" s="189">
        <v>2</v>
      </c>
      <c r="I14" s="49">
        <v>0</v>
      </c>
      <c r="J14" s="53">
        <f>IF(AND(F14=H14,G14=I14),3,IF(OR(AND(F14&gt;G14,H14&gt;I14),AND(F14&lt;G14,H14&lt;I14),AND(F14=G14,H14=I14)),1,0))</f>
        <v>3</v>
      </c>
      <c r="K14" s="190">
        <v>2</v>
      </c>
      <c r="L14" s="49">
        <v>0</v>
      </c>
      <c r="M14" s="53">
        <f>IF(AND(F14=K14,G14=L14),3,IF(OR(AND(F14&gt;G14,K14&gt;L14),AND(F14&lt;G14,K14&lt;L14),AND(F14=G14,K14=L14)),1,0))</f>
        <v>3</v>
      </c>
      <c r="N14" s="190">
        <v>2</v>
      </c>
      <c r="O14" s="49">
        <v>1</v>
      </c>
      <c r="P14" s="53">
        <f>IF(AND(F14=N14,G14=O14),3,IF(OR(AND(F14&gt;G14,N14&gt;O14),AND(F14&lt;G14,N14&lt;O14),AND(F14=G14,N14=O14)),1,0))</f>
        <v>1</v>
      </c>
      <c r="Q14" s="190"/>
      <c r="R14" s="49"/>
      <c r="S14" s="53">
        <f>IF(AND(F14=Q14,G14=R14),3,IF(OR(AND(F14&gt;G14,Q14&gt;R14),AND(F14&lt;G14,Q14&lt;R14),AND(F14=G14,Q14=R14)),1,0))</f>
        <v>0</v>
      </c>
      <c r="U14" s="24" t="s">
        <v>201</v>
      </c>
      <c r="V14" s="15">
        <v>1</v>
      </c>
    </row>
    <row r="15" spans="2:22" ht="15.75" thickBot="1" x14ac:dyDescent="0.3">
      <c r="B15" s="8" t="s">
        <v>65</v>
      </c>
      <c r="C15" s="3" t="s">
        <v>69</v>
      </c>
      <c r="D15" s="1" t="s">
        <v>4</v>
      </c>
      <c r="E15" s="78" t="s">
        <v>5</v>
      </c>
      <c r="F15" s="33">
        <f>IF(AND('Primera Fase'!I8=0,'Primera Fase'!H8=""),"-",'Primera Fase'!I8)</f>
        <v>2</v>
      </c>
      <c r="G15" s="33">
        <f>IF(AND('Primera Fase'!J8=0,'Primera Fase'!I8=""),"-",'Primera Fase'!J8)</f>
        <v>1</v>
      </c>
      <c r="H15" s="16">
        <v>3</v>
      </c>
      <c r="I15" s="3">
        <v>1</v>
      </c>
      <c r="J15" s="15">
        <f t="shared" ref="J15:J78" si="0">IF(AND(F15=H15,G15=I15),3,IF(OR(AND(F15&gt;G15,H15&gt;I15),AND(F15&lt;G15,H15&lt;I15),AND(F15=G15,H15=I15)),1,0))</f>
        <v>1</v>
      </c>
      <c r="K15" s="14">
        <v>2</v>
      </c>
      <c r="L15" s="3">
        <v>2</v>
      </c>
      <c r="M15" s="15">
        <f t="shared" ref="M15:M26" si="1">IF(AND(F15=K15,G15=L15),3,IF(OR(AND(F15&gt;G15,K15&gt;L15),AND(F15&lt;G15,K15&lt;L15),AND(F15=G15,K15=L15)),1,0))</f>
        <v>0</v>
      </c>
      <c r="N15" s="14">
        <v>3</v>
      </c>
      <c r="O15" s="3">
        <v>3</v>
      </c>
      <c r="P15" s="15">
        <f t="shared" ref="P15:P25" si="2">IF(AND(F15=N15,G15=O15),3,IF(OR(AND(F15&gt;G15,N15&gt;O15),AND(F15&lt;G15,N15&lt;O15),AND(F15=G15,N15=O15)),1,0))</f>
        <v>0</v>
      </c>
      <c r="Q15" s="14"/>
      <c r="R15" s="3"/>
      <c r="S15" s="15"/>
      <c r="U15" s="25" t="s">
        <v>202</v>
      </c>
      <c r="V15" s="18">
        <v>3</v>
      </c>
    </row>
    <row r="16" spans="2:22" x14ac:dyDescent="0.25">
      <c r="B16" s="8" t="s">
        <v>72</v>
      </c>
      <c r="C16" s="3" t="s">
        <v>66</v>
      </c>
      <c r="D16" s="1" t="s">
        <v>7</v>
      </c>
      <c r="E16" s="78" t="s">
        <v>8</v>
      </c>
      <c r="F16" s="33">
        <f>IF(AND('Primera Fase'!I9=0,'Primera Fase'!H9=""),"-",'Primera Fase'!I9)</f>
        <v>1</v>
      </c>
      <c r="G16" s="33">
        <f>IF(AND('Primera Fase'!J9=0,'Primera Fase'!I9=""),"-",'Primera Fase'!J9)</f>
        <v>1</v>
      </c>
      <c r="H16" s="16">
        <v>3</v>
      </c>
      <c r="I16" s="3">
        <v>0</v>
      </c>
      <c r="J16" s="15">
        <f t="shared" si="0"/>
        <v>0</v>
      </c>
      <c r="K16" s="14">
        <v>2</v>
      </c>
      <c r="L16" s="3">
        <v>1</v>
      </c>
      <c r="M16" s="15">
        <f t="shared" si="1"/>
        <v>0</v>
      </c>
      <c r="N16" s="14">
        <v>3</v>
      </c>
      <c r="O16" s="3">
        <v>1</v>
      </c>
      <c r="P16" s="15">
        <f t="shared" si="2"/>
        <v>0</v>
      </c>
      <c r="Q16" s="14"/>
      <c r="R16" s="3"/>
      <c r="S16" s="15"/>
    </row>
    <row r="17" spans="2:19" x14ac:dyDescent="0.25">
      <c r="B17" s="8" t="s">
        <v>72</v>
      </c>
      <c r="C17" s="3" t="s">
        <v>75</v>
      </c>
      <c r="D17" s="1" t="s">
        <v>17</v>
      </c>
      <c r="E17" s="78" t="s">
        <v>18</v>
      </c>
      <c r="F17" s="33">
        <f>IF(AND('Primera Fase'!I10=0,'Primera Fase'!H10=""),"-",'Primera Fase'!I10)</f>
        <v>4</v>
      </c>
      <c r="G17" s="33">
        <f>IF(AND('Primera Fase'!J10=0,'Primera Fase'!I10=""),"-",'Primera Fase'!J10)</f>
        <v>1</v>
      </c>
      <c r="H17" s="16">
        <v>2</v>
      </c>
      <c r="I17" s="3">
        <v>2</v>
      </c>
      <c r="J17" s="15">
        <f t="shared" si="0"/>
        <v>0</v>
      </c>
      <c r="K17" s="14">
        <v>2</v>
      </c>
      <c r="L17" s="3">
        <v>1</v>
      </c>
      <c r="M17" s="15">
        <f t="shared" si="1"/>
        <v>1</v>
      </c>
      <c r="N17" s="14">
        <v>2</v>
      </c>
      <c r="O17" s="3">
        <v>3</v>
      </c>
      <c r="P17" s="15">
        <f t="shared" si="2"/>
        <v>0</v>
      </c>
      <c r="Q17" s="14"/>
      <c r="R17" s="3"/>
      <c r="S17" s="15"/>
    </row>
    <row r="18" spans="2:19" x14ac:dyDescent="0.25">
      <c r="B18" s="8" t="s">
        <v>78</v>
      </c>
      <c r="C18" s="3" t="s">
        <v>66</v>
      </c>
      <c r="D18" s="1" t="s">
        <v>9</v>
      </c>
      <c r="E18" s="78" t="s">
        <v>10</v>
      </c>
      <c r="F18" s="33">
        <f>IF(AND('Primera Fase'!I11=0,'Primera Fase'!H11=""),"-",'Primera Fase'!I11)</f>
        <v>1</v>
      </c>
      <c r="G18" s="33">
        <f>IF(AND('Primera Fase'!J11=0,'Primera Fase'!I11=""),"-",'Primera Fase'!J11)</f>
        <v>1</v>
      </c>
      <c r="H18" s="16">
        <v>1</v>
      </c>
      <c r="I18" s="3">
        <v>1</v>
      </c>
      <c r="J18" s="15">
        <f t="shared" si="0"/>
        <v>3</v>
      </c>
      <c r="K18" s="14">
        <v>0</v>
      </c>
      <c r="L18" s="3">
        <v>2</v>
      </c>
      <c r="M18" s="15">
        <f t="shared" si="1"/>
        <v>0</v>
      </c>
      <c r="N18" s="14">
        <v>1</v>
      </c>
      <c r="O18" s="3">
        <v>2</v>
      </c>
      <c r="P18" s="15">
        <f t="shared" si="2"/>
        <v>0</v>
      </c>
      <c r="Q18" s="14"/>
      <c r="R18" s="3"/>
      <c r="S18" s="15"/>
    </row>
    <row r="19" spans="2:19" x14ac:dyDescent="0.25">
      <c r="B19" s="8" t="s">
        <v>78</v>
      </c>
      <c r="C19" s="3" t="s">
        <v>81</v>
      </c>
      <c r="D19" s="1" t="s">
        <v>12</v>
      </c>
      <c r="E19" s="78" t="s">
        <v>13</v>
      </c>
      <c r="F19" s="33">
        <f>IF(AND('Primera Fase'!I12=0,'Primera Fase'!H12=""),"-",'Primera Fase'!I12)</f>
        <v>1</v>
      </c>
      <c r="G19" s="33">
        <f>IF(AND('Primera Fase'!J12=0,'Primera Fase'!I12=""),"-",'Primera Fase'!J12)</f>
        <v>1</v>
      </c>
      <c r="H19" s="16">
        <v>3</v>
      </c>
      <c r="I19" s="3">
        <v>1</v>
      </c>
      <c r="J19" s="15">
        <f t="shared" si="0"/>
        <v>0</v>
      </c>
      <c r="K19" s="14">
        <v>3</v>
      </c>
      <c r="L19" s="3">
        <v>1</v>
      </c>
      <c r="M19" s="15">
        <f t="shared" si="1"/>
        <v>0</v>
      </c>
      <c r="N19" s="14">
        <v>3</v>
      </c>
      <c r="O19" s="3">
        <v>2</v>
      </c>
      <c r="P19" s="15">
        <f t="shared" si="2"/>
        <v>0</v>
      </c>
      <c r="Q19" s="14"/>
      <c r="R19" s="3"/>
      <c r="S19" s="15"/>
    </row>
    <row r="20" spans="2:19" x14ac:dyDescent="0.25">
      <c r="B20" s="8" t="s">
        <v>78</v>
      </c>
      <c r="C20" s="3" t="s">
        <v>75</v>
      </c>
      <c r="D20" s="1" t="s">
        <v>14</v>
      </c>
      <c r="E20" s="78" t="s">
        <v>15</v>
      </c>
      <c r="F20" s="33">
        <f>IF(AND('Primera Fase'!I13=0,'Primera Fase'!H13=""),"-",'Primera Fase'!I13)</f>
        <v>0</v>
      </c>
      <c r="G20" s="33">
        <f>IF(AND('Primera Fase'!J13=0,'Primera Fase'!I13=""),"-",'Primera Fase'!J13)</f>
        <v>1</v>
      </c>
      <c r="H20" s="16">
        <v>0</v>
      </c>
      <c r="I20" s="3">
        <v>0</v>
      </c>
      <c r="J20" s="15">
        <f t="shared" si="0"/>
        <v>0</v>
      </c>
      <c r="K20" s="14">
        <v>0</v>
      </c>
      <c r="L20" s="3">
        <v>1</v>
      </c>
      <c r="M20" s="15">
        <f t="shared" si="1"/>
        <v>3</v>
      </c>
      <c r="N20" s="14">
        <v>0</v>
      </c>
      <c r="O20" s="3">
        <v>3</v>
      </c>
      <c r="P20" s="15">
        <f t="shared" si="2"/>
        <v>1</v>
      </c>
      <c r="Q20" s="14"/>
      <c r="R20" s="3"/>
      <c r="S20" s="15"/>
    </row>
    <row r="21" spans="2:19" x14ac:dyDescent="0.25">
      <c r="B21" s="8" t="s">
        <v>78</v>
      </c>
      <c r="C21" s="3" t="s">
        <v>86</v>
      </c>
      <c r="D21" s="1" t="s">
        <v>19</v>
      </c>
      <c r="E21" s="78" t="s">
        <v>20</v>
      </c>
      <c r="F21" s="33">
        <f>IF(AND('Primera Fase'!I14=0,'Primera Fase'!H14=""),"-",'Primera Fase'!I14)</f>
        <v>2</v>
      </c>
      <c r="G21" s="33">
        <f>IF(AND('Primera Fase'!J14=0,'Primera Fase'!I14=""),"-",'Primera Fase'!J14)</f>
        <v>0</v>
      </c>
      <c r="H21" s="16">
        <v>1</v>
      </c>
      <c r="I21" s="3">
        <v>2</v>
      </c>
      <c r="J21" s="15">
        <f t="shared" si="0"/>
        <v>0</v>
      </c>
      <c r="K21" s="14">
        <v>2</v>
      </c>
      <c r="L21" s="3">
        <v>2</v>
      </c>
      <c r="M21" s="15">
        <f t="shared" si="1"/>
        <v>0</v>
      </c>
      <c r="N21" s="14">
        <v>1</v>
      </c>
      <c r="O21" s="3">
        <v>3</v>
      </c>
      <c r="P21" s="15">
        <f t="shared" si="2"/>
        <v>0</v>
      </c>
      <c r="Q21" s="14"/>
      <c r="R21" s="3"/>
      <c r="S21" s="15"/>
    </row>
    <row r="22" spans="2:19" x14ac:dyDescent="0.25">
      <c r="B22" s="8" t="s">
        <v>89</v>
      </c>
      <c r="C22" s="3" t="s">
        <v>90</v>
      </c>
      <c r="D22" s="1" t="s">
        <v>22</v>
      </c>
      <c r="E22" s="78" t="s">
        <v>23</v>
      </c>
      <c r="F22" s="33">
        <f>IF(AND('Primera Fase'!I15=0,'Primera Fase'!H15=""),"-",'Primera Fase'!I15)</f>
        <v>7</v>
      </c>
      <c r="G22" s="33">
        <f>IF(AND('Primera Fase'!J15=0,'Primera Fase'!I15=""),"-",'Primera Fase'!J15)</f>
        <v>1</v>
      </c>
      <c r="H22" s="16">
        <v>3</v>
      </c>
      <c r="I22" s="3">
        <v>1</v>
      </c>
      <c r="J22" s="15">
        <f t="shared" si="0"/>
        <v>1</v>
      </c>
      <c r="K22" s="14">
        <v>3</v>
      </c>
      <c r="L22" s="3">
        <v>0</v>
      </c>
      <c r="M22" s="15">
        <f t="shared" si="1"/>
        <v>1</v>
      </c>
      <c r="N22" s="14">
        <v>4</v>
      </c>
      <c r="O22" s="3">
        <v>0</v>
      </c>
      <c r="P22" s="15">
        <f t="shared" si="2"/>
        <v>1</v>
      </c>
      <c r="Q22" s="14"/>
      <c r="R22" s="3"/>
      <c r="S22" s="15"/>
    </row>
    <row r="23" spans="2:19" x14ac:dyDescent="0.25">
      <c r="B23" s="8" t="s">
        <v>89</v>
      </c>
      <c r="C23" s="3" t="s">
        <v>93</v>
      </c>
      <c r="D23" s="1" t="s">
        <v>27</v>
      </c>
      <c r="E23" s="78" t="s">
        <v>28</v>
      </c>
      <c r="F23" s="33">
        <f>IF(AND('Primera Fase'!I16=0,'Primera Fase'!H16=""),"-",'Primera Fase'!I16)</f>
        <v>2</v>
      </c>
      <c r="G23" s="33">
        <f>IF(AND('Primera Fase'!J16=0,'Primera Fase'!I16=""),"-",'Primera Fase'!J16)</f>
        <v>2</v>
      </c>
      <c r="H23" s="16">
        <v>2</v>
      </c>
      <c r="I23" s="3">
        <v>2</v>
      </c>
      <c r="J23" s="15">
        <f t="shared" si="0"/>
        <v>3</v>
      </c>
      <c r="K23" s="14">
        <v>3</v>
      </c>
      <c r="L23" s="3">
        <v>0</v>
      </c>
      <c r="M23" s="15">
        <f t="shared" si="1"/>
        <v>0</v>
      </c>
      <c r="N23" s="14">
        <v>4</v>
      </c>
      <c r="O23" s="3">
        <v>2</v>
      </c>
      <c r="P23" s="15">
        <f t="shared" si="2"/>
        <v>0</v>
      </c>
      <c r="Q23" s="14"/>
      <c r="R23" s="3"/>
      <c r="S23" s="15"/>
    </row>
    <row r="24" spans="2:19" x14ac:dyDescent="0.25">
      <c r="B24" s="8" t="s">
        <v>89</v>
      </c>
      <c r="C24" s="3" t="s">
        <v>96</v>
      </c>
      <c r="D24" s="1" t="s">
        <v>24</v>
      </c>
      <c r="E24" s="78" t="s">
        <v>25</v>
      </c>
      <c r="F24" s="33">
        <f>IF(AND('Primera Fase'!I17=0,'Primera Fase'!H17=""),"-",'Primera Fase'!I17)</f>
        <v>1</v>
      </c>
      <c r="G24" s="33">
        <f>IF(AND('Primera Fase'!J17=0,'Primera Fase'!I17=""),"-",'Primera Fase'!J17)</f>
        <v>0</v>
      </c>
      <c r="H24" s="16">
        <v>0</v>
      </c>
      <c r="I24" s="3">
        <v>1</v>
      </c>
      <c r="J24" s="15">
        <f t="shared" si="0"/>
        <v>0</v>
      </c>
      <c r="K24" s="14">
        <v>1</v>
      </c>
      <c r="L24" s="3">
        <v>2</v>
      </c>
      <c r="M24" s="15">
        <f t="shared" si="1"/>
        <v>0</v>
      </c>
      <c r="N24" s="14">
        <v>2</v>
      </c>
      <c r="O24" s="3">
        <v>2</v>
      </c>
      <c r="P24" s="15">
        <f t="shared" si="2"/>
        <v>0</v>
      </c>
      <c r="Q24" s="14"/>
      <c r="R24" s="3"/>
      <c r="S24" s="15"/>
    </row>
    <row r="25" spans="2:19" x14ac:dyDescent="0.25">
      <c r="B25" s="8" t="s">
        <v>89</v>
      </c>
      <c r="C25" s="3" t="s">
        <v>69</v>
      </c>
      <c r="D25" s="1" t="s">
        <v>29</v>
      </c>
      <c r="E25" s="78" t="s">
        <v>30</v>
      </c>
      <c r="F25" s="33" t="str">
        <f>IF(AND('Primera Fase'!I18=0,'Primera Fase'!H18=""),"-",'Primera Fase'!I18)</f>
        <v>-</v>
      </c>
      <c r="G25" s="33" t="str">
        <f>IF(AND('Primera Fase'!J18=0,'Primera Fase'!I18=""),"-",'Primera Fase'!J18)</f>
        <v>-</v>
      </c>
      <c r="H25" s="16">
        <v>2</v>
      </c>
      <c r="I25" s="3">
        <v>1</v>
      </c>
      <c r="J25" s="15"/>
      <c r="K25" s="14">
        <v>1</v>
      </c>
      <c r="L25" s="3">
        <v>0</v>
      </c>
      <c r="M25" s="15"/>
      <c r="N25" s="14">
        <v>0</v>
      </c>
      <c r="O25" s="3">
        <v>0</v>
      </c>
      <c r="P25" s="15"/>
      <c r="Q25" s="14"/>
      <c r="R25" s="3"/>
      <c r="S25" s="15"/>
    </row>
    <row r="26" spans="2:19" x14ac:dyDescent="0.25">
      <c r="B26" s="8" t="s">
        <v>101</v>
      </c>
      <c r="C26" s="3" t="s">
        <v>102</v>
      </c>
      <c r="D26" s="1" t="s">
        <v>37</v>
      </c>
      <c r="E26" s="78" t="s">
        <v>38</v>
      </c>
      <c r="F26" s="33" t="str">
        <f>IF(AND('Primera Fase'!I19=0,'Primera Fase'!H19=""),"-",'Primera Fase'!I19)</f>
        <v>-</v>
      </c>
      <c r="G26" s="33" t="str">
        <f>IF(AND('Primera Fase'!J19=0,'Primera Fase'!I19=""),"-",'Primera Fase'!J19)</f>
        <v>-</v>
      </c>
      <c r="H26" s="16">
        <v>3</v>
      </c>
      <c r="I26" s="3">
        <v>0</v>
      </c>
      <c r="J26" s="15"/>
      <c r="K26" s="14">
        <v>4</v>
      </c>
      <c r="L26" s="3">
        <v>0</v>
      </c>
      <c r="M26" s="15"/>
      <c r="N26" s="14">
        <v>5</v>
      </c>
      <c r="O26" s="3">
        <v>0</v>
      </c>
      <c r="P26" s="15"/>
      <c r="Q26" s="14"/>
      <c r="R26" s="3"/>
      <c r="S26" s="15"/>
    </row>
    <row r="27" spans="2:19" x14ac:dyDescent="0.25">
      <c r="B27" s="8" t="s">
        <v>101</v>
      </c>
      <c r="C27" s="3" t="s">
        <v>66</v>
      </c>
      <c r="D27" s="1" t="s">
        <v>32</v>
      </c>
      <c r="E27" s="78" t="s">
        <v>33</v>
      </c>
      <c r="F27" s="33" t="str">
        <f>IF(AND('Primera Fase'!I20=0,'Primera Fase'!H20=""),"-",'Primera Fase'!I20)</f>
        <v>-</v>
      </c>
      <c r="G27" s="33" t="str">
        <f>IF(AND('Primera Fase'!J20=0,'Primera Fase'!I20=""),"-",'Primera Fase'!J20)</f>
        <v>-</v>
      </c>
      <c r="H27" s="16">
        <v>3</v>
      </c>
      <c r="I27" s="3">
        <v>1</v>
      </c>
      <c r="J27" s="15"/>
      <c r="K27" s="14">
        <v>2</v>
      </c>
      <c r="L27" s="3">
        <v>0</v>
      </c>
      <c r="M27" s="15"/>
      <c r="N27" s="14">
        <v>2</v>
      </c>
      <c r="O27" s="3">
        <v>1</v>
      </c>
      <c r="P27" s="15"/>
      <c r="Q27" s="14"/>
      <c r="R27" s="3"/>
      <c r="S27" s="15"/>
    </row>
    <row r="28" spans="2:19" x14ac:dyDescent="0.25">
      <c r="B28" s="8" t="s">
        <v>101</v>
      </c>
      <c r="C28" s="3" t="s">
        <v>81</v>
      </c>
      <c r="D28" s="1" t="s">
        <v>199</v>
      </c>
      <c r="E28" s="78" t="s">
        <v>40</v>
      </c>
      <c r="F28" s="33" t="str">
        <f>IF(AND('Primera Fase'!I21=0,'Primera Fase'!H21=""),"-",'Primera Fase'!I21)</f>
        <v>-</v>
      </c>
      <c r="G28" s="33" t="str">
        <f>IF(AND('Primera Fase'!J21=0,'Primera Fase'!I21=""),"-",'Primera Fase'!J21)</f>
        <v>-</v>
      </c>
      <c r="H28" s="16">
        <v>2</v>
      </c>
      <c r="I28" s="3">
        <v>2</v>
      </c>
      <c r="J28" s="15"/>
      <c r="K28" s="14">
        <v>1</v>
      </c>
      <c r="L28" s="3">
        <v>2</v>
      </c>
      <c r="M28" s="15"/>
      <c r="N28" s="14">
        <v>2</v>
      </c>
      <c r="O28" s="3">
        <v>2</v>
      </c>
      <c r="P28" s="15"/>
      <c r="Q28" s="14"/>
      <c r="R28" s="3"/>
      <c r="S28" s="15"/>
    </row>
    <row r="29" spans="2:19" x14ac:dyDescent="0.25">
      <c r="B29" s="8" t="s">
        <v>101</v>
      </c>
      <c r="C29" s="3" t="s">
        <v>75</v>
      </c>
      <c r="D29" s="1" t="s">
        <v>34</v>
      </c>
      <c r="E29" s="78" t="s">
        <v>35</v>
      </c>
      <c r="F29" s="33" t="str">
        <f>IF(AND('Primera Fase'!I22=0,'Primera Fase'!H22=""),"-",'Primera Fase'!I22)</f>
        <v>-</v>
      </c>
      <c r="G29" s="33" t="str">
        <f>IF(AND('Primera Fase'!J22=0,'Primera Fase'!I22=""),"-",'Primera Fase'!J22)</f>
        <v>-</v>
      </c>
      <c r="H29" s="16">
        <v>0</v>
      </c>
      <c r="I29" s="3">
        <v>0</v>
      </c>
      <c r="J29" s="15"/>
      <c r="K29" s="14">
        <v>0</v>
      </c>
      <c r="L29" s="3">
        <v>1</v>
      </c>
      <c r="M29" s="15"/>
      <c r="N29" s="14">
        <v>1</v>
      </c>
      <c r="O29" s="3">
        <v>1</v>
      </c>
      <c r="P29" s="15"/>
      <c r="Q29" s="14"/>
      <c r="R29" s="3"/>
      <c r="S29" s="15"/>
    </row>
    <row r="30" spans="2:19" x14ac:dyDescent="0.25">
      <c r="B30" s="8" t="s">
        <v>109</v>
      </c>
      <c r="C30" s="3" t="s">
        <v>66</v>
      </c>
      <c r="D30" s="1" t="s">
        <v>42</v>
      </c>
      <c r="E30" s="78" t="s">
        <v>43</v>
      </c>
      <c r="F30" s="33" t="str">
        <f>IF(AND('Primera Fase'!I23=0,'Primera Fase'!H23=""),"-",'Primera Fase'!I23)</f>
        <v>-</v>
      </c>
      <c r="G30" s="33" t="str">
        <f>IF(AND('Primera Fase'!J23=0,'Primera Fase'!I23=""),"-",'Primera Fase'!J23)</f>
        <v>-</v>
      </c>
      <c r="H30" s="16">
        <v>3</v>
      </c>
      <c r="I30" s="3">
        <v>1</v>
      </c>
      <c r="J30" s="15"/>
      <c r="K30" s="14">
        <v>3</v>
      </c>
      <c r="L30" s="3">
        <v>0</v>
      </c>
      <c r="M30" s="15"/>
      <c r="N30" s="14">
        <v>3</v>
      </c>
      <c r="O30" s="3">
        <v>1</v>
      </c>
      <c r="P30" s="15"/>
      <c r="Q30" s="14"/>
      <c r="R30" s="3"/>
      <c r="S30" s="15"/>
    </row>
    <row r="31" spans="2:19" x14ac:dyDescent="0.25">
      <c r="B31" s="8" t="s">
        <v>109</v>
      </c>
      <c r="C31" s="3" t="s">
        <v>81</v>
      </c>
      <c r="D31" s="1" t="s">
        <v>44</v>
      </c>
      <c r="E31" s="78" t="s">
        <v>45</v>
      </c>
      <c r="F31" s="33" t="str">
        <f>IF(AND('Primera Fase'!I24=0,'Primera Fase'!H24=""),"-",'Primera Fase'!I24)</f>
        <v>-</v>
      </c>
      <c r="G31" s="33" t="str">
        <f>IF(AND('Primera Fase'!J24=0,'Primera Fase'!I24=""),"-",'Primera Fase'!J24)</f>
        <v>-</v>
      </c>
      <c r="H31" s="16">
        <v>0</v>
      </c>
      <c r="I31" s="3">
        <v>1</v>
      </c>
      <c r="J31" s="15"/>
      <c r="K31" s="14">
        <v>0</v>
      </c>
      <c r="L31" s="3">
        <v>2</v>
      </c>
      <c r="M31" s="15"/>
      <c r="N31" s="14">
        <v>1</v>
      </c>
      <c r="O31" s="3">
        <v>3</v>
      </c>
      <c r="P31" s="15"/>
      <c r="Q31" s="14"/>
      <c r="R31" s="3"/>
      <c r="S31" s="15"/>
    </row>
    <row r="32" spans="2:19" x14ac:dyDescent="0.25">
      <c r="B32" s="8" t="s">
        <v>109</v>
      </c>
      <c r="C32" s="3" t="s">
        <v>75</v>
      </c>
      <c r="D32" s="1" t="s">
        <v>47</v>
      </c>
      <c r="E32" s="78" t="s">
        <v>48</v>
      </c>
      <c r="F32" s="33" t="str">
        <f>IF(AND('Primera Fase'!I25=0,'Primera Fase'!H25=""),"-",'Primera Fase'!I25)</f>
        <v>-</v>
      </c>
      <c r="G32" s="33" t="str">
        <f>IF(AND('Primera Fase'!J25=0,'Primera Fase'!I25=""),"-",'Primera Fase'!J25)</f>
        <v>-</v>
      </c>
      <c r="H32" s="16">
        <v>4</v>
      </c>
      <c r="I32" s="3">
        <v>0</v>
      </c>
      <c r="J32" s="15"/>
      <c r="K32" s="14">
        <v>3</v>
      </c>
      <c r="L32" s="3">
        <v>1</v>
      </c>
      <c r="M32" s="15"/>
      <c r="N32" s="14">
        <v>4</v>
      </c>
      <c r="O32" s="3">
        <v>1</v>
      </c>
      <c r="P32" s="15"/>
      <c r="Q32" s="14"/>
      <c r="R32" s="3"/>
      <c r="S32" s="15"/>
    </row>
    <row r="33" spans="2:19" x14ac:dyDescent="0.25">
      <c r="B33" s="8" t="s">
        <v>109</v>
      </c>
      <c r="C33" s="3" t="s">
        <v>86</v>
      </c>
      <c r="D33" s="1" t="s">
        <v>49</v>
      </c>
      <c r="E33" s="78" t="s">
        <v>50</v>
      </c>
      <c r="F33" s="33" t="str">
        <f>IF(AND('Primera Fase'!I26=0,'Primera Fase'!H26=""),"-",'Primera Fase'!I26)</f>
        <v>-</v>
      </c>
      <c r="G33" s="33" t="str">
        <f>IF(AND('Primera Fase'!J26=0,'Primera Fase'!I26=""),"-",'Primera Fase'!J26)</f>
        <v>-</v>
      </c>
      <c r="H33" s="16">
        <v>2</v>
      </c>
      <c r="I33" s="3">
        <v>0</v>
      </c>
      <c r="J33" s="15"/>
      <c r="K33" s="14">
        <v>1</v>
      </c>
      <c r="L33" s="3">
        <v>1</v>
      </c>
      <c r="M33" s="15"/>
      <c r="N33" s="14">
        <v>1</v>
      </c>
      <c r="O33" s="3">
        <v>0</v>
      </c>
      <c r="P33" s="15"/>
      <c r="Q33" s="14"/>
      <c r="R33" s="3"/>
      <c r="S33" s="15"/>
    </row>
    <row r="34" spans="2:19" x14ac:dyDescent="0.25">
      <c r="B34" s="8" t="s">
        <v>116</v>
      </c>
      <c r="C34" s="3" t="s">
        <v>90</v>
      </c>
      <c r="D34" s="1" t="s">
        <v>52</v>
      </c>
      <c r="E34" s="78" t="s">
        <v>53</v>
      </c>
      <c r="F34" s="33" t="str">
        <f>IF(AND('Primera Fase'!I27=0,'Primera Fase'!H27=""),"-",'Primera Fase'!I27)</f>
        <v>-</v>
      </c>
      <c r="G34" s="33" t="str">
        <f>IF(AND('Primera Fase'!J27=0,'Primera Fase'!I27=""),"-",'Primera Fase'!J27)</f>
        <v>-</v>
      </c>
      <c r="H34" s="16">
        <v>3</v>
      </c>
      <c r="I34" s="3">
        <v>1</v>
      </c>
      <c r="J34" s="15"/>
      <c r="K34" s="14">
        <v>3</v>
      </c>
      <c r="L34" s="3">
        <v>0</v>
      </c>
      <c r="M34" s="15"/>
      <c r="N34" s="14">
        <v>2</v>
      </c>
      <c r="O34" s="3">
        <v>1</v>
      </c>
      <c r="P34" s="15"/>
      <c r="Q34" s="14"/>
      <c r="R34" s="3"/>
      <c r="S34" s="15"/>
    </row>
    <row r="35" spans="2:19" x14ac:dyDescent="0.25">
      <c r="B35" s="8" t="s">
        <v>116</v>
      </c>
      <c r="C35" s="3" t="s">
        <v>93</v>
      </c>
      <c r="D35" s="1" t="s">
        <v>57</v>
      </c>
      <c r="E35" s="78" t="s">
        <v>58</v>
      </c>
      <c r="F35" s="33" t="str">
        <f>IF(AND('Primera Fase'!I28=0,'Primera Fase'!H28=""),"-",'Primera Fase'!I28)</f>
        <v>-</v>
      </c>
      <c r="G35" s="33" t="str">
        <f>IF(AND('Primera Fase'!J28=0,'Primera Fase'!I28=""),"-",'Primera Fase'!J28)</f>
        <v>-</v>
      </c>
      <c r="H35" s="16">
        <v>3</v>
      </c>
      <c r="I35" s="3">
        <v>1</v>
      </c>
      <c r="J35" s="15"/>
      <c r="K35" s="14">
        <v>2</v>
      </c>
      <c r="L35" s="3">
        <v>1</v>
      </c>
      <c r="M35" s="15"/>
      <c r="N35" s="14">
        <v>3</v>
      </c>
      <c r="O35" s="3">
        <v>1</v>
      </c>
      <c r="P35" s="15"/>
      <c r="Q35" s="14"/>
      <c r="R35" s="3"/>
      <c r="S35" s="15"/>
    </row>
    <row r="36" spans="2:19" x14ac:dyDescent="0.25">
      <c r="B36" s="8" t="s">
        <v>116</v>
      </c>
      <c r="C36" s="3" t="s">
        <v>96</v>
      </c>
      <c r="D36" s="1" t="s">
        <v>59</v>
      </c>
      <c r="E36" s="78" t="s">
        <v>60</v>
      </c>
      <c r="F36" s="33" t="str">
        <f>IF(AND('Primera Fase'!I29=0,'Primera Fase'!H29=""),"-",'Primera Fase'!I29)</f>
        <v>-</v>
      </c>
      <c r="G36" s="33" t="str">
        <f>IF(AND('Primera Fase'!J29=0,'Primera Fase'!I29=""),"-",'Primera Fase'!J29)</f>
        <v>-</v>
      </c>
      <c r="H36" s="16">
        <v>2</v>
      </c>
      <c r="I36" s="3">
        <v>1</v>
      </c>
      <c r="J36" s="15"/>
      <c r="K36" s="14">
        <v>1</v>
      </c>
      <c r="L36" s="3">
        <v>0</v>
      </c>
      <c r="M36" s="15"/>
      <c r="N36" s="14">
        <v>3</v>
      </c>
      <c r="O36" s="3">
        <v>1</v>
      </c>
      <c r="P36" s="15"/>
      <c r="Q36" s="14"/>
      <c r="R36" s="3"/>
      <c r="S36" s="15"/>
    </row>
    <row r="37" spans="2:19" x14ac:dyDescent="0.25">
      <c r="B37" s="8" t="s">
        <v>116</v>
      </c>
      <c r="C37" s="3" t="s">
        <v>69</v>
      </c>
      <c r="D37" s="1" t="s">
        <v>54</v>
      </c>
      <c r="E37" s="78" t="s">
        <v>55</v>
      </c>
      <c r="F37" s="33" t="str">
        <f>IF(AND('Primera Fase'!I30=0,'Primera Fase'!H30=""),"-",'Primera Fase'!I30)</f>
        <v>-</v>
      </c>
      <c r="G37" s="33" t="str">
        <f>IF(AND('Primera Fase'!J30=0,'Primera Fase'!I30=""),"-",'Primera Fase'!J30)</f>
        <v>-</v>
      </c>
      <c r="H37" s="16">
        <v>1</v>
      </c>
      <c r="I37" s="3">
        <v>3</v>
      </c>
      <c r="J37" s="15"/>
      <c r="K37" s="14">
        <v>0</v>
      </c>
      <c r="L37" s="3">
        <v>3</v>
      </c>
      <c r="M37" s="15"/>
      <c r="N37" s="14">
        <v>0</v>
      </c>
      <c r="O37" s="3">
        <v>2</v>
      </c>
      <c r="P37" s="15"/>
      <c r="Q37" s="14"/>
      <c r="R37" s="3"/>
      <c r="S37" s="15"/>
    </row>
    <row r="38" spans="2:19" x14ac:dyDescent="0.25">
      <c r="B38" s="8" t="s">
        <v>125</v>
      </c>
      <c r="C38" s="3" t="s">
        <v>102</v>
      </c>
      <c r="D38" s="1" t="s">
        <v>5</v>
      </c>
      <c r="E38" s="78" t="s">
        <v>3</v>
      </c>
      <c r="F38" s="33" t="str">
        <f>IF(AND('Primera Fase'!I31=0,'Primera Fase'!H31=""),"-",'Primera Fase'!I31)</f>
        <v>-</v>
      </c>
      <c r="G38" s="33" t="str">
        <f>IF(AND('Primera Fase'!J31=0,'Primera Fase'!I31=""),"-",'Primera Fase'!J31)</f>
        <v>-</v>
      </c>
      <c r="H38" s="16">
        <v>1</v>
      </c>
      <c r="I38" s="3">
        <v>1</v>
      </c>
      <c r="J38" s="15"/>
      <c r="K38" s="14">
        <v>0</v>
      </c>
      <c r="L38" s="3">
        <v>1</v>
      </c>
      <c r="M38" s="15"/>
      <c r="N38" s="14">
        <v>2</v>
      </c>
      <c r="O38" s="3">
        <v>1</v>
      </c>
      <c r="P38" s="15"/>
      <c r="Q38" s="14"/>
      <c r="R38" s="3"/>
      <c r="S38" s="15"/>
    </row>
    <row r="39" spans="2:19" x14ac:dyDescent="0.25">
      <c r="B39" s="8" t="s">
        <v>125</v>
      </c>
      <c r="C39" s="3" t="s">
        <v>66</v>
      </c>
      <c r="D39" s="1" t="s">
        <v>10</v>
      </c>
      <c r="E39" s="78" t="s">
        <v>8</v>
      </c>
      <c r="F39" s="33" t="str">
        <f>IF(AND('Primera Fase'!I32=0,'Primera Fase'!H32=""),"-",'Primera Fase'!I32)</f>
        <v>-</v>
      </c>
      <c r="G39" s="33" t="str">
        <f>IF(AND('Primera Fase'!J32=0,'Primera Fase'!I32=""),"-",'Primera Fase'!J32)</f>
        <v>-</v>
      </c>
      <c r="H39" s="16">
        <v>2</v>
      </c>
      <c r="I39" s="3">
        <v>0</v>
      </c>
      <c r="J39" s="15"/>
      <c r="K39" s="147">
        <v>2</v>
      </c>
      <c r="L39" s="3">
        <v>1</v>
      </c>
      <c r="M39" s="15"/>
      <c r="N39" s="14">
        <v>3</v>
      </c>
      <c r="O39" s="3">
        <v>2</v>
      </c>
      <c r="P39" s="15"/>
      <c r="Q39" s="14"/>
      <c r="R39" s="3"/>
      <c r="S39" s="15"/>
    </row>
    <row r="40" spans="2:19" x14ac:dyDescent="0.25">
      <c r="B40" s="8" t="s">
        <v>125</v>
      </c>
      <c r="C40" s="3" t="s">
        <v>81</v>
      </c>
      <c r="D40" s="1" t="s">
        <v>7</v>
      </c>
      <c r="E40" s="78" t="s">
        <v>9</v>
      </c>
      <c r="F40" s="33" t="str">
        <f>IF(AND('Primera Fase'!I33=0,'Primera Fase'!H33=""),"-",'Primera Fase'!I33)</f>
        <v>-</v>
      </c>
      <c r="G40" s="33" t="str">
        <f>IF(AND('Primera Fase'!J33=0,'Primera Fase'!I33=""),"-",'Primera Fase'!J33)</f>
        <v>-</v>
      </c>
      <c r="H40" s="16">
        <v>3</v>
      </c>
      <c r="I40" s="3">
        <v>1</v>
      </c>
      <c r="J40" s="15"/>
      <c r="K40" s="14">
        <v>2</v>
      </c>
      <c r="L40" s="3">
        <v>1</v>
      </c>
      <c r="M40" s="15"/>
      <c r="N40" s="14">
        <v>1</v>
      </c>
      <c r="O40" s="3">
        <v>0</v>
      </c>
      <c r="P40" s="15"/>
      <c r="Q40" s="14"/>
      <c r="R40" s="3"/>
      <c r="S40" s="15"/>
    </row>
    <row r="41" spans="2:19" x14ac:dyDescent="0.25">
      <c r="B41" s="8" t="s">
        <v>125</v>
      </c>
      <c r="C41" s="3" t="s">
        <v>75</v>
      </c>
      <c r="D41" s="1" t="s">
        <v>2</v>
      </c>
      <c r="E41" s="78" t="s">
        <v>4</v>
      </c>
      <c r="F41" s="33" t="str">
        <f>IF(AND('Primera Fase'!I34=0,'Primera Fase'!H34=""),"-",'Primera Fase'!I34)</f>
        <v>-</v>
      </c>
      <c r="G41" s="33" t="str">
        <f>IF(AND('Primera Fase'!J34=0,'Primera Fase'!I34=""),"-",'Primera Fase'!J34)</f>
        <v>-</v>
      </c>
      <c r="H41" s="16">
        <v>3</v>
      </c>
      <c r="I41" s="3">
        <v>3</v>
      </c>
      <c r="J41" s="15"/>
      <c r="K41" s="14">
        <v>2</v>
      </c>
      <c r="L41" s="3">
        <v>1</v>
      </c>
      <c r="M41" s="15"/>
      <c r="N41" s="14">
        <v>1</v>
      </c>
      <c r="O41" s="3">
        <v>2</v>
      </c>
      <c r="P41" s="15"/>
      <c r="Q41" s="14"/>
      <c r="R41" s="3"/>
      <c r="S41" s="15"/>
    </row>
    <row r="42" spans="2:19" x14ac:dyDescent="0.25">
      <c r="B42" s="8" t="s">
        <v>134</v>
      </c>
      <c r="C42" s="3" t="s">
        <v>66</v>
      </c>
      <c r="D42" s="1" t="s">
        <v>17</v>
      </c>
      <c r="E42" s="78" t="s">
        <v>19</v>
      </c>
      <c r="F42" s="33" t="str">
        <f>IF(AND('Primera Fase'!I35=0,'Primera Fase'!H35=""),"-",'Primera Fase'!I35)</f>
        <v>-</v>
      </c>
      <c r="G42" s="33" t="str">
        <f>IF(AND('Primera Fase'!J35=0,'Primera Fase'!I35=""),"-",'Primera Fase'!J35)</f>
        <v>-</v>
      </c>
      <c r="H42" s="16">
        <v>4</v>
      </c>
      <c r="I42" s="3">
        <v>2</v>
      </c>
      <c r="J42" s="15"/>
      <c r="K42" s="14">
        <v>2</v>
      </c>
      <c r="L42" s="3">
        <v>1</v>
      </c>
      <c r="M42" s="15"/>
      <c r="N42" s="14">
        <v>3</v>
      </c>
      <c r="O42" s="3">
        <v>1</v>
      </c>
      <c r="P42" s="15"/>
      <c r="Q42" s="14"/>
      <c r="R42" s="3"/>
      <c r="S42" s="15"/>
    </row>
    <row r="43" spans="2:19" x14ac:dyDescent="0.25">
      <c r="B43" s="8" t="s">
        <v>134</v>
      </c>
      <c r="C43" s="3" t="s">
        <v>81</v>
      </c>
      <c r="D43" s="1" t="s">
        <v>15</v>
      </c>
      <c r="E43" s="78" t="s">
        <v>13</v>
      </c>
      <c r="F43" s="33" t="str">
        <f>IF(AND('Primera Fase'!I36=0,'Primera Fase'!H36=""),"-",'Primera Fase'!I36)</f>
        <v>-</v>
      </c>
      <c r="G43" s="33" t="str">
        <f>IF(AND('Primera Fase'!J36=0,'Primera Fase'!I36=""),"-",'Primera Fase'!J36)</f>
        <v>-</v>
      </c>
      <c r="H43" s="16">
        <v>2</v>
      </c>
      <c r="I43" s="3">
        <v>1</v>
      </c>
      <c r="J43" s="15"/>
      <c r="K43" s="14">
        <v>0</v>
      </c>
      <c r="L43" s="3">
        <v>1</v>
      </c>
      <c r="M43" s="15"/>
      <c r="N43" s="14">
        <v>1</v>
      </c>
      <c r="O43" s="3">
        <v>3</v>
      </c>
      <c r="P43" s="15"/>
      <c r="Q43" s="14"/>
      <c r="R43" s="3"/>
      <c r="S43" s="15"/>
    </row>
    <row r="44" spans="2:19" x14ac:dyDescent="0.25">
      <c r="B44" s="8" t="s">
        <v>134</v>
      </c>
      <c r="C44" s="3" t="s">
        <v>139</v>
      </c>
      <c r="D44" s="1" t="s">
        <v>12</v>
      </c>
      <c r="E44" s="78" t="s">
        <v>14</v>
      </c>
      <c r="F44" s="33" t="str">
        <f>IF(AND('Primera Fase'!I37=0,'Primera Fase'!H37=""),"-",'Primera Fase'!I37)</f>
        <v>-</v>
      </c>
      <c r="G44" s="33" t="str">
        <f>IF(AND('Primera Fase'!J37=0,'Primera Fase'!I37=""),"-",'Primera Fase'!J37)</f>
        <v>-</v>
      </c>
      <c r="H44" s="16">
        <v>3</v>
      </c>
      <c r="I44" s="3">
        <v>0</v>
      </c>
      <c r="J44" s="15"/>
      <c r="K44" s="14">
        <v>4</v>
      </c>
      <c r="L44" s="3">
        <v>0</v>
      </c>
      <c r="M44" s="15"/>
      <c r="N44" s="14">
        <v>5</v>
      </c>
      <c r="O44" s="3">
        <v>0</v>
      </c>
      <c r="P44" s="15"/>
      <c r="Q44" s="14"/>
      <c r="R44" s="3"/>
      <c r="S44" s="15"/>
    </row>
    <row r="45" spans="2:19" x14ac:dyDescent="0.25">
      <c r="B45" s="8" t="s">
        <v>134</v>
      </c>
      <c r="C45" s="3" t="s">
        <v>142</v>
      </c>
      <c r="D45" s="1" t="s">
        <v>20</v>
      </c>
      <c r="E45" s="78" t="s">
        <v>18</v>
      </c>
      <c r="F45" s="33" t="str">
        <f>IF(AND('Primera Fase'!I38=0,'Primera Fase'!H38=""),"-",'Primera Fase'!I38)</f>
        <v>-</v>
      </c>
      <c r="G45" s="33" t="str">
        <f>IF(AND('Primera Fase'!J38=0,'Primera Fase'!I38=""),"-",'Primera Fase'!J38)</f>
        <v>-</v>
      </c>
      <c r="H45" s="16">
        <v>1</v>
      </c>
      <c r="I45" s="3">
        <v>2</v>
      </c>
      <c r="J45" s="15"/>
      <c r="K45" s="14">
        <v>1</v>
      </c>
      <c r="L45" s="3">
        <v>1</v>
      </c>
      <c r="M45" s="15"/>
      <c r="N45" s="14">
        <v>2</v>
      </c>
      <c r="O45" s="3">
        <v>1</v>
      </c>
      <c r="P45" s="15"/>
      <c r="Q45" s="14"/>
      <c r="R45" s="3"/>
      <c r="S45" s="15"/>
    </row>
    <row r="46" spans="2:19" x14ac:dyDescent="0.25">
      <c r="B46" s="8" t="s">
        <v>144</v>
      </c>
      <c r="C46" s="3" t="s">
        <v>90</v>
      </c>
      <c r="D46" s="1" t="s">
        <v>27</v>
      </c>
      <c r="E46" s="78" t="s">
        <v>29</v>
      </c>
      <c r="F46" s="33" t="str">
        <f>IF(AND('Primera Fase'!I39=0,'Primera Fase'!H39=""),"-",'Primera Fase'!I39)</f>
        <v>-</v>
      </c>
      <c r="G46" s="33" t="str">
        <f>IF(AND('Primera Fase'!J39=0,'Primera Fase'!I39=""),"-",'Primera Fase'!J39)</f>
        <v>-</v>
      </c>
      <c r="H46" s="16">
        <v>2</v>
      </c>
      <c r="I46" s="3">
        <v>2</v>
      </c>
      <c r="J46" s="15"/>
      <c r="K46" s="14">
        <v>2</v>
      </c>
      <c r="L46" s="3">
        <v>1</v>
      </c>
      <c r="M46" s="15"/>
      <c r="N46" s="14">
        <v>2</v>
      </c>
      <c r="O46" s="3">
        <v>1</v>
      </c>
      <c r="P46" s="15"/>
      <c r="Q46" s="14"/>
      <c r="R46" s="3"/>
      <c r="S46" s="15"/>
    </row>
    <row r="47" spans="2:19" x14ac:dyDescent="0.25">
      <c r="B47" s="8" t="s">
        <v>144</v>
      </c>
      <c r="C47" s="3" t="s">
        <v>93</v>
      </c>
      <c r="D47" s="1" t="s">
        <v>22</v>
      </c>
      <c r="E47" s="78" t="s">
        <v>24</v>
      </c>
      <c r="F47" s="33" t="str">
        <f>IF(AND('Primera Fase'!I40=0,'Primera Fase'!H40=""),"-",'Primera Fase'!I40)</f>
        <v>-</v>
      </c>
      <c r="G47" s="33" t="str">
        <f>IF(AND('Primera Fase'!J40=0,'Primera Fase'!I40=""),"-",'Primera Fase'!J40)</f>
        <v>-</v>
      </c>
      <c r="H47" s="16">
        <v>3</v>
      </c>
      <c r="I47" s="3">
        <v>0</v>
      </c>
      <c r="J47" s="15"/>
      <c r="K47" s="14">
        <v>2</v>
      </c>
      <c r="L47" s="3">
        <v>0</v>
      </c>
      <c r="M47" s="15"/>
      <c r="N47" s="14">
        <v>4</v>
      </c>
      <c r="O47" s="3">
        <v>2</v>
      </c>
      <c r="P47" s="15"/>
      <c r="Q47" s="14"/>
      <c r="R47" s="3"/>
      <c r="S47" s="15"/>
    </row>
    <row r="48" spans="2:19" x14ac:dyDescent="0.25">
      <c r="B48" s="8" t="s">
        <v>144</v>
      </c>
      <c r="C48" s="3" t="s">
        <v>147</v>
      </c>
      <c r="D48" s="1" t="s">
        <v>25</v>
      </c>
      <c r="E48" s="78" t="s">
        <v>23</v>
      </c>
      <c r="F48" s="33" t="str">
        <f>IF(AND('Primera Fase'!I41=0,'Primera Fase'!H41=""),"-",'Primera Fase'!I41)</f>
        <v>-</v>
      </c>
      <c r="G48" s="33" t="str">
        <f>IF(AND('Primera Fase'!J41=0,'Primera Fase'!I41=""),"-",'Primera Fase'!J41)</f>
        <v>-</v>
      </c>
      <c r="H48" s="16">
        <v>0</v>
      </c>
      <c r="I48" s="3">
        <v>0</v>
      </c>
      <c r="J48" s="15"/>
      <c r="K48" s="14">
        <v>2</v>
      </c>
      <c r="L48" s="3">
        <v>0</v>
      </c>
      <c r="M48" s="15"/>
      <c r="N48" s="14">
        <v>4</v>
      </c>
      <c r="O48" s="3">
        <v>0</v>
      </c>
      <c r="P48" s="15"/>
      <c r="Q48" s="14"/>
      <c r="R48" s="3"/>
      <c r="S48" s="15"/>
    </row>
    <row r="49" spans="2:19" x14ac:dyDescent="0.25">
      <c r="B49" s="8" t="s">
        <v>144</v>
      </c>
      <c r="C49" s="3" t="s">
        <v>86</v>
      </c>
      <c r="D49" s="1" t="s">
        <v>30</v>
      </c>
      <c r="E49" s="78" t="s">
        <v>28</v>
      </c>
      <c r="F49" s="33" t="str">
        <f>IF(AND('Primera Fase'!I42=0,'Primera Fase'!H42=""),"-",'Primera Fase'!I42)</f>
        <v>-</v>
      </c>
      <c r="G49" s="33" t="str">
        <f>IF(AND('Primera Fase'!J42=0,'Primera Fase'!I42=""),"-",'Primera Fase'!J42)</f>
        <v>-</v>
      </c>
      <c r="H49" s="16">
        <v>0</v>
      </c>
      <c r="I49" s="3">
        <v>2</v>
      </c>
      <c r="J49" s="15"/>
      <c r="K49" s="14">
        <v>0</v>
      </c>
      <c r="L49" s="3">
        <v>1</v>
      </c>
      <c r="M49" s="15"/>
      <c r="N49" s="14">
        <v>0</v>
      </c>
      <c r="O49" s="3">
        <v>2</v>
      </c>
      <c r="P49" s="15"/>
      <c r="Q49" s="14"/>
      <c r="R49" s="3"/>
      <c r="S49" s="15"/>
    </row>
    <row r="50" spans="2:19" x14ac:dyDescent="0.25">
      <c r="B50" s="8" t="s">
        <v>151</v>
      </c>
      <c r="C50" s="3" t="s">
        <v>102</v>
      </c>
      <c r="D50" s="1" t="s">
        <v>37</v>
      </c>
      <c r="E50" s="78" t="s">
        <v>199</v>
      </c>
      <c r="F50" s="33" t="str">
        <f>IF(AND('Primera Fase'!I43=0,'Primera Fase'!H43=""),"-",'Primera Fase'!I43)</f>
        <v>-</v>
      </c>
      <c r="G50" s="33" t="str">
        <f>IF(AND('Primera Fase'!J43=0,'Primera Fase'!I43=""),"-",'Primera Fase'!J43)</f>
        <v>-</v>
      </c>
      <c r="H50" s="16">
        <v>4</v>
      </c>
      <c r="I50" s="3">
        <v>1</v>
      </c>
      <c r="J50" s="15"/>
      <c r="K50" s="14">
        <v>3</v>
      </c>
      <c r="L50" s="3">
        <v>1</v>
      </c>
      <c r="M50" s="15"/>
      <c r="N50" s="14">
        <v>4</v>
      </c>
      <c r="O50" s="3">
        <v>1</v>
      </c>
      <c r="P50" s="15"/>
      <c r="Q50" s="14"/>
      <c r="R50" s="3"/>
      <c r="S50" s="15"/>
    </row>
    <row r="51" spans="2:19" x14ac:dyDescent="0.25">
      <c r="B51" s="8" t="s">
        <v>151</v>
      </c>
      <c r="C51" s="3" t="s">
        <v>66</v>
      </c>
      <c r="D51" s="1" t="s">
        <v>32</v>
      </c>
      <c r="E51" s="78" t="s">
        <v>34</v>
      </c>
      <c r="F51" s="33" t="str">
        <f>IF(AND('Primera Fase'!I44=0,'Primera Fase'!H44=""),"-",'Primera Fase'!I44)</f>
        <v>-</v>
      </c>
      <c r="G51" s="33" t="str">
        <f>IF(AND('Primera Fase'!J44=0,'Primera Fase'!I44=""),"-",'Primera Fase'!J44)</f>
        <v>-</v>
      </c>
      <c r="H51" s="16">
        <v>2</v>
      </c>
      <c r="I51" s="3">
        <v>1</v>
      </c>
      <c r="J51" s="15"/>
      <c r="K51" s="14">
        <v>2</v>
      </c>
      <c r="L51" s="3">
        <v>0</v>
      </c>
      <c r="M51" s="15"/>
      <c r="N51" s="14">
        <v>2</v>
      </c>
      <c r="O51" s="3">
        <v>0</v>
      </c>
      <c r="P51" s="15"/>
      <c r="Q51" s="14"/>
      <c r="R51" s="3"/>
      <c r="S51" s="15"/>
    </row>
    <row r="52" spans="2:19" x14ac:dyDescent="0.25">
      <c r="B52" s="8" t="s">
        <v>151</v>
      </c>
      <c r="C52" s="3" t="s">
        <v>81</v>
      </c>
      <c r="D52" s="1" t="s">
        <v>40</v>
      </c>
      <c r="E52" s="78" t="s">
        <v>38</v>
      </c>
      <c r="F52" s="33" t="str">
        <f>IF(AND('Primera Fase'!I45=0,'Primera Fase'!H45=""),"-",'Primera Fase'!I45)</f>
        <v>-</v>
      </c>
      <c r="G52" s="33" t="str">
        <f>IF(AND('Primera Fase'!J45=0,'Primera Fase'!I45=""),"-",'Primera Fase'!J45)</f>
        <v>-</v>
      </c>
      <c r="H52" s="16">
        <v>3</v>
      </c>
      <c r="I52" s="3">
        <v>0</v>
      </c>
      <c r="J52" s="15"/>
      <c r="K52" s="14">
        <v>3</v>
      </c>
      <c r="L52" s="3">
        <v>0</v>
      </c>
      <c r="M52" s="15"/>
      <c r="N52" s="14">
        <v>2</v>
      </c>
      <c r="O52" s="3">
        <v>0</v>
      </c>
      <c r="P52" s="15"/>
      <c r="Q52" s="14"/>
      <c r="R52" s="3"/>
      <c r="S52" s="15"/>
    </row>
    <row r="53" spans="2:19" x14ac:dyDescent="0.25">
      <c r="B53" s="8" t="s">
        <v>151</v>
      </c>
      <c r="C53" s="3" t="s">
        <v>75</v>
      </c>
      <c r="D53" s="1" t="s">
        <v>35</v>
      </c>
      <c r="E53" s="78" t="s">
        <v>33</v>
      </c>
      <c r="F53" s="33" t="str">
        <f>IF(AND('Primera Fase'!I46=0,'Primera Fase'!H46=""),"-",'Primera Fase'!I46)</f>
        <v>-</v>
      </c>
      <c r="G53" s="33" t="str">
        <f>IF(AND('Primera Fase'!J46=0,'Primera Fase'!I46=""),"-",'Primera Fase'!J46)</f>
        <v>-</v>
      </c>
      <c r="H53" s="16">
        <v>2</v>
      </c>
      <c r="I53" s="3">
        <v>1</v>
      </c>
      <c r="J53" s="15"/>
      <c r="K53" s="14">
        <v>1</v>
      </c>
      <c r="L53" s="3">
        <v>0</v>
      </c>
      <c r="M53" s="15"/>
      <c r="N53" s="14">
        <v>1</v>
      </c>
      <c r="O53" s="3">
        <v>2</v>
      </c>
      <c r="P53" s="15"/>
      <c r="Q53" s="14"/>
      <c r="R53" s="3"/>
      <c r="S53" s="15"/>
    </row>
    <row r="54" spans="2:19" x14ac:dyDescent="0.25">
      <c r="B54" s="8" t="s">
        <v>156</v>
      </c>
      <c r="C54" s="3" t="s">
        <v>90</v>
      </c>
      <c r="D54" s="1" t="s">
        <v>47</v>
      </c>
      <c r="E54" s="78" t="s">
        <v>49</v>
      </c>
      <c r="F54" s="33" t="str">
        <f>IF(AND('Primera Fase'!I47=0,'Primera Fase'!H47=""),"-",'Primera Fase'!I47)</f>
        <v>-</v>
      </c>
      <c r="G54" s="33" t="str">
        <f>IF(AND('Primera Fase'!J47=0,'Primera Fase'!I47=""),"-",'Primera Fase'!J47)</f>
        <v>-</v>
      </c>
      <c r="H54" s="16">
        <v>3</v>
      </c>
      <c r="I54" s="3">
        <v>2</v>
      </c>
      <c r="J54" s="15"/>
      <c r="K54" s="14">
        <v>2</v>
      </c>
      <c r="L54" s="3">
        <v>1</v>
      </c>
      <c r="M54" s="15"/>
      <c r="N54" s="14">
        <v>3</v>
      </c>
      <c r="O54" s="3">
        <v>1</v>
      </c>
      <c r="P54" s="15"/>
      <c r="Q54" s="14"/>
      <c r="R54" s="3"/>
      <c r="S54" s="15"/>
    </row>
    <row r="55" spans="2:19" x14ac:dyDescent="0.25">
      <c r="B55" s="8" t="s">
        <v>156</v>
      </c>
      <c r="C55" s="3" t="s">
        <v>158</v>
      </c>
      <c r="D55" s="1" t="s">
        <v>42</v>
      </c>
      <c r="E55" s="78" t="s">
        <v>44</v>
      </c>
      <c r="F55" s="33" t="str">
        <f>IF(AND('Primera Fase'!I48=0,'Primera Fase'!H48=""),"-",'Primera Fase'!I48)</f>
        <v>-</v>
      </c>
      <c r="G55" s="33" t="str">
        <f>IF(AND('Primera Fase'!J48=0,'Primera Fase'!I48=""),"-",'Primera Fase'!J48)</f>
        <v>-</v>
      </c>
      <c r="H55" s="16">
        <v>3</v>
      </c>
      <c r="I55" s="3">
        <v>1</v>
      </c>
      <c r="J55" s="15"/>
      <c r="K55" s="14">
        <v>4</v>
      </c>
      <c r="L55" s="3">
        <v>0</v>
      </c>
      <c r="M55" s="15"/>
      <c r="N55" s="14">
        <v>4</v>
      </c>
      <c r="O55" s="3">
        <v>1</v>
      </c>
      <c r="P55" s="15"/>
      <c r="Q55" s="14"/>
      <c r="R55" s="3"/>
      <c r="S55" s="15"/>
    </row>
    <row r="56" spans="2:19" x14ac:dyDescent="0.25">
      <c r="B56" s="8" t="s">
        <v>156</v>
      </c>
      <c r="C56" s="3" t="s">
        <v>147</v>
      </c>
      <c r="D56" s="1" t="s">
        <v>45</v>
      </c>
      <c r="E56" s="78" t="s">
        <v>43</v>
      </c>
      <c r="F56" s="33" t="str">
        <f>IF(AND('Primera Fase'!I49=0,'Primera Fase'!H49=""),"-",'Primera Fase'!I49)</f>
        <v>-</v>
      </c>
      <c r="G56" s="33" t="str">
        <f>IF(AND('Primera Fase'!J49=0,'Primera Fase'!I49=""),"-",'Primera Fase'!J49)</f>
        <v>-</v>
      </c>
      <c r="H56" s="16">
        <v>1</v>
      </c>
      <c r="I56" s="3">
        <v>1</v>
      </c>
      <c r="J56" s="15"/>
      <c r="K56" s="14">
        <v>2</v>
      </c>
      <c r="L56" s="3">
        <v>1</v>
      </c>
      <c r="M56" s="15"/>
      <c r="N56" s="14">
        <v>3</v>
      </c>
      <c r="O56" s="3">
        <v>1</v>
      </c>
      <c r="P56" s="15"/>
      <c r="Q56" s="14"/>
      <c r="R56" s="3"/>
      <c r="S56" s="15"/>
    </row>
    <row r="57" spans="2:19" x14ac:dyDescent="0.25">
      <c r="B57" s="8" t="s">
        <v>156</v>
      </c>
      <c r="C57" s="3" t="s">
        <v>142</v>
      </c>
      <c r="D57" s="1" t="s">
        <v>50</v>
      </c>
      <c r="E57" s="78" t="s">
        <v>48</v>
      </c>
      <c r="F57" s="33" t="str">
        <f>IF(AND('Primera Fase'!I50=0,'Primera Fase'!H50=""),"-",'Primera Fase'!I50)</f>
        <v>-</v>
      </c>
      <c r="G57" s="33" t="str">
        <f>IF(AND('Primera Fase'!J50=0,'Primera Fase'!I50=""),"-",'Primera Fase'!J50)</f>
        <v>-</v>
      </c>
      <c r="H57" s="16">
        <v>1</v>
      </c>
      <c r="I57" s="3">
        <v>1</v>
      </c>
      <c r="J57" s="15"/>
      <c r="K57" s="14">
        <v>1</v>
      </c>
      <c r="L57" s="3">
        <v>1</v>
      </c>
      <c r="M57" s="15"/>
      <c r="N57" s="14">
        <v>0</v>
      </c>
      <c r="O57" s="3">
        <v>0</v>
      </c>
      <c r="P57" s="15"/>
      <c r="Q57" s="14"/>
      <c r="R57" s="3"/>
      <c r="S57" s="15"/>
    </row>
    <row r="58" spans="2:19" x14ac:dyDescent="0.25">
      <c r="B58" s="8" t="s">
        <v>162</v>
      </c>
      <c r="C58" s="3" t="s">
        <v>90</v>
      </c>
      <c r="D58" s="1" t="s">
        <v>52</v>
      </c>
      <c r="E58" s="78" t="s">
        <v>54</v>
      </c>
      <c r="F58" s="33" t="str">
        <f>IF(AND('Primera Fase'!I51=0,'Primera Fase'!H51=""),"-",'Primera Fase'!I51)</f>
        <v>-</v>
      </c>
      <c r="G58" s="33" t="str">
        <f>IF(AND('Primera Fase'!J51=0,'Primera Fase'!I51=""),"-",'Primera Fase'!J51)</f>
        <v>-</v>
      </c>
      <c r="H58" s="16">
        <v>4</v>
      </c>
      <c r="I58" s="3">
        <v>1</v>
      </c>
      <c r="J58" s="15"/>
      <c r="K58" s="14">
        <v>3</v>
      </c>
      <c r="L58" s="3">
        <v>0</v>
      </c>
      <c r="M58" s="15"/>
      <c r="N58" s="14">
        <v>2</v>
      </c>
      <c r="O58" s="3">
        <v>0</v>
      </c>
      <c r="P58" s="15"/>
      <c r="Q58" s="14"/>
      <c r="R58" s="3"/>
      <c r="S58" s="15"/>
    </row>
    <row r="59" spans="2:19" x14ac:dyDescent="0.25">
      <c r="B59" s="8" t="s">
        <v>162</v>
      </c>
      <c r="C59" s="3" t="s">
        <v>93</v>
      </c>
      <c r="D59" s="1" t="s">
        <v>57</v>
      </c>
      <c r="E59" s="78" t="s">
        <v>59</v>
      </c>
      <c r="F59" s="33" t="str">
        <f>IF(AND('Primera Fase'!I52=0,'Primera Fase'!H52=""),"-",'Primera Fase'!I52)</f>
        <v>-</v>
      </c>
      <c r="G59" s="33" t="str">
        <f>IF(AND('Primera Fase'!J52=0,'Primera Fase'!I52=""),"-",'Primera Fase'!J52)</f>
        <v>-</v>
      </c>
      <c r="H59" s="16">
        <v>3</v>
      </c>
      <c r="I59" s="3">
        <v>2</v>
      </c>
      <c r="J59" s="15"/>
      <c r="K59" s="14">
        <v>3</v>
      </c>
      <c r="L59" s="3">
        <v>1</v>
      </c>
      <c r="M59" s="15"/>
      <c r="N59" s="14">
        <v>3</v>
      </c>
      <c r="O59" s="3">
        <v>3</v>
      </c>
      <c r="P59" s="15"/>
      <c r="Q59" s="14"/>
      <c r="R59" s="3"/>
      <c r="S59" s="15"/>
    </row>
    <row r="60" spans="2:19" x14ac:dyDescent="0.25">
      <c r="B60" s="8" t="s">
        <v>162</v>
      </c>
      <c r="C60" s="3" t="s">
        <v>96</v>
      </c>
      <c r="D60" s="1" t="s">
        <v>60</v>
      </c>
      <c r="E60" s="78" t="s">
        <v>58</v>
      </c>
      <c r="F60" s="33" t="str">
        <f>IF(AND('Primera Fase'!I53=0,'Primera Fase'!H53=""),"-",'Primera Fase'!I53)</f>
        <v>-</v>
      </c>
      <c r="G60" s="33" t="str">
        <f>IF(AND('Primera Fase'!J53=0,'Primera Fase'!I53=""),"-",'Primera Fase'!J53)</f>
        <v>-</v>
      </c>
      <c r="H60" s="16">
        <v>1</v>
      </c>
      <c r="I60" s="3">
        <v>1</v>
      </c>
      <c r="J60" s="15"/>
      <c r="K60" s="14">
        <v>0</v>
      </c>
      <c r="L60" s="3">
        <v>2</v>
      </c>
      <c r="M60" s="15"/>
      <c r="N60" s="14">
        <v>1</v>
      </c>
      <c r="O60" s="3">
        <v>2</v>
      </c>
      <c r="P60" s="15"/>
      <c r="Q60" s="14"/>
      <c r="R60" s="3"/>
      <c r="S60" s="15"/>
    </row>
    <row r="61" spans="2:19" x14ac:dyDescent="0.25">
      <c r="B61" s="8" t="s">
        <v>162</v>
      </c>
      <c r="C61" s="3" t="s">
        <v>69</v>
      </c>
      <c r="D61" s="1" t="s">
        <v>55</v>
      </c>
      <c r="E61" s="78" t="s">
        <v>53</v>
      </c>
      <c r="F61" s="33" t="str">
        <f>IF(AND('Primera Fase'!I54=0,'Primera Fase'!H54=""),"-",'Primera Fase'!I54)</f>
        <v>-</v>
      </c>
      <c r="G61" s="33" t="str">
        <f>IF(AND('Primera Fase'!J54=0,'Primera Fase'!I54=""),"-",'Primera Fase'!J54)</f>
        <v>-</v>
      </c>
      <c r="H61" s="16">
        <v>3</v>
      </c>
      <c r="I61" s="3">
        <v>0</v>
      </c>
      <c r="J61" s="15"/>
      <c r="K61" s="14">
        <v>2</v>
      </c>
      <c r="L61" s="3">
        <v>0</v>
      </c>
      <c r="M61" s="15"/>
      <c r="N61" s="14">
        <v>3</v>
      </c>
      <c r="O61" s="3">
        <v>1</v>
      </c>
      <c r="P61" s="15"/>
      <c r="Q61" s="14"/>
      <c r="R61" s="3"/>
      <c r="S61" s="15"/>
    </row>
    <row r="62" spans="2:19" x14ac:dyDescent="0.25">
      <c r="B62" s="8" t="s">
        <v>167</v>
      </c>
      <c r="C62" s="3" t="s">
        <v>66</v>
      </c>
      <c r="D62" s="1" t="s">
        <v>10</v>
      </c>
      <c r="E62" s="78" t="s">
        <v>7</v>
      </c>
      <c r="F62" s="33" t="str">
        <f>IF(AND('Primera Fase'!I55=0,'Primera Fase'!H55=""),"-",'Primera Fase'!I55)</f>
        <v>-</v>
      </c>
      <c r="G62" s="33" t="str">
        <f>IF(AND('Primera Fase'!J55=0,'Primera Fase'!I55=""),"-",'Primera Fase'!J55)</f>
        <v>-</v>
      </c>
      <c r="H62" s="16">
        <v>1</v>
      </c>
      <c r="I62" s="3">
        <v>2</v>
      </c>
      <c r="J62" s="15"/>
      <c r="K62" s="14">
        <v>2</v>
      </c>
      <c r="L62" s="3">
        <v>1</v>
      </c>
      <c r="M62" s="15"/>
      <c r="N62" s="14">
        <v>2</v>
      </c>
      <c r="O62" s="3">
        <v>0</v>
      </c>
      <c r="P62" s="15"/>
      <c r="Q62" s="14"/>
      <c r="R62" s="3"/>
      <c r="S62" s="15"/>
    </row>
    <row r="63" spans="2:19" x14ac:dyDescent="0.25">
      <c r="B63" s="8" t="s">
        <v>167</v>
      </c>
      <c r="C63" s="3" t="s">
        <v>66</v>
      </c>
      <c r="D63" s="1" t="s">
        <v>8</v>
      </c>
      <c r="E63" s="78" t="s">
        <v>9</v>
      </c>
      <c r="F63" s="33" t="str">
        <f>IF(AND('Primera Fase'!I56=0,'Primera Fase'!H56=""),"-",'Primera Fase'!I56)</f>
        <v>-</v>
      </c>
      <c r="G63" s="33" t="str">
        <f>IF(AND('Primera Fase'!J56=0,'Primera Fase'!I56=""),"-",'Primera Fase'!J56)</f>
        <v>-</v>
      </c>
      <c r="H63" s="16">
        <v>1</v>
      </c>
      <c r="I63" s="3">
        <v>1</v>
      </c>
      <c r="J63" s="15"/>
      <c r="K63" s="14">
        <v>0</v>
      </c>
      <c r="L63" s="3">
        <v>0</v>
      </c>
      <c r="M63" s="15"/>
      <c r="N63" s="14">
        <v>1</v>
      </c>
      <c r="O63" s="3">
        <v>1</v>
      </c>
      <c r="P63" s="15"/>
      <c r="Q63" s="14"/>
      <c r="R63" s="3"/>
      <c r="S63" s="15"/>
    </row>
    <row r="64" spans="2:19" x14ac:dyDescent="0.25">
      <c r="B64" s="8" t="s">
        <v>167</v>
      </c>
      <c r="C64" s="3" t="s">
        <v>147</v>
      </c>
      <c r="D64" s="1" t="s">
        <v>15</v>
      </c>
      <c r="E64" s="78" t="s">
        <v>12</v>
      </c>
      <c r="F64" s="33" t="str">
        <f>IF(AND('Primera Fase'!I57=0,'Primera Fase'!H57=""),"-",'Primera Fase'!I57)</f>
        <v>-</v>
      </c>
      <c r="G64" s="33" t="str">
        <f>IF(AND('Primera Fase'!J57=0,'Primera Fase'!I57=""),"-",'Primera Fase'!J57)</f>
        <v>-</v>
      </c>
      <c r="H64" s="16">
        <v>2</v>
      </c>
      <c r="I64" s="3">
        <v>3</v>
      </c>
      <c r="J64" s="15"/>
      <c r="K64" s="14">
        <v>0</v>
      </c>
      <c r="L64" s="3">
        <v>3</v>
      </c>
      <c r="M64" s="15"/>
      <c r="N64" s="14">
        <v>1</v>
      </c>
      <c r="O64" s="3">
        <v>3</v>
      </c>
      <c r="P64" s="15"/>
      <c r="Q64" s="14"/>
      <c r="R64" s="3"/>
      <c r="S64" s="15"/>
    </row>
    <row r="65" spans="2:19" x14ac:dyDescent="0.25">
      <c r="B65" s="8" t="s">
        <v>167</v>
      </c>
      <c r="C65" s="3" t="s">
        <v>81</v>
      </c>
      <c r="D65" s="1" t="s">
        <v>13</v>
      </c>
      <c r="E65" s="78" t="s">
        <v>14</v>
      </c>
      <c r="F65" s="33" t="str">
        <f>IF(AND('Primera Fase'!I58=0,'Primera Fase'!H58=""),"-",'Primera Fase'!I58)</f>
        <v>-</v>
      </c>
      <c r="G65" s="33" t="str">
        <f>IF(AND('Primera Fase'!J58=0,'Primera Fase'!I58=""),"-",'Primera Fase'!J58)</f>
        <v>-</v>
      </c>
      <c r="H65" s="16">
        <v>2</v>
      </c>
      <c r="I65" s="3">
        <v>1</v>
      </c>
      <c r="J65" s="15"/>
      <c r="K65" s="14">
        <v>3</v>
      </c>
      <c r="L65" s="3">
        <v>0</v>
      </c>
      <c r="M65" s="15"/>
      <c r="N65" s="14">
        <v>4</v>
      </c>
      <c r="O65" s="3">
        <v>0</v>
      </c>
      <c r="P65" s="15"/>
      <c r="Q65" s="14"/>
      <c r="R65" s="3"/>
      <c r="S65" s="15"/>
    </row>
    <row r="66" spans="2:19" x14ac:dyDescent="0.25">
      <c r="B66" s="8" t="s">
        <v>167</v>
      </c>
      <c r="C66" s="3" t="s">
        <v>75</v>
      </c>
      <c r="D66" s="1" t="s">
        <v>5</v>
      </c>
      <c r="E66" s="78" t="s">
        <v>2</v>
      </c>
      <c r="F66" s="33" t="str">
        <f>IF(AND('Primera Fase'!I59=0,'Primera Fase'!H59=""),"-",'Primera Fase'!I59)</f>
        <v>-</v>
      </c>
      <c r="G66" s="33" t="str">
        <f>IF(AND('Primera Fase'!J59=0,'Primera Fase'!I59=""),"-",'Primera Fase'!J59)</f>
        <v>-</v>
      </c>
      <c r="H66" s="16">
        <v>0</v>
      </c>
      <c r="I66" s="3">
        <v>2</v>
      </c>
      <c r="J66" s="15"/>
      <c r="K66" s="14">
        <v>1</v>
      </c>
      <c r="L66" s="3">
        <v>2</v>
      </c>
      <c r="M66" s="15"/>
      <c r="N66" s="14">
        <v>2</v>
      </c>
      <c r="O66" s="3">
        <v>2</v>
      </c>
      <c r="P66" s="15"/>
      <c r="Q66" s="14"/>
      <c r="R66" s="3"/>
      <c r="S66" s="15"/>
    </row>
    <row r="67" spans="2:19" x14ac:dyDescent="0.25">
      <c r="B67" s="8" t="s">
        <v>167</v>
      </c>
      <c r="C67" s="3" t="s">
        <v>75</v>
      </c>
      <c r="D67" s="1" t="s">
        <v>3</v>
      </c>
      <c r="E67" s="78" t="s">
        <v>4</v>
      </c>
      <c r="F67" s="33" t="str">
        <f>IF(AND('Primera Fase'!I60=0,'Primera Fase'!H60=""),"-",'Primera Fase'!I60)</f>
        <v>-</v>
      </c>
      <c r="G67" s="33" t="str">
        <f>IF(AND('Primera Fase'!J60=0,'Primera Fase'!I60=""),"-",'Primera Fase'!J60)</f>
        <v>-</v>
      </c>
      <c r="H67" s="16">
        <v>1</v>
      </c>
      <c r="I67" s="3">
        <v>3</v>
      </c>
      <c r="J67" s="15"/>
      <c r="K67" s="14">
        <v>1</v>
      </c>
      <c r="L67" s="3">
        <v>2</v>
      </c>
      <c r="M67" s="15"/>
      <c r="N67" s="14">
        <v>2</v>
      </c>
      <c r="O67" s="3">
        <v>2</v>
      </c>
      <c r="P67" s="15"/>
      <c r="Q67" s="14"/>
      <c r="R67" s="3"/>
      <c r="S67" s="15"/>
    </row>
    <row r="68" spans="2:19" x14ac:dyDescent="0.25">
      <c r="B68" s="8" t="s">
        <v>174</v>
      </c>
      <c r="C68" s="3" t="s">
        <v>93</v>
      </c>
      <c r="D68" s="1" t="s">
        <v>23</v>
      </c>
      <c r="E68" s="78" t="s">
        <v>24</v>
      </c>
      <c r="F68" s="33" t="str">
        <f>IF(AND('Primera Fase'!I61=0,'Primera Fase'!H61=""),"-",'Primera Fase'!I61)</f>
        <v>-</v>
      </c>
      <c r="G68" s="33" t="str">
        <f>IF(AND('Primera Fase'!J61=0,'Primera Fase'!I61=""),"-",'Primera Fase'!J61)</f>
        <v>-</v>
      </c>
      <c r="H68" s="16">
        <v>2</v>
      </c>
      <c r="I68" s="3">
        <v>1</v>
      </c>
      <c r="J68" s="15"/>
      <c r="K68" s="14">
        <v>1</v>
      </c>
      <c r="L68" s="3">
        <v>1</v>
      </c>
      <c r="M68" s="15"/>
      <c r="N68" s="14">
        <v>1</v>
      </c>
      <c r="O68" s="3">
        <v>3</v>
      </c>
      <c r="P68" s="15"/>
      <c r="Q68" s="14"/>
      <c r="R68" s="3"/>
      <c r="S68" s="15"/>
    </row>
    <row r="69" spans="2:19" x14ac:dyDescent="0.25">
      <c r="B69" s="8" t="s">
        <v>174</v>
      </c>
      <c r="C69" s="3" t="s">
        <v>93</v>
      </c>
      <c r="D69" s="1" t="s">
        <v>25</v>
      </c>
      <c r="E69" s="78" t="s">
        <v>22</v>
      </c>
      <c r="F69" s="33" t="str">
        <f>IF(AND('Primera Fase'!I62=0,'Primera Fase'!H62=""),"-",'Primera Fase'!I62)</f>
        <v>-</v>
      </c>
      <c r="G69" s="33" t="str">
        <f>IF(AND('Primera Fase'!J62=0,'Primera Fase'!I62=""),"-",'Primera Fase'!J62)</f>
        <v>-</v>
      </c>
      <c r="H69" s="16">
        <v>1</v>
      </c>
      <c r="I69" s="3">
        <v>3</v>
      </c>
      <c r="J69" s="15"/>
      <c r="K69" s="14">
        <v>1</v>
      </c>
      <c r="L69" s="3">
        <v>2</v>
      </c>
      <c r="M69" s="15"/>
      <c r="N69" s="14">
        <v>1</v>
      </c>
      <c r="O69" s="3">
        <v>3</v>
      </c>
      <c r="P69" s="15"/>
      <c r="Q69" s="14"/>
      <c r="R69" s="3"/>
      <c r="S69" s="15"/>
    </row>
    <row r="70" spans="2:19" x14ac:dyDescent="0.25">
      <c r="B70" s="8" t="s">
        <v>174</v>
      </c>
      <c r="C70" s="3" t="s">
        <v>96</v>
      </c>
      <c r="D70" s="1" t="s">
        <v>28</v>
      </c>
      <c r="E70" s="78" t="s">
        <v>29</v>
      </c>
      <c r="F70" s="33" t="str">
        <f>IF(AND('Primera Fase'!I63=0,'Primera Fase'!H63=""),"-",'Primera Fase'!I63)</f>
        <v>-</v>
      </c>
      <c r="G70" s="33" t="str">
        <f>IF(AND('Primera Fase'!J63=0,'Primera Fase'!I63=""),"-",'Primera Fase'!J63)</f>
        <v>-</v>
      </c>
      <c r="H70" s="16">
        <v>2</v>
      </c>
      <c r="I70" s="3">
        <v>2</v>
      </c>
      <c r="J70" s="15"/>
      <c r="K70" s="14">
        <v>1</v>
      </c>
      <c r="L70" s="3">
        <v>2</v>
      </c>
      <c r="M70" s="15"/>
      <c r="N70" s="14">
        <v>2</v>
      </c>
      <c r="O70" s="3">
        <v>1</v>
      </c>
      <c r="P70" s="15"/>
      <c r="Q70" s="14"/>
      <c r="R70" s="3"/>
      <c r="S70" s="15"/>
    </row>
    <row r="71" spans="2:19" x14ac:dyDescent="0.25">
      <c r="B71" s="8" t="s">
        <v>174</v>
      </c>
      <c r="C71" s="3" t="s">
        <v>96</v>
      </c>
      <c r="D71" s="1" t="s">
        <v>30</v>
      </c>
      <c r="E71" s="78" t="s">
        <v>27</v>
      </c>
      <c r="F71" s="33" t="str">
        <f>IF(AND('Primera Fase'!I64=0,'Primera Fase'!H64=""),"-",'Primera Fase'!I64)</f>
        <v>-</v>
      </c>
      <c r="G71" s="33" t="str">
        <f>IF(AND('Primera Fase'!J64=0,'Primera Fase'!I64=""),"-",'Primera Fase'!J64)</f>
        <v>-</v>
      </c>
      <c r="H71" s="16">
        <v>1</v>
      </c>
      <c r="I71" s="3">
        <v>2</v>
      </c>
      <c r="J71" s="15"/>
      <c r="K71" s="14">
        <v>0</v>
      </c>
      <c r="L71" s="3">
        <v>2</v>
      </c>
      <c r="M71" s="15"/>
      <c r="N71" s="14">
        <v>2</v>
      </c>
      <c r="O71" s="3">
        <v>2</v>
      </c>
      <c r="P71" s="15"/>
      <c r="Q71" s="14"/>
      <c r="R71" s="3"/>
      <c r="S71" s="15"/>
    </row>
    <row r="72" spans="2:19" x14ac:dyDescent="0.25">
      <c r="B72" s="8" t="s">
        <v>174</v>
      </c>
      <c r="C72" s="3" t="s">
        <v>69</v>
      </c>
      <c r="D72" s="1" t="s">
        <v>20</v>
      </c>
      <c r="E72" s="78" t="s">
        <v>17</v>
      </c>
      <c r="F72" s="33" t="str">
        <f>IF(AND('Primera Fase'!I65=0,'Primera Fase'!H65=""),"-",'Primera Fase'!I65)</f>
        <v>-</v>
      </c>
      <c r="G72" s="33" t="str">
        <f>IF(AND('Primera Fase'!J65=0,'Primera Fase'!I65=""),"-",'Primera Fase'!J65)</f>
        <v>-</v>
      </c>
      <c r="H72" s="16">
        <v>0</v>
      </c>
      <c r="I72" s="3">
        <v>2</v>
      </c>
      <c r="J72" s="15"/>
      <c r="K72" s="14">
        <v>1</v>
      </c>
      <c r="L72" s="3">
        <v>2</v>
      </c>
      <c r="M72" s="15"/>
      <c r="N72" s="14">
        <v>1</v>
      </c>
      <c r="O72" s="3">
        <v>2</v>
      </c>
      <c r="P72" s="15"/>
      <c r="Q72" s="14"/>
      <c r="R72" s="3"/>
      <c r="S72" s="15"/>
    </row>
    <row r="73" spans="2:19" x14ac:dyDescent="0.25">
      <c r="B73" s="8" t="s">
        <v>174</v>
      </c>
      <c r="C73" s="3" t="s">
        <v>69</v>
      </c>
      <c r="D73" s="1" t="s">
        <v>18</v>
      </c>
      <c r="E73" s="78" t="s">
        <v>19</v>
      </c>
      <c r="F73" s="33" t="str">
        <f>IF(AND('Primera Fase'!I66=0,'Primera Fase'!H66=""),"-",'Primera Fase'!I66)</f>
        <v>-</v>
      </c>
      <c r="G73" s="33" t="str">
        <f>IF(AND('Primera Fase'!J66=0,'Primera Fase'!I66=""),"-",'Primera Fase'!J66)</f>
        <v>-</v>
      </c>
      <c r="H73" s="16">
        <v>2</v>
      </c>
      <c r="I73" s="3">
        <v>0</v>
      </c>
      <c r="J73" s="15"/>
      <c r="K73" s="14">
        <v>1</v>
      </c>
      <c r="L73" s="3">
        <v>0</v>
      </c>
      <c r="M73" s="15"/>
      <c r="N73" s="14">
        <v>2</v>
      </c>
      <c r="O73" s="3">
        <v>1</v>
      </c>
      <c r="P73" s="15"/>
      <c r="Q73" s="14"/>
      <c r="R73" s="3"/>
      <c r="S73" s="15"/>
    </row>
    <row r="74" spans="2:19" x14ac:dyDescent="0.25">
      <c r="B74" s="8" t="s">
        <v>181</v>
      </c>
      <c r="C74" s="3" t="s">
        <v>66</v>
      </c>
      <c r="D74" s="1" t="s">
        <v>45</v>
      </c>
      <c r="E74" s="78" t="s">
        <v>42</v>
      </c>
      <c r="F74" s="33" t="str">
        <f>IF(AND('Primera Fase'!I67=0,'Primera Fase'!H67=""),"-",'Primera Fase'!I67)</f>
        <v>-</v>
      </c>
      <c r="G74" s="33" t="str">
        <f>IF(AND('Primera Fase'!J67=0,'Primera Fase'!I67=""),"-",'Primera Fase'!J67)</f>
        <v>-</v>
      </c>
      <c r="H74" s="16">
        <v>1</v>
      </c>
      <c r="I74" s="3">
        <v>3</v>
      </c>
      <c r="J74" s="15"/>
      <c r="K74" s="14">
        <v>1</v>
      </c>
      <c r="L74" s="3">
        <v>2</v>
      </c>
      <c r="M74" s="15"/>
      <c r="N74" s="14">
        <v>3</v>
      </c>
      <c r="O74" s="3">
        <v>3</v>
      </c>
      <c r="P74" s="15"/>
      <c r="Q74" s="14"/>
      <c r="R74" s="3"/>
      <c r="S74" s="15"/>
    </row>
    <row r="75" spans="2:19" x14ac:dyDescent="0.25">
      <c r="B75" s="8" t="s">
        <v>181</v>
      </c>
      <c r="C75" s="3" t="s">
        <v>66</v>
      </c>
      <c r="D75" s="1" t="s">
        <v>43</v>
      </c>
      <c r="E75" s="78" t="s">
        <v>44</v>
      </c>
      <c r="F75" s="33" t="str">
        <f>IF(AND('Primera Fase'!I68=0,'Primera Fase'!H68=""),"-",'Primera Fase'!I68)</f>
        <v>-</v>
      </c>
      <c r="G75" s="33" t="str">
        <f>IF(AND('Primera Fase'!J68=0,'Primera Fase'!I68=""),"-",'Primera Fase'!J68)</f>
        <v>-</v>
      </c>
      <c r="H75" s="16">
        <v>2</v>
      </c>
      <c r="I75" s="3">
        <v>0</v>
      </c>
      <c r="J75" s="15"/>
      <c r="K75" s="14">
        <v>1</v>
      </c>
      <c r="L75" s="3">
        <v>0</v>
      </c>
      <c r="M75" s="15"/>
      <c r="N75" s="14">
        <v>3</v>
      </c>
      <c r="O75" s="3">
        <v>1</v>
      </c>
      <c r="P75" s="15"/>
      <c r="Q75" s="14"/>
      <c r="R75" s="3"/>
      <c r="S75" s="15"/>
    </row>
    <row r="76" spans="2:19" x14ac:dyDescent="0.25">
      <c r="B76" s="8" t="s">
        <v>181</v>
      </c>
      <c r="C76" s="3" t="s">
        <v>147</v>
      </c>
      <c r="D76" s="1" t="s">
        <v>38</v>
      </c>
      <c r="E76" s="78" t="s">
        <v>199</v>
      </c>
      <c r="F76" s="33" t="str">
        <f>IF(AND('Primera Fase'!I69=0,'Primera Fase'!H69=""),"-",'Primera Fase'!I69)</f>
        <v>-</v>
      </c>
      <c r="G76" s="33" t="str">
        <f>IF(AND('Primera Fase'!J69=0,'Primera Fase'!I69=""),"-",'Primera Fase'!J69)</f>
        <v>-</v>
      </c>
      <c r="H76" s="16">
        <v>1</v>
      </c>
      <c r="I76" s="3">
        <v>1</v>
      </c>
      <c r="J76" s="15"/>
      <c r="K76" s="14">
        <v>0</v>
      </c>
      <c r="L76" s="3">
        <v>2</v>
      </c>
      <c r="M76" s="15"/>
      <c r="N76" s="14">
        <v>1</v>
      </c>
      <c r="O76" s="3">
        <v>1</v>
      </c>
      <c r="P76" s="15"/>
      <c r="Q76" s="14"/>
      <c r="R76" s="3"/>
      <c r="S76" s="15"/>
    </row>
    <row r="77" spans="2:19" x14ac:dyDescent="0.25">
      <c r="B77" s="8" t="s">
        <v>181</v>
      </c>
      <c r="C77" s="3" t="s">
        <v>147</v>
      </c>
      <c r="D77" s="1" t="s">
        <v>40</v>
      </c>
      <c r="E77" s="78" t="s">
        <v>37</v>
      </c>
      <c r="F77" s="33" t="str">
        <f>IF(AND('Primera Fase'!I70=0,'Primera Fase'!H70=""),"-",'Primera Fase'!I70)</f>
        <v>-</v>
      </c>
      <c r="G77" s="33" t="str">
        <f>IF(AND('Primera Fase'!J70=0,'Primera Fase'!I70=""),"-",'Primera Fase'!J70)</f>
        <v>-</v>
      </c>
      <c r="H77" s="16">
        <v>2</v>
      </c>
      <c r="I77" s="3">
        <v>4</v>
      </c>
      <c r="J77" s="15"/>
      <c r="K77" s="14">
        <v>2</v>
      </c>
      <c r="L77" s="3">
        <v>3</v>
      </c>
      <c r="M77" s="15"/>
      <c r="N77" s="14">
        <v>2</v>
      </c>
      <c r="O77" s="3">
        <v>3</v>
      </c>
      <c r="P77" s="15"/>
      <c r="Q77" s="14"/>
      <c r="R77" s="3"/>
      <c r="S77" s="15"/>
    </row>
    <row r="78" spans="2:19" x14ac:dyDescent="0.25">
      <c r="B78" s="8" t="s">
        <v>181</v>
      </c>
      <c r="C78" s="3" t="s">
        <v>142</v>
      </c>
      <c r="D78" s="1" t="s">
        <v>33</v>
      </c>
      <c r="E78" s="78" t="s">
        <v>34</v>
      </c>
      <c r="F78" s="33" t="str">
        <f>IF(AND('Primera Fase'!I71=0,'Primera Fase'!H71=""),"-",'Primera Fase'!I71)</f>
        <v>-</v>
      </c>
      <c r="G78" s="33" t="str">
        <f>IF(AND('Primera Fase'!J71=0,'Primera Fase'!I71=""),"-",'Primera Fase'!J71)</f>
        <v>-</v>
      </c>
      <c r="H78" s="16">
        <v>2</v>
      </c>
      <c r="I78" s="3">
        <v>2</v>
      </c>
      <c r="J78" s="15"/>
      <c r="K78" s="14">
        <v>1</v>
      </c>
      <c r="L78" s="3">
        <v>1</v>
      </c>
      <c r="M78" s="15"/>
      <c r="N78" s="14">
        <v>2</v>
      </c>
      <c r="O78" s="3">
        <v>0</v>
      </c>
      <c r="P78" s="15"/>
      <c r="Q78" s="14"/>
      <c r="R78" s="3"/>
      <c r="S78" s="15"/>
    </row>
    <row r="79" spans="2:19" x14ac:dyDescent="0.25">
      <c r="B79" s="8" t="s">
        <v>181</v>
      </c>
      <c r="C79" s="3" t="s">
        <v>142</v>
      </c>
      <c r="D79" s="1" t="s">
        <v>35</v>
      </c>
      <c r="E79" s="78" t="s">
        <v>32</v>
      </c>
      <c r="F79" s="33" t="str">
        <f>IF(AND('Primera Fase'!I72=0,'Primera Fase'!H72=""),"-",'Primera Fase'!I72)</f>
        <v>-</v>
      </c>
      <c r="G79" s="33" t="str">
        <f>IF(AND('Primera Fase'!J72=0,'Primera Fase'!I72=""),"-",'Primera Fase'!J72)</f>
        <v>-</v>
      </c>
      <c r="H79" s="16">
        <v>3</v>
      </c>
      <c r="I79" s="3">
        <v>2</v>
      </c>
      <c r="J79" s="15"/>
      <c r="K79" s="14">
        <v>1</v>
      </c>
      <c r="L79" s="3">
        <v>2</v>
      </c>
      <c r="M79" s="15"/>
      <c r="N79" s="14">
        <v>0</v>
      </c>
      <c r="O79" s="3">
        <v>2</v>
      </c>
      <c r="P79" s="15"/>
      <c r="Q79" s="14"/>
      <c r="R79" s="3"/>
      <c r="S79" s="15"/>
    </row>
    <row r="80" spans="2:19" x14ac:dyDescent="0.25">
      <c r="B80" s="8" t="s">
        <v>187</v>
      </c>
      <c r="C80" s="3" t="s">
        <v>158</v>
      </c>
      <c r="D80" s="1" t="s">
        <v>60</v>
      </c>
      <c r="E80" s="78" t="s">
        <v>57</v>
      </c>
      <c r="F80" s="33" t="str">
        <f>IF(AND('Primera Fase'!I73=0,'Primera Fase'!H73=""),"-",'Primera Fase'!I73)</f>
        <v>-</v>
      </c>
      <c r="G80" s="33" t="str">
        <f>IF(AND('Primera Fase'!J73=0,'Primera Fase'!I73=""),"-",'Primera Fase'!J73)</f>
        <v>-</v>
      </c>
      <c r="H80" s="16">
        <v>2</v>
      </c>
      <c r="I80" s="3">
        <v>3</v>
      </c>
      <c r="J80" s="15"/>
      <c r="K80" s="14">
        <v>0</v>
      </c>
      <c r="L80" s="3">
        <v>3</v>
      </c>
      <c r="M80" s="15"/>
      <c r="N80" s="14">
        <v>0</v>
      </c>
      <c r="O80" s="3">
        <v>3</v>
      </c>
      <c r="P80" s="15"/>
      <c r="Q80" s="14"/>
      <c r="R80" s="3"/>
      <c r="S80" s="15"/>
    </row>
    <row r="81" spans="2:19" x14ac:dyDescent="0.25">
      <c r="B81" s="8" t="s">
        <v>187</v>
      </c>
      <c r="C81" s="3" t="s">
        <v>158</v>
      </c>
      <c r="D81" s="1" t="s">
        <v>58</v>
      </c>
      <c r="E81" s="78" t="s">
        <v>59</v>
      </c>
      <c r="F81" s="33" t="str">
        <f>IF(AND('Primera Fase'!I74=0,'Primera Fase'!H74=""),"-",'Primera Fase'!I74)</f>
        <v>-</v>
      </c>
      <c r="G81" s="33" t="str">
        <f>IF(AND('Primera Fase'!J74=0,'Primera Fase'!I74=""),"-",'Primera Fase'!J74)</f>
        <v>-</v>
      </c>
      <c r="H81" s="16">
        <v>1</v>
      </c>
      <c r="I81" s="3">
        <v>1</v>
      </c>
      <c r="J81" s="15"/>
      <c r="K81" s="14">
        <v>1</v>
      </c>
      <c r="L81" s="3">
        <v>0</v>
      </c>
      <c r="M81" s="15"/>
      <c r="N81" s="14">
        <v>0</v>
      </c>
      <c r="O81" s="3">
        <v>2</v>
      </c>
      <c r="P81" s="15"/>
      <c r="Q81" s="14"/>
      <c r="R81" s="3"/>
      <c r="S81" s="15"/>
    </row>
    <row r="82" spans="2:19" x14ac:dyDescent="0.25">
      <c r="B82" s="8" t="s">
        <v>187</v>
      </c>
      <c r="C82" s="3" t="s">
        <v>190</v>
      </c>
      <c r="D82" s="1" t="s">
        <v>55</v>
      </c>
      <c r="E82" s="78" t="s">
        <v>52</v>
      </c>
      <c r="F82" s="33" t="str">
        <f>IF(AND('Primera Fase'!I75=0,'Primera Fase'!H75=""),"-",'Primera Fase'!I75)</f>
        <v>-</v>
      </c>
      <c r="G82" s="33" t="str">
        <f>IF(AND('Primera Fase'!J75=0,'Primera Fase'!I75=""),"-",'Primera Fase'!J75)</f>
        <v>-</v>
      </c>
      <c r="H82" s="16">
        <v>3</v>
      </c>
      <c r="I82" s="3">
        <v>3</v>
      </c>
      <c r="J82" s="15"/>
      <c r="K82" s="14">
        <v>1</v>
      </c>
      <c r="L82" s="3">
        <v>2</v>
      </c>
      <c r="M82" s="15"/>
      <c r="N82" s="14">
        <v>2</v>
      </c>
      <c r="O82" s="3">
        <v>1</v>
      </c>
      <c r="P82" s="15"/>
      <c r="Q82" s="14"/>
      <c r="R82" s="3"/>
      <c r="S82" s="15"/>
    </row>
    <row r="83" spans="2:19" x14ac:dyDescent="0.25">
      <c r="B83" s="8" t="s">
        <v>187</v>
      </c>
      <c r="C83" s="3" t="s">
        <v>190</v>
      </c>
      <c r="D83" s="1" t="s">
        <v>53</v>
      </c>
      <c r="E83" s="78" t="s">
        <v>54</v>
      </c>
      <c r="F83" s="33" t="str">
        <f>IF(AND('Primera Fase'!I76=0,'Primera Fase'!H76=""),"-",'Primera Fase'!I76)</f>
        <v>-</v>
      </c>
      <c r="G83" s="33" t="str">
        <f>IF(AND('Primera Fase'!J76=0,'Primera Fase'!I76=""),"-",'Primera Fase'!J76)</f>
        <v>-</v>
      </c>
      <c r="H83" s="16">
        <v>2</v>
      </c>
      <c r="I83" s="3">
        <v>1</v>
      </c>
      <c r="J83" s="15"/>
      <c r="K83" s="14">
        <v>1</v>
      </c>
      <c r="L83" s="3">
        <v>1</v>
      </c>
      <c r="M83" s="15"/>
      <c r="N83" s="14">
        <v>0</v>
      </c>
      <c r="O83" s="3">
        <v>0</v>
      </c>
      <c r="P83" s="15"/>
      <c r="Q83" s="14"/>
      <c r="R83" s="3"/>
      <c r="S83" s="15"/>
    </row>
    <row r="84" spans="2:19" x14ac:dyDescent="0.25">
      <c r="B84" s="8" t="s">
        <v>187</v>
      </c>
      <c r="C84" s="3" t="s">
        <v>69</v>
      </c>
      <c r="D84" s="1" t="s">
        <v>48</v>
      </c>
      <c r="E84" s="78" t="s">
        <v>49</v>
      </c>
      <c r="F84" s="33" t="str">
        <f>IF(AND('Primera Fase'!I77=0,'Primera Fase'!H77=""),"-",'Primera Fase'!I77)</f>
        <v>-</v>
      </c>
      <c r="G84" s="33" t="str">
        <f>IF(AND('Primera Fase'!J77=0,'Primera Fase'!I77=""),"-",'Primera Fase'!J77)</f>
        <v>-</v>
      </c>
      <c r="H84" s="16">
        <v>0</v>
      </c>
      <c r="I84" s="3">
        <v>0</v>
      </c>
      <c r="J84" s="15"/>
      <c r="K84" s="14">
        <v>0</v>
      </c>
      <c r="L84" s="3">
        <v>1</v>
      </c>
      <c r="M84" s="15"/>
      <c r="N84" s="14">
        <v>1</v>
      </c>
      <c r="O84" s="3">
        <v>1</v>
      </c>
      <c r="P84" s="15"/>
      <c r="Q84" s="14"/>
      <c r="R84" s="3"/>
      <c r="S84" s="15"/>
    </row>
    <row r="85" spans="2:19" ht="15.75" thickBot="1" x14ac:dyDescent="0.3">
      <c r="B85" s="10" t="s">
        <v>187</v>
      </c>
      <c r="C85" s="13" t="s">
        <v>69</v>
      </c>
      <c r="D85" s="11" t="s">
        <v>50</v>
      </c>
      <c r="E85" s="79" t="s">
        <v>47</v>
      </c>
      <c r="F85" s="34" t="str">
        <f>IF(AND('Primera Fase'!I78=0,'Primera Fase'!H78=""),"-",'Primera Fase'!I78)</f>
        <v>-</v>
      </c>
      <c r="G85" s="34" t="str">
        <f>IF(AND('Primera Fase'!J78=0,'Primera Fase'!I78=""),"-",'Primera Fase'!J78)</f>
        <v>-</v>
      </c>
      <c r="H85" s="19">
        <v>0</v>
      </c>
      <c r="I85" s="13">
        <v>4</v>
      </c>
      <c r="J85" s="18"/>
      <c r="K85" s="17">
        <v>0</v>
      </c>
      <c r="L85" s="13">
        <v>3</v>
      </c>
      <c r="M85" s="18"/>
      <c r="N85" s="17">
        <v>1</v>
      </c>
      <c r="O85" s="13">
        <v>4</v>
      </c>
      <c r="P85" s="18"/>
      <c r="Q85" s="17"/>
      <c r="R85" s="13"/>
      <c r="S85" s="18"/>
    </row>
    <row r="86" spans="2:19" ht="15.75" thickBot="1" x14ac:dyDescent="0.3">
      <c r="D86" s="145"/>
      <c r="E86" s="146"/>
      <c r="H86" s="183" t="s">
        <v>271</v>
      </c>
      <c r="I86" s="184"/>
      <c r="J86" s="185">
        <f>SUM(J14:J85)</f>
        <v>11</v>
      </c>
      <c r="K86" s="186" t="s">
        <v>271</v>
      </c>
      <c r="L86" s="184"/>
      <c r="M86" s="185">
        <f>SUM(M14:M85)</f>
        <v>8</v>
      </c>
      <c r="N86" s="186" t="s">
        <v>271</v>
      </c>
      <c r="O86" s="184"/>
      <c r="P86" s="185">
        <f>SUM(P14:P85)</f>
        <v>3</v>
      </c>
      <c r="Q86" s="186" t="s">
        <v>271</v>
      </c>
      <c r="R86" s="184"/>
      <c r="S86" s="185">
        <f>SUM(S14:S85)</f>
        <v>0</v>
      </c>
    </row>
    <row r="87" spans="2:19" x14ac:dyDescent="0.25">
      <c r="D87" s="145"/>
      <c r="E87" s="145"/>
    </row>
  </sheetData>
  <mergeCells count="17">
    <mergeCell ref="Q86:R86"/>
    <mergeCell ref="F12:G13"/>
    <mergeCell ref="H86:I86"/>
    <mergeCell ref="K86:L86"/>
    <mergeCell ref="N86:O86"/>
    <mergeCell ref="U12:V13"/>
    <mergeCell ref="N13:O13"/>
    <mergeCell ref="C12:C13"/>
    <mergeCell ref="B12:B13"/>
    <mergeCell ref="H13:I13"/>
    <mergeCell ref="K13:L13"/>
    <mergeCell ref="D12:E13"/>
    <mergeCell ref="H12:J12"/>
    <mergeCell ref="K12:M12"/>
    <mergeCell ref="N12:P12"/>
    <mergeCell ref="Q12:S12"/>
    <mergeCell ref="Q13:R13"/>
  </mergeCells>
  <pageMargins left="0.25" right="0.25" top="0.75" bottom="0.75" header="0.3" footer="0.3"/>
  <pageSetup scale="65" fitToHeight="2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5C65-213B-45D6-B931-664A2C5CBBBA}">
  <sheetPr>
    <pageSetUpPr fitToPage="1"/>
  </sheetPr>
  <dimension ref="E11:AB39"/>
  <sheetViews>
    <sheetView showGridLines="0" zoomScale="90" zoomScaleNormal="90" workbookViewId="0">
      <pane xSplit="5" ySplit="13" topLeftCell="F14" activePane="bottomRight" state="frozen"/>
      <selection pane="topRight" activeCell="C1" sqref="C1"/>
      <selection pane="bottomLeft" activeCell="A14" sqref="A14"/>
      <selection pane="bottomRight"/>
    </sheetView>
  </sheetViews>
  <sheetFormatPr baseColWidth="10" defaultRowHeight="15" x14ac:dyDescent="0.25"/>
  <cols>
    <col min="1" max="4" width="3" customWidth="1"/>
    <col min="5" max="5" width="37.28515625" customWidth="1"/>
    <col min="6" max="7" width="10.28515625" style="4" customWidth="1"/>
    <col min="8" max="25" width="6.7109375" style="20" customWidth="1"/>
    <col min="26" max="26" width="4.42578125" customWidth="1"/>
    <col min="27" max="27" width="20" customWidth="1"/>
    <col min="28" max="28" width="9.28515625" customWidth="1"/>
  </cols>
  <sheetData>
    <row r="11" spans="5:28" ht="15.75" thickBot="1" x14ac:dyDescent="0.3"/>
    <row r="12" spans="5:28" s="5" customFormat="1" ht="18.75" x14ac:dyDescent="0.25">
      <c r="E12" s="158" t="s">
        <v>63</v>
      </c>
      <c r="F12" s="162" t="s">
        <v>275</v>
      </c>
      <c r="G12" s="163"/>
      <c r="H12" s="110" t="s">
        <v>195</v>
      </c>
      <c r="I12" s="111"/>
      <c r="J12" s="119"/>
      <c r="K12" s="112" t="s">
        <v>197</v>
      </c>
      <c r="L12" s="120"/>
      <c r="M12" s="113"/>
      <c r="N12" s="137" t="s">
        <v>196</v>
      </c>
      <c r="O12" s="107"/>
      <c r="P12" s="108"/>
      <c r="Q12" s="150" t="s">
        <v>254</v>
      </c>
      <c r="R12" s="114"/>
      <c r="S12" s="115"/>
      <c r="T12" s="153" t="s">
        <v>255</v>
      </c>
      <c r="U12" s="116"/>
      <c r="V12" s="117"/>
      <c r="W12" s="153" t="s">
        <v>272</v>
      </c>
      <c r="X12" s="116"/>
      <c r="Y12" s="117"/>
      <c r="AA12" s="91" t="s">
        <v>200</v>
      </c>
      <c r="AB12" s="94"/>
    </row>
    <row r="13" spans="5:28" s="5" customFormat="1" ht="18.75" x14ac:dyDescent="0.25">
      <c r="E13" s="159"/>
      <c r="F13" s="164"/>
      <c r="G13" s="165"/>
      <c r="H13" s="130" t="s">
        <v>198</v>
      </c>
      <c r="I13" s="121"/>
      <c r="J13" s="131" t="s">
        <v>269</v>
      </c>
      <c r="K13" s="134" t="s">
        <v>198</v>
      </c>
      <c r="L13" s="122"/>
      <c r="M13" s="135" t="s">
        <v>269</v>
      </c>
      <c r="N13" s="138" t="s">
        <v>198</v>
      </c>
      <c r="O13" s="123"/>
      <c r="P13" s="128" t="s">
        <v>269</v>
      </c>
      <c r="Q13" s="151" t="s">
        <v>198</v>
      </c>
      <c r="R13" s="148"/>
      <c r="S13" s="152" t="s">
        <v>269</v>
      </c>
      <c r="T13" s="154" t="s">
        <v>198</v>
      </c>
      <c r="U13" s="149"/>
      <c r="V13" s="155" t="s">
        <v>269</v>
      </c>
      <c r="W13" s="154" t="s">
        <v>198</v>
      </c>
      <c r="X13" s="149"/>
      <c r="Y13" s="155" t="s">
        <v>269</v>
      </c>
      <c r="AA13" s="105"/>
      <c r="AB13" s="106"/>
    </row>
    <row r="14" spans="5:28" x14ac:dyDescent="0.25">
      <c r="E14" s="160" t="s">
        <v>67</v>
      </c>
      <c r="F14" s="166">
        <v>2</v>
      </c>
      <c r="G14" s="166">
        <v>0</v>
      </c>
      <c r="H14" s="60">
        <v>2</v>
      </c>
      <c r="I14" s="30">
        <v>1</v>
      </c>
      <c r="J14" s="15">
        <f>IF(AND(F14=H14,G14=I14),3,IF(OR(AND(F14&gt;G14,H14&gt;I14),AND(F14&lt;G14,H14&lt;I14),AND(F14=G14,H14=I14)),1,0))</f>
        <v>1</v>
      </c>
      <c r="K14" s="60">
        <v>2</v>
      </c>
      <c r="L14" s="30">
        <v>1</v>
      </c>
      <c r="M14" s="15">
        <f>IF(AND(F14=K14,G14=L14),3,IF(OR(AND(F14&gt;G14,K14&gt;L14),AND(F14&lt;G14,K14&lt;L14),AND(F14=G14,K14=L14)),1,0))</f>
        <v>1</v>
      </c>
      <c r="N14" s="60">
        <v>3</v>
      </c>
      <c r="O14" s="30">
        <v>2</v>
      </c>
      <c r="P14" s="15">
        <f>IF(AND(F14=N14,G14=O14),3,IF(OR(AND(F14&gt;G14,N14&gt;O14),AND(F14&lt;G14,N14&lt;O14),AND(F14=G14,N14=O14)),1,0))</f>
        <v>1</v>
      </c>
      <c r="Q14" s="60">
        <v>2</v>
      </c>
      <c r="R14" s="30">
        <v>2</v>
      </c>
      <c r="S14" s="15">
        <f>IF(AND(F14=Q14,G14=R14),3,IF(OR(AND(F14&gt;G14,Q14&gt;R14),AND(F14&lt;G14,Q14&lt;R14),AND(F14=G14,Q14=R14)),1,0))</f>
        <v>0</v>
      </c>
      <c r="T14" s="60">
        <v>1</v>
      </c>
      <c r="U14" s="30">
        <v>3</v>
      </c>
      <c r="V14" s="156">
        <f>IF(AND(F14=T14,G14=U14),3,IF(OR(AND(F14&gt;G14,T14&gt;U14),AND(F14&lt;G14,T14&lt;U14),AND(F14=G14,T14=U14)),1,0))</f>
        <v>0</v>
      </c>
      <c r="W14" s="60">
        <v>2</v>
      </c>
      <c r="X14" s="30">
        <v>0</v>
      </c>
      <c r="Y14" s="156">
        <f>IF(AND(F14=W14,G14=X14),3,IF(OR(AND(F14&gt;G14,W14&gt;X14),AND(F14&lt;G14,W14&lt;X14),AND(F14=G14,W14=X14)),1,0))</f>
        <v>3</v>
      </c>
      <c r="AA14" s="24" t="s">
        <v>201</v>
      </c>
      <c r="AB14" s="15">
        <v>1</v>
      </c>
    </row>
    <row r="15" spans="5:28" ht="15.75" thickBot="1" x14ac:dyDescent="0.3">
      <c r="E15" s="160" t="s">
        <v>76</v>
      </c>
      <c r="F15" s="166">
        <v>4</v>
      </c>
      <c r="G15" s="166">
        <v>1</v>
      </c>
      <c r="H15" s="60">
        <v>2</v>
      </c>
      <c r="I15" s="30">
        <v>1</v>
      </c>
      <c r="J15" s="15">
        <f t="shared" ref="J15:J17" si="0">IF(AND(F15=H15,G15=I15),3,IF(OR(AND(F15&gt;G15,H15&gt;I15),AND(F15&lt;G15,H15&lt;I15),AND(F15=G15,H15=I15)),1,0))</f>
        <v>1</v>
      </c>
      <c r="K15" s="60">
        <v>3</v>
      </c>
      <c r="L15" s="30">
        <v>1</v>
      </c>
      <c r="M15" s="15">
        <f t="shared" ref="M15:M17" si="1">IF(AND(F15=K15,G15=L15),3,IF(OR(AND(F15&gt;G15,K15&gt;L15),AND(F15&lt;G15,K15&lt;L15),AND(F15=G15,K15=L15)),1,0))</f>
        <v>1</v>
      </c>
      <c r="N15" s="60">
        <v>2</v>
      </c>
      <c r="O15" s="30">
        <v>2</v>
      </c>
      <c r="P15" s="15">
        <f t="shared" ref="P15:P17" si="2">IF(AND(F15=N15,G15=O15),3,IF(OR(AND(F15&gt;G15,N15&gt;O15),AND(F15&lt;G15,N15&lt;O15),AND(F15=G15,N15=O15)),1,0))</f>
        <v>0</v>
      </c>
      <c r="Q15" s="60">
        <v>1</v>
      </c>
      <c r="R15" s="30">
        <v>2</v>
      </c>
      <c r="S15" s="15">
        <f t="shared" ref="S15:S17" si="3">IF(AND(F15=Q15,G15=R15),3,IF(OR(AND(F15&gt;G15,Q15&gt;R15),AND(F15&lt;G15,Q15&lt;R15),AND(F15=G15,Q15=R15)),1,0))</f>
        <v>0</v>
      </c>
      <c r="T15" s="60">
        <v>1</v>
      </c>
      <c r="U15" s="30">
        <v>2</v>
      </c>
      <c r="V15" s="156">
        <f t="shared" ref="V15:V17" si="4">IF(AND(F15=T15,G15=U15),3,IF(OR(AND(F15&gt;G15,T15&gt;U15),AND(F15&lt;G15,T15&lt;U15),AND(F15=G15,T15=U15)),1,0))</f>
        <v>0</v>
      </c>
      <c r="W15" s="60">
        <v>0</v>
      </c>
      <c r="X15" s="30">
        <v>1</v>
      </c>
      <c r="Y15" s="156">
        <f t="shared" ref="Y15:Y17" si="5">IF(AND(F15=W15,G15=X15),3,IF(OR(AND(F15&gt;G15,W15&gt;X15),AND(F15&lt;G15,W15&lt;X15),AND(F15=G15,W15=X15)),1,0))</f>
        <v>0</v>
      </c>
      <c r="AA15" s="25" t="s">
        <v>202</v>
      </c>
      <c r="AB15" s="18">
        <v>3</v>
      </c>
    </row>
    <row r="16" spans="5:28" x14ac:dyDescent="0.25">
      <c r="E16" s="160" t="s">
        <v>82</v>
      </c>
      <c r="F16" s="166">
        <v>1</v>
      </c>
      <c r="G16" s="166">
        <v>1</v>
      </c>
      <c r="H16" s="60">
        <v>4</v>
      </c>
      <c r="I16" s="30">
        <v>2</v>
      </c>
      <c r="J16" s="15">
        <f t="shared" si="0"/>
        <v>0</v>
      </c>
      <c r="K16" s="60">
        <v>2</v>
      </c>
      <c r="L16" s="30">
        <v>2</v>
      </c>
      <c r="M16" s="15">
        <f t="shared" si="1"/>
        <v>1</v>
      </c>
      <c r="N16" s="60">
        <v>1</v>
      </c>
      <c r="O16" s="30">
        <v>2</v>
      </c>
      <c r="P16" s="15">
        <f t="shared" si="2"/>
        <v>0</v>
      </c>
      <c r="Q16" s="60">
        <v>1</v>
      </c>
      <c r="R16" s="30">
        <v>3</v>
      </c>
      <c r="S16" s="15">
        <f t="shared" si="3"/>
        <v>0</v>
      </c>
      <c r="T16" s="60">
        <v>3</v>
      </c>
      <c r="U16" s="30">
        <v>2</v>
      </c>
      <c r="V16" s="156">
        <f t="shared" si="4"/>
        <v>0</v>
      </c>
      <c r="W16" s="60">
        <v>3</v>
      </c>
      <c r="X16" s="30">
        <v>0</v>
      </c>
      <c r="Y16" s="156">
        <f t="shared" si="5"/>
        <v>0</v>
      </c>
    </row>
    <row r="17" spans="5:25" x14ac:dyDescent="0.25">
      <c r="E17" s="160" t="s">
        <v>273</v>
      </c>
      <c r="F17" s="166">
        <v>1</v>
      </c>
      <c r="G17" s="166">
        <v>1</v>
      </c>
      <c r="H17" s="60">
        <v>3</v>
      </c>
      <c r="I17" s="30">
        <v>2</v>
      </c>
      <c r="J17" s="15">
        <f t="shared" si="0"/>
        <v>0</v>
      </c>
      <c r="K17" s="60">
        <v>1</v>
      </c>
      <c r="L17" s="30">
        <v>1</v>
      </c>
      <c r="M17" s="15">
        <f t="shared" si="1"/>
        <v>3</v>
      </c>
      <c r="N17" s="60">
        <v>0</v>
      </c>
      <c r="O17" s="30">
        <v>1</v>
      </c>
      <c r="P17" s="15">
        <f t="shared" si="2"/>
        <v>0</v>
      </c>
      <c r="Q17" s="60">
        <v>2</v>
      </c>
      <c r="R17" s="30">
        <v>2</v>
      </c>
      <c r="S17" s="15">
        <f t="shared" si="3"/>
        <v>1</v>
      </c>
      <c r="T17" s="60">
        <v>3</v>
      </c>
      <c r="U17" s="30">
        <v>1</v>
      </c>
      <c r="V17" s="156">
        <f t="shared" si="4"/>
        <v>0</v>
      </c>
      <c r="W17" s="60">
        <v>2</v>
      </c>
      <c r="X17" s="30">
        <v>1</v>
      </c>
      <c r="Y17" s="156">
        <f t="shared" si="5"/>
        <v>0</v>
      </c>
    </row>
    <row r="18" spans="5:25" x14ac:dyDescent="0.25">
      <c r="E18" s="160" t="s">
        <v>94</v>
      </c>
      <c r="F18" s="166"/>
      <c r="G18" s="166"/>
      <c r="H18" s="60">
        <v>2</v>
      </c>
      <c r="I18" s="30">
        <v>2</v>
      </c>
      <c r="J18" s="156"/>
      <c r="K18" s="60">
        <v>3</v>
      </c>
      <c r="L18" s="30">
        <v>1</v>
      </c>
      <c r="M18" s="156"/>
      <c r="N18" s="60">
        <v>3</v>
      </c>
      <c r="O18" s="30">
        <v>3</v>
      </c>
      <c r="P18" s="156"/>
      <c r="Q18" s="60">
        <v>2</v>
      </c>
      <c r="R18" s="30">
        <v>1</v>
      </c>
      <c r="S18" s="156"/>
      <c r="T18" s="60">
        <v>1</v>
      </c>
      <c r="U18" s="30">
        <v>2</v>
      </c>
      <c r="V18" s="156"/>
      <c r="W18" s="60">
        <v>0</v>
      </c>
      <c r="X18" s="30">
        <v>0</v>
      </c>
      <c r="Y18" s="156"/>
    </row>
    <row r="19" spans="5:25" x14ac:dyDescent="0.25">
      <c r="E19" s="160" t="s">
        <v>165</v>
      </c>
      <c r="F19" s="166"/>
      <c r="G19" s="166"/>
      <c r="H19" s="60">
        <v>1</v>
      </c>
      <c r="I19" s="30">
        <v>3</v>
      </c>
      <c r="J19" s="156"/>
      <c r="K19" s="60">
        <v>0</v>
      </c>
      <c r="L19" s="30">
        <v>3</v>
      </c>
      <c r="M19" s="156"/>
      <c r="N19" s="60">
        <v>0</v>
      </c>
      <c r="O19" s="30">
        <v>3</v>
      </c>
      <c r="P19" s="156"/>
      <c r="Q19" s="60">
        <v>1</v>
      </c>
      <c r="R19" s="30">
        <v>1</v>
      </c>
      <c r="S19" s="156"/>
      <c r="T19" s="60">
        <v>2</v>
      </c>
      <c r="U19" s="30">
        <v>1</v>
      </c>
      <c r="V19" s="156"/>
      <c r="W19" s="60">
        <v>0</v>
      </c>
      <c r="X19" s="30">
        <v>1</v>
      </c>
      <c r="Y19" s="156"/>
    </row>
    <row r="20" spans="5:25" x14ac:dyDescent="0.25">
      <c r="E20" s="160" t="s">
        <v>119</v>
      </c>
      <c r="F20" s="166"/>
      <c r="G20" s="166"/>
      <c r="H20" s="60">
        <v>1</v>
      </c>
      <c r="I20" s="30">
        <v>2</v>
      </c>
      <c r="J20" s="156"/>
      <c r="K20" s="60">
        <v>3</v>
      </c>
      <c r="L20" s="30">
        <v>2</v>
      </c>
      <c r="M20" s="156"/>
      <c r="N20" s="60">
        <v>2</v>
      </c>
      <c r="O20" s="30">
        <v>1</v>
      </c>
      <c r="P20" s="156"/>
      <c r="Q20" s="60">
        <v>2</v>
      </c>
      <c r="R20" s="30">
        <v>2</v>
      </c>
      <c r="S20" s="156"/>
      <c r="T20" s="60">
        <v>1</v>
      </c>
      <c r="U20" s="30">
        <v>1</v>
      </c>
      <c r="V20" s="156"/>
      <c r="W20" s="60">
        <v>1</v>
      </c>
      <c r="X20" s="30">
        <v>1</v>
      </c>
      <c r="Y20" s="156"/>
    </row>
    <row r="21" spans="5:25" x14ac:dyDescent="0.25">
      <c r="E21" s="160" t="s">
        <v>171</v>
      </c>
      <c r="F21" s="166"/>
      <c r="G21" s="166"/>
      <c r="H21" s="60">
        <v>1</v>
      </c>
      <c r="I21" s="30">
        <v>2</v>
      </c>
      <c r="J21" s="156"/>
      <c r="K21" s="60">
        <v>3</v>
      </c>
      <c r="L21" s="30">
        <v>1</v>
      </c>
      <c r="M21" s="156"/>
      <c r="N21" s="60">
        <v>5</v>
      </c>
      <c r="O21" s="30">
        <v>1</v>
      </c>
      <c r="P21" s="156"/>
      <c r="Q21" s="60">
        <v>2</v>
      </c>
      <c r="R21" s="30">
        <v>1</v>
      </c>
      <c r="S21" s="156"/>
      <c r="T21" s="60">
        <v>1</v>
      </c>
      <c r="U21" s="30">
        <v>2</v>
      </c>
      <c r="V21" s="156"/>
      <c r="W21" s="60">
        <v>1</v>
      </c>
      <c r="X21" s="30">
        <v>0</v>
      </c>
      <c r="Y21" s="156"/>
    </row>
    <row r="22" spans="5:25" x14ac:dyDescent="0.25">
      <c r="E22" s="160" t="s">
        <v>132</v>
      </c>
      <c r="F22" s="166"/>
      <c r="G22" s="166"/>
      <c r="H22" s="60">
        <v>3</v>
      </c>
      <c r="I22" s="30">
        <v>3</v>
      </c>
      <c r="J22" s="156"/>
      <c r="K22" s="60">
        <v>2</v>
      </c>
      <c r="L22" s="30">
        <v>1</v>
      </c>
      <c r="M22" s="156"/>
      <c r="N22" s="60">
        <v>1</v>
      </c>
      <c r="O22" s="30">
        <v>1</v>
      </c>
      <c r="P22" s="156"/>
      <c r="Q22" s="60">
        <v>1</v>
      </c>
      <c r="R22" s="30">
        <v>2</v>
      </c>
      <c r="S22" s="156"/>
      <c r="T22" s="60">
        <v>2</v>
      </c>
      <c r="U22" s="30">
        <v>0</v>
      </c>
      <c r="V22" s="156"/>
      <c r="W22" s="60">
        <v>2</v>
      </c>
      <c r="X22" s="30">
        <v>0</v>
      </c>
      <c r="Y22" s="156"/>
    </row>
    <row r="23" spans="5:25" x14ac:dyDescent="0.25">
      <c r="E23" s="160" t="s">
        <v>135</v>
      </c>
      <c r="F23" s="166"/>
      <c r="G23" s="166"/>
      <c r="H23" s="60">
        <v>1</v>
      </c>
      <c r="I23" s="30">
        <v>1</v>
      </c>
      <c r="J23" s="156"/>
      <c r="K23" s="60">
        <v>2</v>
      </c>
      <c r="L23" s="30">
        <v>2</v>
      </c>
      <c r="M23" s="156"/>
      <c r="N23" s="60">
        <v>2</v>
      </c>
      <c r="O23" s="30">
        <v>1</v>
      </c>
      <c r="P23" s="156"/>
      <c r="Q23" s="60">
        <v>1</v>
      </c>
      <c r="R23" s="30">
        <v>3</v>
      </c>
      <c r="S23" s="156"/>
      <c r="T23" s="60">
        <v>2</v>
      </c>
      <c r="U23" s="30">
        <v>2</v>
      </c>
      <c r="V23" s="156"/>
      <c r="W23" s="60">
        <v>0</v>
      </c>
      <c r="X23" s="30">
        <v>0</v>
      </c>
      <c r="Y23" s="156"/>
    </row>
    <row r="24" spans="5:25" x14ac:dyDescent="0.25">
      <c r="E24" s="160" t="s">
        <v>140</v>
      </c>
      <c r="F24" s="166"/>
      <c r="G24" s="166"/>
      <c r="H24" s="60">
        <v>3</v>
      </c>
      <c r="I24" s="30">
        <v>0</v>
      </c>
      <c r="J24" s="156"/>
      <c r="K24" s="60">
        <v>3</v>
      </c>
      <c r="L24" s="30">
        <v>0</v>
      </c>
      <c r="M24" s="156"/>
      <c r="N24" s="60">
        <v>6</v>
      </c>
      <c r="O24" s="30">
        <v>2</v>
      </c>
      <c r="P24" s="156"/>
      <c r="Q24" s="60">
        <v>2</v>
      </c>
      <c r="R24" s="30">
        <v>2</v>
      </c>
      <c r="S24" s="156"/>
      <c r="T24" s="60">
        <v>3</v>
      </c>
      <c r="U24" s="30">
        <v>1</v>
      </c>
      <c r="V24" s="156"/>
      <c r="W24" s="60">
        <v>4</v>
      </c>
      <c r="X24" s="30">
        <v>0</v>
      </c>
      <c r="Y24" s="156"/>
    </row>
    <row r="25" spans="5:25" x14ac:dyDescent="0.25">
      <c r="E25" s="160" t="s">
        <v>146</v>
      </c>
      <c r="F25" s="166"/>
      <c r="G25" s="166"/>
      <c r="H25" s="60">
        <v>3</v>
      </c>
      <c r="I25" s="30">
        <v>0</v>
      </c>
      <c r="J25" s="156"/>
      <c r="K25" s="60">
        <v>4</v>
      </c>
      <c r="L25" s="30">
        <v>1</v>
      </c>
      <c r="M25" s="156"/>
      <c r="N25" s="60">
        <v>3</v>
      </c>
      <c r="O25" s="30">
        <v>1</v>
      </c>
      <c r="P25" s="156"/>
      <c r="Q25" s="60">
        <v>2</v>
      </c>
      <c r="R25" s="30">
        <v>2</v>
      </c>
      <c r="S25" s="156"/>
      <c r="T25" s="60">
        <v>0</v>
      </c>
      <c r="U25" s="30">
        <v>0</v>
      </c>
      <c r="V25" s="156"/>
      <c r="W25" s="60">
        <v>2</v>
      </c>
      <c r="X25" s="30">
        <v>0</v>
      </c>
      <c r="Y25" s="156"/>
    </row>
    <row r="26" spans="5:25" x14ac:dyDescent="0.25">
      <c r="E26" s="160" t="s">
        <v>182</v>
      </c>
      <c r="F26" s="166"/>
      <c r="G26" s="166"/>
      <c r="H26" s="60">
        <v>2</v>
      </c>
      <c r="I26" s="30">
        <v>2</v>
      </c>
      <c r="J26" s="156"/>
      <c r="K26" s="60">
        <v>1</v>
      </c>
      <c r="L26" s="30">
        <v>3</v>
      </c>
      <c r="M26" s="156"/>
      <c r="N26" s="60">
        <v>3</v>
      </c>
      <c r="O26" s="30">
        <v>2</v>
      </c>
      <c r="P26" s="156"/>
      <c r="Q26" s="60">
        <v>2</v>
      </c>
      <c r="R26" s="30">
        <v>1</v>
      </c>
      <c r="S26" s="156"/>
      <c r="T26" s="60">
        <v>1</v>
      </c>
      <c r="U26" s="30">
        <v>1</v>
      </c>
      <c r="V26" s="156"/>
      <c r="W26" s="60">
        <v>2</v>
      </c>
      <c r="X26" s="30">
        <v>3</v>
      </c>
      <c r="Y26" s="156"/>
    </row>
    <row r="27" spans="5:25" x14ac:dyDescent="0.25">
      <c r="E27" s="160" t="s">
        <v>256</v>
      </c>
      <c r="F27" s="166"/>
      <c r="G27" s="166"/>
      <c r="H27" s="60">
        <v>3</v>
      </c>
      <c r="I27" s="30">
        <v>0</v>
      </c>
      <c r="J27" s="156"/>
      <c r="K27" s="60">
        <v>4</v>
      </c>
      <c r="L27" s="30">
        <v>0</v>
      </c>
      <c r="M27" s="156"/>
      <c r="N27" s="60">
        <v>4</v>
      </c>
      <c r="O27" s="30">
        <v>0</v>
      </c>
      <c r="P27" s="156"/>
      <c r="Q27" s="60">
        <v>1</v>
      </c>
      <c r="R27" s="30">
        <v>3</v>
      </c>
      <c r="S27" s="156"/>
      <c r="T27" s="60">
        <v>1</v>
      </c>
      <c r="U27" s="30">
        <v>1</v>
      </c>
      <c r="V27" s="156"/>
      <c r="W27" s="60">
        <v>0</v>
      </c>
      <c r="X27" s="30">
        <v>1</v>
      </c>
      <c r="Y27" s="156"/>
    </row>
    <row r="28" spans="5:25" x14ac:dyDescent="0.25">
      <c r="E28" s="160" t="s">
        <v>152</v>
      </c>
      <c r="F28" s="166"/>
      <c r="G28" s="166"/>
      <c r="H28" s="60">
        <v>1</v>
      </c>
      <c r="I28" s="30">
        <v>1</v>
      </c>
      <c r="J28" s="156"/>
      <c r="K28" s="60">
        <v>1</v>
      </c>
      <c r="L28" s="30">
        <v>0</v>
      </c>
      <c r="M28" s="156"/>
      <c r="N28" s="60">
        <v>2</v>
      </c>
      <c r="O28" s="30">
        <v>0</v>
      </c>
      <c r="P28" s="156"/>
      <c r="Q28" s="60">
        <v>2</v>
      </c>
      <c r="R28" s="30">
        <v>0</v>
      </c>
      <c r="S28" s="156"/>
      <c r="T28" s="60">
        <v>2</v>
      </c>
      <c r="U28" s="30">
        <v>1</v>
      </c>
      <c r="V28" s="156"/>
      <c r="W28" s="60">
        <v>2</v>
      </c>
      <c r="X28" s="30">
        <v>1</v>
      </c>
      <c r="Y28" s="156"/>
    </row>
    <row r="29" spans="5:25" x14ac:dyDescent="0.25">
      <c r="E29" s="160" t="s">
        <v>157</v>
      </c>
      <c r="F29" s="166"/>
      <c r="G29" s="166"/>
      <c r="H29" s="60">
        <v>4</v>
      </c>
      <c r="I29" s="30">
        <v>1</v>
      </c>
      <c r="J29" s="156"/>
      <c r="K29" s="60">
        <v>1</v>
      </c>
      <c r="L29" s="30">
        <v>1</v>
      </c>
      <c r="M29" s="156"/>
      <c r="N29" s="60">
        <v>3</v>
      </c>
      <c r="O29" s="30">
        <v>1</v>
      </c>
      <c r="P29" s="156"/>
      <c r="Q29" s="60">
        <v>2</v>
      </c>
      <c r="R29" s="30">
        <v>2</v>
      </c>
      <c r="S29" s="156"/>
      <c r="T29" s="60">
        <v>2</v>
      </c>
      <c r="U29" s="30">
        <v>0</v>
      </c>
      <c r="V29" s="156"/>
      <c r="W29" s="60">
        <v>3</v>
      </c>
      <c r="X29" s="30">
        <v>0</v>
      </c>
      <c r="Y29" s="156"/>
    </row>
    <row r="30" spans="5:25" x14ac:dyDescent="0.25">
      <c r="E30" s="160" t="s">
        <v>110</v>
      </c>
      <c r="F30" s="166"/>
      <c r="G30" s="166"/>
      <c r="H30" s="60">
        <v>3</v>
      </c>
      <c r="I30" s="30">
        <v>1</v>
      </c>
      <c r="J30" s="156"/>
      <c r="K30" s="60">
        <v>2</v>
      </c>
      <c r="L30" s="30">
        <v>1</v>
      </c>
      <c r="M30" s="156"/>
      <c r="N30" s="60">
        <v>2</v>
      </c>
      <c r="O30" s="30">
        <v>2</v>
      </c>
      <c r="P30" s="156"/>
      <c r="Q30" s="60">
        <v>2</v>
      </c>
      <c r="R30" s="30">
        <v>0</v>
      </c>
      <c r="S30" s="156"/>
      <c r="T30" s="60">
        <v>0</v>
      </c>
      <c r="U30" s="30">
        <v>1</v>
      </c>
      <c r="V30" s="156"/>
      <c r="W30" s="60">
        <v>2</v>
      </c>
      <c r="X30" s="30">
        <v>1</v>
      </c>
      <c r="Y30" s="156"/>
    </row>
    <row r="31" spans="5:25" x14ac:dyDescent="0.25">
      <c r="E31" s="160" t="s">
        <v>274</v>
      </c>
      <c r="F31" s="166"/>
      <c r="G31" s="166"/>
      <c r="H31" s="60">
        <v>1</v>
      </c>
      <c r="I31" s="30">
        <v>1</v>
      </c>
      <c r="J31" s="156"/>
      <c r="K31" s="60">
        <v>1</v>
      </c>
      <c r="L31" s="30">
        <v>2</v>
      </c>
      <c r="M31" s="156"/>
      <c r="N31" s="60">
        <v>3</v>
      </c>
      <c r="O31" s="30">
        <v>1</v>
      </c>
      <c r="P31" s="156"/>
      <c r="Q31" s="60">
        <v>2</v>
      </c>
      <c r="R31" s="30">
        <v>2</v>
      </c>
      <c r="S31" s="156"/>
      <c r="T31" s="60">
        <v>0</v>
      </c>
      <c r="U31" s="30">
        <v>0</v>
      </c>
      <c r="V31" s="156"/>
      <c r="W31" s="60">
        <v>1</v>
      </c>
      <c r="X31" s="30">
        <v>1</v>
      </c>
      <c r="Y31" s="156"/>
    </row>
    <row r="32" spans="5:25" x14ac:dyDescent="0.25">
      <c r="E32" s="160" t="s">
        <v>191</v>
      </c>
      <c r="F32" s="166"/>
      <c r="G32" s="166"/>
      <c r="H32" s="60">
        <v>3</v>
      </c>
      <c r="I32" s="30">
        <v>2</v>
      </c>
      <c r="J32" s="156"/>
      <c r="K32" s="60">
        <v>1</v>
      </c>
      <c r="L32" s="30">
        <v>3</v>
      </c>
      <c r="M32" s="156"/>
      <c r="N32" s="60">
        <v>3</v>
      </c>
      <c r="O32" s="30">
        <v>2</v>
      </c>
      <c r="P32" s="156"/>
      <c r="Q32" s="60">
        <v>2</v>
      </c>
      <c r="R32" s="30">
        <v>2</v>
      </c>
      <c r="S32" s="156"/>
      <c r="T32" s="60">
        <v>1</v>
      </c>
      <c r="U32" s="30">
        <v>1</v>
      </c>
      <c r="V32" s="156"/>
      <c r="W32" s="60">
        <v>2</v>
      </c>
      <c r="X32" s="30">
        <v>1</v>
      </c>
      <c r="Y32" s="156"/>
    </row>
    <row r="33" spans="5:25" x14ac:dyDescent="0.25">
      <c r="E33" s="160" t="s">
        <v>170</v>
      </c>
      <c r="F33" s="166"/>
      <c r="G33" s="166"/>
      <c r="H33" s="60">
        <v>1</v>
      </c>
      <c r="I33" s="30">
        <v>2</v>
      </c>
      <c r="J33" s="156"/>
      <c r="K33" s="60">
        <v>0</v>
      </c>
      <c r="L33" s="30">
        <v>2</v>
      </c>
      <c r="M33" s="156"/>
      <c r="N33" s="60">
        <v>1</v>
      </c>
      <c r="O33" s="30">
        <v>3</v>
      </c>
      <c r="P33" s="156"/>
      <c r="Q33" s="60">
        <v>2</v>
      </c>
      <c r="R33" s="30">
        <v>1</v>
      </c>
      <c r="S33" s="156"/>
      <c r="T33" s="60">
        <v>0</v>
      </c>
      <c r="U33" s="30">
        <v>1</v>
      </c>
      <c r="V33" s="156"/>
      <c r="W33" s="60">
        <v>0</v>
      </c>
      <c r="X33" s="30">
        <v>4</v>
      </c>
      <c r="Y33" s="156"/>
    </row>
    <row r="34" spans="5:25" x14ac:dyDescent="0.25">
      <c r="E34" s="160" t="s">
        <v>172</v>
      </c>
      <c r="F34" s="166"/>
      <c r="G34" s="166"/>
      <c r="H34" s="60">
        <v>0</v>
      </c>
      <c r="I34" s="30">
        <v>0</v>
      </c>
      <c r="J34" s="156"/>
      <c r="K34" s="60">
        <v>1</v>
      </c>
      <c r="L34" s="30">
        <v>2</v>
      </c>
      <c r="M34" s="156"/>
      <c r="N34" s="60">
        <v>0</v>
      </c>
      <c r="O34" s="30">
        <v>1</v>
      </c>
      <c r="P34" s="156"/>
      <c r="Q34" s="60">
        <v>2</v>
      </c>
      <c r="R34" s="30">
        <v>0</v>
      </c>
      <c r="S34" s="156"/>
      <c r="T34" s="60">
        <v>1</v>
      </c>
      <c r="U34" s="30">
        <v>2</v>
      </c>
      <c r="V34" s="156"/>
      <c r="W34" s="60">
        <v>2</v>
      </c>
      <c r="X34" s="30">
        <v>2</v>
      </c>
      <c r="Y34" s="156"/>
    </row>
    <row r="35" spans="5:25" x14ac:dyDescent="0.25">
      <c r="E35" s="160" t="s">
        <v>176</v>
      </c>
      <c r="F35" s="166"/>
      <c r="G35" s="166"/>
      <c r="H35" s="60">
        <v>1</v>
      </c>
      <c r="I35" s="30">
        <v>3</v>
      </c>
      <c r="J35" s="156"/>
      <c r="K35" s="60">
        <v>2</v>
      </c>
      <c r="L35" s="30">
        <v>2</v>
      </c>
      <c r="M35" s="156"/>
      <c r="N35" s="60">
        <v>2</v>
      </c>
      <c r="O35" s="30">
        <v>2</v>
      </c>
      <c r="P35" s="156"/>
      <c r="Q35" s="60">
        <v>0</v>
      </c>
      <c r="R35" s="30">
        <v>2</v>
      </c>
      <c r="S35" s="156"/>
      <c r="T35" s="60">
        <v>1</v>
      </c>
      <c r="U35" s="30">
        <v>0</v>
      </c>
      <c r="V35" s="156"/>
      <c r="W35" s="60">
        <v>2</v>
      </c>
      <c r="X35" s="30">
        <v>3</v>
      </c>
      <c r="Y35" s="156"/>
    </row>
    <row r="36" spans="5:25" x14ac:dyDescent="0.25">
      <c r="E36" s="160" t="s">
        <v>179</v>
      </c>
      <c r="F36" s="166"/>
      <c r="G36" s="166"/>
      <c r="H36" s="60">
        <v>1</v>
      </c>
      <c r="I36" s="30">
        <v>1</v>
      </c>
      <c r="J36" s="156"/>
      <c r="K36" s="60">
        <v>1</v>
      </c>
      <c r="L36" s="30">
        <v>2</v>
      </c>
      <c r="M36" s="156"/>
      <c r="N36" s="60">
        <v>2</v>
      </c>
      <c r="O36" s="30">
        <v>1</v>
      </c>
      <c r="P36" s="156"/>
      <c r="Q36" s="60">
        <v>1</v>
      </c>
      <c r="R36" s="30">
        <v>1</v>
      </c>
      <c r="S36" s="156"/>
      <c r="T36" s="60">
        <v>0</v>
      </c>
      <c r="U36" s="30">
        <v>1</v>
      </c>
      <c r="V36" s="156"/>
      <c r="W36" s="60">
        <v>1</v>
      </c>
      <c r="X36" s="30">
        <v>0</v>
      </c>
      <c r="Y36" s="156"/>
    </row>
    <row r="37" spans="5:25" x14ac:dyDescent="0.25">
      <c r="E37" s="160" t="s">
        <v>184</v>
      </c>
      <c r="F37" s="166"/>
      <c r="G37" s="166"/>
      <c r="H37" s="60">
        <v>2</v>
      </c>
      <c r="I37" s="30">
        <v>3</v>
      </c>
      <c r="J37" s="156"/>
      <c r="K37" s="60">
        <v>2</v>
      </c>
      <c r="L37" s="30">
        <v>3</v>
      </c>
      <c r="M37" s="156"/>
      <c r="N37" s="60">
        <v>0</v>
      </c>
      <c r="O37" s="30">
        <v>2</v>
      </c>
      <c r="P37" s="156"/>
      <c r="Q37" s="60">
        <v>2</v>
      </c>
      <c r="R37" s="30">
        <v>0</v>
      </c>
      <c r="S37" s="156"/>
      <c r="T37" s="60">
        <v>0</v>
      </c>
      <c r="U37" s="30">
        <v>1</v>
      </c>
      <c r="V37" s="156"/>
      <c r="W37" s="60">
        <v>1</v>
      </c>
      <c r="X37" s="30">
        <v>1</v>
      </c>
      <c r="Y37" s="156"/>
    </row>
    <row r="38" spans="5:25" ht="15.75" thickBot="1" x14ac:dyDescent="0.3">
      <c r="E38" s="161" t="s">
        <v>188</v>
      </c>
      <c r="F38" s="167"/>
      <c r="G38" s="167"/>
      <c r="H38" s="61">
        <v>0</v>
      </c>
      <c r="I38" s="57">
        <v>2</v>
      </c>
      <c r="J38" s="157"/>
      <c r="K38" s="61">
        <v>0</v>
      </c>
      <c r="L38" s="57">
        <v>3</v>
      </c>
      <c r="M38" s="157"/>
      <c r="N38" s="61">
        <v>1</v>
      </c>
      <c r="O38" s="57">
        <v>3</v>
      </c>
      <c r="P38" s="157"/>
      <c r="Q38" s="61">
        <v>2</v>
      </c>
      <c r="R38" s="57">
        <v>2</v>
      </c>
      <c r="S38" s="157"/>
      <c r="T38" s="61">
        <v>0</v>
      </c>
      <c r="U38" s="57">
        <v>1</v>
      </c>
      <c r="V38" s="157"/>
      <c r="W38" s="61">
        <v>0</v>
      </c>
      <c r="X38" s="57">
        <v>2</v>
      </c>
      <c r="Y38" s="157"/>
    </row>
    <row r="39" spans="5:25" ht="15.75" thickBot="1" x14ac:dyDescent="0.3">
      <c r="H39" s="142" t="s">
        <v>271</v>
      </c>
      <c r="I39" s="143"/>
      <c r="J39" s="144">
        <f>SUM(J14:J38)</f>
        <v>2</v>
      </c>
      <c r="K39" s="142" t="s">
        <v>271</v>
      </c>
      <c r="L39" s="143"/>
      <c r="M39" s="144">
        <f>SUM(M14:M38)</f>
        <v>6</v>
      </c>
      <c r="N39" s="142" t="s">
        <v>271</v>
      </c>
      <c r="O39" s="143"/>
      <c r="P39" s="144">
        <f>SUM(P14:P38)</f>
        <v>1</v>
      </c>
      <c r="Q39" s="142" t="s">
        <v>271</v>
      </c>
      <c r="R39" s="143"/>
      <c r="S39" s="144">
        <f>SUM(S14:S38)</f>
        <v>1</v>
      </c>
      <c r="T39" s="142" t="s">
        <v>271</v>
      </c>
      <c r="U39" s="143"/>
      <c r="V39" s="144">
        <f>SUM(V14:V38)</f>
        <v>0</v>
      </c>
      <c r="W39" s="142" t="s">
        <v>271</v>
      </c>
      <c r="X39" s="143"/>
      <c r="Y39" s="144">
        <f>SUM(Y14:Y38)</f>
        <v>3</v>
      </c>
    </row>
  </sheetData>
  <mergeCells count="21">
    <mergeCell ref="W39:X39"/>
    <mergeCell ref="F12:G13"/>
    <mergeCell ref="H39:I39"/>
    <mergeCell ref="K39:L39"/>
    <mergeCell ref="N39:O39"/>
    <mergeCell ref="Q39:R39"/>
    <mergeCell ref="T39:U39"/>
    <mergeCell ref="E12:E13"/>
    <mergeCell ref="H12:J12"/>
    <mergeCell ref="K12:M12"/>
    <mergeCell ref="AA12:AB13"/>
    <mergeCell ref="H13:I13"/>
    <mergeCell ref="K13:L13"/>
    <mergeCell ref="N13:O13"/>
    <mergeCell ref="Q13:R13"/>
    <mergeCell ref="T13:U13"/>
    <mergeCell ref="N12:P12"/>
    <mergeCell ref="Q12:S12"/>
    <mergeCell ref="T12:V12"/>
    <mergeCell ref="W12:Y12"/>
    <mergeCell ref="W13:X13"/>
  </mergeCells>
  <pageMargins left="0.25" right="0.25" top="0.5" bottom="0.5" header="0.3" footer="0.3"/>
  <pageSetup scale="7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GRUPOS</vt:lpstr>
      <vt:lpstr>Primera Fase</vt:lpstr>
      <vt:lpstr>Segunda Fase</vt:lpstr>
      <vt:lpstr>Quiniela CASA</vt:lpstr>
      <vt:lpstr>Quiniela ABU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Briganty Muñoz Natasha Vanessa</dc:creator>
  <cp:lastModifiedBy>Briganty Muñoz Natasha Vanessa</cp:lastModifiedBy>
  <cp:lastPrinted>2026-06-11T00:15:36Z</cp:lastPrinted>
  <dcterms:created xsi:type="dcterms:W3CDTF">2026-06-06T00:34:00Z</dcterms:created>
  <dcterms:modified xsi:type="dcterms:W3CDTF">2026-06-15T02:19:16Z</dcterms:modified>
</cp:coreProperties>
</file>